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8855" firstSheet="1" activeTab="4"/>
  </bookViews>
  <sheets>
    <sheet name="总消费" sheetId="4" r:id="rId1"/>
    <sheet name="笔记日报" sheetId="6" r:id="rId2"/>
    <sheet name="投放进度" sheetId="15" r:id="rId3"/>
    <sheet name="笔记数据看板" sheetId="18" r:id="rId4"/>
    <sheet name="笔记数据自定义" sheetId="17" r:id="rId5"/>
    <sheet name="笔记匹配" sheetId="2" r:id="rId6"/>
    <sheet name="日报数据源" sheetId="1" r:id="rId7"/>
    <sheet name="筋膜枪cc进度数据源" sheetId="10" r:id="rId8"/>
    <sheet name="筋膜枪pb2进度数据源" sheetId="19" r:id="rId9"/>
    <sheet name="跳绳2go进度数据源" sheetId="20" r:id="rId10"/>
    <sheet name="信息流数据源" sheetId="8" r:id="rId11"/>
    <sheet name="搜索数据源" sheetId="9" r:id="rId12"/>
    <sheet name="回搜数据源" sheetId="14" r:id="rId13"/>
  </sheets>
  <externalReferences>
    <externalReference r:id="rId18"/>
  </externalReferences>
  <definedNames>
    <definedName name="_xlnm._FilterDatabase" localSheetId="3" hidden="1">笔记数据看板!$A$2:$AO$168</definedName>
    <definedName name="_xlnm._FilterDatabase" localSheetId="5" hidden="1">笔记匹配!$A$1:$O$241</definedName>
    <definedName name="_xlnm._FilterDatabase" localSheetId="6" hidden="1">日报数据源!$A$1:$AB$1418</definedName>
    <definedName name="_xlnm._FilterDatabase" localSheetId="12" hidden="1">回搜数据源!$A$1:$F$50</definedName>
  </definedNames>
  <calcPr calcId="144525"/>
  <pivotCaches>
    <pivotCache cacheId="0" r:id="rId14"/>
    <pivotCache cacheId="1" r:id="rId15"/>
    <pivotCache cacheId="2" r:id="rId16"/>
    <pivotCache cacheId="3" r:id="rId17"/>
  </pivotCaches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63" name="ID_26346FF0222C49A4B885C88934DD5F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82000" y="66408300"/>
          <a:ext cx="920115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64" name="ID_BDB217567455424EA2AB37CE6D629D1B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8382000" y="368300"/>
          <a:ext cx="10287000" cy="13725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65" name="ID_F721CFCC7E0942A88733D811E56A4A11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8382000" y="9258300"/>
          <a:ext cx="9153525" cy="12211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66" name="ID_99E6FA737AB245169FCC628C3268B8C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8382000" y="417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67" name="ID_D872F375D490401FB7E3C181F6B3D92D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8391525" y="163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2" name="ID_E721F5DCF75648EA8A751EF39EEA1CC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8382000" y="3338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2" name="ID_542DFEFF3DBD4962A323CEE86E9E5A54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8382000" y="6718300"/>
          <a:ext cx="6858000" cy="9153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68" name="ID_FD1E5446828640A698ED9A15562EB3B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8382000" y="40998775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5" name="ID_2E57BFB8032A4FCE80209EB2F840CCDE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8382000" y="290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3" name="ID_F6D6313AC0CD4ECC936C12B0A5F5138C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8382000" y="3084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3" name="ID_4F59F7460C2642D2A80586478E4200B0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8382000" y="544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69" name="ID_DBC9865B846140CE9AC57F3C931BA171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8382000" y="60058300"/>
          <a:ext cx="7143750" cy="9525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0" name="ID_D1A37ADFC939479D884FBB28AE53532B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8382000" y="7988300"/>
          <a:ext cx="10287000" cy="13735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1" name="ID_8346ED79F70A4F1AAC369692D17E2A41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8382000" y="10528300"/>
          <a:ext cx="10287000" cy="77057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4" name="ID_A998E6330287486692FB53338417D55B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8382000" y="2322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5" name="ID_DB426F5A91EE479F804F0B7B8D73D77E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8382000" y="1179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6" name="ID_A4DAC46169CA4C86888F0D1C9A1D2F49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8382000" y="1306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7" name="ID_123F96FFA011446499C03B9FA091D39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8382000" y="1433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8" name="ID_E372CB7569C8454CBC8DA6B0B57C416F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8382000" y="7275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79" name="ID_7773324A659B44D1906950590FF95F70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8382000" y="1560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0" name="ID_1DCB59441F794EAF98F9A0FC140C5EFC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8382000" y="1687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6" name="ID_2959B4A40B8249738466A0660613EBD7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8382000" y="19418300"/>
          <a:ext cx="10287000" cy="13725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1" name="ID_2A397798280F48F8BFA742AA621F742B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8382000" y="29578300"/>
          <a:ext cx="10287000" cy="10287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0" name="ID_82F9628424BC4F6CA9BF94A0C15344B2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8382000" y="2068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4" name="ID_ED8BBB70FF11457E8A3E0A34E2226CC8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8382000" y="21958300"/>
          <a:ext cx="10287000" cy="77057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2" name="ID_7C89AB9D473A4D1FAC542A82BAAFA4C4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8382000" y="2449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3" name="ID_DD1551EC38F842AB91DE55F0F15EE745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9953625" y="39738300"/>
          <a:ext cx="8572500" cy="11430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4" name="ID_CE9FD5BC31E84B7198DFBB2AE211EDEE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8382000" y="2576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7" name="ID_23946B7E7AC6447EADD47E3B0495440E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8382000" y="3846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8" name="ID_45FA29E717B947FAA038E2F79AD04ACA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8382000" y="27038300"/>
          <a:ext cx="10287000" cy="13725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89" name="ID_3A748953D30D477CAFB28E95C12DD368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8382000" y="2830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1" name="ID_34DF0104CCB44B21A98155B0B4140130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8382000" y="3211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5" name="ID_0CEDD2D832FA4D338B1220A036D19882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8382000" y="34658300"/>
          <a:ext cx="10287000" cy="13735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6" name="ID_30EF3C4592FD47C38937C03402D3B468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8382000" y="3592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8" name="ID_BEBF0641BEE245758F09522CAA930B7F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8382000" y="3719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7" name="ID_F115B044F3034B3191C6E3894CEBD8BA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8382000" y="4227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99" name="ID_370A21B38C4A4F2C9F65900E042A5126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8382000" y="4354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0" name="ID_D99C6198D5C74758A2AE3F74C958BBC4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8382000" y="44818300"/>
          <a:ext cx="10287000" cy="13725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1" name="ID_B6B525EE6F4643AAAD11A6B801A9A65E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8382000" y="46088300"/>
          <a:ext cx="10287000" cy="13735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2" name="ID_30EC5F7C7EBF4543847F4503B6E1579B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8382000" y="7529830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3" name="ID_8F76C66B703A4AECBD893E425A6872AC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8382000" y="4735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4" name="ID_1626264759DA475FACBB7D4C8B7C28C3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8391525" y="486410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5" name="ID_0C7594A696F24856BBCFB6E1CBA68146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8382000" y="4989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6" name="ID_E84951BDB7E74E6291C5FA4C8A88DC80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8382000" y="5116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7" name="ID_CE2B8D0866824C01BDBC09897E33E6B3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8382000" y="5751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8" name="ID_6581D5EA89DA4736945D115A6EFD6A27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8382000" y="53708300"/>
          <a:ext cx="6858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09" name="ID_EB840292A2E2463E9661AF31428E7157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8382000" y="54991000"/>
          <a:ext cx="9753600" cy="129921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0" name="ID_861F1200E18B419989945F61BD4CA04C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8382000" y="5624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1" name="ID_76A9762C8BDF47F1B23A10E5E69CF05C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9953625" y="57518300"/>
          <a:ext cx="10039350" cy="133921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2" name="ID_A4D8C9FA751B4AE19BB35B45CBE37910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8382000" y="5878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3" name="ID_BFCE16E47C0240E7920BE3C01EDCFA38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8382000" y="7402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4" name="ID_85A8D7C7028745368A1D11A6E9508FEA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8382000" y="61328300"/>
          <a:ext cx="10287000" cy="136969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5" name="ID_4A8E9B38CBB14B759398045063C9B54F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8401050" y="765810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6" name="ID_9113B1655B9F4B45ADB000543D2E9035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8382000" y="62598300"/>
          <a:ext cx="916305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7" name="ID_9FAA472BC68E475497717F7BF36F6FA3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8382000" y="6386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8" name="ID_8F251EF4E6F240DFA49083E4E405686D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8382000" y="65138300"/>
          <a:ext cx="9124950" cy="121729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19" name="ID_3656D33F2B914C5CB2C48C75073A4D5B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8382000" y="6767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0" name="ID_07852D61A3D64963B2C2DFFE5AB3FCF1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8382000" y="6894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1" name="ID_100F658D5E4E4902B72A0CD3A2F1A510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8382000" y="70218300"/>
          <a:ext cx="7829550" cy="104394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2" name="ID_13B68F063A8D48DDBF89BE7B40760742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8382000" y="7148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3" name="ID_C56FAD1C30124E73A3F9418FFA60B44B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8382000" y="77838300"/>
          <a:ext cx="10287000" cy="138874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4" name="ID_D281459A4695474EAF22C3024A24A661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8382000" y="7910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5" name="ID_EB51213A197D4AC4A99B9C5AE084F275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8382000" y="8037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6" name="ID_BC91049A639C4F8082BFF5D9BAEB73FC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8382000" y="8164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7" name="ID_68AB6A29AFB4448CBDDD3EC7968307FA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8382000" y="8291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8" name="ID_620976F31BEF4727B2AC86C7B6ED2B08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8382000" y="8418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29" name="ID_912D918303A84192953F7ADE4A516B06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8382000" y="85458300"/>
          <a:ext cx="6858000" cy="91535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0" name="ID_6A0C8E88443B465F94D4563942EFEEEB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8382000" y="86728300"/>
          <a:ext cx="7505700" cy="100107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1" name="ID_2792AD0522914200845DCEFE3D7A129F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8382000" y="87998300"/>
          <a:ext cx="10287000" cy="77057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2" name="ID_0863F6F3D76E4126964EA98D320D31FE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8382000" y="8926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3" name="ID_6D31ADD2ABA04A7F9EEDF159CF92F014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8382000" y="90538300"/>
          <a:ext cx="9144000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4" name="ID_B3EF46834C03430989D864C7049896FC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8382000" y="9180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5" name="ID_6D8952DA10734381A5C6FB4798F6D881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8382000" y="93078300"/>
          <a:ext cx="9153525" cy="12192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6" name="ID_A1B163FD6DB543B091647FA275125296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8382000" y="94348300"/>
          <a:ext cx="7886700" cy="105156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7" name="ID_7E9CF1BB3AF24824AE24AFFB22C45CAB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8382000" y="95618300"/>
          <a:ext cx="6896100" cy="919162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8" name="ID_18E5079068FD41C2901D93583898A860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8382000" y="96888300"/>
          <a:ext cx="10287000" cy="77152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39" name="ID_7F63B151AC874B8BB812995A5D534DE7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8382000" y="9688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0" name="ID_102363F35659483FA7758B12D8AFE57A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8382000" y="98158300"/>
          <a:ext cx="10287000" cy="13706475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1" name="ID_92B96F3F9BDB4D14AE01BA8A778F4AFD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8382000" y="99428300"/>
          <a:ext cx="9963150" cy="132778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2" name="ID_A901CF4B7D214AF090BA9F8B6516500D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8382000" y="100698300"/>
          <a:ext cx="10287000" cy="13735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3" name="ID_D610DC2EBF9047E792DDA8E64C8A1427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8382000" y="101968300"/>
          <a:ext cx="10287000" cy="137350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4" name="ID_5F322F188D4846B288B7F12A89D01BBC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8382000" y="103238300"/>
          <a:ext cx="10287000" cy="13716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5" name="ID_5C91140CC8E0469A83F5D586EA718F4E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8382000" y="104508300"/>
          <a:ext cx="10287000" cy="1369695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146" name="ID_F091C3D380BE42328944D31DC3611ACB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8382000" y="105778300"/>
          <a:ext cx="2276475" cy="3143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7" name="ID_9553404802CA48B6BC5E778D9C44CC8C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382000" y="107048300"/>
          <a:ext cx="2419350" cy="3267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8" name="ID_2BE48A4BB95A49C7BBE0437C7E052E59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8382000" y="108318300"/>
          <a:ext cx="2419350" cy="3286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9" name="ID_D7867A62D30B44798B6A444E8C3F57F0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8382000" y="109588300"/>
          <a:ext cx="2352675" cy="3152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" name="ID_47170E31F14241E39D9E2013B6124C43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6076950" y="22352000"/>
          <a:ext cx="4648200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F64CACA9EB5E433A99B10D83D419889A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6076950" y="22606000"/>
          <a:ext cx="3514725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99872ED68AA34B4CB510548869E20B07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6076950" y="22860000"/>
          <a:ext cx="4695825" cy="4714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" name="ID_6D873BA1B362420E839531C3C63E29CE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6076950" y="23114000"/>
          <a:ext cx="3552825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8" name="ID_76126D4CBA2241119ABAED6960326892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6174105" y="23414990"/>
          <a:ext cx="4686300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0" name="ID_50BEDFDB923D42F1AFA814A651AE241A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6149340" y="23850600"/>
          <a:ext cx="3486150" cy="472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4" name="ID_B556FF733708467D9F63276FEE393878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6174105" y="23971885"/>
          <a:ext cx="4686300" cy="472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5" name="ID_4751D772921B4A03A58E433F726D3925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6166485" y="24210010"/>
          <a:ext cx="4743450" cy="4752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6" name="ID_0956F9FAC58C4FB889D7B4AD8F900135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6174105" y="24488775"/>
          <a:ext cx="3533775" cy="472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7" name="ID_8ABD2826423749FC805A3F94E6203C17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6191250" y="24701500"/>
          <a:ext cx="3562350" cy="4772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8" name="ID_841E9F6C4FB24939B9BB2B94FA547E1B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6273800" y="24980265"/>
          <a:ext cx="4667250" cy="4781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9" name="ID_07681901BEFF4A56858EAB41E7A428CE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6207760" y="25283795"/>
          <a:ext cx="4619625" cy="4714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0" name="ID_AE8B96606BBF4A97AF46845EF28D8CB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6149340" y="25446355"/>
          <a:ext cx="4695825" cy="4810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1" name="ID_81ED24732E2F4734A8082688FA6AD768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6165850" y="25741630"/>
          <a:ext cx="3590925" cy="4772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2" name="ID_C9694C2744BE4E92A03F208E839AA16C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6149975" y="25970865"/>
          <a:ext cx="4695825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3" name="ID_2AD9B3942E1E46A0A60B37CC4E32D310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6232525" y="26249630"/>
          <a:ext cx="4648200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4" name="ID_52D6DD2B9CA44928A62A12BBC6B25843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6182995" y="26437590"/>
          <a:ext cx="4610100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E2C55FBB8B954C29919FF7DA35851531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6182360" y="7429500"/>
          <a:ext cx="4362450" cy="4714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81EA84F6A5DD47168703DE549BC8C306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6207125" y="7192010"/>
          <a:ext cx="4410075" cy="4619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5E6592E46EC14C249B6979B077B26B2B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6224270" y="7936865"/>
          <a:ext cx="4629150" cy="4572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" name="ID_B96B2383B4074CD0AB4378BA2D2DCF1E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6199505" y="7682865"/>
          <a:ext cx="4667250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FB59FC03F79F490DAC025E833FC82DF9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141085" y="8249285"/>
          <a:ext cx="3514725" cy="470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9" name="ID_98FD6898D8B14D548F8BEF07F6F369F0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6149975" y="8428355"/>
          <a:ext cx="4533900" cy="4762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23FF9FDA789E4E30ADAE3CC20CCB624E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6165850" y="8977630"/>
          <a:ext cx="4600575" cy="4514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1" name="ID_A76D46D7EACB4D5F841B480B307F3B4E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6298565" y="8740140"/>
          <a:ext cx="3371850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2" name="ID_382D6026BDB741FE94B73B88112D87EA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6124575" y="9241155"/>
          <a:ext cx="3505200" cy="4829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E1D7E9C5C63A4C428D1138D420DF0DAE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6157595" y="9436100"/>
          <a:ext cx="3648075" cy="4772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4" name="ID_B0FFA9557A2A4765BA82E4B8EB04D757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6141085" y="9756775"/>
          <a:ext cx="4457700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" name="ID_19BCA44380654C9099BF6C9FBD99A814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6149340" y="9977755"/>
          <a:ext cx="3457575" cy="4772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DED5C39FDFA944E5AA2692E1BA2E8AAF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6216015" y="29789120"/>
          <a:ext cx="3552825" cy="4676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7" name="ID_96D88DEA6AD64E36B250E6430590D7DF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20128230" y="26355040"/>
          <a:ext cx="14916150" cy="52292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3" name="ID_3DF076F8A5744DC19485A36911960465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9796760" y="131698365"/>
          <a:ext cx="14925675" cy="5400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4" name="ID_E5C90F9775564AEDB1D3E921B61097D5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23929340" y="2259330"/>
          <a:ext cx="14639925" cy="5191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" name="ID_DB67F596833947F2A46A94D4C86F278B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6140430" y="107022900"/>
          <a:ext cx="17364075" cy="7696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6" name="ID_C01B9EB74A81431D8F93B5ED1AA163D6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24030940" y="22510750"/>
          <a:ext cx="15097125" cy="5762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2" name="ID_C7D4663ECE6B44809DFA4EB921195496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9830415" y="129315845"/>
          <a:ext cx="14973300" cy="5657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8" name="ID_681462D5B7774830A356DD3A699FDA25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9977100" y="27546300"/>
          <a:ext cx="14973300" cy="56864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4" name="ID_59F4E7A50B1F4EEE9D495CFCDB944A47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6061690" y="1727835"/>
          <a:ext cx="17602200" cy="7772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8" name="ID_02E1F52AE3834AFCBC6E4267A8535C8B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20470495" y="1686560"/>
          <a:ext cx="17383125" cy="7820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1" name="ID_17C5CA3B21AE4C898DD1170FFFAF6C77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9774535" y="127922655"/>
          <a:ext cx="14735175" cy="5438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5" name="ID_6302AAFC8E55497BBBB993A6C715DA9E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9853275" y="117638830"/>
          <a:ext cx="14935200" cy="4981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2" name="ID_F5BB38E6AEE144E787FDA1AD18113A73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5770225" y="9010650"/>
          <a:ext cx="17611725" cy="7877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0" name="ID_CC1C8254304249EFA122801AA962E8CD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3570585" y="109521625"/>
          <a:ext cx="14992350" cy="5715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FB081E2EB7C44BAFAF5AA3E5D3EEB0B0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24166195" y="1154430"/>
          <a:ext cx="15001875" cy="5486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" name="ID_C2110CBC5C814CF09DBE65C21E8D2801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5962630" y="1755140"/>
          <a:ext cx="17506950" cy="80581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9" name="ID_E22AF520E67C43EEB5CED3857F725F84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6196310" y="5379720"/>
          <a:ext cx="17411700" cy="7839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9" name="ID_8ACEF3F78741458CA0CE32A09E3775C9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6209645" y="4286885"/>
          <a:ext cx="17364075" cy="7743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8" name="ID_041CC6BE28B54C8A8BCFE98CC5B88065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20647660" y="2040255"/>
          <a:ext cx="17621250" cy="8362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3" name="ID_3B0CF08AD2D1453BBDA16FB7F92D26A0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5770225" y="52190650"/>
          <a:ext cx="17554575" cy="7810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5" name="ID_D88DEB9398FB464CA53EE735AE9209EC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24188420" y="7204710"/>
          <a:ext cx="15049500" cy="5181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4" name="ID_84A614C91F204E468769D64CBD4EEAA4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5770225" y="53460650"/>
          <a:ext cx="17545050" cy="7715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1" name="ID_ABD59D84923D4DB788EF444DA940EF8D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24020145" y="9902825"/>
          <a:ext cx="15144750" cy="8515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0" name="ID_924DAC9F662F43D7BF184E9AFBBF0222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9897725" y="121527570"/>
          <a:ext cx="14439900" cy="5248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5" name="ID_C9FC57E2C9E340CBAAABC67AC3C5A924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20486370" y="6637655"/>
          <a:ext cx="17411700" cy="7743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" name="ID_6B665FEA218C4E9CB36B6C6DF7F3F6C2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5892780" y="2894965"/>
          <a:ext cx="17506950" cy="7810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1" name="ID_3D3B2CD87069478F9E49591B053FA8A4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5980410" y="6597015"/>
          <a:ext cx="17449800" cy="7829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5" name="ID_317CBA07FC61490D95AD16FEA99B967A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20549870" y="3046095"/>
          <a:ext cx="17573625" cy="79629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8" name="ID_958FC02C304346CE95BD9A166EF82A3B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6102965" y="14324965"/>
          <a:ext cx="17449800" cy="779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3" name="ID_F0A83CB16C034BD39B93B5D2DA172A32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20716875" y="14502130"/>
          <a:ext cx="17306925" cy="7696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" name="ID_1031AC8231F145429953938FDFF0CB77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5916275" y="102990650"/>
          <a:ext cx="17478375" cy="7762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" name="ID_1772A7EC4757442AB736240397668C62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5843885" y="9898380"/>
          <a:ext cx="11763375" cy="7410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15EAF6BE6ED0438DA4F09F11B6CAF0CB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8444210" y="16211550"/>
          <a:ext cx="11868150" cy="75723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5" name="ID_FF26C48ACE0648EBAC1F26DBF7813B56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6224250" y="12946380"/>
          <a:ext cx="17573625" cy="78200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0" name="ID_F322428B6F9A4CE9BBD5F2A0262A9BF2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6034385" y="1673860"/>
          <a:ext cx="17526000" cy="7829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1" name="ID_30F7D31188DA44D0B0B4B7D2AE8B06CC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20525740" y="5638165"/>
          <a:ext cx="17373600" cy="7696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7" name="ID_4AB7CB19BEE440BBA25E310037DC5C41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6130270" y="13028930"/>
          <a:ext cx="17659350" cy="7924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9" name="ID_A26A79CAB86D4534B40654E9AE065CC8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5912465" y="15567025"/>
          <a:ext cx="17325975" cy="7724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4" name="ID_890065810A0341E38AFCA7E82BE49D6B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20334605" y="15593695"/>
          <a:ext cx="17592675" cy="7743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9" name="ID_7D12A10B3ADE42A6853B747BF218594A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20417155" y="9152255"/>
          <a:ext cx="17526000" cy="7715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9" name="ID_1034192FF6D24A35BA2AB63042529B33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5855315" y="8673465"/>
          <a:ext cx="11887200" cy="75533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2" name="ID_0A784B5CA28D4622AC9E0F791A57A2B7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24076025" y="10993120"/>
          <a:ext cx="14897100" cy="51720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1" name="ID_7E30329A9EBC44798CF6372AE5F9BBBA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20648930" y="43713400"/>
          <a:ext cx="17659350" cy="7877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6" name="ID_420B91E1AA7649C28AD5471F62DA930B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9831050" y="118999000"/>
          <a:ext cx="14916150" cy="4981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4" name="ID_F363F2F5B2CC489288E1B085C067C46D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20676235" y="53818790"/>
          <a:ext cx="17421225" cy="7753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0" name="ID_1D969AB2A654443188EF1A55C538BB59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6551910" y="5612130"/>
          <a:ext cx="17430750" cy="7648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4" name="ID_3AF4C4A98597457EBFE0020C94D7A034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6087090" y="21985605"/>
          <a:ext cx="17659350" cy="7924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1" name="ID_8A0596E2202D46F19C91B6DE1E1D738B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20580985" y="22135465"/>
          <a:ext cx="17402175" cy="779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6" name="ID_940E504C0A614B2BB4F55B73B2F548FF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6061055" y="4096385"/>
          <a:ext cx="17564100" cy="7886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2" name="ID_CDB953249B1A4E3BAF5D60AB7FC2830A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20389850" y="13054330"/>
          <a:ext cx="17383125" cy="7848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9" name="ID_808F0A7B0EF64F20A62EBB0C3D97F3AB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20044410" y="1143000"/>
          <a:ext cx="14716125" cy="5314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2" name="ID_04E2EB955D014746A0156916D2B62893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20525740" y="48437800"/>
          <a:ext cx="17516475" cy="7829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1" name="ID_25FE1CC35F204753ABEA7E73B658ED5C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24009350" y="952500"/>
          <a:ext cx="14992350" cy="53625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3" name="ID_0EEE4393AD1D4B83B64953A401199BB2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6170910" y="29348430"/>
          <a:ext cx="17449800" cy="7810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4" name="ID_7ED9AF304C1544A58A290927F09E4383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20471130" y="32103695"/>
          <a:ext cx="17487900" cy="7886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2" name="ID_3ED5032629364083A91005C955A553DB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9865340" y="3383915"/>
          <a:ext cx="14687550" cy="52292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5" name="ID_A79312505F794344975282B33FD1D48C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6183610" y="23310215"/>
          <a:ext cx="17526000" cy="7877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2" name="ID_794638AF139E4C8C92C471971F9DAE1F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20511770" y="23268940"/>
          <a:ext cx="17345025" cy="7734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3" name="ID_726C2F549DEF4AF9AB7D9BB0873FD2E0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6072485" y="108333540"/>
          <a:ext cx="14868525" cy="5314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1" name="ID_D630167F3B4A4F32B9648EB7D31A75BA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5770225" y="48380650"/>
          <a:ext cx="17535525" cy="779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9" name="ID_1CE6678D70474E48B74CB0FF11673357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5916275" y="101720650"/>
          <a:ext cx="17316450" cy="7724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1" name="ID_B3DBED6FEAB041648ED2ADCF1C0E1AA3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5684500" y="4781550"/>
          <a:ext cx="11791950" cy="7496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2" name="ID_2255809C12FF4D6FBA67206C539BE540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9749135" y="6051550"/>
          <a:ext cx="11830050" cy="7334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0" name="ID_4EB1B77A08D64D2D9D3913736CF51A9B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5843885" y="6245225"/>
          <a:ext cx="11934825" cy="7400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57" name="ID_D5FBBD5DA8B1497486FC0FCE7C36161D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5967075" y="3728720"/>
          <a:ext cx="11934825" cy="7391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7" name="ID_93C508AF3A5540C1A00B465404AE2D98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5854680" y="43454320"/>
          <a:ext cx="17402175" cy="7762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0" name="ID_74C40EBBC3334555858B0A02C833DE56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5916275" y="105530650"/>
          <a:ext cx="17526000" cy="7867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4" name="ID_F53097BD070C4DC7B8BA4E7543A407A8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6021050" y="9259570"/>
          <a:ext cx="17430750" cy="7800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6" name="ID_C7CC56F52AE84891A7A4B88FD49DB467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6292830" y="3316605"/>
          <a:ext cx="17487900" cy="7781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3" name="ID_CB17C62764D74B948C8C448C7F80A565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16238220" y="21028660"/>
          <a:ext cx="17545050" cy="7829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2" name="ID_A92D5EC19C2146D5B4F858EC4D95DC9F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5770225" y="49650650"/>
          <a:ext cx="17602200" cy="7810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8" name="ID_8399BC5D079D4ADD93E056260D4D67B6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6047085" y="11853545"/>
          <a:ext cx="17621250" cy="7848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0" name="ID_E6EF8EA15A4143EA871A6103BD4DBBA4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20553045" y="11853545"/>
          <a:ext cx="17602200" cy="7743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1" name="ID_80DE298DF22749D3B15CD7A21A6DACBF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9796760" y="115210590"/>
          <a:ext cx="14744700" cy="5762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2" name="ID_B8ED0F81D3E94185A6797ECCC54D33D4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5770225" y="34410650"/>
          <a:ext cx="17468850" cy="7753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7" name="ID_9C1135E8CD694B0B8E63E35985496951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20594320" y="34728150"/>
          <a:ext cx="17421225" cy="7810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5" name="ID_80798C44F1A641339EDD644D16DAF1F6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6035655" y="10462260"/>
          <a:ext cx="17659350" cy="7915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0" name="ID_7291C0B4AB3E491AA828C926A2586E31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20648295" y="10897235"/>
          <a:ext cx="17211675" cy="77533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3" name="ID_2CDECC8DAF84467487AC042E1118EB90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9932650" y="840740"/>
          <a:ext cx="15087600" cy="5895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6" name="ID_31EAA9283F004F138FC7C62691F571A2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5844520" y="11677650"/>
          <a:ext cx="17392650" cy="7781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1" name="ID_F0EC91AE9CB947018B020B2C5D585439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20483830" y="11838940"/>
          <a:ext cx="17602200" cy="779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4" name="ID_F6C251645DA8427F8E0D586BE35DFBE7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16006445" y="38440995"/>
          <a:ext cx="17383125" cy="76771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2" name="ID_DE3C1B4D698547C1B43CF76158F26370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6021050" y="8058150"/>
          <a:ext cx="17487900" cy="7724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7" name="ID_41F684A3B220438EB91358E4209421D3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15770225" y="25520650"/>
          <a:ext cx="17554575" cy="79152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4" name="ID_280063F76312492F9FC4B57F6CA807AD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20184745" y="25520650"/>
          <a:ext cx="17335500" cy="779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4" name="ID_565971F1D0494FCB8C085756C0A6EBCC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9796760" y="122831225"/>
          <a:ext cx="14563725" cy="51625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6" name="ID_1301012C69FF4545813797110E6076DC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15770225" y="15360650"/>
          <a:ext cx="17592675" cy="7867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7" name="ID_A81CBBFEE5E041E1B19580357B79A0DD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16157575" y="6799580"/>
          <a:ext cx="17383125" cy="7724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6" name="ID_94FF0EE8FB07480CBB887B882EA96102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20635595" y="6990715"/>
          <a:ext cx="17421225" cy="7810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9" name="ID_81C9AD139DAF4292814B3DC964EC2CFA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16033750" y="7934960"/>
          <a:ext cx="17354550" cy="8181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8" name="ID_6E6D86D754474855B6544AF998277A66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20716875" y="8316595"/>
          <a:ext cx="17583150" cy="7858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0" name="ID_7F130D7E830D4E1FB2E3389B90F34264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15916275" y="104260650"/>
          <a:ext cx="17402175" cy="7762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3" name="ID_AB5D15ECDCE746E482997577F8987BAE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15770225" y="36950650"/>
          <a:ext cx="17535525" cy="7800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1" name="ID_B7AF76B71AF64AE394B1D5C0837060FF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19841845" y="130405505"/>
          <a:ext cx="14859000" cy="5457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2" name="ID_7C9CFCC96AF744F686994FC3BF368D0F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6360775" y="10680065"/>
          <a:ext cx="17621250" cy="82867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8" name="ID_049A06A6594C40B88A3FFC9A994E70D3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19749135" y="6051550"/>
          <a:ext cx="12030075" cy="7496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9" name="ID_FC87D17D017D4E89AAAA75475F60A8D9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15770225" y="33140650"/>
          <a:ext cx="17497425" cy="7772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0" name="ID_F698824B89DD40178B24A46FF564C02E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5789910" y="47110650"/>
          <a:ext cx="17440275" cy="779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0" name="ID_83A25C4E93B84A0F8B3D3CC93A5D1855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15912465" y="28228290"/>
          <a:ext cx="17554575" cy="7762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5" name="ID_E79523D653B9403C9AAA6EE145CCD015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20470495" y="28132405"/>
          <a:ext cx="17468850" cy="7772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1" name="ID_5AA95424D3084D7D90684CBBDFFCC9A8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19796760" y="122842020"/>
          <a:ext cx="14859000" cy="5400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6" name="ID_E6B86B8EF69541DA9F613E82A3DB8B06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15770225" y="42030650"/>
          <a:ext cx="17383125" cy="7705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8" name="ID_4BBB850293724E7D88FE49188218A958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15789910" y="44570650"/>
          <a:ext cx="17516475" cy="7781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7" name="ID_4E73308C99454CBEADB7839CB86E52F6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15789910" y="58558430"/>
          <a:ext cx="17421225" cy="7724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6" name="ID_7470AB9A35884490A7B6F8F69724A411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16252190" y="57573545"/>
          <a:ext cx="17402175" cy="7696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89" name="ID_DD1E2807F5B4492AB0F27AD740E68E33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19796760" y="119010430"/>
          <a:ext cx="14811375" cy="4829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8" name="ID_77C5C157320F46D0904B91CD558A14AF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20390485" y="38482905"/>
          <a:ext cx="17564100" cy="7705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2" name="ID_B20137FD1DFB49BA8F1C1413F87FEDD6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16197580" y="2026920"/>
          <a:ext cx="17573625" cy="7772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8" name="ID_08DE97D9B97840998F2D3C03B9F9F6EE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6249015" y="100590985"/>
          <a:ext cx="17487900" cy="7848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3" name="ID_BC44B5DC4B1A44779E5E7D556EBE0804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20184745" y="49650650"/>
          <a:ext cx="17449800" cy="7886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9" name="ID_68886E24C16643ABAD81FA6FE13BA64A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19931380" y="111400590"/>
          <a:ext cx="14801850" cy="57054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1" name="ID_F635EA8EF5734264AC900DE0CE3CCF52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16021685" y="26903680"/>
          <a:ext cx="17611725" cy="7791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3" name="ID_B046D5B1F9794293956698DE41EEADDC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15953105" y="46008290"/>
          <a:ext cx="17554575" cy="78581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5" name="ID_38529295FF6543988574BD0D43BD9657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6238875" y="30102175"/>
          <a:ext cx="4400550" cy="4638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7" name="ID_2C4D9E86BDCC4E54AE4467431CE80927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6248400" y="10995025"/>
          <a:ext cx="3429000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8" name="ID_92C9CA3950174AD18D2DFEF72A377F07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6372225" y="11315700"/>
          <a:ext cx="4629150" cy="4610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3" name="ID_E4304C3FDE154412A14395F613E4AB24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6296025" y="11550650"/>
          <a:ext cx="4629150" cy="4610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2" name="ID_CB640C2BE81746D7A1C1BDEF733B49F7"/>
        <xdr:cNvPicPr>
          <a:picLocks noChangeAspect="1"/>
        </xdr:cNvPicPr>
      </xdr:nvPicPr>
      <xdr:blipFill>
        <a:blip r:embed="rId235"/>
        <a:stretch>
          <a:fillRect/>
        </a:stretch>
      </xdr:blipFill>
      <xdr:spPr>
        <a:xfrm>
          <a:off x="6115050" y="11766550"/>
          <a:ext cx="3552825" cy="480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4" name="ID_1327A78070C047B1AFCD8A06C8D91778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6219825" y="31381700"/>
          <a:ext cx="3400425" cy="4667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5" name="ID_DEC39630B161479D92B60C8F959C6837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6181725" y="31559500"/>
          <a:ext cx="3457575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7" name="ID_169E1A906E2141F2879477F19EA39AD2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6153150" y="31899225"/>
          <a:ext cx="4676775" cy="4676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6" name="ID_92BFED4758D64E50875C4B702FA1664D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6134100" y="32029400"/>
          <a:ext cx="3562350" cy="46767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39" name="ID_35AF43E7E1984D34B4F3E203BEBBC69E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6210300" y="32311975"/>
          <a:ext cx="4591050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6" name="ID_2BC816DE7C2944D1B39A6252EA40CF27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6143625" y="32537400"/>
          <a:ext cx="4543425" cy="4667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7" name="ID_BBFC944141BE42E481DCE331467C1894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6162675" y="32829500"/>
          <a:ext cx="4495800" cy="46577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9" name="ID_2FBC1B218EF2463F8222242074A4B850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6181725" y="33169225"/>
          <a:ext cx="4362450" cy="45624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5" name="ID_E91F7A090F3242B5BE5BF92A1C0B1468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6105525" y="33610550"/>
          <a:ext cx="4286250" cy="45434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6" name="ID_DECA58B62F1849AE997DBD3219BBD2D6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6105525" y="33347025"/>
          <a:ext cx="4638675" cy="46958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7" name="ID_7CBE77806531448CAE2A0477EC5EA80D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6115050" y="33807400"/>
          <a:ext cx="3438525" cy="46863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8" name="ID_849D34DD980A4051B4E5CA4E24104C35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6181725" y="34080450"/>
          <a:ext cx="4438650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9" name="ID_4D9774C5B4414AD4B70C8C836CA4F9F9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6238875" y="34391600"/>
          <a:ext cx="3467100" cy="4743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0" name="ID_E2D9513DB1FE4039BD0AFB5068AE26BF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6210300" y="34597975"/>
          <a:ext cx="4476750" cy="45910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1" name="ID_FB0F916EC1D54BD884F3E7A3723A4170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6153150" y="34851975"/>
          <a:ext cx="4619625" cy="4752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2" name="ID_F27D63B8EE58465DBD82D9CF82C44E5C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6200775" y="35115500"/>
          <a:ext cx="3438525" cy="46482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3" name="ID_13BCB4647F9042E8B3897A9EC1BB66D6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6153150" y="35359975"/>
          <a:ext cx="3514725" cy="47339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4" name="ID_C03915D1E3E94E188E63E055D3763EEB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6181725" y="35623500"/>
          <a:ext cx="3381375" cy="47529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3" name="ID_F57E056C859A459899785BCBB743543E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6134100" y="36658550"/>
          <a:ext cx="3467100" cy="46386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5" name="ID_F9A685F941FC4ED3BEF49D79F92D66F1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6172200" y="37636450"/>
          <a:ext cx="3562350" cy="4724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6" name="ID_8396E99B762B437CBD3E56B6B07717F6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6248400" y="39811325"/>
          <a:ext cx="3552825" cy="4705350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<sst xmlns="http://schemas.openxmlformats.org/spreadsheetml/2006/main" count="13357" uniqueCount="1444">
  <si>
    <t>云麦 总消费</t>
  </si>
  <si>
    <t>时间</t>
  </si>
  <si>
    <t xml:space="preserve"> 消费</t>
  </si>
  <si>
    <t xml:space="preserve"> 展现量</t>
  </si>
  <si>
    <t xml:space="preserve"> 点击量</t>
  </si>
  <si>
    <t xml:space="preserve">  点击率</t>
  </si>
  <si>
    <t xml:space="preserve"> 点击成本</t>
  </si>
  <si>
    <t xml:space="preserve"> 千展费用</t>
  </si>
  <si>
    <t xml:space="preserve"> 点赞</t>
  </si>
  <si>
    <t xml:space="preserve"> 评论</t>
  </si>
  <si>
    <t xml:space="preserve"> 收藏</t>
  </si>
  <si>
    <t xml:space="preserve"> 关注</t>
  </si>
  <si>
    <t xml:space="preserve"> 分享</t>
  </si>
  <si>
    <t xml:space="preserve"> 互动量</t>
  </si>
  <si>
    <t xml:space="preserve"> 互动成本</t>
  </si>
  <si>
    <t>2022-03-10~2022-05-10</t>
  </si>
  <si>
    <t>2022-05-19</t>
  </si>
  <si>
    <t>2022-05-20</t>
  </si>
  <si>
    <t>2022-05-21</t>
  </si>
  <si>
    <t>2022-05-23</t>
  </si>
  <si>
    <t>2022-05-24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</si>
  <si>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</si>
  <si>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</si>
  <si>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</si>
  <si>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</si>
  <si>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</si>
  <si>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</si>
  <si>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</si>
  <si>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</si>
  <si>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</si>
  <si>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</si>
  <si>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</si>
  <si>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</si>
  <si>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</si>
  <si>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</si>
  <si>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</si>
  <si>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</si>
  <si>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</si>
  <si>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</si>
  <si>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</si>
  <si>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</si>
  <si>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</si>
  <si>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</si>
  <si>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</si>
  <si>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</si>
  <si>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</si>
  <si>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</si>
  <si>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</si>
  <si>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</si>
  <si>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</si>
  <si>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</si>
  <si>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</si>
  <si>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</si>
  <si>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</si>
  <si>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2022-06-29</t>
  </si>
  <si>
    <t>2022-07-02</t>
  </si>
  <si>
    <t>2022-07-03</t>
  </si>
  <si>
    <t>2022-07-04</t>
  </si>
  <si>
    <t>2022-07-06</t>
  </si>
  <si>
    <t>2022-07-09</t>
  </si>
  <si>
    <t>2022-07-10</t>
  </si>
  <si>
    <t>2022-07-12</t>
  </si>
  <si>
    <t>2022-07-13</t>
  </si>
  <si>
    <t>2022-07-14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</si>
  <si>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</si>
  <si>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</si>
  <si>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</si>
  <si>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</si>
  <si>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</si>
  <si>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</si>
  <si>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</si>
  <si>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</si>
  <si>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</si>
  <si>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</si>
  <si>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</si>
  <si>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</si>
  <si>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</si>
  <si>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</si>
  <si>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</si>
  <si>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</si>
  <si>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</si>
  <si>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</si>
  <si>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</si>
  <si>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</si>
  <si>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</si>
  <si>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</si>
  <si>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</si>
  <si>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</si>
  <si>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</si>
  <si>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</si>
  <si>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</si>
  <si>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</si>
  <si>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</si>
  <si>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</si>
  <si>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</si>
  <si>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</si>
  <si>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</si>
  <si>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</si>
  <si>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</si>
  <si>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</si>
  <si>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</si>
  <si>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</si>
  <si>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</si>
  <si>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</si>
  <si>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</si>
  <si>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</si>
  <si>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</si>
  <si>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</si>
  <si>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</si>
  <si>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</si>
  <si>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</si>
  <si>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</si>
  <si>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</si>
  <si>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</si>
  <si>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</si>
  <si>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</si>
  <si>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</si>
  <si>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</si>
  <si>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</si>
  <si>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</si>
  <si>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</si>
  <si>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</si>
  <si>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</si>
  <si>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</si>
  <si>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</si>
  <si>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</si>
  <si>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</si>
  <si>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</si>
  <si>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</si>
  <si>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</si>
  <si>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</si>
  <si>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</si>
  <si>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</si>
  <si>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</si>
  <si>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</si>
  <si>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</si>
  <si>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</si>
  <si>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</si>
  <si>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</si>
  <si>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</si>
  <si>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</si>
  <si>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</si>
  <si>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</si>
  <si>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</si>
  <si>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</si>
  <si>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</si>
  <si>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</si>
  <si>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</si>
  <si>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</si>
  <si>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</si>
  <si>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</si>
  <si>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</si>
  <si>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</si>
  <si>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</si>
  <si>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</si>
  <si>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</si>
  <si>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</si>
  <si>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</si>
  <si>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</si>
  <si>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</si>
  <si>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</si>
  <si>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</si>
  <si>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</si>
  <si>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</si>
  <si>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</si>
  <si>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</si>
  <si>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</si>
  <si>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</si>
  <si>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</si>
  <si>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</si>
  <si>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</si>
  <si>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</si>
  <si>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</si>
  <si>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</si>
  <si>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</si>
  <si>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</si>
  <si>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</si>
  <si>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</si>
  <si>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</si>
  <si>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</si>
  <si>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</si>
  <si>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</si>
  <si>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</si>
  <si>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</si>
  <si>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</si>
  <si>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(空白)</t>
  </si>
  <si>
    <t>总计</t>
  </si>
  <si>
    <t>云麦 笔记日报</t>
  </si>
  <si>
    <t>品类</t>
  </si>
  <si>
    <t>广告类型</t>
  </si>
  <si>
    <t>达人名称</t>
  </si>
  <si>
    <t>产品型号</t>
  </si>
  <si>
    <t>笔记埋词</t>
  </si>
  <si>
    <t>笔记标题</t>
  </si>
  <si>
    <t>笔记ID</t>
  </si>
  <si>
    <t>筋膜枪</t>
  </si>
  <si>
    <t>搜索广告</t>
  </si>
  <si>
    <t>包子熟了</t>
  </si>
  <si>
    <t>云麦筋膜枪pb2</t>
  </si>
  <si>
    <t>云麦筋膜枪</t>
  </si>
  <si>
    <t>筋膜枪测评|健身小白如何挑选筋膜枪？</t>
  </si>
  <si>
    <t>63104c390000000011035a33</t>
  </si>
  <si>
    <t>马可乐cora</t>
  </si>
  <si>
    <t>云麦筋膜枪PB2</t>
  </si>
  <si>
    <t>跳操的姐妹听我的用筋膜枪放松下肢真的有用</t>
  </si>
  <si>
    <t>62f37bbf0000000012024867</t>
  </si>
  <si>
    <t>小羊羔崽子</t>
  </si>
  <si>
    <t>用了多年泡沫轴，才知道筋膜枪是真的香！！！</t>
  </si>
  <si>
    <t>632acfbb000000000800a017</t>
  </si>
  <si>
    <t>信息流广告</t>
  </si>
  <si>
    <t>Zora張張</t>
  </si>
  <si>
    <t>云麦筋膜枪ccgo</t>
  </si>
  <si>
    <t>云麦筋膜枪cc</t>
  </si>
  <si>
    <t>宿舍姐妹花人手一个！这筋膜枪有点东西🧐</t>
  </si>
  <si>
    <t>6347ce7d0000000007039781</t>
  </si>
  <si>
    <t>野生辣妹Stacy</t>
  </si>
  <si>
    <t>辣妹瘦腿bi看！这玩意是真好使！</t>
  </si>
  <si>
    <t>6364e9dc0000000009013c84</t>
  </si>
  <si>
    <t>一颗西兰花fa</t>
  </si>
  <si>
    <t>有没有姐妹跟我一样被肌肉腿困扰了好久！</t>
  </si>
  <si>
    <t>632a812e0000000011016f09</t>
  </si>
  <si>
    <t>樱丸小桃子</t>
  </si>
  <si>
    <t>建议小腿粗的美少女人手一个的mini筋膜枪！</t>
  </si>
  <si>
    <t>635ca4d0000000001601eee4</t>
  </si>
  <si>
    <t>语宸要做插画师</t>
  </si>
  <si>
    <t>云麦筋膜枪cc-蓝色</t>
  </si>
  <si>
    <t xml:space="preserve">云麦筋膜枪cc </t>
  </si>
  <si>
    <t>挑战在筋膜枪上画画</t>
  </si>
  <si>
    <t>635361ae0000000015023541</t>
  </si>
  <si>
    <t>筋膜枪 汇总</t>
  </si>
  <si>
    <t>体脂秤</t>
  </si>
  <si>
    <t>pp</t>
  </si>
  <si>
    <t>云麦体脂秤3mini</t>
  </si>
  <si>
    <t>110到88 一些减肥小建议｜如何正确运动</t>
  </si>
  <si>
    <t>6255518c000000002103cbe1</t>
  </si>
  <si>
    <t>小岛大瑀</t>
  </si>
  <si>
    <t xml:space="preserve">云麦体脂秤3mini </t>
  </si>
  <si>
    <t>这个燃脂舞真的太❗️太❗️太简单了🔥停不下来</t>
  </si>
  <si>
    <t>6358b83600000000140344b6</t>
  </si>
  <si>
    <t>秦亲亲</t>
  </si>
  <si>
    <t>减脂期用什么体脂秤？跟着减脂博主买就对了！</t>
  </si>
  <si>
    <t>6368faca000000000901170a</t>
  </si>
  <si>
    <t>体脂秤 汇总</t>
  </si>
  <si>
    <t>跳绳</t>
  </si>
  <si>
    <t>蔓玉有点甜</t>
  </si>
  <si>
    <t>云麦跳绳2go</t>
  </si>
  <si>
    <t>保姆级教程㊙手把手教你低成本轻松变美</t>
  </si>
  <si>
    <t>632c10b9000000001200da7e</t>
  </si>
  <si>
    <t>跳绳 汇总</t>
  </si>
  <si>
    <t>2022-11-11 汇总</t>
  </si>
  <si>
    <t>脆鱼日记</t>
  </si>
  <si>
    <t>每天坚持这4个动作🔥瘦脂包肌小腿‼️已瘦4cm</t>
  </si>
  <si>
    <t>63563e19000000001601ebbf</t>
  </si>
  <si>
    <t>趁早早呀</t>
  </si>
  <si>
    <t>不到百元get我的私人身材管理师|这波稳赚‼️</t>
  </si>
  <si>
    <t>63621e680000000008012eb3</t>
  </si>
  <si>
    <t>猪脚ivi</t>
  </si>
  <si>
    <t>跳绳全部流程‼️做好这些 腿想粗都难</t>
  </si>
  <si>
    <t>6358a9b6000000001401d37d</t>
  </si>
  <si>
    <t>2022-11-10 汇总</t>
  </si>
  <si>
    <t>拜托!!跳绳真的不粗腿‼️跳绳yyds！</t>
  </si>
  <si>
    <t>635f7fd20000000008010ca4</t>
  </si>
  <si>
    <t>BD方丈</t>
  </si>
  <si>
    <t>翘臀不难？！筋膜枪使用敲重点</t>
  </si>
  <si>
    <t>635f8a250000000009000539</t>
  </si>
  <si>
    <t>晚一子</t>
  </si>
  <si>
    <t>120瘦到78斤｜小基数减脂心得分享</t>
  </si>
  <si>
    <t>63622157000000000601d5cb</t>
  </si>
  <si>
    <t>2022-11-09 汇总</t>
  </si>
  <si>
    <t>爱健身的陈淼淼</t>
  </si>
  <si>
    <t>真的有用‼️小腿外翻改善了，一定要试试❗</t>
  </si>
  <si>
    <t>6360d1d5000000000600811c</t>
  </si>
  <si>
    <t>西米是个小可爱</t>
  </si>
  <si>
    <t>筋膜枪千万不能乱用！正确肩颈使用方法</t>
  </si>
  <si>
    <t>632591a1000000001801796c</t>
  </si>
  <si>
    <t>一颗小糖果w</t>
  </si>
  <si>
    <t>少女心爆棚！粉色甜心筋膜枪也太嫩了吧</t>
  </si>
  <si>
    <t>634d395b000000000602b10a</t>
  </si>
  <si>
    <t>来一杯毛豆</t>
  </si>
  <si>
    <t>对不起！我不能接受这个宝藏体脂秤百元就能拿下</t>
  </si>
  <si>
    <t>636240b30000000007035fa2</t>
  </si>
  <si>
    <t>2022-11-08 汇总</t>
  </si>
  <si>
    <t>周周也是倩倩</t>
  </si>
  <si>
    <t>姐妹们学会这三招，斜方肌想变“厚”都难！！！</t>
  </si>
  <si>
    <t>634fe7d20000000008010532</t>
  </si>
  <si>
    <t>2022-11-07 汇总</t>
  </si>
  <si>
    <t>小蓝今天吃了没</t>
  </si>
  <si>
    <t>云麦 筋膜枪PB2</t>
  </si>
  <si>
    <t>筋膜枪正确用法！刘耕宏女孩永不认输</t>
  </si>
  <si>
    <t>62fdc897000000001b0063ad</t>
  </si>
  <si>
    <t>形体矫正小李</t>
  </si>
  <si>
    <t>大腿内侧赘肉消失术‼️练出细长漫画腿全靠它</t>
  </si>
  <si>
    <t>634e1fe90000000008014572</t>
  </si>
  <si>
    <t>2022-11-06 汇总</t>
  </si>
  <si>
    <t>元气芥末酱</t>
  </si>
  <si>
    <t>小腿粗的姐妹信我！肌肉腿就要这样按！</t>
  </si>
  <si>
    <t>62f0b4f000000000120392e6</t>
  </si>
  <si>
    <t>2022-11-05 汇总</t>
  </si>
  <si>
    <t>朱俊畅</t>
  </si>
  <si>
    <t>打球完容易肌肉酸痛，筋膜枪放松更有效！</t>
  </si>
  <si>
    <t>62f4c9f60000000009006fcb</t>
  </si>
  <si>
    <t>橘子汽水</t>
  </si>
  <si>
    <t>请一定要相信帕梅拉虐腹，效果是真的🉑❗</t>
  </si>
  <si>
    <t>6336c064000000001d00f647</t>
  </si>
  <si>
    <t>2022-11-04 汇总</t>
  </si>
  <si>
    <t>小甜心</t>
  </si>
  <si>
    <t>宿舍健身‼️美背翘臀这样练⏳真的好绝</t>
  </si>
  <si>
    <t>635b58ed000000001700c609</t>
  </si>
  <si>
    <t>2022-11-03 汇总</t>
  </si>
  <si>
    <t>郝有金</t>
  </si>
  <si>
    <t>云麦cc筋膜枪</t>
  </si>
  <si>
    <t>别用错❗️筋膜枪正确使用方法，不同肌肉部位放松大全</t>
  </si>
  <si>
    <t>614c3095000000000102b268</t>
  </si>
  <si>
    <t>2022-11-02 汇总</t>
  </si>
  <si>
    <t>2022-11-01 汇总</t>
  </si>
  <si>
    <t>小乔您了</t>
  </si>
  <si>
    <t>🆘哭了！筋膜枪细【脂包肌】小腿被我悟明白了！</t>
  </si>
  <si>
    <t>6322ac1f000000001200fd50</t>
  </si>
  <si>
    <t>2022-10-31 汇总</t>
  </si>
  <si>
    <t>云麦-双十二笔记投放排期</t>
  </si>
  <si>
    <t>总预算</t>
  </si>
  <si>
    <t>云麦筋膜枪pb2预算</t>
  </si>
  <si>
    <t>云麦筋膜枪cc预算</t>
  </si>
  <si>
    <t>云麦跳绳预算</t>
  </si>
  <si>
    <t>双十二节点</t>
  </si>
  <si>
    <t>双十二蓄水</t>
  </si>
  <si>
    <t>活动预热</t>
  </si>
  <si>
    <t>双十二预售</t>
  </si>
  <si>
    <t>店铺活动节点</t>
  </si>
  <si>
    <t>活动蓄水</t>
  </si>
  <si>
    <t>店铺预售</t>
  </si>
  <si>
    <t>现货预热</t>
  </si>
  <si>
    <t>现货时间</t>
  </si>
  <si>
    <t>日期</t>
  </si>
  <si>
    <t>云麦筋膜枪pb2总预算</t>
  </si>
  <si>
    <t>云麦筋膜枪pb2日预算规划</t>
  </si>
  <si>
    <t>云麦筋膜枪pb2实际总消耗进度</t>
  </si>
  <si>
    <t>云麦筋膜枪pb2实际日消耗进度</t>
  </si>
  <si>
    <t>云麦筋膜枪cc总预算</t>
  </si>
  <si>
    <t>云麦筋膜枪cc日预算规划</t>
  </si>
  <si>
    <t>云麦筋膜枪cc实际总消耗进度</t>
  </si>
  <si>
    <t>云麦筋膜枪cc实际日消耗进度</t>
  </si>
  <si>
    <t>云麦跳绳总预算</t>
  </si>
  <si>
    <t>云麦跳绳日预算规划</t>
  </si>
  <si>
    <t>云麦跳绳实际总消耗进度</t>
  </si>
  <si>
    <t>云麦跳绳实际日消耗进度</t>
  </si>
  <si>
    <t>笔记封面</t>
  </si>
  <si>
    <t>发布链接</t>
  </si>
  <si>
    <t>发布时间</t>
  </si>
  <si>
    <t>测试时间</t>
  </si>
  <si>
    <t>笔记形式</t>
  </si>
  <si>
    <t>笔记总数据</t>
  </si>
  <si>
    <t>信息流-推广数据</t>
  </si>
  <si>
    <t>搜索-推广数据</t>
  </si>
  <si>
    <t>笔记外溢数据</t>
  </si>
  <si>
    <t>回搜率</t>
  </si>
  <si>
    <t>点赞</t>
  </si>
  <si>
    <t>收藏</t>
  </si>
  <si>
    <t>评论</t>
  </si>
  <si>
    <t>互动量</t>
  </si>
  <si>
    <t>消费</t>
  </si>
  <si>
    <t>点击率</t>
  </si>
  <si>
    <t>CPC</t>
  </si>
  <si>
    <t>CPE</t>
  </si>
  <si>
    <t>互动率</t>
  </si>
  <si>
    <t>笔记发布后3天笔记埋词外溢情况</t>
  </si>
  <si>
    <t>自然流量下外溢人数变化</t>
  </si>
  <si>
    <t>放量日期</t>
  </si>
  <si>
    <t>消耗</t>
  </si>
  <si>
    <t>放量最高点击量</t>
  </si>
  <si>
    <t>信息流加量推广后外溢情况</t>
  </si>
  <si>
    <t>加推外溢人数变化</t>
  </si>
  <si>
    <t>加推前搜索人数</t>
  </si>
  <si>
    <t>加推后搜索人数</t>
  </si>
  <si>
    <t>增长搜索人数</t>
  </si>
  <si>
    <t>搜索成本</t>
  </si>
  <si>
    <t>发现feed</t>
  </si>
  <si>
    <t>搜索feed</t>
  </si>
  <si>
    <t>62e4ce29000000000e02bbd1</t>
  </si>
  <si>
    <t>后3天搜索人数变化趋势
11-16-10，外溢曲线无变化</t>
  </si>
  <si>
    <t>前3天搜索人数变化趋势
8-10-11,外溢无明显变化</t>
  </si>
  <si>
    <t>后3天搜索人数变化趋势
40-259-169，外溢趋势变化明显，可以放量投放测试</t>
  </si>
  <si>
    <t>630f1fc800000000110355fc</t>
  </si>
  <si>
    <t>后3天搜索人数变化趋势
44-39-43，外溢曲线无变化</t>
  </si>
  <si>
    <t>前3天搜索人数变化趋势
37-35-36</t>
  </si>
  <si>
    <t>638d5ea9000000001f00d4d6</t>
  </si>
  <si>
    <t>后3天搜索人数变化趋势
10-7-6，外溢无明显变化</t>
  </si>
  <si>
    <t>6333fbc80000000017017605</t>
  </si>
  <si>
    <t>后3天搜索人数变化趋势
4-0-0,曲线无变化</t>
  </si>
  <si>
    <t>633115bb0000000018003042</t>
  </si>
  <si>
    <t>后3天搜索人数变化趋势
20-18-20，外溢曲线有略微上升</t>
  </si>
  <si>
    <t>前3天搜索人数变化趋势
35-41-44</t>
  </si>
  <si>
    <t>后3天搜索人数变化趋势
36-31-33,外溢趋势无明显变化</t>
  </si>
  <si>
    <t>前3天搜索人数变化趋势
59-87-125</t>
  </si>
  <si>
    <t>5b62763c11be107b7aa5806d</t>
  </si>
  <si>
    <t>62ff55630000000019029cc0</t>
  </si>
  <si>
    <t>后3天搜索人数变化趋势
60-56-50，外溢曲线无变化</t>
  </si>
  <si>
    <t>前3天搜索人数变化趋势
50-32-41</t>
  </si>
  <si>
    <t>6389bf260000000022035854</t>
  </si>
  <si>
    <t>后3天搜索人数变化趋势
52-36-63，外溢无明显变化</t>
  </si>
  <si>
    <t>62482509000000000102d31e</t>
  </si>
  <si>
    <t>后3天搜索人数变化趋势
66-83-74,外溢有上升趋势</t>
  </si>
  <si>
    <t>前3天搜索人数变化趋势
10-8-29</t>
  </si>
  <si>
    <t>6385c23a0000000019022ad3</t>
  </si>
  <si>
    <t>后3天搜索人数变化趋势
5-5-9，外溢无明显变化</t>
  </si>
  <si>
    <t>后3天搜索人数变化趋势
13-11-11，外溢曲线无变化</t>
  </si>
  <si>
    <t>前3天搜索人数变化趋势
11-11-20</t>
  </si>
  <si>
    <t>637461c000000000240293c1</t>
  </si>
  <si>
    <t>629417c7000000002103479b</t>
  </si>
  <si>
    <t>后3天搜索人数变化趋势
288-217-145,外溢趋势下降</t>
  </si>
  <si>
    <t>前3天搜索人数变化趋势
193-151-197</t>
  </si>
  <si>
    <t>63243be30000000008028570</t>
  </si>
  <si>
    <t>631b390c000000000900f82f</t>
  </si>
  <si>
    <t>63183577000000001203a6c5</t>
  </si>
  <si>
    <t>63091250000000001b01ad77</t>
  </si>
  <si>
    <t>636a1e7f000000000602be1b</t>
  </si>
  <si>
    <t>634a350c00000000070395b0</t>
  </si>
  <si>
    <t>63253f2000000000090322ac</t>
  </si>
  <si>
    <t>后3天搜索人数变化趋势
51-58-228,曲线上升明显，需结合当天笔记放量情况查看</t>
  </si>
  <si>
    <t>前3天搜索人数变化趋势
58-228-303</t>
  </si>
  <si>
    <t>629dca29000000000102d19e</t>
  </si>
  <si>
    <t>后3天搜索人数变化趋势
151-166-179,外溢有上升趋势</t>
  </si>
  <si>
    <t>前3天搜索人数变化趋势
151-166-199</t>
  </si>
  <si>
    <t>629de623000000001d0153c8</t>
  </si>
  <si>
    <t>后3天搜索人数变化趋势
166-179-153,外溢有上升趋势</t>
  </si>
  <si>
    <t>前3天搜索人数变化趋势
132-196-264</t>
  </si>
  <si>
    <t>后3天搜索人数变化趋势
34-46-49,有上升趋势</t>
  </si>
  <si>
    <t>后3天搜索人数变化趋势
44-48-34,曲线无变化</t>
  </si>
  <si>
    <t>后3天搜索人数变化趋势
45-44-48,曲线无变化</t>
  </si>
  <si>
    <t>63773ebe000000002402b2b7</t>
  </si>
  <si>
    <t>后3天搜索人数变化趋势
44-53-56,有上升，曲线变化不明显</t>
  </si>
  <si>
    <t>后3天搜索人数变化趋势
73-89-44，后1天有略微的上升趋势，可加推查看外溢效果</t>
  </si>
  <si>
    <t>636a29360000000007037622</t>
  </si>
  <si>
    <t>后3天搜索人数变化趋势
7-6-5，外溢无明显变化</t>
  </si>
  <si>
    <t>63437f77000000001d027e1b</t>
  </si>
  <si>
    <t>后3天搜索人数变化趋势
52-63-60，外溢趋势无明显变化</t>
  </si>
  <si>
    <t>后3天搜索人数变化趋势
36-29-57，外溢有略微上升趋势</t>
  </si>
  <si>
    <t>前3天搜索人数变化趋势
55-59-45</t>
  </si>
  <si>
    <t>636c81ba000000001f020770</t>
  </si>
  <si>
    <t>63492dd50000000008014d5e</t>
  </si>
  <si>
    <t>636b36a10000000007034630</t>
  </si>
  <si>
    <t>后3天搜索人数变化趋势
82-93-67，外溢无明显变化</t>
  </si>
  <si>
    <t>636a33cb00000000080109b3</t>
  </si>
  <si>
    <t>6369f4520000000006009439</t>
  </si>
  <si>
    <t>627ba9fe0000000021037192</t>
  </si>
  <si>
    <t>后3天搜索人数变化趋势
4-4-12，外溢无明显变化</t>
  </si>
  <si>
    <t>6369ab42000000000a009c13</t>
  </si>
  <si>
    <t>62a853b8000000002103dca1</t>
  </si>
  <si>
    <t>后1天外溢有上升趋势</t>
  </si>
  <si>
    <t>62a859ca000000001b034829</t>
  </si>
  <si>
    <t>后3天搜索人数变化趋势
196-264-226，外溢曲线上升</t>
  </si>
  <si>
    <t>后3天搜索人数变化趋势
121-159-188,曲线上升明显，需结合当天笔记放量情况查看</t>
  </si>
  <si>
    <t>630f0f5c0000000008021e9f</t>
  </si>
  <si>
    <t>62df60d4000000001b0182ec</t>
  </si>
  <si>
    <t>后3天搜索人数变化趋势
264-226-270，外溢曲线上升</t>
  </si>
  <si>
    <t>62aa5b72000000000e01fa80</t>
  </si>
  <si>
    <t>62f7a27a0000000016030b54</t>
  </si>
  <si>
    <t>62e9103f000000001202c377</t>
  </si>
  <si>
    <t>62a8420e000000001b03634d</t>
  </si>
  <si>
    <t>6268be6f000000002103575a</t>
  </si>
  <si>
    <t>73-89-44，后1天有略微的上升趋势，可加推查看外溢效果</t>
  </si>
  <si>
    <t>63624a910000000009005b9a</t>
  </si>
  <si>
    <t>6308506e000000001702e57f</t>
  </si>
  <si>
    <t>后3天搜索人数变化趋势
41-33-46，外溢曲线无变化</t>
  </si>
  <si>
    <t>62e34ecb00000000110133c9</t>
  </si>
  <si>
    <t>后3天搜索人数变化趋势
2-0-2，外溢曲线无变化</t>
  </si>
  <si>
    <t>62a321f2000000001d032701</t>
  </si>
  <si>
    <t>后3天搜索人数变化趋势
130-116-134，外溢曲线稳定</t>
  </si>
  <si>
    <t>62a98321000000001401a556</t>
  </si>
  <si>
    <t>后3天搜索人数变化趋势
73-78-77，外溢无明显变化</t>
  </si>
  <si>
    <t>前3天搜索人数变化趋势
92-62-51</t>
  </si>
  <si>
    <t>627e0bba000000000102fbbb</t>
  </si>
  <si>
    <t>后3天，有外溢趋势变化</t>
  </si>
  <si>
    <t>62a86da600000000210394c6</t>
  </si>
  <si>
    <t>后3天搜索人数变化趋势
0-0-3，外溢无明显变化</t>
  </si>
  <si>
    <t>前3天搜索人数变化趋势
6-0-2</t>
  </si>
  <si>
    <t>630055e2000000001b007e50</t>
  </si>
  <si>
    <t>后3天搜索人数变化趋势
88-71-60，外溢曲线无变化</t>
  </si>
  <si>
    <t>后3天搜索人数变化趋势
0-0,曲线无变化</t>
  </si>
  <si>
    <t>前3天搜索人数变化趋势，172-142-56， 点击提升，外溢曲线无提升，且笔记新增评论风向歪楼</t>
  </si>
  <si>
    <t>62a6fd32000000001d0141d2</t>
  </si>
  <si>
    <t>笔记发布后3天，云麦体脂秤大词有外溢上升趋势</t>
  </si>
  <si>
    <t>前3天搜索人数变化趋势
49-41-38</t>
  </si>
  <si>
    <t>62a045ea000000002103a321</t>
  </si>
  <si>
    <t>笔记发布后3天，在自然流量下，外溢无明显上升</t>
  </si>
  <si>
    <t>前3天搜索人数变化趋势
38-63-41</t>
  </si>
  <si>
    <t>62a461080000000001029226</t>
  </si>
  <si>
    <t>后3天搜索人数变化趋势
16-21-30，外溢曲线上升</t>
  </si>
  <si>
    <t>62fc81290000000016037396</t>
  </si>
  <si>
    <t>后3天搜索人数变化趋势
24-26-48，外溢曲线有上升</t>
  </si>
  <si>
    <t>629434dd0000000021038af3</t>
  </si>
  <si>
    <t>6299f16c000000000102ddd2</t>
  </si>
  <si>
    <t>后3天搜索人数变化趋势
12-9-8，外溢无明显变化</t>
  </si>
  <si>
    <t>前3天搜索人数变化趋势
13-17-16</t>
  </si>
  <si>
    <t>6290b2bb0000000021036eee</t>
  </si>
  <si>
    <t>630096c8000000001800de5a</t>
  </si>
  <si>
    <t>629700ce000000002103529c</t>
  </si>
  <si>
    <t>629714e6000000000102d6c7</t>
  </si>
  <si>
    <t>前3天搜索人数变化趋势
3-3-2</t>
  </si>
  <si>
    <t>62903659000000000102fa9a</t>
  </si>
  <si>
    <t>后3天搜索人数变化趋势
57-54-61，外溢稳定，较5.26号搜索人数有上升</t>
  </si>
  <si>
    <t>6290c4360000000021036385</t>
  </si>
  <si>
    <t>后3天搜索人数变化趋势
7-6-14，外溢无明显变化</t>
  </si>
  <si>
    <t>前3天搜索人数变化趋势
12-9-8</t>
  </si>
  <si>
    <t>628da6fb000000000102646e</t>
  </si>
  <si>
    <t>后3天搜索人数变化趋势
8-11-7，外溢无明显变化</t>
  </si>
  <si>
    <t>前3天搜索人数变化趋势
14-11-12</t>
  </si>
  <si>
    <t>62879826000000000102800f</t>
  </si>
  <si>
    <t>后3天搜索人数变化趋势
10-21-8，后1天外溢有上升</t>
  </si>
  <si>
    <t>6290482100000000210356f2</t>
  </si>
  <si>
    <t>628f4e490000000001027a43</t>
  </si>
  <si>
    <t>后3天搜索人数变化趋势
11-7-6，外溢无明显变化</t>
  </si>
  <si>
    <t>6290703f000000002103d411</t>
  </si>
  <si>
    <t>628c7af500000000010254ad</t>
  </si>
  <si>
    <t>6284a6120000000021036c2e</t>
  </si>
  <si>
    <t>笔记发布后1天，外溢有上升</t>
  </si>
  <si>
    <t>6286eeb6000000002103d135</t>
  </si>
  <si>
    <t>后3天搜索人数变化趋势
56-52-52，曲线变化不明显</t>
  </si>
  <si>
    <t>627bb815000000000102a1d9</t>
  </si>
  <si>
    <t>627e157b000000000102d2c9</t>
  </si>
  <si>
    <t>62737915000000002103f16c</t>
  </si>
  <si>
    <t>后3天搜索人数变化趋势
40-22-25，外溢趋势下降</t>
  </si>
  <si>
    <t>后3天搜索人数变化趋势
197-120-172，曲线变化不明显</t>
  </si>
  <si>
    <t>后3天搜索人数变化趋势
9-15-26，外溢曲线有上升趋势</t>
  </si>
  <si>
    <t>前3天搜索人数变化趋势
27-37-74</t>
  </si>
  <si>
    <t>62fddb6e000000001b01b0e1</t>
  </si>
  <si>
    <t>后3天搜索人数变化趋势
26-48-88，外溢曲线有上升</t>
  </si>
  <si>
    <t>后3天搜索人数变化趋势
52-32-56，曲线变化不明显</t>
  </si>
  <si>
    <t>635b8f19000000001601f0cb</t>
  </si>
  <si>
    <t>6357c7ae000000001401e908</t>
  </si>
  <si>
    <t>后3天搜索人数变化趋势
53-50-55，外溢无明显变化</t>
  </si>
  <si>
    <t>635606820000000014026abc</t>
  </si>
  <si>
    <t>后3天搜索人数变化趋势
41-44-53，外溢趋势变化不明显</t>
  </si>
  <si>
    <t>62fa14a60000000014019759</t>
  </si>
  <si>
    <t>后3天搜索人数变化趋势
26-24-26，外溢曲线无变化</t>
  </si>
  <si>
    <t>62a72114000000002103631b</t>
  </si>
  <si>
    <t>后3天搜索人数变化趋势
35-41-44，外溢无明显变化</t>
  </si>
  <si>
    <t>后3天搜索人数变化趋势
66-62-105，外溢有明显变化，需综合考虑小羊羔崽子同步放量带来的效果</t>
  </si>
  <si>
    <t>前3天搜索人数变化趋势
69-51-38，点击量上升后，搜索趋势未上升</t>
  </si>
  <si>
    <t>634e27100000000007017ebc</t>
  </si>
  <si>
    <t>前3天搜索人数变化趋势
48-88-71</t>
  </si>
  <si>
    <t>后3天搜索人数变化趋势
32-44-46，有略微的外溢上升趋势</t>
  </si>
  <si>
    <t>62e109a2000000001b03e2a0</t>
  </si>
  <si>
    <t>63492acb0000000008010b08</t>
  </si>
  <si>
    <t>62aa9568000000000e021f22</t>
  </si>
  <si>
    <t>62fe048b000000001b005d67</t>
  </si>
  <si>
    <t>前3天搜索人数变化趋势
46-36-26，外溢趋势降低</t>
  </si>
  <si>
    <t>后3天搜索人数变化趋势
73-87-78,外溢无明显</t>
  </si>
  <si>
    <t>前3天搜索人数变化趋势
74-102-99</t>
  </si>
  <si>
    <t>62a3362f000000002103b738</t>
  </si>
  <si>
    <t>后3天搜索人数变化趋势
4-18-16，外溢趋势有略微上升</t>
  </si>
  <si>
    <t>前3天搜索人数变化趋势
4-18-16</t>
  </si>
  <si>
    <t>6342abf4000000001c00c1fb</t>
  </si>
  <si>
    <t>626acb02000000000102c35c</t>
  </si>
  <si>
    <t>6343c9ea000000001c02e342</t>
  </si>
  <si>
    <t>6340ef66000000001d014fd0</t>
  </si>
  <si>
    <t>6333d83500000000170279af</t>
  </si>
  <si>
    <t>后3天搜索人数变化趋势
221-226-191，外溢无明显变化</t>
  </si>
  <si>
    <t>6333db92000000001703f2f8</t>
  </si>
  <si>
    <t>6331a517000000001702438c</t>
  </si>
  <si>
    <t>后3天搜索人数变化趋势
81-50-50，外溢曲线无变化</t>
  </si>
  <si>
    <t>632c461f000000000801c166</t>
  </si>
  <si>
    <t>后3天搜索人数变化趋势
101-75-81，外溢曲线无变化</t>
  </si>
  <si>
    <t>后3天搜索人数变化趋势
44-42-44，外溢曲线无变化</t>
  </si>
  <si>
    <t>前3天搜索人数变化趋势
45-58-101</t>
  </si>
  <si>
    <t>6322ec9800000000080096e6</t>
  </si>
  <si>
    <t>后3天搜索人数变化趋势
41-44-51，外溢曲线无变化</t>
  </si>
  <si>
    <t>后3天搜索人数变化趋势
35-41-44，外溢曲线无变化</t>
  </si>
  <si>
    <t>631e1af0000000001801b519</t>
  </si>
  <si>
    <t>前3天搜索人数变化趋势
44-51-44</t>
  </si>
  <si>
    <t>631ff1f10000000009033b64</t>
  </si>
  <si>
    <t>后3天搜索人数变化趋势
45-40-35，外溢曲线无变化</t>
  </si>
  <si>
    <t>前3天搜索人数变化趋势
40-45-40</t>
  </si>
  <si>
    <t>6319c330000000000900f191</t>
  </si>
  <si>
    <t>后3天搜索人数变化趋势
35-36-30，外溢曲线无变化</t>
  </si>
  <si>
    <t>63195acb0000000011011cb5</t>
  </si>
  <si>
    <t>后3天搜索人数变化趋势
37-35-36，外溢曲线无变化</t>
  </si>
  <si>
    <t>63182f720000000008023b9f</t>
  </si>
  <si>
    <t>后3天搜索人数变化趋势
32-37-35，外溢曲线无变化</t>
  </si>
  <si>
    <t>6315edad00000000110364bd</t>
  </si>
  <si>
    <t>后3天搜索人数变化趋势
31-26-22，外溢曲线下降</t>
  </si>
  <si>
    <t>63108c530000000012038e6f</t>
  </si>
  <si>
    <t>后3天搜索人数变化趋势
39-43-33，外溢曲线无变化</t>
  </si>
  <si>
    <t>云麦笔记数据 自定义</t>
  </si>
  <si>
    <t xml:space="preserve"> 互动率</t>
  </si>
  <si>
    <t>https://www.xiaohongshu.com/discovery/item/6255518c000000002103cbe1</t>
  </si>
  <si>
    <t>图文</t>
  </si>
  <si>
    <t>小雪教瑜伽</t>
  </si>
  <si>
    <t>瘦肌肉腿必备&amp;筋膜枪按摩跟练教程</t>
  </si>
  <si>
    <t>https://www.xiaohongshu.com/discovery/item/62482509000000000102d31e</t>
  </si>
  <si>
    <t>视频</t>
  </si>
  <si>
    <r>
      <rPr>
        <sz val="11"/>
        <color theme="1"/>
        <rFont val="微软雅黑"/>
        <charset val="134"/>
      </rPr>
      <t>别用错</t>
    </r>
    <r>
      <rPr>
        <sz val="11"/>
        <color theme="1"/>
        <rFont val="宋体"/>
        <charset val="134"/>
      </rPr>
      <t>❗️</t>
    </r>
    <r>
      <rPr>
        <sz val="11"/>
        <color theme="1"/>
        <rFont val="微软雅黑"/>
        <charset val="134"/>
      </rPr>
      <t>筋膜枪正确使用方法，不同肌肉部位放松大全</t>
    </r>
  </si>
  <si>
    <t>https://www.xiaohongshu.com/discovery/item/614c3095000000000102b268</t>
  </si>
  <si>
    <t>6225c1390000000021034e33</t>
  </si>
  <si>
    <t>我是张小胖</t>
  </si>
  <si>
    <r>
      <rPr>
        <u/>
        <sz val="11"/>
        <color rgb="FF0000FF"/>
        <rFont val="微软雅黑"/>
        <charset val="0"/>
      </rPr>
      <t>跳绳的先后顺序</t>
    </r>
    <r>
      <rPr>
        <u/>
        <sz val="11"/>
        <color rgb="FF0000FF"/>
        <rFont val="宋体"/>
        <charset val="0"/>
      </rPr>
      <t>➕</t>
    </r>
    <r>
      <rPr>
        <u/>
        <sz val="11"/>
        <color rgb="FF0000FF"/>
        <rFont val="微软雅黑"/>
        <charset val="0"/>
      </rPr>
      <t>筋膜枪的放松按摩</t>
    </r>
    <r>
      <rPr>
        <u/>
        <sz val="11"/>
        <color rgb="FF0000FF"/>
        <rFont val="宋体"/>
        <charset val="0"/>
      </rPr>
      <t>❤</t>
    </r>
    <r>
      <rPr>
        <u/>
        <sz val="11"/>
        <color rgb="FF0000FF"/>
        <rFont val="微软雅黑"/>
        <charset val="0"/>
      </rPr>
      <t>️</t>
    </r>
  </si>
  <si>
    <t>https://www.xiaohongshu.com/discovery/item/6225c1390000000021034e33</t>
  </si>
  <si>
    <t>612359a60000000001024e1f</t>
  </si>
  <si>
    <t>肖儿</t>
  </si>
  <si>
    <t>每天3分钟消灭斜方肌(筋膜枪使用教程)</t>
  </si>
  <si>
    <t>https://www.xiaohongshu.com/discovery/item/612359a60000000001024e1f</t>
  </si>
  <si>
    <t>61765727000000000102dd1a</t>
  </si>
  <si>
    <t>冷冷学姐</t>
  </si>
  <si>
    <r>
      <rPr>
        <u/>
        <sz val="11"/>
        <color rgb="FF0000FF"/>
        <rFont val="微软雅黑"/>
        <charset val="0"/>
      </rPr>
      <t>筋膜枪｜怎么选不踩坑</t>
    </r>
    <r>
      <rPr>
        <u/>
        <sz val="11"/>
        <color rgb="FF0000FF"/>
        <rFont val="宋体"/>
        <charset val="0"/>
      </rPr>
      <t>❌</t>
    </r>
    <r>
      <rPr>
        <u/>
        <sz val="11"/>
        <color rgb="FF0000FF"/>
        <rFont val="微软雅黑"/>
        <charset val="0"/>
      </rPr>
      <t>如何正确使用</t>
    </r>
    <r>
      <rPr>
        <u/>
        <sz val="11"/>
        <color rgb="FF0000FF"/>
        <rFont val="宋体"/>
        <charset val="0"/>
      </rPr>
      <t>❓</t>
    </r>
  </si>
  <si>
    <t>https://www.xiaohongshu.com/discovery/item/61765727000000000102dd1a</t>
  </si>
  <si>
    <t>617bc5dd000000000102b409</t>
  </si>
  <si>
    <t>新理小姐</t>
  </si>
  <si>
    <t>云麦体脂秤</t>
  </si>
  <si>
    <r>
      <rPr>
        <sz val="11"/>
        <color theme="1"/>
        <rFont val="微软雅黑"/>
        <charset val="134"/>
      </rPr>
      <t>5个小习惯养成易瘦体质</t>
    </r>
    <r>
      <rPr>
        <sz val="11"/>
        <color theme="1"/>
        <rFont val="宋体"/>
        <charset val="134"/>
      </rPr>
      <t>✨</t>
    </r>
    <r>
      <rPr>
        <sz val="11"/>
        <color theme="1"/>
        <rFont val="微软雅黑"/>
        <charset val="134"/>
      </rPr>
      <t>懒人身材管理法</t>
    </r>
  </si>
  <si>
    <t>https://www.xiaohongshu.com/discovery/item/617bc5dd000000000102b409</t>
  </si>
  <si>
    <t>622d8d0d0000000001029c29</t>
  </si>
  <si>
    <t>是芝芝啊</t>
  </si>
  <si>
    <t>降体脂干货|为什么你的腹肌一直出不来？可能是体脂率太高了</t>
  </si>
  <si>
    <t>https://www.xiaohongshu.com/discovery/item/622d8d0d0000000001029c29</t>
  </si>
  <si>
    <t>6135ea0c000000000102fad5</t>
  </si>
  <si>
    <t>鱼丸逆袭记</t>
  </si>
  <si>
    <t>28天虐腹计划！瘦肚子就看这篇 ！巨有效</t>
  </si>
  <si>
    <t>https://www.xiaohongshu.com/discovery/item/6135ea0c000000000102fad5</t>
  </si>
  <si>
    <t>621e1314000000000102a9ba</t>
  </si>
  <si>
    <t>叫我y老师</t>
  </si>
  <si>
    <t>体脂秤测16%|侧腰肉多 别再练侧腰！</t>
  </si>
  <si>
    <t>https://www.xiaohongshu.com/discovery/item/621e1314000000000102a9ba</t>
  </si>
  <si>
    <t>6232bdc30000000021034fa7</t>
  </si>
  <si>
    <t>理疗师雨辰</t>
  </si>
  <si>
    <t>斜方肌厚？圆肩驼背？筋膜枪帮你解决</t>
  </si>
  <si>
    <t>https://www.xiaohongshu.com/discovery/item/6232bdc30000000021034fa7</t>
  </si>
  <si>
    <t>616ab9850000000001028279</t>
  </si>
  <si>
    <t>西瓜班陈雯</t>
  </si>
  <si>
    <r>
      <rPr>
        <u/>
        <sz val="11"/>
        <color rgb="FF0000FF"/>
        <rFont val="微软雅黑"/>
        <charset val="0"/>
      </rPr>
      <t>体脂秤|️120到80斤/养成易瘦体减体脂</t>
    </r>
    <r>
      <rPr>
        <u/>
        <sz val="11"/>
        <color rgb="FF0000FF"/>
        <rFont val="宋体"/>
        <charset val="0"/>
      </rPr>
      <t>✅</t>
    </r>
  </si>
  <si>
    <t>https://www.xiaohongshu.com/discovery/item/616ab9850000000001028279</t>
  </si>
  <si>
    <t>621df4740000000021039fc3</t>
  </si>
  <si>
    <t>电荷荷荷</t>
  </si>
  <si>
    <t>筋膜枪放松|圆肩驼背姐妹给我练！</t>
  </si>
  <si>
    <t>https://www.xiaohongshu.com/discovery/item/621df4740000000021039fc3</t>
  </si>
  <si>
    <t>6221f6170000000021034926</t>
  </si>
  <si>
    <t>陈以柒</t>
  </si>
  <si>
    <r>
      <rPr>
        <u/>
        <sz val="11"/>
        <color rgb="FF0000FF"/>
        <rFont val="微软雅黑"/>
        <charset val="0"/>
      </rPr>
      <t>久坐久站肌肉腿</t>
    </r>
    <r>
      <rPr>
        <u/>
        <sz val="11"/>
        <color rgb="FF0000FF"/>
        <rFont val="宋体"/>
        <charset val="0"/>
      </rPr>
      <t>❓</t>
    </r>
    <r>
      <rPr>
        <u/>
        <sz val="11"/>
        <color rgb="FF0000FF"/>
        <rFont val="微软雅黑"/>
        <charset val="0"/>
      </rPr>
      <t>4</t>
    </r>
    <r>
      <rPr>
        <u/>
        <sz val="11"/>
        <color rgb="FF0000FF"/>
        <rFont val="Times New Roman"/>
        <charset val="0"/>
      </rPr>
      <t>⃣</t>
    </r>
    <r>
      <rPr>
        <u/>
        <sz val="11"/>
        <color rgb="FF0000FF"/>
        <rFont val="微软雅黑"/>
        <charset val="0"/>
      </rPr>
      <t>个动作get“漫画腿”</t>
    </r>
  </si>
  <si>
    <t>https://www.xiaohongshu.com/discovery/item/6221f6170000000021034926</t>
  </si>
  <si>
    <t>625529c2000000000102f35c</t>
  </si>
  <si>
    <t>厨小花的减脂餐</t>
  </si>
  <si>
    <r>
      <rPr>
        <sz val="11"/>
        <color theme="1"/>
        <rFont val="微软雅黑"/>
        <charset val="134"/>
      </rPr>
      <t>减脂餐7️</t>
    </r>
    <r>
      <rPr>
        <sz val="11"/>
        <color theme="1"/>
        <rFont val="Times New Roman"/>
        <charset val="134"/>
      </rPr>
      <t>⃣</t>
    </r>
    <r>
      <rPr>
        <sz val="11"/>
        <color theme="1"/>
        <rFont val="微软雅黑"/>
        <charset val="134"/>
      </rPr>
      <t>9️</t>
    </r>
    <r>
      <rPr>
        <sz val="11"/>
        <color theme="1"/>
        <rFont val="Times New Roman"/>
        <charset val="134"/>
      </rPr>
      <t>⃣</t>
    </r>
    <r>
      <rPr>
        <sz val="11"/>
        <color theme="1"/>
        <rFont val="微软雅黑"/>
        <charset val="134"/>
      </rPr>
      <t>天</t>
    </r>
    <r>
      <rPr>
        <sz val="11"/>
        <color theme="1"/>
        <rFont val="宋体"/>
        <charset val="134"/>
      </rPr>
      <t>✨</t>
    </r>
    <r>
      <rPr>
        <sz val="11"/>
        <color theme="1"/>
        <rFont val="微软雅黑"/>
        <charset val="134"/>
      </rPr>
      <t>上班｜带饭人｜便当🍱</t>
    </r>
  </si>
  <si>
    <t>https://www.xiaohongshu.com/discovery/item/625529c2000000000102f35c</t>
  </si>
  <si>
    <t>61a75f5a000000000102d798</t>
  </si>
  <si>
    <t>陈背心</t>
  </si>
  <si>
    <t>120斤到100斤 小基数减脂 跑步不粗腿方法</t>
  </si>
  <si>
    <t>https://www.xiaohongshu.com/discovery/item/61a75f5a000000000102d798</t>
  </si>
  <si>
    <t>大敏敏的蜕变日记</t>
  </si>
  <si>
    <t>云麦3mini</t>
  </si>
  <si>
    <t>刘畊宏女孩的21天虐腹计划‼谁练谁瘦💪</t>
  </si>
  <si>
    <t>https://www.xiaohongshu.com/discovery/item/627e157b000000000102d2c9</t>
  </si>
  <si>
    <t>咩咩是杨景然</t>
  </si>
  <si>
    <t>云麦cc</t>
  </si>
  <si>
    <r>
      <rPr>
        <sz val="11"/>
        <color theme="1"/>
        <rFont val="微软雅黑"/>
        <charset val="134"/>
      </rPr>
      <t>减重8.5斤‼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跳绳后拉伸&amp;筋膜枪按摩不粗腿</t>
    </r>
  </si>
  <si>
    <t>https://www.xiaohongshu.com/discovery/item/627e0bba000000000102fbbb</t>
  </si>
  <si>
    <t>Sophia大大</t>
  </si>
  <si>
    <t>162 46|我悟了！翘臀不粗腿的训练方法!</t>
  </si>
  <si>
    <t>https://www.xiaohongshu.com/discovery/item/627ba9fe0000000021037192</t>
  </si>
  <si>
    <t>我是铁核桃也是小百合</t>
  </si>
  <si>
    <t>云麦体脂秤3</t>
  </si>
  <si>
    <r>
      <rPr>
        <sz val="11"/>
        <color theme="1"/>
        <rFont val="微软雅黑"/>
        <charset val="134"/>
      </rPr>
      <t>产后5大阶段恢复必做事‼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错过多花3年补‼</t>
    </r>
    <r>
      <rPr>
        <sz val="11"/>
        <color theme="1"/>
        <rFont val="宋体"/>
        <charset val="134"/>
      </rPr>
      <t>️</t>
    </r>
  </si>
  <si>
    <t>https://www.xiaohongshu.com/discovery/item/627bb815000000000102a1d9</t>
  </si>
  <si>
    <t>圆又圆超爱笑</t>
  </si>
  <si>
    <r>
      <rPr>
        <sz val="11"/>
        <color theme="1"/>
        <rFont val="微软雅黑"/>
        <charset val="134"/>
      </rPr>
      <t>大二女生梨形粗腿逆袭</t>
    </r>
    <r>
      <rPr>
        <sz val="11"/>
        <color theme="1"/>
        <rFont val="宋体"/>
        <charset val="134"/>
      </rPr>
      <t>✨</t>
    </r>
    <r>
      <rPr>
        <sz val="11"/>
        <color theme="1"/>
        <rFont val="微软雅黑"/>
        <charset val="134"/>
      </rPr>
      <t>这3步带你优化腿型</t>
    </r>
  </si>
  <si>
    <t>https://www.xiaohongshu.com/discovery/item/626acb02000000000102c35c</t>
  </si>
  <si>
    <t>沁儿你好哇</t>
  </si>
  <si>
    <t>居家瘦肚子｜燃烧腹部脂肪紧致腰线get马甲线</t>
  </si>
  <si>
    <t>https://www.xiaohongshu.com/discovery/item/62737915000000002103f16c</t>
  </si>
  <si>
    <t>爱跳绳的粥粥</t>
  </si>
  <si>
    <t>云麦跳绳心率款</t>
  </si>
  <si>
    <t>坚持跳绳瘦24斤这个高效跳绳组合你一定要跳</t>
  </si>
  <si>
    <t>https://www.xiaohongshu.com/discovery/item/6286eeb6000000002103d135</t>
  </si>
  <si>
    <t>云麦心率跳绳</t>
  </si>
  <si>
    <t>睡前8min瘦大腿内外侧</t>
  </si>
  <si>
    <t>https://www.xiaohongshu.com/discovery/item/6284a6120000000021036c2e</t>
  </si>
  <si>
    <t>热锅上的蚂蚁</t>
  </si>
  <si>
    <t>暴汗燃脂毽子操|拉伸放松与筋膜枪按摩</t>
  </si>
  <si>
    <t>https://www.xiaohongshu.com/discovery/item/6268be6f000000002103575a</t>
  </si>
  <si>
    <t>爱上健身的Amy</t>
  </si>
  <si>
    <t>玛丽姐6分钟快速瘦肚子🔥腰围已瘦8cm</t>
  </si>
  <si>
    <t>https://www.xiaohongshu.com/discovery/item/6290703f000000002103d411</t>
  </si>
  <si>
    <t>大桐yoto</t>
  </si>
  <si>
    <t>减肥就是要饿｜饮食和运动的完整计划在这里</t>
  </si>
  <si>
    <t>https://www.xiaohongshu.com/discovery/item/628c7af500000000010254ad</t>
  </si>
  <si>
    <t>小小李</t>
  </si>
  <si>
    <t>4分钟跳绳TABATA | 居家高效燃脂瘦全身</t>
  </si>
  <si>
    <t>https://www.xiaohongshu.com/discovery/item/6290482100000000210356f2</t>
  </si>
  <si>
    <t>白白</t>
  </si>
  <si>
    <t>大腿围42 | 瘦腿还得要跳绳！</t>
  </si>
  <si>
    <t>https://www.xiaohongshu.com/discovery/item/628f4e490000000001027a43</t>
  </si>
  <si>
    <t>小菜包超幸运</t>
  </si>
  <si>
    <r>
      <rPr>
        <sz val="11"/>
        <color theme="1"/>
        <rFont val="微软雅黑"/>
        <charset val="134"/>
      </rPr>
      <t>超全产后修复攻略</t>
    </r>
    <r>
      <rPr>
        <sz val="11"/>
        <color theme="1"/>
        <rFont val="宋体"/>
        <charset val="134"/>
      </rPr>
      <t>✅</t>
    </r>
    <r>
      <rPr>
        <sz val="11"/>
        <color theme="1"/>
        <rFont val="微软雅黑"/>
        <charset val="134"/>
      </rPr>
      <t>三个阶段恢复少女身材</t>
    </r>
  </si>
  <si>
    <t>https://www.xiaohongshu.com/discovery/item/628da6fb000000000102646e</t>
  </si>
  <si>
    <t>Candy yoga</t>
  </si>
  <si>
    <r>
      <rPr>
        <sz val="11"/>
        <color theme="1"/>
        <rFont val="微软雅黑"/>
        <charset val="134"/>
      </rPr>
      <t>根源性告别妈妈臀‼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/12种臀部训练解析</t>
    </r>
  </si>
  <si>
    <t>https://www.xiaohongshu.com/discovery/item/62879826000000000102800f</t>
  </si>
  <si>
    <t>努力变好的yy</t>
  </si>
  <si>
    <r>
      <rPr>
        <sz val="11"/>
        <color theme="1"/>
        <rFont val="微软雅黑"/>
        <charset val="134"/>
      </rPr>
      <t>筋膜枪</t>
    </r>
    <r>
      <rPr>
        <sz val="11"/>
        <color theme="1"/>
        <rFont val="宋体"/>
        <charset val="134"/>
      </rPr>
      <t>➕</t>
    </r>
    <r>
      <rPr>
        <sz val="11"/>
        <color theme="1"/>
        <rFont val="微软雅黑"/>
        <charset val="134"/>
      </rPr>
      <t>泡沫轴｜运动后全套放松动作分享！！</t>
    </r>
  </si>
  <si>
    <t>https://www.xiaohongshu.com/discovery/item/629417c7000000002103479b</t>
  </si>
  <si>
    <t>咕咕猪小短腿</t>
  </si>
  <si>
    <t>笑死！一到称重就心虚到没耳朵</t>
  </si>
  <si>
    <t>https://www.xiaohongshu.com/discovery/item/6290c4360000000021036385</t>
  </si>
  <si>
    <t>威风凛凛小队长</t>
  </si>
  <si>
    <t>被你们形容的“肥美多脂”气哭了</t>
  </si>
  <si>
    <t>https://www.xiaohongshu.com/discovery/item/62903659000000000102fa9a</t>
  </si>
  <si>
    <t>小方今天瘦了吗</t>
  </si>
  <si>
    <r>
      <rPr>
        <sz val="11"/>
        <color theme="1"/>
        <rFont val="微软雅黑"/>
        <charset val="134"/>
      </rPr>
      <t>大基数无运动节食减45斤 （饮食习惯/食谱‼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）</t>
    </r>
  </si>
  <si>
    <t>https://www.xiaohongshu.com/discovery/item/629714e6000000000102d6c7</t>
  </si>
  <si>
    <t>干坐着的小瑶</t>
  </si>
  <si>
    <r>
      <rPr>
        <sz val="11"/>
        <color theme="1"/>
        <rFont val="微软雅黑"/>
        <charset val="134"/>
      </rPr>
      <t>筋膜枪🆚泡沫轴🆚筋膜球，怎么选</t>
    </r>
    <r>
      <rPr>
        <sz val="11"/>
        <color theme="1"/>
        <rFont val="宋体"/>
        <charset val="134"/>
      </rPr>
      <t>❓</t>
    </r>
    <r>
      <rPr>
        <sz val="11"/>
        <color theme="1"/>
        <rFont val="微软雅黑"/>
        <charset val="134"/>
      </rPr>
      <t>哪个好</t>
    </r>
    <r>
      <rPr>
        <sz val="11"/>
        <color theme="1"/>
        <rFont val="宋体"/>
        <charset val="134"/>
      </rPr>
      <t>❓</t>
    </r>
  </si>
  <si>
    <t>https://www.xiaohongshu.com/discovery/item/629dca29000000000102d19e</t>
  </si>
  <si>
    <t>辣妈含含</t>
  </si>
  <si>
    <t>辣妈养成|产后重回少女身材～</t>
  </si>
  <si>
    <t>https://www.xiaohongshu.com/discovery/item/6299f16c000000000102ddd2</t>
  </si>
  <si>
    <t>杨大大的预备辣妹日记</t>
  </si>
  <si>
    <r>
      <rPr>
        <sz val="11"/>
        <color theme="1"/>
        <rFont val="微软雅黑"/>
        <charset val="134"/>
      </rPr>
      <t>130-110斤跳绳不复胖‼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间歇性跳绳减脂快</t>
    </r>
  </si>
  <si>
    <t>https://www.xiaohongshu.com/discovery/item/629700ce000000002103529c</t>
  </si>
  <si>
    <t>凯琳KatherineW</t>
  </si>
  <si>
    <t>无绳卡点暴汗230卡跟练 ｜小基数瘦腿瘦全身</t>
  </si>
  <si>
    <t>https://www.xiaohongshu.com/discovery/item/6290b2bb0000000021036eee</t>
  </si>
  <si>
    <t>丫丫小姐姐</t>
  </si>
  <si>
    <t>产后辣妈恢复秘诀 | 学会这样跳不瘦都不行</t>
  </si>
  <si>
    <t>https://www.xiaohongshu.com/discovery/item/629434dd0000000021038af3</t>
  </si>
  <si>
    <t>爽姐腿特长</t>
  </si>
  <si>
    <t>筋膜枪有效放松|顽固肌肉腿有救了🦵</t>
  </si>
  <si>
    <t>https://www.xiaohongshu.com/discovery/item/62a3362f000000002103b738</t>
  </si>
  <si>
    <t>小月月</t>
  </si>
  <si>
    <t>体重秤上的数字告诉我：你是个失败者</t>
  </si>
  <si>
    <t>https://www.xiaohongshu.com/discovery/item/62a461080000000001029226</t>
  </si>
  <si>
    <t>六月炎妍</t>
  </si>
  <si>
    <t>体脂秤监测|瘦了23斤的经验无保留分享</t>
  </si>
  <si>
    <t>https://www.xiaohongshu.com/discovery/item/62a045ea000000002103a321</t>
  </si>
  <si>
    <t>星星要变瘦</t>
  </si>
  <si>
    <t>瘦腿真的不难！成功瘦腿之后才知道的！（2）</t>
  </si>
  <si>
    <t>https://www.xiaohongshu.com/discovery/item/629de623000000001d0153c8</t>
  </si>
  <si>
    <t>云麦3mini（无埋词）</t>
  </si>
  <si>
    <r>
      <rPr>
        <sz val="11"/>
        <color theme="1"/>
        <rFont val="微软雅黑"/>
        <charset val="134"/>
      </rPr>
      <t>‼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真心劝你们想成功瘦下来这6件事别再做了</t>
    </r>
  </si>
  <si>
    <t>https://www.xiaohongshu.com/discovery/item/62a6fd32000000001d0141d2</t>
  </si>
  <si>
    <t>林菀桃桃</t>
  </si>
  <si>
    <t>vlog饱满蜜桃+提高臀线+筋膜枪放松胫骨前肌</t>
  </si>
  <si>
    <t>https://www.xiaohongshu.com/discovery/item/62a8420e000000001b03634d</t>
  </si>
  <si>
    <t>茜茜子</t>
  </si>
  <si>
    <t>云麦3mini体脂秤</t>
  </si>
  <si>
    <r>
      <rPr>
        <sz val="11"/>
        <color theme="1"/>
        <rFont val="微软雅黑"/>
        <charset val="134"/>
      </rPr>
      <t>我真的很会瘦肚子</t>
    </r>
    <r>
      <rPr>
        <sz val="11"/>
        <color theme="1"/>
        <rFont val="宋体"/>
        <charset val="134"/>
      </rPr>
      <t>❗️</t>
    </r>
  </si>
  <si>
    <t>https://www.xiaohongshu.com/discovery/item/62a86da600000000210394c6</t>
  </si>
  <si>
    <t>熊猫叮</t>
  </si>
  <si>
    <t xml:space="preserve"> 云麦cc</t>
  </si>
  <si>
    <r>
      <rPr>
        <sz val="11"/>
        <color theme="1"/>
        <rFont val="微软雅黑"/>
        <charset val="134"/>
      </rPr>
      <t>瘦小腿训练🔥消除肌肉腿脂包肌‼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筋膜枪放松</t>
    </r>
  </si>
  <si>
    <t>https://www.xiaohongshu.com/discovery/item/62a853b8000000002103dca1</t>
  </si>
  <si>
    <t>Celine丹丹</t>
  </si>
  <si>
    <r>
      <rPr>
        <sz val="11"/>
        <color theme="1"/>
        <rFont val="微软雅黑"/>
        <charset val="134"/>
      </rPr>
      <t>不服不行,练完手臂抖到根本停不下来‼</t>
    </r>
    <r>
      <rPr>
        <sz val="11"/>
        <color theme="1"/>
        <rFont val="宋体"/>
        <charset val="134"/>
      </rPr>
      <t>️</t>
    </r>
  </si>
  <si>
    <t>https://www.xiaohongshu.com/discovery/item/62a859ca000000001b034829</t>
  </si>
  <si>
    <t>爱撸铁的丁</t>
  </si>
  <si>
    <t>身高165 体重52 翘臀不粗腿🦵我悟了！！</t>
  </si>
  <si>
    <t>https://www.xiaohongshu.com/discovery/item/62a72114000000002103631b</t>
  </si>
  <si>
    <t>福崽</t>
  </si>
  <si>
    <r>
      <rPr>
        <sz val="11"/>
        <color theme="1"/>
        <rFont val="微软雅黑"/>
        <charset val="134"/>
      </rPr>
      <t>脂包肌的消除逻辑｜瘦小腿</t>
    </r>
    <r>
      <rPr>
        <sz val="11"/>
        <color theme="1"/>
        <rFont val="宋体"/>
        <charset val="134"/>
      </rPr>
      <t>❌</t>
    </r>
    <r>
      <rPr>
        <sz val="11"/>
        <color theme="1"/>
        <rFont val="微软雅黑"/>
        <charset val="134"/>
      </rPr>
      <t>盲目</t>
    </r>
  </si>
  <si>
    <t>https://www.xiaohongshu.com/discovery/item/62aa9568000000000e021f22</t>
  </si>
  <si>
    <t>生椰黎子yoga</t>
  </si>
  <si>
    <r>
      <rPr>
        <sz val="11"/>
        <color theme="1"/>
        <rFont val="微软雅黑"/>
        <charset val="134"/>
      </rPr>
      <t>超🔥极速瘦肚子！太有用了‼</t>
    </r>
    <r>
      <rPr>
        <sz val="11"/>
        <color theme="1"/>
        <rFont val="宋体"/>
        <charset val="134"/>
      </rPr>
      <t>️</t>
    </r>
    <r>
      <rPr>
        <sz val="11"/>
        <color theme="1"/>
        <rFont val="微软雅黑"/>
        <charset val="134"/>
      </rPr>
      <t>6分钟紧致腰腹</t>
    </r>
  </si>
  <si>
    <t>https://www.xiaohongshu.com/discovery/item/62a98321000000001401a556</t>
  </si>
  <si>
    <t>小胡的张张</t>
  </si>
  <si>
    <r>
      <rPr>
        <sz val="11"/>
        <color theme="1"/>
        <rFont val="微软雅黑"/>
        <charset val="134"/>
      </rPr>
      <t>筋膜枪正确使用指南</t>
    </r>
    <r>
      <rPr>
        <sz val="11"/>
        <color theme="1"/>
        <rFont val="宋体"/>
        <charset val="134"/>
      </rPr>
      <t>️⚠️</t>
    </r>
    <r>
      <rPr>
        <sz val="11"/>
        <color theme="1"/>
        <rFont val="微软雅黑"/>
        <charset val="134"/>
      </rPr>
      <t>千万别乱用！</t>
    </r>
  </si>
  <si>
    <t>https://www.xiaohongshu.com/discovery/item/62a321f2000000001d032701</t>
  </si>
  <si>
    <t>Shirley小蕾</t>
  </si>
  <si>
    <t>云麦CC筋膜枪</t>
  </si>
  <si>
    <t>1分钟写完期末学生评语🔥放松好物筋膜枪</t>
  </si>
  <si>
    <t>https://www.xiaohongshu.com/discovery/item/62aa5b72000000000e01fa80</t>
  </si>
  <si>
    <t>小翻译美芽酱</t>
  </si>
  <si>
    <t>办公按摩神器！职场打工人の高颜值筋膜枪！</t>
  </si>
  <si>
    <t>https://www.xiaohongshu.com/discovery/item/62df60d4000000001b0182ec</t>
  </si>
  <si>
    <t>曲美腻腻</t>
  </si>
  <si>
    <t>云麦智能筋膜枪</t>
  </si>
  <si>
    <t>学会这3个动作！轻松在家瘦全身！不是梦！简单</t>
  </si>
  <si>
    <t>https://www.xiaohongshu.com/discovery/item/62e4ce29000000000e02bbd1</t>
  </si>
  <si>
    <t>阿煜</t>
  </si>
  <si>
    <t>云麦智能筋膜枪PB2</t>
  </si>
  <si>
    <t>📱手机控制筋膜枪？云麦智能筋膜枪PB2测评</t>
  </si>
  <si>
    <t>https://www.xiaohongshu.com/discovery/item/62e34ecb00000000110133c9</t>
  </si>
  <si>
    <t>Jeremy 赵</t>
  </si>
  <si>
    <t>云麦PB2</t>
  </si>
  <si>
    <t>如何解决难以忍受的肌肉酸痛，筋膜枪帮你！</t>
  </si>
  <si>
    <t>https://www.xiaohongshu.com/discovery/item/62e9103f000000001202c377</t>
  </si>
  <si>
    <t>小恩哥带你练臀</t>
  </si>
  <si>
    <t>翘臀别只练臀，骨盆端正更重要｜筋膜枪放松</t>
  </si>
  <si>
    <t>https://www.xiaohongshu.com/discovery/item/62e109a2000000001b03e2a0</t>
  </si>
  <si>
    <t>https://www.xiaohongshu.com/discovery/item/62f0b4f000000000120392e6</t>
  </si>
  <si>
    <t>https://www.xiaohongshu.com/discovery/item/62f37bbf0000000012024867</t>
  </si>
  <si>
    <t>https://www.xiaohongshu.com/discovery/item/62f4c9f60000000009006fcb</t>
  </si>
  <si>
    <t>如何利用跳绳高效瘦腿记得用筋膜枪放松哦！</t>
  </si>
  <si>
    <t>https://www.xiaohongshu.com/discovery/item/62f7a27a0000000016030b54</t>
  </si>
  <si>
    <t>大红辣辣椒</t>
  </si>
  <si>
    <t>打工人久坐党肩颈自救！筋膜枪按摩超舒服</t>
  </si>
  <si>
    <t>https://www.xiaohongshu.com/discovery/item/62fa14a60000000014019759</t>
  </si>
  <si>
    <t>板野友美iii</t>
  </si>
  <si>
    <t>这小东西真的可以拯救肩颈酸痛！后悔用晚了！</t>
  </si>
  <si>
    <t>https://www.xiaohongshu.com/discovery/item/62fc81290000000016037396</t>
  </si>
  <si>
    <t>圆圆今天暴富了么</t>
  </si>
  <si>
    <t>云麦的筋膜枪我真的是服了….</t>
  </si>
  <si>
    <t>https://www.xiaohongshu.com/discovery/item/62fddb6e000000001b01b0e1</t>
  </si>
  <si>
    <t>https://www.xiaohongshu.com/discovery/item/62fdc897000000001b0063ad</t>
  </si>
  <si>
    <t>雾霾少女i</t>
  </si>
  <si>
    <t>千万不要乱用！初学者必看筋膜枪正确用法</t>
  </si>
  <si>
    <t>https://www.xiaohongshu.com/discovery/item/62fe048b000000001b005d67</t>
  </si>
  <si>
    <t>月亮起床了</t>
  </si>
  <si>
    <t>超强瘦🦵绝招，记得用筋膜枪放松</t>
  </si>
  <si>
    <t>https://www.xiaohongshu.com/discovery/item/62ff55630000000019029cc0</t>
  </si>
  <si>
    <t>桃子酱酱</t>
  </si>
  <si>
    <t>爱运动的姐妹！筋膜枪放松法get一下！</t>
  </si>
  <si>
    <t>https://www.xiaohongshu.com/discovery/item/630096c8000000001800de5a</t>
  </si>
  <si>
    <t>爱梨</t>
  </si>
  <si>
    <t>打完羽毛球后肌肉酸痛？筋膜枪按摩有效放松</t>
  </si>
  <si>
    <t>https://www.xiaohongshu.com/discovery/item/6308506e000000001702e57f</t>
  </si>
  <si>
    <t>雪碧要加冰-</t>
  </si>
  <si>
    <t>提前给男友准备的生日🎁他开心的合不拢嘴</t>
  </si>
  <si>
    <t>https://www.xiaohongshu.com/discovery/item/630055e2000000001b007e50</t>
  </si>
  <si>
    <t>玩长板的慧慧</t>
  </si>
  <si>
    <t>滑板5年|分享我的滑板后筋膜枪放松小经验</t>
  </si>
  <si>
    <t>https://www.xiaohongshu.com/discovery/item/630f1fc800000000110355fc</t>
  </si>
  <si>
    <t>Bruce小厮</t>
  </si>
  <si>
    <t>女生练球后如何拉伸按摩，筋膜枪放松！！</t>
  </si>
  <si>
    <t>https://www.xiaohongshu.com/discovery/item/630f0f5c0000000008021e9f</t>
  </si>
  <si>
    <t>https://www.xiaohongshu.com/discovery/item/63104c390000000011035a33</t>
  </si>
  <si>
    <t>木子棋Kiki</t>
  </si>
  <si>
    <r>
      <rPr>
        <sz val="11"/>
        <color theme="1"/>
        <rFont val="微软雅黑"/>
        <charset val="134"/>
      </rPr>
      <t>筋膜枪要怎么选</t>
    </r>
    <r>
      <rPr>
        <sz val="11"/>
        <color theme="1"/>
        <rFont val="宋体"/>
        <charset val="134"/>
      </rPr>
      <t>❓</t>
    </r>
    <r>
      <rPr>
        <sz val="11"/>
        <color theme="1"/>
        <rFont val="微软雅黑"/>
        <charset val="134"/>
      </rPr>
      <t>3款不同类型筋膜枪测评‼</t>
    </r>
    <r>
      <rPr>
        <sz val="11"/>
        <color theme="1"/>
        <rFont val="宋体"/>
        <charset val="134"/>
      </rPr>
      <t>️</t>
    </r>
  </si>
  <si>
    <t>https://www.xiaohongshu.com/discovery/item/63108c530000000012038e6f</t>
  </si>
  <si>
    <t>Lucas雨田</t>
  </si>
  <si>
    <r>
      <rPr>
        <sz val="11"/>
        <color theme="1"/>
        <rFont val="微软雅黑"/>
        <charset val="134"/>
      </rPr>
      <t>2个游泳后的放松技巧</t>
    </r>
    <r>
      <rPr>
        <sz val="11"/>
        <color theme="1"/>
        <rFont val="宋体"/>
        <charset val="134"/>
      </rPr>
      <t>⭐️</t>
    </r>
    <r>
      <rPr>
        <sz val="11"/>
        <color theme="1"/>
        <rFont val="微软雅黑"/>
        <charset val="134"/>
      </rPr>
      <t>自主拉伸、筋膜枪按摩</t>
    </r>
  </si>
  <si>
    <t>https://www.xiaohongshu.com/discovery/item/6315edad00000000110364bd</t>
  </si>
  <si>
    <t>阿三啊</t>
  </si>
  <si>
    <t>筋膜枪我的新装备|运动酷盖就该这样</t>
  </si>
  <si>
    <t>https://www.xiaohongshu.com/discovery/item/63182f720000000008023b9f</t>
  </si>
  <si>
    <t>JJJJackson</t>
  </si>
  <si>
    <t>健身好物｜筋膜枪真的是放松神器！</t>
  </si>
  <si>
    <t>https://www.xiaohongshu.com/discovery/item/6319c330000000000900f191</t>
  </si>
  <si>
    <t>国产收音机X</t>
  </si>
  <si>
    <t>别再怕爬山 / 徒步后放松教程</t>
  </si>
  <si>
    <t>https://www.xiaohongshu.com/discovery/item/631ff1f10000000009033b64</t>
  </si>
  <si>
    <t>跑酷莫承烽</t>
  </si>
  <si>
    <t>职业跑酷运动员|自用筋膜枪推荐</t>
  </si>
  <si>
    <t>https://www.xiaohongshu.com/discovery/item/63195acb0000000011011cb5</t>
  </si>
  <si>
    <t>小刘爱游泳</t>
  </si>
  <si>
    <t>游泳后全身酸痛怎么办？拉伸&amp;筋膜枪按摩</t>
  </si>
  <si>
    <t>https://www.xiaohongshu.com/discovery/item/631e1af0000000001801b519</t>
  </si>
  <si>
    <t>https://www.xiaohongshu.com/discovery/item/6322ac1f000000001200fd50</t>
  </si>
  <si>
    <t>https://www.xiaohongshu.com/discovery/item/632591a1000000001801796c</t>
  </si>
  <si>
    <t>林然Tolyn</t>
  </si>
  <si>
    <t>分享一下我健身后肌肉放松方法&amp;自用筋膜枪</t>
  </si>
  <si>
    <t>https://www.xiaohongshu.com/discovery/item/6322ec9800000000080096e6</t>
  </si>
  <si>
    <t>https://www.xiaohongshu.com/discovery/item/632a812e0000000011016f09</t>
  </si>
  <si>
    <t>https://www.xiaohongshu.com/discovery/item/632acfbb000000000800a017</t>
  </si>
  <si>
    <t>小小柯尔鸭</t>
  </si>
  <si>
    <t>小腿粗的姐妹进！这筋膜枪真能改善肌肉腿啊</t>
  </si>
  <si>
    <t>https://www.xiaohongshu.com/discovery/item/632c461f000000000801c166</t>
  </si>
  <si>
    <t>高凯元</t>
  </si>
  <si>
    <t>筋膜枪推荐｜明星都在用的健身好物</t>
  </si>
  <si>
    <t>https://www.xiaohongshu.com/discovery/item/6331a517000000001702438c</t>
  </si>
  <si>
    <t>臃肿大白鹅</t>
  </si>
  <si>
    <t>姐妹们都给我用这个筋膜枪！改善小粗腿绝了！</t>
  </si>
  <si>
    <t>https://www.xiaohongshu.com/discovery/item/6333db92000000001703f2f8</t>
  </si>
  <si>
    <t>芋泥团团茶</t>
  </si>
  <si>
    <t>每天几分钟！可以和肌肉说拜拜！</t>
  </si>
  <si>
    <t>https://www.xiaohongshu.com/discovery/item/6333d83500000000170279af</t>
  </si>
  <si>
    <t>thePans.</t>
  </si>
  <si>
    <t xml:space="preserve"> 云麦筋膜枪cc</t>
  </si>
  <si>
    <r>
      <rPr>
        <sz val="11"/>
        <color theme="1"/>
        <rFont val="微软雅黑"/>
        <charset val="134"/>
      </rPr>
      <t>送闺蜜diy礼物💕要被这筋膜枪可爱晕啦!!~</t>
    </r>
    <r>
      <rPr>
        <sz val="11"/>
        <color theme="1"/>
        <rFont val="宋体"/>
        <charset val="134"/>
      </rPr>
      <t>✨</t>
    </r>
  </si>
  <si>
    <t>https://www.xiaohongshu.com/discovery/item/6342abf4000000001c00c1fb</t>
  </si>
  <si>
    <t>蜜桃少女宁小美</t>
  </si>
  <si>
    <t>全款拿下2022宅家按摩神器🔥奶呼呼的巨可爱</t>
  </si>
  <si>
    <t>https://www.xiaohongshu.com/discovery/item/6340ef66000000001d014fd0</t>
  </si>
  <si>
    <t>健康营养师格格</t>
  </si>
  <si>
    <r>
      <rPr>
        <sz val="11"/>
        <color theme="1"/>
        <rFont val="微软雅黑"/>
        <charset val="134"/>
      </rPr>
      <t>四个动作拉伸瘦腿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️筋膜枪按摩大腿小腿</t>
    </r>
  </si>
  <si>
    <t>https://www.xiaohongshu.com/discovery/item/63492acb0000000008010b08</t>
  </si>
  <si>
    <t>索菲亚的冻龄秘密</t>
  </si>
  <si>
    <t>甩6斤纯脂肪我做了这四件事‼｜体脂29到22</t>
  </si>
  <si>
    <t>https://www.xiaohongshu.com/discovery/item/63492dd50000000008014d5e</t>
  </si>
  <si>
    <t>咦同学</t>
  </si>
  <si>
    <t>塌屁股姐妹一定要练上臀！翘臀不粗腿拿捏了！</t>
  </si>
  <si>
    <t>https://www.xiaohongshu.com/discovery/item/6343c9ea000000001c02e342</t>
  </si>
  <si>
    <r>
      <rPr>
        <sz val="11"/>
        <color theme="1"/>
        <rFont val="微软雅黑"/>
        <charset val="134"/>
      </rPr>
      <t>请一定要相信帕梅拉虐腹，效果是真的🉑</t>
    </r>
    <r>
      <rPr>
        <sz val="11"/>
        <color theme="1"/>
        <rFont val="宋体"/>
        <charset val="134"/>
      </rPr>
      <t>❗</t>
    </r>
  </si>
  <si>
    <t>https://www.xiaohongshu.com/discovery/item/6336c064000000001d00f647</t>
  </si>
  <si>
    <t>诸葛亮晶晶</t>
  </si>
  <si>
    <t>175 90斤|五年模特三餐真实分享</t>
  </si>
  <si>
    <t>https://www.xiaohongshu.com/discovery/item/63437f77000000001d027e1b</t>
  </si>
  <si>
    <t>https://www.xiaohongshu.com/discovery/item/634e1fe90000000008014572</t>
  </si>
  <si>
    <t>https://www.xiaohongshu.com/discovery/item/63563e19000000001601ebbf</t>
  </si>
  <si>
    <r>
      <rPr>
        <sz val="11"/>
        <color theme="1"/>
        <rFont val="微软雅黑"/>
        <charset val="134"/>
      </rPr>
      <t>这个燃脂舞真的太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️太</t>
    </r>
    <r>
      <rPr>
        <sz val="11"/>
        <color theme="1"/>
        <rFont val="宋体"/>
        <charset val="134"/>
      </rPr>
      <t>❗</t>
    </r>
    <r>
      <rPr>
        <sz val="11"/>
        <color theme="1"/>
        <rFont val="微软雅黑"/>
        <charset val="134"/>
      </rPr>
      <t>️太简单了🔥停不下来</t>
    </r>
  </si>
  <si>
    <t>https://www.xiaohongshu.com/discovery/item/6358b83600000000140344b6</t>
  </si>
  <si>
    <r>
      <rPr>
        <sz val="11"/>
        <color theme="1"/>
        <rFont val="微软雅黑"/>
        <charset val="134"/>
      </rPr>
      <t>宿舍健身‼️美背翘臀这样练</t>
    </r>
    <r>
      <rPr>
        <sz val="11"/>
        <color theme="1"/>
        <rFont val="宋体"/>
        <charset val="134"/>
      </rPr>
      <t>⏳</t>
    </r>
    <r>
      <rPr>
        <sz val="11"/>
        <color theme="1"/>
        <rFont val="微软雅黑"/>
        <charset val="134"/>
      </rPr>
      <t>真的好绝</t>
    </r>
  </si>
  <si>
    <t>https://www.xiaohongshu.com/discovery/item/635b58ed000000001700c609</t>
  </si>
  <si>
    <t>https://www.xiaohongshu.com/discovery/item/634fe7d20000000008010532</t>
  </si>
  <si>
    <t>https://www.xiaohongshu.com/discovery/item/6347ce7d0000000007039781</t>
  </si>
  <si>
    <r>
      <rPr>
        <sz val="11"/>
        <color theme="1"/>
        <rFont val="微软雅黑"/>
        <charset val="134"/>
      </rPr>
      <t>真的有用‼️小腿外翻改善了，一定要试试</t>
    </r>
    <r>
      <rPr>
        <sz val="11"/>
        <color theme="1"/>
        <rFont val="宋体"/>
        <charset val="134"/>
      </rPr>
      <t>❗</t>
    </r>
  </si>
  <si>
    <t>https://www.xiaohongshu.com/discovery/item/6360d1d5000000000600811c</t>
  </si>
  <si>
    <t>https://www.xiaohongshu.com/discovery/item/63622157000000000601d5cb</t>
  </si>
  <si>
    <t>https://www.xiaohongshu.com/discovery/item/636240b30000000007035fa2</t>
  </si>
  <si>
    <t>https://www.xiaohongshu.com/discovery/item/63621e680000000008012eb3</t>
  </si>
  <si>
    <t>https://www.xiaohongshu.com/discovery/item/635361ae0000000015023541</t>
  </si>
  <si>
    <t>https://www.xiaohongshu.com/discovery/item/634d395b000000000602b10a</t>
  </si>
  <si>
    <t>https://www.xiaohongshu.com/discovery/item/635f8a250000000009000539</t>
  </si>
  <si>
    <t>https://www.xiaohongshu.com/discovery/item/635f7fd20000000008010ca4</t>
  </si>
  <si>
    <t>https://www.xiaohongshu.com/discovery/item/6368faca000000000901170a</t>
  </si>
  <si>
    <t>https://www.xiaohongshu.com/discovery/item/6364e9dc0000000009013c84</t>
  </si>
  <si>
    <t>https://www.xiaohongshu.com/discovery/item/635ca4d0000000001601eee4</t>
  </si>
  <si>
    <t>https://www.xiaohongshu.com/discovery/item/6358a9b6000000001401d37d</t>
  </si>
  <si>
    <t>https://www.xiaohongshu.com/discovery/item/632c10b9000000001200da7e</t>
  </si>
  <si>
    <t>Miss小宝</t>
  </si>
  <si>
    <t>如何正确跑步不粗腿！正确跑步全攻略</t>
  </si>
  <si>
    <t>https://www.xiaohongshu.com/discovery/item/636a29360000000007037622</t>
  </si>
  <si>
    <t>oOO小饼</t>
  </si>
  <si>
    <t>直腿❗️你可以永远相信它❗️</t>
  </si>
  <si>
    <t>https://www.xiaohongshu.com/discovery/item/636b36a10000000007034630</t>
  </si>
  <si>
    <t>未测试</t>
  </si>
  <si>
    <t>江原小雷哥</t>
  </si>
  <si>
    <t>买了就闲置？一期视频教会你正确使用筋膜枪</t>
  </si>
  <si>
    <t>https://www.xiaohongshu.com/discovery/item/636a33cb00000000080109b3</t>
  </si>
  <si>
    <t>改善肌肉型小腿2.0！拉伸&amp;筋膜枪按摩跟练</t>
  </si>
  <si>
    <t>https://www.xiaohongshu.com/discovery/item/6369f4520000000006009439</t>
  </si>
  <si>
    <t>广末凉皮子</t>
  </si>
  <si>
    <t>其实你不是腿短！腿粗！ 而是腿不直‼️</t>
  </si>
  <si>
    <t>https://www.xiaohongshu.com/discovery/item/63624a910000000009005b9a</t>
  </si>
  <si>
    <t>一个胖虎</t>
  </si>
  <si>
    <t xml:space="preserve"> 云麦筋膜抢PB2</t>
  </si>
  <si>
    <t>165 83｜腰围54瘦腰不瘦胸这么练！附详细教程</t>
  </si>
  <si>
    <t>https://www.xiaohongshu.com/discovery/item/635b8f19000000001601f0cb</t>
  </si>
  <si>
    <t>小吴同学！</t>
  </si>
  <si>
    <t>30岁素颜肌｜996下班后要运动，更要放松</t>
  </si>
  <si>
    <t>https://www.xiaohongshu.com/discovery/item/6357c7ae000000001401e908</t>
  </si>
  <si>
    <t>拉拉也叫Tira</t>
  </si>
  <si>
    <t>我不驼背了🔥改善圆肩驼背➕筋膜枪按摩</t>
  </si>
  <si>
    <t>https://www.xiaohongshu.com/discovery/item/635606820000000014026abc</t>
  </si>
  <si>
    <t>小庄妹妹</t>
  </si>
  <si>
    <t>大腿细了10cm🙏瘦腿分享懒人直接抄作业❗️</t>
  </si>
  <si>
    <t>https://www.xiaohongshu.com/discovery/item/636c81ba000000001f020770</t>
  </si>
  <si>
    <t>野兽少女董33</t>
  </si>
  <si>
    <t>从138-105斤｜ 全套瘦小腿动作 告别肌肉腿</t>
  </si>
  <si>
    <t>https://www.xiaohongshu.com/discovery/item/63773ebe000000002402b2b7</t>
  </si>
  <si>
    <t>嘎嘎今天不要懒_</t>
  </si>
  <si>
    <t>163/95｜女大学生在校减脂vlog</t>
  </si>
  <si>
    <t>https://www.xiaohongshu.com/discovery/item/634e27100000000007017ebc</t>
  </si>
  <si>
    <t>FenniferYang</t>
  </si>
  <si>
    <t>哪有什么好身材秘诀 只有无数次的汗流浃背</t>
  </si>
  <si>
    <t>https://www.xiaohongshu.com/discovery/item/6369ab42000000000a009c13</t>
  </si>
  <si>
    <t>圆脸小欧er</t>
  </si>
  <si>
    <t>点击播放帮我减重90斤，粗腿逆袭分享！</t>
  </si>
  <si>
    <t>https://www.xiaohongshu.com/discovery/item/637461c000000000240293c1</t>
  </si>
  <si>
    <t>窦月今天瘦了吗</t>
  </si>
  <si>
    <t>瘦80斤｜大基数减肥干货🔥看体脂别看体重</t>
  </si>
  <si>
    <t>https://www.xiaohongshu.com/discovery/item/63243be30000000008028570?app_platform=ios&amp;app_version=7.55.1&amp;share_from_user_hidden=true&amp;type=video&amp;xhsshare=CopyLink&amp;appuid=627bb3610000000021023146&amp;apptime=1663335181</t>
  </si>
  <si>
    <t>书萱</t>
  </si>
  <si>
    <t>好身材并不等于90斤，别被体重框住‼️</t>
  </si>
  <si>
    <t>https://www.xiaohongshu.com/discovery/item/631b390c000000000900f82f</t>
  </si>
  <si>
    <t>大学生在校健身✅理想身材体型比体重关键‼️</t>
  </si>
  <si>
    <t>https://www.xiaohongshu.com/discovery/item/63183577000000001203a6c5</t>
  </si>
  <si>
    <t>杨伊伊啊</t>
  </si>
  <si>
    <t>人类幼崽内心：我这辈子没这么无语过</t>
  </si>
  <si>
    <t>https://www.xiaohongshu.com/discovery/item/63091250000000001b01ad77</t>
  </si>
  <si>
    <t>11foxxy</t>
  </si>
  <si>
    <t>跳绳加拉伸 腿不要瘦的太快！</t>
  </si>
  <si>
    <t>https://www.xiaohongshu.com/discovery/item/636a1e7f000000000602be1b</t>
  </si>
  <si>
    <t>阿迁</t>
  </si>
  <si>
    <t>间歇跳绳法，无绳跳绳练出筷子腿</t>
  </si>
  <si>
    <t>https://www.xiaohongshu.com/discovery/item/634a350c00000000070395b0</t>
  </si>
  <si>
    <t>63437a13000000000b0135ee</t>
  </si>
  <si>
    <t>115到95｜女大学生在校减脂vlog</t>
  </si>
  <si>
    <t>https://www.xiaohongshu.com/discovery/item/63437a13000000000b0135ee?app_platform=ios&amp;app_version=7.58.2&amp;share_from_user_hidden=true&amp;type=video&amp;xhsshare=WeixinSession&amp;appuid=5b62763c11be107b7aa5806d&amp;apptime=1665378078</t>
  </si>
  <si>
    <t>芒果腻</t>
  </si>
  <si>
    <t>5天腰围小了2cm‼️空腹有氧试试跳绳间歇法</t>
  </si>
  <si>
    <t>https://www.xiaohongshu.com/discovery/item/6333fbc80000000017017605</t>
  </si>
  <si>
    <t>Morii</t>
  </si>
  <si>
    <t>跳出马甲线！一根无绳跳绳就够了</t>
  </si>
  <si>
    <t>https://www.xiaohongshu.com/discovery/item/633115bb0000000018003042?app_platform=android&amp;app_version=7.43.0&amp;share_from_user_hidden=true&amp;xhsshare=CopyLink&amp;appuid=5cfb24ad000000001103f60c&amp;apptime=1664194506</t>
  </si>
  <si>
    <t>干饭人小V</t>
  </si>
  <si>
    <t>胸大细腰我都要！！附教程分享！！！</t>
  </si>
  <si>
    <t>https://www.xiaohongshu.com/discovery/item/63253f2000000000090322ac</t>
  </si>
  <si>
    <t>克颜教练</t>
  </si>
  <si>
    <t>李汎的健身日志</t>
  </si>
  <si>
    <t>凉茶尾的运动笔记</t>
  </si>
  <si>
    <t>蛋卷er</t>
  </si>
  <si>
    <t>筋膜枪测评！手把手教你正确选择筋膜枪！！</t>
  </si>
  <si>
    <t>https://www.xiaohongshu.com/discovery/item/6389bf260000000022035854</t>
  </si>
  <si>
    <t>-Domi 甜豆酱</t>
  </si>
  <si>
    <t>豆子的小迷妹</t>
  </si>
  <si>
    <t>阿宅</t>
  </si>
  <si>
    <t>是33崽</t>
  </si>
  <si>
    <t>9命！介么可爱的筋膜枪！送到心坎上的礼物</t>
  </si>
  <si>
    <t>https://www.xiaohongshu.com/discovery/item/6385c23a0000000019022ad3</t>
  </si>
  <si>
    <r>
      <rPr>
        <sz val="11"/>
        <color theme="1"/>
        <rFont val="微软雅黑"/>
        <charset val="134"/>
      </rPr>
      <t>云麦筋膜枪</t>
    </r>
    <r>
      <rPr>
        <sz val="11"/>
        <color theme="1"/>
        <rFont val="Arial"/>
        <charset val="134"/>
      </rPr>
      <t>ccgo</t>
    </r>
  </si>
  <si>
    <t>芋泥波波</t>
  </si>
  <si>
    <t>一只超人</t>
  </si>
  <si>
    <t>七仔公举</t>
  </si>
  <si>
    <t>喝不醉的水蜜桃</t>
  </si>
  <si>
    <t>一只惠子精</t>
  </si>
  <si>
    <t>一条汤圆猪</t>
  </si>
  <si>
    <t>一颗紫菜</t>
  </si>
  <si>
    <t>改善粗腿肌肉腿！宅家按摩神器轻松全款拿下！</t>
  </si>
  <si>
    <t>https://www.xiaohongshu.com/discovery/item/638d5ea9000000001f00d4d6</t>
  </si>
  <si>
    <t>创意名称</t>
  </si>
  <si>
    <t>创意ID</t>
  </si>
  <si>
    <t>单元名称</t>
  </si>
  <si>
    <t>单元ID</t>
  </si>
  <si>
    <t>计划名称</t>
  </si>
  <si>
    <t>计划ID</t>
  </si>
  <si>
    <t>创意组合方式</t>
  </si>
  <si>
    <t>展现量</t>
  </si>
  <si>
    <t>点击量</t>
  </si>
  <si>
    <t>平均点击成本</t>
  </si>
  <si>
    <t>平均千次展示费用</t>
  </si>
  <si>
    <t>关注</t>
  </si>
  <si>
    <t>分享</t>
  </si>
  <si>
    <t>平均互动成本</t>
  </si>
  <si>
    <t>行动按钮点击量</t>
  </si>
  <si>
    <t>行动按钮点击率</t>
  </si>
  <si>
    <t>截图</t>
  </si>
  <si>
    <t>保存图片</t>
  </si>
  <si>
    <t>0519-种草-信息流-筋膜枪赛马测试</t>
  </si>
  <si>
    <t>自定义创意</t>
  </si>
  <si>
    <t>0519-种草-信息流-体脂秤3</t>
  </si>
  <si>
    <t>0519-种草-信息流-体脂秤3mini赛马测试</t>
  </si>
  <si>
    <t>爱跳绳的粥粥-跳绳</t>
  </si>
  <si>
    <t>0526-种草-信息流-云麦跳绳心率款</t>
  </si>
  <si>
    <t>0526-种草-信息流-爱跳绳粥粥-云麦跳绳心率款</t>
  </si>
  <si>
    <t>我是铁核桃也是小百合-体脂秤3</t>
  </si>
  <si>
    <t>0526-种草-搜索-我是铁核桃-云麦体脂秤3</t>
  </si>
  <si>
    <t>郝有金-筋膜枪cc</t>
  </si>
  <si>
    <t>0526-种草-搜索-郝有金-筋膜枪cc</t>
  </si>
  <si>
    <t>0526-郝有金-筋膜枪cc-类目词--首位</t>
  </si>
  <si>
    <t>郝有金-筋膜枪cc_复制</t>
  </si>
  <si>
    <t>0526-种草-搜索-郝有金-筋膜枪cc_复制</t>
  </si>
  <si>
    <t>0526-种草-搜索-圆又圆超爱笑-筋膜枪cc</t>
  </si>
  <si>
    <t>0601- 圆又圆超爱笑-类目词-筋膜枪cc-前3</t>
  </si>
  <si>
    <t>热锅上的蚂蚁-筋膜枪cc</t>
  </si>
  <si>
    <t>0526-种草-信息流-热锅上的蚂蚁-筋膜枪cc</t>
  </si>
  <si>
    <t>pp-体脂秤3mini</t>
  </si>
  <si>
    <t>0526-种草-搜索-pp</t>
  </si>
  <si>
    <t>0526-种草-搜索-pp-体脂秤3mini</t>
  </si>
  <si>
    <t>大敏敏的蜕变日记-体脂秤3mini</t>
  </si>
  <si>
    <t>0526-种草-搜索-大敏敏蜕变日记-体脂秤</t>
  </si>
  <si>
    <t>0526-种草-搜索-大敏敏-体脂秤3mini</t>
  </si>
  <si>
    <t>七七_YiB</t>
  </si>
  <si>
    <t>0526-种草-信息流-七七-体脂秤3mini</t>
  </si>
  <si>
    <t>pp-信息流</t>
  </si>
  <si>
    <t>0527-种草-信息流-pp-体脂秤3mini</t>
  </si>
  <si>
    <t>Sophia大大-信息流</t>
  </si>
  <si>
    <t>0527-种草-信息流-Sophia大大-筋膜枪c</t>
  </si>
  <si>
    <t>我是铁核桃也是小百合-信息流</t>
  </si>
  <si>
    <t>0527-种草-信息流-我是铁核桃-体脂秤3</t>
  </si>
  <si>
    <t>0530-种草-信息流-我是铁核桃-体脂秤3</t>
  </si>
  <si>
    <t>七七_YiBo</t>
  </si>
  <si>
    <t>0530-种草-搜索-七七-体脂秤3mini</t>
  </si>
  <si>
    <t>0602-体脂秤3mini-类目词-首位</t>
  </si>
  <si>
    <t>大桐yoto-体脂秤3mini</t>
  </si>
  <si>
    <t>0530-种草-信息流-大桐yoto-体脂秤3mi</t>
  </si>
  <si>
    <t>爱上健身的Amy-体脂秤3mini</t>
  </si>
  <si>
    <t>0530-种草-信息流-Amy-体脂秤3mini</t>
  </si>
  <si>
    <t>白白-跳绳</t>
  </si>
  <si>
    <t>0531-种草-信息流-白白</t>
  </si>
  <si>
    <t>0531-种草-信息流-白白-心率跳绳</t>
  </si>
  <si>
    <t>小小李-跳绳</t>
  </si>
  <si>
    <t>0531-种草-信息流-云麦心率跳绳赛马测试</t>
  </si>
  <si>
    <t>0606-种草-信息流-小小李-云麦心率跳绳</t>
  </si>
  <si>
    <t>0531-种草-信息流-云麦体脂秤3赛马测试</t>
  </si>
  <si>
    <t>0601-种草-信息流-小菜包-云麦体脂秤3</t>
  </si>
  <si>
    <t>0531-信息流-大桐yoto-体脂秤3mini</t>
  </si>
  <si>
    <t>0601-小雪瑜伽-类目词-首位</t>
  </si>
  <si>
    <t>0601-小雪瑜伽-筋膜枪-类目词-首位</t>
  </si>
  <si>
    <t>产品种草_创意_20220602_1</t>
  </si>
  <si>
    <t>产品种草_创意_20220602_2</t>
  </si>
  <si>
    <t>0602-种草-信息流-小雪教瑜伽</t>
  </si>
  <si>
    <t>0602-种草-信息流-小雪教瑜伽-筋膜枪cc</t>
  </si>
  <si>
    <t>0602-种草-信息流-努力变好的yy-筋膜枪</t>
  </si>
  <si>
    <t xml:space="preserve"> 威风凛凛小队长</t>
  </si>
  <si>
    <t>0602-种草-信息流-体脂秤3赛马计划</t>
  </si>
  <si>
    <t>0603-种草-信息流-咕咕猪小短腿-体脂秤3</t>
  </si>
  <si>
    <t>0602-种草-信息流-心率跳绳赛马测试</t>
  </si>
  <si>
    <t>0605-种草-信息流-小雪教瑜伽-筋膜枪cc</t>
  </si>
  <si>
    <t>0605-种草-信息流-白白-心率跳绳</t>
  </si>
  <si>
    <t>0605-种草-信息流-咕咕猪小短腿-体脂秤3</t>
  </si>
  <si>
    <t>0605-种草-信息流-努力变好的yy-筋膜枪cc</t>
  </si>
  <si>
    <t>0606-种草-信息流-威风凛凛小队长-体脂秤3</t>
  </si>
  <si>
    <t>0606-种草-信息流-努力变好的yy-筋膜枪cc</t>
  </si>
  <si>
    <t>小雪教瑜伽-搜索</t>
  </si>
  <si>
    <t>0606-小雪瑜伽-类目词-筋膜枪cc-</t>
  </si>
  <si>
    <t>圆又圆超爱笑-搜索</t>
  </si>
  <si>
    <t>0606- 圆又圆超爱笑-类目词-筋膜枪cc</t>
  </si>
  <si>
    <t>0606-小方-类目词-体脂秤3mini</t>
  </si>
  <si>
    <t>0614-种草-信息流-小方-体脂秤3mini</t>
  </si>
  <si>
    <t>pp-搜索</t>
  </si>
  <si>
    <t>0606-pp-类目词-体脂秤3mini</t>
  </si>
  <si>
    <t>0614-pp-类目词-体脂秤3mini</t>
  </si>
  <si>
    <t>0606-种草-信息流-pp-体脂秤3mini</t>
  </si>
  <si>
    <t>0607-种草-信息流-雪瑜伽-筋膜枪cc</t>
  </si>
  <si>
    <t>0614-种草-信息流-雪瑜伽-筋膜枪cc</t>
  </si>
  <si>
    <t>0607-种草-信息流-干坐着的小瑶-筋膜枪cc</t>
  </si>
  <si>
    <t>0607-种草-信息流-辣妈含含-体脂秤3</t>
  </si>
  <si>
    <t>0607-种草-信息流-凯琳-心率跳绳</t>
  </si>
  <si>
    <t>0607-种草-信息流-杨大大-心率跳绳</t>
  </si>
  <si>
    <t>0608-种草-信息流-丫丫小姐姐-心率跳绳</t>
  </si>
  <si>
    <t>0614-种草-信息流-六月炎妍-体脂秤3mini</t>
  </si>
  <si>
    <t>0614-种草-信息流- 星星要变瘦-筋膜枪cc</t>
  </si>
  <si>
    <t>苏妤Serene.</t>
  </si>
  <si>
    <t>0614-种草-信息流- 苏妤Sere-筋膜枪cc</t>
  </si>
  <si>
    <t>0614-种草-信息流-小月月-体脂秤3</t>
  </si>
  <si>
    <t>干坐着的小瑶-搜索</t>
  </si>
  <si>
    <t>0614-种草-搜索-干坐着的小瑶</t>
  </si>
  <si>
    <t>0614-抢前3-干坐着的小瑶-类目词-筋膜枪cc</t>
  </si>
  <si>
    <t>凯琳KatherineW-搜索</t>
  </si>
  <si>
    <t>0615-抢赛道-凯琳-首位-心率跳绳</t>
  </si>
  <si>
    <t>六月炎妍-搜素</t>
  </si>
  <si>
    <t>0615-抢赛道-炎妍-类目词-体脂秤3mini</t>
  </si>
  <si>
    <t>0615-抢前3-炎妍-类目词-体脂秤3mini</t>
  </si>
  <si>
    <t>0615-种草-信息流-马可乐-体脂秤3mini</t>
  </si>
  <si>
    <t>苏妤Serene.-搜索</t>
  </si>
  <si>
    <t>0615-抢前3-苏妤-类目词-筋膜枪cc</t>
  </si>
  <si>
    <t>郝有金-搜索</t>
  </si>
  <si>
    <t>0615-抢首-郝有金-类目词-筋膜枪cc</t>
  </si>
  <si>
    <t>爱跳绳的粥粥-搜索</t>
  </si>
  <si>
    <t>0615-抢前3-粥粥-类目词-心率跳绳</t>
  </si>
  <si>
    <t>马可乐cora-搜索</t>
  </si>
  <si>
    <t>0616-抢前3-马可乐-功效词-体脂秤3mini</t>
  </si>
  <si>
    <t>0616-种草-信息流-茜茜子-体脂秤3mini</t>
  </si>
  <si>
    <t>0616-种草-信息流-丹丹-筋膜枪cc</t>
  </si>
  <si>
    <t>0616-种草-信息流-林菀桃桃-筋膜枪cc</t>
  </si>
  <si>
    <t>0616-种草-信息流-爱撸铁的丁-筋膜枪cc</t>
  </si>
  <si>
    <t>0616-种草-信息流-熊猫叮-筋膜枪cc</t>
  </si>
  <si>
    <t>0617-种草-信息流-生椰黎子-体脂秤3mini</t>
  </si>
  <si>
    <t>0617-种草-信息流-福崽-筋膜枪cc</t>
  </si>
  <si>
    <t>0617-种草-信息流-小胡的张张-筋膜枪cc</t>
  </si>
  <si>
    <t>0620-种草-信息流-小蕾-筋膜枪cc</t>
  </si>
  <si>
    <t>0727-种草-信息流-小翻译美芽酱-点击</t>
  </si>
  <si>
    <t>产品种草_创意_20220802_1</t>
  </si>
  <si>
    <t>0802-种草-信息流-曲美腻腻-互动点击</t>
  </si>
  <si>
    <t>0802-种草-信息流-曲美腻腻-筋膜枪-互动点击</t>
  </si>
  <si>
    <t>产品种草_创意_20220802_1_复制085816</t>
  </si>
  <si>
    <t>0804-种草-信息流-阿煜-互动点击</t>
  </si>
  <si>
    <t>0804-种草-信息流-阿煜-筋膜枪-互动点击</t>
  </si>
  <si>
    <t>产品种草_创意_20220805_1</t>
  </si>
  <si>
    <t>0805-种草-信息流-Jeremy 赵-筋膜枪</t>
  </si>
  <si>
    <t>产品种草_创意_20220802_2_复制160803</t>
  </si>
  <si>
    <t>0802-种草-信息流-曲美腻腻-互动点击_复制160803</t>
  </si>
  <si>
    <t>0806-种草-信息流-小恩哥带你练臀-筋膜枪</t>
  </si>
  <si>
    <t>抢占关键词_创意_20220808_1</t>
  </si>
  <si>
    <t>0808-种草-搜素-郝有金-筋膜枪-品牌词-首</t>
  </si>
  <si>
    <t>0808-种草-搜素-郝有金-筋膜枪-品牌词-首_复制185616</t>
  </si>
  <si>
    <t>0808-种草-搜素-苏舒-筋膜枪-品牌词-首</t>
  </si>
  <si>
    <t>抢占关键词_创意_20220808_1_复制185753</t>
  </si>
  <si>
    <t>0808-种草-搜素-郝有金-筋膜枪-品牌词-首_复制185753</t>
  </si>
  <si>
    <t>0808-种草-搜素-郝有金-筋膜枪-类目词-首</t>
  </si>
  <si>
    <t>抢占关键词_创意_20220808_1_复制185930</t>
  </si>
  <si>
    <t>0808-种草-搜素-郝有金-筋膜枪-品牌词-首_复制185930</t>
  </si>
  <si>
    <t>0808-种草-搜素-苏舒-筋膜枪-类目词-前三</t>
  </si>
  <si>
    <t>抢占关键词_创意_20220808_1_复制190437</t>
  </si>
  <si>
    <t>0808-种草-搜素-郝有金-筋膜枪-品牌词-首_复制190437</t>
  </si>
  <si>
    <t>0808-种草-搜素-苏舒-筋膜枪-竞品词-首</t>
  </si>
  <si>
    <t>0808-种草-搜素-郝有金-筋膜枪-品牌词-首_复制190957</t>
  </si>
  <si>
    <t>0808-种草-搜素-pp-体脂秤-品牌词-首</t>
  </si>
  <si>
    <t>抢占关键词_创意_20220808_1_复制191612</t>
  </si>
  <si>
    <t>0808-种草-搜素-郝有金-筋膜枪-品牌词-首_复制191612</t>
  </si>
  <si>
    <t>0808-种草-搜素-pp-体脂秤-类目词-首</t>
  </si>
  <si>
    <t>抢占关键词_创意_20220808_1_复制191843</t>
  </si>
  <si>
    <t>0808-种草-搜素-郝有金-筋膜枪-品牌词-首_复制191843</t>
  </si>
  <si>
    <t>0808-种草-搜素-pp-体脂秤-竞品词-首</t>
  </si>
  <si>
    <t>产品种草_创意_20220809_1</t>
  </si>
  <si>
    <t>0809-种草-信息流-元气芥末酱-点击</t>
  </si>
  <si>
    <t>0809-种草-信息流-元气芥末酱-筋膜枪-点击</t>
  </si>
  <si>
    <t>产品种草_创意_20220811_1</t>
  </si>
  <si>
    <t>0811-种草-信息流-马可乐-筋膜枪-点击</t>
  </si>
  <si>
    <t>0811-种草-信息流-马可乐-pb-点击</t>
  </si>
  <si>
    <t>产品种草_创意_20220812_1</t>
  </si>
  <si>
    <t>0812-种草-信息流-朱俊畅-pb-点击</t>
  </si>
  <si>
    <t>产品种草_创意_20220816_1</t>
  </si>
  <si>
    <t>0811-种草-信息流-马可乐-筋膜枪-点击_复制154842</t>
  </si>
  <si>
    <t>0816-种草-信息流-爱跳绳的粥粥-pb-点击</t>
  </si>
  <si>
    <t>产品种草_创意_20220817_1</t>
  </si>
  <si>
    <t>0817-种草-信息流-大红辣辣椒-pb</t>
  </si>
  <si>
    <t>产品种草_创意_20220818_1</t>
  </si>
  <si>
    <t>0818-种草-信息流-板野友美-pb</t>
  </si>
  <si>
    <t>0818-种草-搜索-元气芥末酱-pb-类目词</t>
  </si>
  <si>
    <t>产品种草_创意_20220819_1</t>
  </si>
  <si>
    <t>0819-种草-信息流-圆圆-pb</t>
  </si>
  <si>
    <t>产品种草_创意_20220820_1</t>
  </si>
  <si>
    <t>0820-种草-信息流-板野友美iii-pb</t>
  </si>
  <si>
    <t>产品种草_创意_20220822_1</t>
  </si>
  <si>
    <t>0822-种草-信息流-雾霾少女i-pb</t>
  </si>
  <si>
    <t>0822-种草-信息流-小蓝i-pb</t>
  </si>
  <si>
    <t>产品种草_创意_20220823_1</t>
  </si>
  <si>
    <t>0823-种草-信息流-桃子酱酱-pb</t>
  </si>
  <si>
    <t>0823-种草-信息流-月亮起床了-pb</t>
  </si>
  <si>
    <t>产品种草_创意_20220829_1</t>
  </si>
  <si>
    <t>0829-种草-信息流-爱梨-pb</t>
  </si>
  <si>
    <t>产品种草_创意_20220831_1</t>
  </si>
  <si>
    <t>0831-种草-信息流-雪碧要加冰-pb</t>
  </si>
  <si>
    <t>0831-种草-信息流-朱俊畅-pb</t>
  </si>
  <si>
    <t>0831-种草-信息流-小雪教瑜伽-cc</t>
  </si>
  <si>
    <t>0831-种草-搜索-朱俊畅-pb-类目词</t>
  </si>
  <si>
    <t>产品种草_创意_20220831_1_复制195807</t>
  </si>
  <si>
    <t>0831-种草-搜索-小雪教瑜伽-cc-类目词</t>
  </si>
  <si>
    <t>产品种草_创意_20220901_1</t>
  </si>
  <si>
    <t>0901-种草-信息流-玩长板的慧慧-pb</t>
  </si>
  <si>
    <t>0901-种草-信息流-Bruce小厮-pb</t>
  </si>
  <si>
    <t>0901-种草-搜索-芥末酱-pb-类目词</t>
  </si>
  <si>
    <t>产品种草_创意_20220902_1</t>
  </si>
  <si>
    <t>0902-种草-信息流-木子棋Kiki-pb-点击</t>
  </si>
  <si>
    <t>0902-种草-信息流-包子熟了-pb-点击</t>
  </si>
  <si>
    <t>0902-种草-搜索-马可乐-pb-类目词</t>
  </si>
  <si>
    <t>产品种草_创意_20220901_1_复制184510</t>
  </si>
  <si>
    <t>0905-种草-搜索-包子熟了-pb-类目词</t>
  </si>
  <si>
    <t>产品种草_创意_20220905_1</t>
  </si>
  <si>
    <t>产品种草_创意_20220906_1</t>
  </si>
  <si>
    <t>0906-种草-信息流-Lucas雨田-pb-点</t>
  </si>
  <si>
    <t>产品种草_创意_20220905_1_复制180351</t>
  </si>
  <si>
    <t>0907-种草-搜索-木子棋-pb-类目词</t>
  </si>
  <si>
    <t>0907-种草-搜索-木子棋Ki-pb-类目词</t>
  </si>
  <si>
    <t>产品种草_创意_20220907_1</t>
  </si>
  <si>
    <t>产品种草_创意_20220908_1</t>
  </si>
  <si>
    <t>0908-种草-搜索-阿三啊-pb-</t>
  </si>
  <si>
    <t>0908-种草-信息流-阿三啊-pb-点</t>
  </si>
  <si>
    <t>产品种草_创意_20220909_1</t>
  </si>
  <si>
    <t>0909-种草-搜索-圆圆-pb-类目词</t>
  </si>
  <si>
    <t>0909-种草-信息流-JJJJackson-pb</t>
  </si>
  <si>
    <t>产品种草_创意_20220901_1_复制144922</t>
  </si>
  <si>
    <t>0910-种草-搜索-小四-pb-类目</t>
  </si>
  <si>
    <t>0910-种草-搜索-小厮-pb-类目词</t>
  </si>
  <si>
    <t>产品种草_创意_20220910_1</t>
  </si>
  <si>
    <t>产品种草_创意_20220914_1</t>
  </si>
  <si>
    <t>0914-种草-信息流-国产收音机X-pb</t>
  </si>
  <si>
    <t>0914-种草-信息流-跑酷莫承烽-pb</t>
  </si>
  <si>
    <t>产品种草_创意_20220916_1</t>
  </si>
  <si>
    <t>国产收音机X_复制183035</t>
  </si>
  <si>
    <t>0916-种草-信息流-小刘爱游泳-pb</t>
  </si>
  <si>
    <t>产品种草_创意_20220917_1</t>
  </si>
  <si>
    <t>0917-种草-信息流-朱俊畅-pb-点击-</t>
  </si>
  <si>
    <t>国产收音机X_复制182936</t>
  </si>
  <si>
    <t>0918-种草-信息流-小乔您了-pb</t>
  </si>
  <si>
    <t>产品种草_创意_20220919_1</t>
  </si>
  <si>
    <t>0919-种草-信息流-西米-pb</t>
  </si>
  <si>
    <t>0919-种草-信息流-林然-pb</t>
  </si>
  <si>
    <t>产品种草_创意_20220922_1</t>
  </si>
  <si>
    <t>0922-种草-信息流-芥末酱-pb</t>
  </si>
  <si>
    <t>产品种草_创意_20220923_1</t>
  </si>
  <si>
    <t>0923-种草-信息流-小羊羔崽子-pb-互动</t>
  </si>
  <si>
    <t>0923-种草-信息流-一颗西兰花fa-pb-点击</t>
  </si>
  <si>
    <t>0923-种草-信息流-一颗西兰花fa-pb-互动</t>
  </si>
  <si>
    <t>产品种草_创意_20220924_1</t>
  </si>
  <si>
    <t>0924-种草-信息流-小羊羔崽子-点击</t>
  </si>
  <si>
    <t>0924-种草-信息流-一颗西兰花fa-点击</t>
  </si>
  <si>
    <t>产品种草_创意_20220926_1</t>
  </si>
  <si>
    <t>0926-种草-信息流-小小柯尔鸭-自定义标签</t>
  </si>
  <si>
    <t>0926-种草-信息流-小小柯尔鸭--pb-自定义</t>
  </si>
  <si>
    <t>产品种草_创意_20220928_1</t>
  </si>
  <si>
    <t>0928-种草-信息流-西米-点击</t>
  </si>
  <si>
    <t>0928-种草-信息流-西米-pb-点击</t>
  </si>
  <si>
    <t>0928-种草-信息流-高凯元-pb-互动</t>
  </si>
  <si>
    <t>产品种草_创意_20220919_1_复制161035</t>
  </si>
  <si>
    <t>0919-种草-信息流-西米-pb_复制161035</t>
  </si>
  <si>
    <t>0919-种草-信息流-西米-pb-通投</t>
  </si>
  <si>
    <t>产品种草_创意_20220930_1</t>
  </si>
  <si>
    <t>0930-种草-搜索-芥末酱-类目词</t>
  </si>
  <si>
    <t>产品种草_创意_20220930_1_复制184802</t>
  </si>
  <si>
    <t>0930-种草-搜索-pp-3mini-类目词</t>
  </si>
  <si>
    <t>产品种草_创意_20221011_1</t>
  </si>
  <si>
    <t>1011-种草-信息流-臃肿大白鹅</t>
  </si>
  <si>
    <t>1011-种草-信息流-芋泥团团茶</t>
  </si>
  <si>
    <t>产品种草_创意_20221013_1</t>
  </si>
  <si>
    <t>1013-种草-信息流-板野友美-pb</t>
  </si>
  <si>
    <t>产品种草_创意_20221014_1</t>
  </si>
  <si>
    <t>1014-种草-信息流-一颗西兰花fa</t>
  </si>
  <si>
    <t>1014-种草-信息流-郝有金-cc</t>
  </si>
  <si>
    <t>产品种草_创意_20221014_1_复制174035</t>
  </si>
  <si>
    <t>1014-种草-信息流-一颗西</t>
  </si>
  <si>
    <t>1014-种草-信息流-一颗西兰花fa_pb</t>
  </si>
  <si>
    <t>产品种草_创意_20221018_1</t>
  </si>
  <si>
    <t>1018-种草-信息流-蜜桃少女宁小美-cc</t>
  </si>
  <si>
    <t>1018-种草-信息流-thePans.-cc</t>
  </si>
  <si>
    <t>1018-种草-信息流-pp-体脂秤-3mini</t>
  </si>
  <si>
    <t>1018-种草-信息流-pp-体脂秤-点击</t>
  </si>
  <si>
    <t>产品种草_创意_20221014_1_复制210502</t>
  </si>
  <si>
    <t>1014-种草-信息流-一颗西兰花fa_复制210502</t>
  </si>
  <si>
    <t>1018-种草-信息流-一颗西兰花fa_pb</t>
  </si>
  <si>
    <t>产品种草_创意_20221018_1_复制213708</t>
  </si>
  <si>
    <t>1018-种草-信息流-thePans.-cc_复制213708</t>
  </si>
  <si>
    <t>1018-种草-信息流-thePans.-cc-</t>
  </si>
  <si>
    <t>产品种草_创意_20221019_1</t>
  </si>
  <si>
    <t>1019-种草-信息流-索菲亚-体脂秤-3mini</t>
  </si>
  <si>
    <t>1019-种草-信息流-健康营养师格格</t>
  </si>
  <si>
    <t>1019-种草-信息流-营养师格格-筋膜枪-cc</t>
  </si>
  <si>
    <t>1019-种草-信息流-咦同学-筋膜枪-cc</t>
  </si>
  <si>
    <t>产品种草_创意_20221020_1</t>
  </si>
  <si>
    <t>1020-种草-信息流-thePans-筋膜枪cc</t>
  </si>
  <si>
    <t>1020-信息流-橘子汽水-体脂秤-3mini</t>
  </si>
  <si>
    <t>产品种草_创意_20221021_1</t>
  </si>
  <si>
    <t>1021-信息流-诸葛亮晶晶-体脂秤-3mini</t>
  </si>
  <si>
    <t>产品种草_创意_20221014_1_复制180331</t>
  </si>
  <si>
    <t>1014-种草-信息流-一颗西兰花fa_复制180331</t>
  </si>
  <si>
    <t>1021-种草-信息流-一颗西兰花fa_pb_复制</t>
  </si>
  <si>
    <t>产品种草_创意_20221022_1</t>
  </si>
  <si>
    <t>1022-种草-信息流-小羊羔崽子-筋膜枪-pb</t>
  </si>
  <si>
    <t>1022-种草-信息流-形体矫正小李-筋膜枪-pb</t>
  </si>
  <si>
    <t>抢占关键词_创意_20221024_1</t>
  </si>
  <si>
    <t>1024-抢位-一颗西兰花fa-筋膜枪-品牌词</t>
  </si>
  <si>
    <t>1024-搜索-一颗西兰花fa-品牌词</t>
  </si>
  <si>
    <t>抢占关键词_创意_20221024_1_复制180927</t>
  </si>
  <si>
    <t>1024-种草-信息流-一颗西兰花fa-品类词</t>
  </si>
  <si>
    <t>1024-搜索-一颗西兰花fa-品类词</t>
  </si>
  <si>
    <t>产品种草_创意_20221024_1</t>
  </si>
  <si>
    <t>1024-信息流-pp-体脂秤-3mini</t>
  </si>
  <si>
    <t>抢占关键词_创意_20221024_1_复制181701</t>
  </si>
  <si>
    <t>1024-信息流-pp-体脂-3mini-品牌词</t>
  </si>
  <si>
    <t>1024-搜索-pp-体脂-3mini-品牌词</t>
  </si>
  <si>
    <t>抢占关键词_创意_20221024_1_复制182937</t>
  </si>
  <si>
    <t>1024-信息流-pp-体脂-3mini-品牌词_复制182937</t>
  </si>
  <si>
    <t>1024-搜索-pp-体脂秤-3mini-类目词</t>
  </si>
  <si>
    <t>产品种草_创意_20221025_1</t>
  </si>
  <si>
    <t>1025-种草-信息流-脆鱼日记-筋膜枪cc</t>
  </si>
  <si>
    <t>1025-种草-信息流- 蜜桃少女宁-筋膜枪cc</t>
  </si>
  <si>
    <t>产品种草_创意_20221026_1</t>
  </si>
  <si>
    <t>1026-种草-信息流-西米-筋膜枪-pb</t>
  </si>
  <si>
    <t>抢占关键词_创意_20221026_1</t>
  </si>
  <si>
    <t>1026-搜索-包子-品牌词</t>
  </si>
  <si>
    <t>1026-搜索-包子-品类词</t>
  </si>
  <si>
    <t>产品种草_创意_20221029_1</t>
  </si>
  <si>
    <t>11029-种草-信息流-小乔您了-筋膜枪-pb</t>
  </si>
  <si>
    <t>1029-种草-信息流-小乔您了-筋膜枪-pb</t>
  </si>
  <si>
    <t>抢占关键词_创意_20221026_1_复制180124</t>
  </si>
  <si>
    <t>1026-搜索-芥末酱-品类词</t>
  </si>
  <si>
    <t>抢占关键词_创意_20221031_1</t>
  </si>
  <si>
    <t>抢占关键词_创意_20221031_1_复制180407</t>
  </si>
  <si>
    <t>1031-搜索-郝有金-品类词</t>
  </si>
  <si>
    <t>抢占关键词_创意_20221026_1_复制180705</t>
  </si>
  <si>
    <t>1031-搜索-小岛-品类词</t>
  </si>
  <si>
    <t>抢占关键词_创意_20221031_1_复制180813</t>
  </si>
  <si>
    <t>1031-搜索-橘子汽水-品类词</t>
  </si>
  <si>
    <t>1031-搜索-小岛-体脂秤-3mini-类目词</t>
  </si>
  <si>
    <t>产品种草_创意_20221022_1_复制201824</t>
  </si>
  <si>
    <t>1022-种草-信息流-小羊羔崽子-筋膜枪-pb_复制201824</t>
  </si>
  <si>
    <t>1031-种草-信息流-小羊羔崽子-筋膜枪-pb_</t>
  </si>
  <si>
    <t>抢占关键词_创意_20221031_1_复制202047</t>
  </si>
  <si>
    <t>1031-搜索-小岛-体脂秤-3mini-类目词_</t>
  </si>
  <si>
    <t>1031-搜索-橘子汽水-体脂秤-3mini-类目</t>
  </si>
  <si>
    <t>产品种草_创意_20221101_1</t>
  </si>
  <si>
    <t>1101-种草-信息流-小甜心-体脂秤-3mini</t>
  </si>
  <si>
    <t>1101-种草-信息流-周周也是倩倩-筋膜枪-pb</t>
  </si>
  <si>
    <t>1101-种草-信息流-Zora张张-筋膜枪-pb</t>
  </si>
  <si>
    <t>产品种草_创意_20221102_1</t>
  </si>
  <si>
    <t>1102-种草-信息流-爱健身陈淼淼-筋膜枪-pb</t>
  </si>
  <si>
    <t>产品种草_创意_20221103_1</t>
  </si>
  <si>
    <t>1103-种草-信息流-晚一子-点击</t>
  </si>
  <si>
    <t>产品种草_创意_20221102_1_复制190941</t>
  </si>
  <si>
    <t>1102-种草-信息流-爱健身陈淼淼-筋膜枪-pb_复制190941</t>
  </si>
  <si>
    <t>1104-种草-信息流-爱健身陈淼淼-筋膜枪-pb</t>
  </si>
  <si>
    <t>产品种草_创意_20221105_1</t>
  </si>
  <si>
    <t>1105-种草-信息流-Zora張張-筋膜枪-cc</t>
  </si>
  <si>
    <t>1105-种草-信息流-Zora張張-筋膜枪-pb</t>
  </si>
  <si>
    <t>产品种草_创意_20221106_1</t>
  </si>
  <si>
    <t>1106-种草-信息流-脆鱼日记-筋膜枪cc</t>
  </si>
  <si>
    <t>抢占关键词_创意_20221026_1_复制193653</t>
  </si>
  <si>
    <t>1026-搜索-包子-品类词_复制193653</t>
  </si>
  <si>
    <t>1107-搜索-西兰花-品类词_</t>
  </si>
  <si>
    <t>抢占关键词_创意_20221107_1</t>
  </si>
  <si>
    <t>产品种草_创意_20221107_1</t>
  </si>
  <si>
    <t>1107-种草-信息流-语宸-筋膜枪cc</t>
  </si>
  <si>
    <t>1107-种草-信息流-小糖果-筋膜枪cc</t>
  </si>
  <si>
    <t>1107-种草-信息流-毛豆-体脂秤3mini</t>
  </si>
  <si>
    <t>1107-种草-信息流-趁早早-体脂秤3mini</t>
  </si>
  <si>
    <t>产品种草_创意_20221022_1_复制221708</t>
  </si>
  <si>
    <t>1022-种草-信息流-小羊羔崽子-筋膜枪-pb_复制221708</t>
  </si>
  <si>
    <t>1107-种草-信息流-小羊羔崽子-筋膜枪-pb</t>
  </si>
  <si>
    <t>产品种草_创意_20221108_1</t>
  </si>
  <si>
    <t>1108-种草-信息流-语宸-筋膜枪cc</t>
  </si>
  <si>
    <t>1108-种草-信息流-方丈-筋膜枪pb</t>
  </si>
  <si>
    <t>1108-种草-信息流-晚一子-体脂秤3mini</t>
  </si>
  <si>
    <t>抢占关键词_创意_20221108_1</t>
  </si>
  <si>
    <t>1108-搜索-小羊羔-品类词</t>
  </si>
  <si>
    <t>1109-种草-信息流-趁早早-体脂秤3mini</t>
  </si>
  <si>
    <t>产品种草_创意_20221109_1</t>
  </si>
  <si>
    <t>1109-种草-信息流-小岛-体脂秤3mini</t>
  </si>
  <si>
    <t>抢占关键词_创意_20221108_1_复制193404</t>
  </si>
  <si>
    <t>1108-搜索-小羊羔-品类词_复制193404</t>
  </si>
  <si>
    <t>1108-搜索-猪脚-跳绳-品类词</t>
  </si>
  <si>
    <t>抢占关键词_创意_20221109_1</t>
  </si>
  <si>
    <t>产品种草_创意_20221110_1</t>
  </si>
  <si>
    <t>1110-种草-信息流-野生辣妹-筋膜枪</t>
  </si>
  <si>
    <t>1110-种草-信息流-樱桃小丸子-筋膜枪</t>
  </si>
  <si>
    <t>1110-种草-信息流-秦亲亲-体脂秤3mini</t>
  </si>
  <si>
    <t>抢占关键词_创意_20221110_1</t>
  </si>
  <si>
    <t>1110-种草-信息流-曼玉-跳绳</t>
  </si>
  <si>
    <t>抢占关键词_创意_20221031_1_复制172445</t>
  </si>
  <si>
    <t>1111-搜索-马可乐-体脂秤-3mini-类目词</t>
  </si>
  <si>
    <t>产品种草_创意_20220822_2</t>
  </si>
  <si>
    <t>0823-种草-信息流-小蓝i-pb</t>
  </si>
  <si>
    <t>产品种草_创意_20220822_3</t>
  </si>
  <si>
    <t>0824-种草-信息流-小蓝i-pb</t>
  </si>
  <si>
    <t>产品种草_创意_20220822_4</t>
  </si>
  <si>
    <t>0825-种草-信息流-小蓝i-pb</t>
  </si>
  <si>
    <t>产品种草_创意_20220822_5</t>
  </si>
  <si>
    <t>0826-种草-信息流-小蓝i-pb</t>
  </si>
  <si>
    <t>产品种草_创意_20220822_6</t>
  </si>
  <si>
    <t>0827-种草-信息流-小蓝i-pb</t>
  </si>
  <si>
    <t>产品种草_创意_20220822_7</t>
  </si>
  <si>
    <t>0828-种草-信息流-小蓝i-pb</t>
  </si>
  <si>
    <t>产品种草_创意_20220822_8</t>
  </si>
  <si>
    <t>0829-种草-信息流-小蓝i-pb</t>
  </si>
  <si>
    <t>产品种草_创意_20220822_9</t>
  </si>
  <si>
    <t>0830-种草-信息流-小蓝i-pb</t>
  </si>
  <si>
    <t>产品种草_创意_20220822_10</t>
  </si>
  <si>
    <t>0831-种草-信息流-小蓝i-pb</t>
  </si>
  <si>
    <t>产品种草_创意_20220822_11</t>
  </si>
  <si>
    <t>0832-种草-信息流-小蓝i-pb</t>
  </si>
  <si>
    <t>产品种草_创意_20220822_12</t>
  </si>
  <si>
    <t>0833-种草-信息流-小蓝i-pb</t>
  </si>
  <si>
    <t>产品种草_创意_20220822_13</t>
  </si>
  <si>
    <t>0834-种草-信息流-小蓝i-pb</t>
  </si>
  <si>
    <t>产品种草_创意_20220822_14</t>
  </si>
  <si>
    <t>0835-种草-信息流-小蓝i-pb</t>
  </si>
  <si>
    <t>产品种草_创意_20220822_15</t>
  </si>
  <si>
    <t>0836-种草-信息流-小蓝i-pb</t>
  </si>
  <si>
    <t>产品种草_创意_20220822_16</t>
  </si>
  <si>
    <t>0837-种草-信息流-小蓝i-pb</t>
  </si>
  <si>
    <t>产品种草_创意_20220822_17</t>
  </si>
  <si>
    <t>0838-种草-信息流-小蓝i-pb</t>
  </si>
  <si>
    <t>1201-信息流-蔓玉有点甜-跳绳</t>
  </si>
  <si>
    <t>1201-信息流-miss小宝-筋膜枪pb2</t>
  </si>
  <si>
    <t>1202-信息流-嘎嘎今天不要懒-跳绳2go</t>
  </si>
  <si>
    <t>1203-信息流-小饼-筋膜枪cc</t>
  </si>
  <si>
    <t>1203-信息流-包子熟了-筋膜枪pb2</t>
  </si>
  <si>
    <t>1203-信息流-芒果腻-跳绳2go</t>
  </si>
  <si>
    <t>1204-种草-信息流-一颗西兰花-筋膜枪pb2</t>
  </si>
  <si>
    <t>1204-种草-信息流-zora张张-ccgo</t>
  </si>
  <si>
    <t>1204-种草-信息流-猪脚-跳绳2go</t>
  </si>
  <si>
    <t>1205-种草-信息流-小羊羔崽子-筋膜枪pb2</t>
  </si>
  <si>
    <t>1205-种草-信息流-臃肿大白鹅-筋膜枪pb2</t>
  </si>
  <si>
    <t>1205-种草-信息流-蛋卷er-筋膜枪cc</t>
  </si>
  <si>
    <t>1206-种草-信息流-紫菜-筋膜枪cc</t>
  </si>
  <si>
    <t>1207-抢位-包子-cc-首位</t>
  </si>
  <si>
    <t>63104c390000000011035a33_复制185030</t>
  </si>
  <si>
    <t>1207-抢位-张张-cc-前三</t>
  </si>
  <si>
    <t>1207-种草-信息流-Morii-跳绳2go</t>
  </si>
  <si>
    <t>1207-抢位-包子-cc-首位--短语</t>
  </si>
  <si>
    <t>1207-抢位-张张-cc-前三-短语</t>
  </si>
  <si>
    <t>1208-种草-信息流- 是33崽-筋膜枪cc</t>
  </si>
  <si>
    <t>1209-种草-信息流-马可乐-pb2</t>
  </si>
  <si>
    <t>63104c390000000011035a33_复制174313</t>
  </si>
  <si>
    <t>1212-抢位-马可乐-pb-前三</t>
  </si>
  <si>
    <t>(多项)</t>
  </si>
  <si>
    <t>2022/9/1-2022/11/11</t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</si>
</sst>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#,##0.00_ "/>
    <numFmt numFmtId="178" formatCode="yyyy/m/d;@"/>
    <numFmt numFmtId="179" formatCode="yyyy\-mm\-dd"/>
    <numFmt numFmtId="180" formatCode="\¥#,##0"/>
    <numFmt numFmtId="181" formatCode="0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indexed="8"/>
      <name val="宋体"/>
      <charset val="134"/>
      <scheme val="minor"/>
    </font>
    <font>
      <b/>
      <sz val="11"/>
      <color rgb="FF000000"/>
      <name val="微软雅黑"/>
      <charset val="134"/>
    </font>
    <font>
      <u/>
      <sz val="11"/>
      <color rgb="FF0000FF"/>
      <name val="微软雅黑"/>
      <charset val="0"/>
    </font>
    <font>
      <sz val="11"/>
      <color rgb="FF333333"/>
      <name val="微软雅黑"/>
      <charset val="134"/>
    </font>
    <font>
      <sz val="11"/>
      <color rgb="FF000000"/>
      <name val="Arial"/>
      <charset val="134"/>
    </font>
    <font>
      <b/>
      <sz val="11"/>
      <color theme="1"/>
      <name val="微软雅黑"/>
      <charset val="134"/>
    </font>
    <font>
      <b/>
      <sz val="11"/>
      <color rgb="FF3B72AF"/>
      <name val="微软雅黑"/>
      <charset val="134"/>
    </font>
    <font>
      <sz val="11"/>
      <color rgb="FF2D2D2D"/>
      <name val="微软雅黑"/>
      <charset val="134"/>
    </font>
    <font>
      <sz val="11"/>
      <color rgb="FF000000"/>
      <name val="微软雅黑"/>
      <charset val="134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color theme="0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  <font>
      <u/>
      <sz val="11"/>
      <color rgb="FF0000FF"/>
      <name val="宋体"/>
      <charset val="0"/>
    </font>
    <font>
      <u/>
      <sz val="11"/>
      <color rgb="FF0000FF"/>
      <name val="Times New Roman"/>
      <charset val="0"/>
    </font>
    <font>
      <sz val="11"/>
      <color theme="1"/>
      <name val="Times New Roman"/>
      <charset val="134"/>
    </font>
    <font>
      <sz val="11"/>
      <color theme="1"/>
      <name val="Arial"/>
      <charset val="134"/>
    </font>
  </fonts>
  <fills count="4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3FAFF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1F2329"/>
      </left>
      <right style="medium">
        <color rgb="FF1F2329"/>
      </right>
      <top style="medium">
        <color rgb="FF1F2329"/>
      </top>
      <bottom style="medium">
        <color rgb="FF1F2329"/>
      </bottom>
      <diagonal/>
    </border>
    <border>
      <left style="thin">
        <color auto="1"/>
      </left>
      <right/>
      <top/>
      <bottom/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5" fillId="14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8" borderId="14" applyNumberFormat="0" applyFont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6" fillId="22" borderId="17" applyNumberFormat="0" applyAlignment="0" applyProtection="0">
      <alignment vertical="center"/>
    </xf>
    <xf numFmtId="0" fontId="27" fillId="22" borderId="13" applyNumberFormat="0" applyAlignment="0" applyProtection="0">
      <alignment vertical="center"/>
    </xf>
    <xf numFmtId="0" fontId="28" fillId="23" borderId="18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9" fillId="0" borderId="19" applyNumberFormat="0" applyFill="0" applyAlignment="0" applyProtection="0">
      <alignment vertical="center"/>
    </xf>
    <xf numFmtId="0" fontId="30" fillId="0" borderId="20" applyNumberFormat="0" applyFill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7" fillId="40" borderId="0" applyNumberFormat="0" applyBorder="0" applyAlignment="0" applyProtection="0">
      <alignment vertical="center"/>
    </xf>
    <xf numFmtId="0" fontId="17" fillId="41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7" fillId="43" borderId="0" applyNumberFormat="0" applyBorder="0" applyAlignment="0" applyProtection="0">
      <alignment vertical="center"/>
    </xf>
  </cellStyleXfs>
  <cellXfs count="117">
    <xf numFmtId="0" fontId="0" fillId="0" borderId="0" xfId="0">
      <alignment vertical="center"/>
    </xf>
    <xf numFmtId="10" fontId="0" fillId="0" borderId="0" xfId="11" applyNumberForma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10" fontId="1" fillId="0" borderId="1" xfId="11" applyNumberFormat="1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10" fontId="1" fillId="2" borderId="2" xfId="0" applyNumberFormat="1" applyFont="1" applyFill="1" applyBorder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1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10" fontId="1" fillId="0" borderId="2" xfId="0" applyNumberFormat="1" applyFont="1" applyFill="1" applyBorder="1" applyAlignment="1">
      <alignment horizontal="center" vertical="center"/>
    </xf>
    <xf numFmtId="177" fontId="1" fillId="2" borderId="2" xfId="0" applyNumberFormat="1" applyFont="1" applyFill="1" applyBorder="1" applyAlignment="1">
      <alignment horizontal="center" vertical="center" wrapText="1"/>
    </xf>
    <xf numFmtId="177" fontId="1" fillId="0" borderId="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10" fontId="2" fillId="0" borderId="3" xfId="0" applyNumberFormat="1" applyFont="1" applyFill="1" applyBorder="1" applyAlignment="1">
      <alignment horizontal="center" vertical="center"/>
    </xf>
    <xf numFmtId="10" fontId="0" fillId="0" borderId="0" xfId="0" applyNumberFormat="1" applyFill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178" fontId="0" fillId="0" borderId="0" xfId="0" applyNumberFormat="1" applyBorder="1" applyAlignment="1">
      <alignment horizontal="center" vertical="center"/>
    </xf>
    <xf numFmtId="179" fontId="0" fillId="0" borderId="0" xfId="0" applyNumberFormat="1" applyBorder="1" applyAlignment="1">
      <alignment horizontal="center" vertical="center"/>
    </xf>
    <xf numFmtId="180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178" fontId="3" fillId="2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/>
    </xf>
    <xf numFmtId="0" fontId="4" fillId="0" borderId="1" xfId="1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79" fontId="3" fillId="2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10" fontId="1" fillId="2" borderId="2" xfId="0" applyNumberFormat="1" applyFont="1" applyFill="1" applyBorder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176" fontId="1" fillId="2" borderId="6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/>
    </xf>
    <xf numFmtId="10" fontId="1" fillId="0" borderId="2" xfId="0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178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0" fontId="0" fillId="2" borderId="0" xfId="0" applyFill="1">
      <alignment vertical="center"/>
    </xf>
    <xf numFmtId="180" fontId="3" fillId="2" borderId="1" xfId="0" applyNumberFormat="1" applyFont="1" applyFill="1" applyBorder="1" applyAlignment="1">
      <alignment horizontal="center" vertical="center" wrapText="1"/>
    </xf>
    <xf numFmtId="178" fontId="3" fillId="2" borderId="1" xfId="0" applyNumberFormat="1" applyFont="1" applyFill="1" applyBorder="1" applyAlignment="1">
      <alignment horizontal="center" vertical="center" wrapText="1"/>
    </xf>
    <xf numFmtId="179" fontId="3" fillId="2" borderId="8" xfId="0" applyNumberFormat="1" applyFont="1" applyFill="1" applyBorder="1" applyAlignment="1">
      <alignment horizontal="center" vertical="center" wrapText="1"/>
    </xf>
    <xf numFmtId="179" fontId="3" fillId="2" borderId="9" xfId="0" applyNumberFormat="1" applyFont="1" applyFill="1" applyBorder="1" applyAlignment="1">
      <alignment horizontal="center" vertical="center" wrapText="1"/>
    </xf>
    <xf numFmtId="178" fontId="1" fillId="0" borderId="1" xfId="0" applyNumberFormat="1" applyFont="1" applyBorder="1" applyAlignment="1">
      <alignment horizontal="center" vertical="center" wrapText="1"/>
    </xf>
    <xf numFmtId="179" fontId="1" fillId="0" borderId="1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10" fontId="3" fillId="2" borderId="1" xfId="11" applyNumberFormat="1" applyFont="1" applyFill="1" applyBorder="1" applyAlignment="1">
      <alignment horizontal="center" vertical="center" wrapText="1"/>
    </xf>
    <xf numFmtId="10" fontId="1" fillId="2" borderId="1" xfId="11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10" fontId="1" fillId="5" borderId="1" xfId="11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14" fontId="8" fillId="0" borderId="1" xfId="0" applyNumberFormat="1" applyFont="1" applyFill="1" applyBorder="1" applyAlignment="1">
      <alignment horizontal="center" vertical="center" wrapText="1"/>
    </xf>
    <xf numFmtId="176" fontId="1" fillId="0" borderId="1" xfId="0" applyNumberFormat="1" applyFont="1" applyFill="1" applyBorder="1" applyAlignment="1">
      <alignment vertical="center"/>
    </xf>
    <xf numFmtId="176" fontId="1" fillId="2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11" fillId="7" borderId="1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 wrapText="1"/>
    </xf>
    <xf numFmtId="0" fontId="12" fillId="8" borderId="11" xfId="0" applyFont="1" applyFill="1" applyBorder="1" applyAlignment="1">
      <alignment horizontal="center" vertical="center" wrapText="1"/>
    </xf>
    <xf numFmtId="0" fontId="12" fillId="8" borderId="12" xfId="0" applyFont="1" applyFill="1" applyBorder="1" applyAlignment="1">
      <alignment horizontal="center" vertical="center" wrapText="1"/>
    </xf>
    <xf numFmtId="0" fontId="12" fillId="8" borderId="10" xfId="0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 vertical="center"/>
    </xf>
    <xf numFmtId="179" fontId="11" fillId="9" borderId="1" xfId="0" applyNumberFormat="1" applyFont="1" applyFill="1" applyBorder="1" applyAlignment="1">
      <alignment horizontal="center" vertical="center"/>
    </xf>
    <xf numFmtId="181" fontId="11" fillId="0" borderId="10" xfId="0" applyNumberFormat="1" applyFont="1" applyFill="1" applyBorder="1" applyAlignment="1">
      <alignment horizontal="center" vertical="center"/>
    </xf>
    <xf numFmtId="181" fontId="11" fillId="0" borderId="11" xfId="0" applyNumberFormat="1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0" fontId="11" fillId="11" borderId="1" xfId="11" applyNumberFormat="1" applyFont="1" applyFill="1" applyBorder="1" applyAlignment="1">
      <alignment horizontal="center" vertical="center"/>
    </xf>
    <xf numFmtId="0" fontId="11" fillId="12" borderId="1" xfId="0" applyFont="1" applyFill="1" applyBorder="1" applyAlignment="1">
      <alignment horizontal="center" vertical="center"/>
    </xf>
    <xf numFmtId="181" fontId="11" fillId="0" borderId="1" xfId="0" applyNumberFormat="1" applyFont="1" applyFill="1" applyBorder="1" applyAlignment="1">
      <alignment horizontal="center" vertical="center"/>
    </xf>
    <xf numFmtId="0" fontId="12" fillId="0" borderId="12" xfId="0" applyFont="1" applyFill="1" applyBorder="1" applyAlignment="1">
      <alignment horizontal="center" vertical="center" wrapText="1"/>
    </xf>
    <xf numFmtId="0" fontId="12" fillId="8" borderId="10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12" fillId="8" borderId="11" xfId="0" applyFont="1" applyFill="1" applyBorder="1" applyAlignment="1">
      <alignment horizontal="center" vertical="center"/>
    </xf>
    <xf numFmtId="181" fontId="11" fillId="0" borderId="12" xfId="0" applyNumberFormat="1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176" fontId="1" fillId="2" borderId="6" xfId="0" applyNumberFormat="1" applyFont="1" applyFill="1" applyBorder="1" applyAlignment="1">
      <alignment horizontal="center" vertical="center" wrapText="1"/>
    </xf>
    <xf numFmtId="176" fontId="1" fillId="2" borderId="2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76">
    <dxf>
      <numFmt numFmtId="182" formatCode="0.0%"/>
    </dxf>
    <dxf>
      <numFmt numFmtId="10" formatCode="0.00%"/>
    </dxf>
    <dxf>
      <numFmt numFmtId="183" formatCode="0.00000000_ "/>
    </dxf>
    <dxf>
      <numFmt numFmtId="184" formatCode="0.0000000_ "/>
    </dxf>
    <dxf>
      <numFmt numFmtId="185" formatCode="0.000000_ "/>
    </dxf>
    <dxf>
      <numFmt numFmtId="186" formatCode="0.00000_ "/>
    </dxf>
    <dxf>
      <numFmt numFmtId="187" formatCode="0.0000_ "/>
    </dxf>
    <dxf>
      <numFmt numFmtId="188" formatCode="0.000_ "/>
    </dxf>
    <dxf>
      <numFmt numFmtId="176" formatCode="0.00_ "/>
    </dxf>
    <dxf>
      <numFmt numFmtId="189" formatCode="0.0000000_ "/>
    </dxf>
    <dxf>
      <numFmt numFmtId="190" formatCode="0.000000_ "/>
    </dxf>
    <dxf>
      <numFmt numFmtId="191" formatCode="0.00000_ "/>
    </dxf>
    <dxf>
      <numFmt numFmtId="192" formatCode="0.0000_ "/>
    </dxf>
    <dxf>
      <numFmt numFmtId="193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94" formatCode="0.0_ "/>
    </dxf>
    <dxf>
      <numFmt numFmtId="181" formatCode="0_ "/>
    </dxf>
    <dxf>
      <numFmt numFmtId="195" formatCode="0.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numFmt numFmtId="196" formatCode="0.0%"/>
    </dxf>
    <dxf>
      <numFmt numFmtId="10" formatCode="0.00%"/>
    </dxf>
    <dxf>
      <numFmt numFmtId="197" formatCode="0.00000000_ "/>
    </dxf>
    <dxf>
      <numFmt numFmtId="198" formatCode="0.0000000_ "/>
    </dxf>
    <dxf>
      <numFmt numFmtId="199" formatCode="0.000000_ "/>
    </dxf>
    <dxf>
      <numFmt numFmtId="200" formatCode="0.00000_ "/>
    </dxf>
    <dxf>
      <numFmt numFmtId="201" formatCode="0.0000_ "/>
    </dxf>
    <dxf>
      <numFmt numFmtId="202" formatCode="0.000_ "/>
    </dxf>
    <dxf>
      <numFmt numFmtId="176" formatCode="0.00_ "/>
    </dxf>
    <dxf>
      <numFmt numFmtId="203" formatCode="0.0000000_ "/>
    </dxf>
    <dxf>
      <numFmt numFmtId="204" formatCode="0.000000_ "/>
    </dxf>
    <dxf>
      <numFmt numFmtId="205" formatCode="0.00000_ "/>
    </dxf>
    <dxf>
      <numFmt numFmtId="206" formatCode="0.0000_ "/>
    </dxf>
    <dxf>
      <numFmt numFmtId="207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08" formatCode="0.00000000_ "/>
    </dxf>
    <dxf>
      <numFmt numFmtId="209" formatCode="0.00000000_ "/>
    </dxf>
    <dxf>
      <numFmt numFmtId="210" formatCode="0.0000000_ "/>
    </dxf>
    <dxf>
      <numFmt numFmtId="211" formatCode="0.0000000_ "/>
    </dxf>
    <dxf>
      <numFmt numFmtId="212" formatCode="0.000000_ "/>
    </dxf>
    <dxf>
      <numFmt numFmtId="213" formatCode="0.000000_ "/>
    </dxf>
    <dxf>
      <numFmt numFmtId="214" formatCode="0.00000_ "/>
    </dxf>
    <dxf>
      <numFmt numFmtId="215" formatCode="0.00000_ "/>
    </dxf>
    <dxf>
      <numFmt numFmtId="216" formatCode="0.0000_ "/>
    </dxf>
    <dxf>
      <numFmt numFmtId="217" formatCode="0.0000_ "/>
    </dxf>
    <dxf>
      <numFmt numFmtId="218" formatCode="0.000_ "/>
    </dxf>
    <dxf>
      <numFmt numFmtId="219" formatCode="0.000_ "/>
    </dxf>
    <dxf>
      <numFmt numFmtId="176" formatCode="0.0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numFmt numFmtId="220" formatCode="0.0%"/>
    </dxf>
    <dxf>
      <numFmt numFmtId="10" formatCode="0.00%"/>
    </dxf>
    <dxf>
      <numFmt numFmtId="221" formatCode="0.00000000_ "/>
    </dxf>
    <dxf>
      <numFmt numFmtId="222" formatCode="0.0000000_ "/>
    </dxf>
    <dxf>
      <numFmt numFmtId="223" formatCode="0.000000_ "/>
    </dxf>
    <dxf>
      <numFmt numFmtId="224" formatCode="0.00000_ "/>
    </dxf>
    <dxf>
      <numFmt numFmtId="225" formatCode="0.0000_ "/>
    </dxf>
    <dxf>
      <numFmt numFmtId="226" formatCode="0.000_ "/>
    </dxf>
    <dxf>
      <numFmt numFmtId="176" formatCode="0.00_ "/>
    </dxf>
    <dxf>
      <numFmt numFmtId="227" formatCode="0.0000000_ "/>
    </dxf>
    <dxf>
      <numFmt numFmtId="228" formatCode="0.000000_ "/>
    </dxf>
    <dxf>
      <numFmt numFmtId="229" formatCode="0.00000_ "/>
    </dxf>
    <dxf>
      <numFmt numFmtId="230" formatCode="0.0000_ "/>
    </dxf>
    <dxf>
      <numFmt numFmtId="231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232" formatCode="0.00000000_ "/>
    </dxf>
    <dxf>
      <numFmt numFmtId="233" formatCode="0.00000000_ "/>
    </dxf>
    <dxf>
      <numFmt numFmtId="234" formatCode="0.0000000_ "/>
    </dxf>
    <dxf>
      <numFmt numFmtId="235" formatCode="0.0000000_ "/>
    </dxf>
    <dxf>
      <numFmt numFmtId="236" formatCode="0.000000_ "/>
    </dxf>
    <dxf>
      <numFmt numFmtId="237" formatCode="0.000000_ "/>
    </dxf>
    <dxf>
      <numFmt numFmtId="238" formatCode="0.00000_ "/>
    </dxf>
    <dxf>
      <numFmt numFmtId="239" formatCode="0.00000_ "/>
    </dxf>
    <dxf>
      <numFmt numFmtId="240" formatCode="0.0000_ "/>
    </dxf>
    <dxf>
      <numFmt numFmtId="241" formatCode="0.0000_ "/>
    </dxf>
    <dxf>
      <numFmt numFmtId="242" formatCode="0.000_ "/>
    </dxf>
    <dxf>
      <numFmt numFmtId="243" formatCode="0.000_ "/>
    </dxf>
    <dxf>
      <numFmt numFmtId="176" formatCode="0.00_ "/>
    </dxf>
    <dxf>
      <numFmt numFmtId="176" formatCode="0.00_ "/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border>
        <right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numFmt numFmtId="244" formatCode="0.0%"/>
    </dxf>
    <dxf>
      <numFmt numFmtId="245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numFmt numFmtId="176" formatCode="0.00_ "/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font>
        <name val="微软雅黑"/>
        <scheme val="none"/>
        <charset val="134"/>
        <family val="0"/>
        <b val="0"/>
        <i val="0"/>
        <strike val="0"/>
        <u val="none"/>
        <sz val="11"/>
        <color theme="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/>
        <bottom style="thin">
          <color indexed="0"/>
        </bottom>
      </border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name val="微软雅黑"/>
        <scheme val="none"/>
        <sz val="11"/>
      </font>
      <fill>
        <patternFill patternType="none"/>
      </fill>
      <alignment horizontal="center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46" formatCode="0.0%"/>
    </dxf>
    <dxf>
      <numFmt numFmtId="10" formatCode="0.00%"/>
    </dxf>
    <dxf>
      <numFmt numFmtId="247" formatCode="0.00000000_ "/>
    </dxf>
    <dxf>
      <numFmt numFmtId="248" formatCode="0.0000000_ "/>
    </dxf>
    <dxf>
      <numFmt numFmtId="249" formatCode="0.000000_ "/>
    </dxf>
    <dxf>
      <numFmt numFmtId="250" formatCode="0.00000_ "/>
    </dxf>
    <dxf>
      <numFmt numFmtId="251" formatCode="0.0000_ "/>
    </dxf>
    <dxf>
      <numFmt numFmtId="252" formatCode="0.000_ "/>
    </dxf>
    <dxf>
      <numFmt numFmtId="176" formatCode="0.00_ "/>
    </dxf>
    <dxf>
      <numFmt numFmtId="253" formatCode="0.0000000_ "/>
    </dxf>
    <dxf>
      <numFmt numFmtId="254" formatCode="0.000000_ "/>
    </dxf>
    <dxf>
      <numFmt numFmtId="255" formatCode="0.00000_ "/>
    </dxf>
    <dxf>
      <numFmt numFmtId="256" formatCode="0.0000_ "/>
    </dxf>
    <dxf>
      <numFmt numFmtId="257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58" formatCode="0.0%"/>
    </dxf>
    <dxf>
      <numFmt numFmtId="259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177" formatCode="#,##0.00_ "/>
    </dxf>
    <dxf>
      <numFmt numFmtId="177" formatCode="#,##0.00_ 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60" formatCode="0.0%"/>
    </dxf>
    <dxf>
      <numFmt numFmtId="10" formatCode="0.00%"/>
    </dxf>
    <dxf>
      <numFmt numFmtId="261" formatCode="0.00000000_ "/>
    </dxf>
    <dxf>
      <numFmt numFmtId="262" formatCode="0.0000000_ "/>
    </dxf>
    <dxf>
      <numFmt numFmtId="263" formatCode="0.000000_ "/>
    </dxf>
    <dxf>
      <numFmt numFmtId="264" formatCode="0.00000_ "/>
    </dxf>
    <dxf>
      <numFmt numFmtId="265" formatCode="0.0000_ "/>
    </dxf>
    <dxf>
      <numFmt numFmtId="266" formatCode="0.000_ "/>
    </dxf>
    <dxf>
      <numFmt numFmtId="176" formatCode="0.00_ "/>
    </dxf>
    <dxf>
      <numFmt numFmtId="267" formatCode="0.0000000_ "/>
    </dxf>
    <dxf>
      <numFmt numFmtId="268" formatCode="0.000000_ "/>
    </dxf>
    <dxf>
      <numFmt numFmtId="269" formatCode="0.00000_ "/>
    </dxf>
    <dxf>
      <numFmt numFmtId="270" formatCode="0.0000_ "/>
    </dxf>
    <dxf>
      <numFmt numFmtId="271" formatCode="0.000_ "/>
    </dxf>
    <dxf>
      <numFmt numFmtId="176" formatCode="0.00_ "/>
    </dxf>
    <dxf>
      <font>
        <name val="微软雅黑"/>
        <scheme val="none"/>
      </font>
    </dxf>
    <dxf>
      <font>
        <sz val="11"/>
      </font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numFmt numFmtId="272" formatCode="0.0%"/>
    </dxf>
    <dxf>
      <numFmt numFmtId="273" formatCode="0.0%"/>
    </dxf>
    <dxf>
      <numFmt numFmtId="10" formatCode="0.00%"/>
    </dxf>
    <dxf>
      <numFmt numFmtId="10" formatCode="0.00%"/>
    </dxf>
    <dxf>
      <font>
        <name val="微软雅黑"/>
        <scheme val="none"/>
        <sz val="11"/>
      </font>
      <fill>
        <patternFill patternType="solid">
          <bgColor theme="3" tint="0.8"/>
        </patternFill>
      </fill>
      <alignment horizontal="center" vertical="center" wrapText="1"/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  <dxf>
      <fill>
        <patternFill patternType="solid">
          <bgColor theme="3" tint="0.8"/>
        </patternFill>
      </fill>
    </dxf>
  </dxfs>
  <tableStyles count="1" defaultTableStyle="TableStyleMedium2" defaultPivotStyle="PivotStyleLight16">
    <tableStyle name="数据透视表样式 1" table="0" count="3">
      <tableStyleElement type="totalRow" dxfId="575"/>
      <tableStyleElement type="firstSubtotalRow" dxfId="574"/>
      <tableStyleElement type="pageFieldLabels" dxfId="57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9" Type="http://schemas.openxmlformats.org/officeDocument/2006/relationships/image" Target="media/image98.png"/><Relationship Id="rId98" Type="http://schemas.openxmlformats.org/officeDocument/2006/relationships/image" Target="media/image97.png"/><Relationship Id="rId97" Type="http://schemas.openxmlformats.org/officeDocument/2006/relationships/image" Target="media/image96.png"/><Relationship Id="rId96" Type="http://schemas.openxmlformats.org/officeDocument/2006/relationships/image" Target="media/image95.png"/><Relationship Id="rId95" Type="http://schemas.openxmlformats.org/officeDocument/2006/relationships/image" Target="media/image94.png"/><Relationship Id="rId94" Type="http://schemas.openxmlformats.org/officeDocument/2006/relationships/image" Target="media/image93.png"/><Relationship Id="rId93" Type="http://schemas.openxmlformats.org/officeDocument/2006/relationships/image" Target="media/image92.png"/><Relationship Id="rId92" Type="http://schemas.openxmlformats.org/officeDocument/2006/relationships/image" Target="media/image91.png"/><Relationship Id="rId91" Type="http://schemas.openxmlformats.org/officeDocument/2006/relationships/image" Target="media/image90.png"/><Relationship Id="rId90" Type="http://schemas.openxmlformats.org/officeDocument/2006/relationships/image" Target="media/image89.png"/><Relationship Id="rId9" Type="http://schemas.openxmlformats.org/officeDocument/2006/relationships/image" Target="media/image8.jpeg"/><Relationship Id="rId89" Type="http://schemas.openxmlformats.org/officeDocument/2006/relationships/image" Target="media/image88.png"/><Relationship Id="rId88" Type="http://schemas.openxmlformats.org/officeDocument/2006/relationships/image" Target="media/image87.png"/><Relationship Id="rId87" Type="http://schemas.openxmlformats.org/officeDocument/2006/relationships/image" Target="media/image86.png"/><Relationship Id="rId86" Type="http://schemas.openxmlformats.org/officeDocument/2006/relationships/image" Target="media/image85.png"/><Relationship Id="rId85" Type="http://schemas.openxmlformats.org/officeDocument/2006/relationships/image" Target="media/image84.png"/><Relationship Id="rId84" Type="http://schemas.openxmlformats.org/officeDocument/2006/relationships/image" Target="media/image83.jpeg"/><Relationship Id="rId83" Type="http://schemas.openxmlformats.org/officeDocument/2006/relationships/image" Target="media/image82.jpeg"/><Relationship Id="rId82" Type="http://schemas.openxmlformats.org/officeDocument/2006/relationships/image" Target="media/image81.jpeg"/><Relationship Id="rId81" Type="http://schemas.openxmlformats.org/officeDocument/2006/relationships/image" Target="media/image80.jpeg"/><Relationship Id="rId80" Type="http://schemas.openxmlformats.org/officeDocument/2006/relationships/image" Target="media/image79.jpeg"/><Relationship Id="rId8" Type="http://schemas.openxmlformats.org/officeDocument/2006/relationships/image" Target="media/image7.jpeg"/><Relationship Id="rId79" Type="http://schemas.openxmlformats.org/officeDocument/2006/relationships/image" Target="media/image78.jpeg"/><Relationship Id="rId78" Type="http://schemas.openxmlformats.org/officeDocument/2006/relationships/image" Target="media/image77.jpeg"/><Relationship Id="rId77" Type="http://schemas.openxmlformats.org/officeDocument/2006/relationships/image" Target="media/image76.jpeg"/><Relationship Id="rId76" Type="http://schemas.openxmlformats.org/officeDocument/2006/relationships/image" Target="media/image75.jpeg"/><Relationship Id="rId75" Type="http://schemas.openxmlformats.org/officeDocument/2006/relationships/image" Target="media/image74.jpeg"/><Relationship Id="rId74" Type="http://schemas.openxmlformats.org/officeDocument/2006/relationships/image" Target="media/image73.jpeg"/><Relationship Id="rId73" Type="http://schemas.openxmlformats.org/officeDocument/2006/relationships/image" Target="media/image72.jpeg"/><Relationship Id="rId72" Type="http://schemas.openxmlformats.org/officeDocument/2006/relationships/image" Target="media/image71.jpeg"/><Relationship Id="rId71" Type="http://schemas.openxmlformats.org/officeDocument/2006/relationships/image" Target="media/image70.jpeg"/><Relationship Id="rId70" Type="http://schemas.openxmlformats.org/officeDocument/2006/relationships/image" Target="media/image69.jpeg"/><Relationship Id="rId7" Type="http://schemas.openxmlformats.org/officeDocument/2006/relationships/image" Target="media/image6.jpeg"/><Relationship Id="rId69" Type="http://schemas.openxmlformats.org/officeDocument/2006/relationships/image" Target="media/image68.jpeg"/><Relationship Id="rId68" Type="http://schemas.openxmlformats.org/officeDocument/2006/relationships/image" Target="media/image67.jpeg"/><Relationship Id="rId67" Type="http://schemas.openxmlformats.org/officeDocument/2006/relationships/image" Target="media/image66.jpeg"/><Relationship Id="rId66" Type="http://schemas.openxmlformats.org/officeDocument/2006/relationships/image" Target="media/image65.jpeg"/><Relationship Id="rId65" Type="http://schemas.openxmlformats.org/officeDocument/2006/relationships/image" Target="media/image64.jpeg"/><Relationship Id="rId64" Type="http://schemas.openxmlformats.org/officeDocument/2006/relationships/image" Target="media/image63.jpeg"/><Relationship Id="rId63" Type="http://schemas.openxmlformats.org/officeDocument/2006/relationships/image" Target="media/image62.jpeg"/><Relationship Id="rId62" Type="http://schemas.openxmlformats.org/officeDocument/2006/relationships/image" Target="media/image61.jpeg"/><Relationship Id="rId61" Type="http://schemas.openxmlformats.org/officeDocument/2006/relationships/image" Target="media/image60.jpeg"/><Relationship Id="rId60" Type="http://schemas.openxmlformats.org/officeDocument/2006/relationships/image" Target="media/image59.jpeg"/><Relationship Id="rId6" Type="http://schemas.openxmlformats.org/officeDocument/2006/relationships/image" Target="media/image5.jpeg"/><Relationship Id="rId59" Type="http://schemas.openxmlformats.org/officeDocument/2006/relationships/image" Target="media/image58.jpeg"/><Relationship Id="rId58" Type="http://schemas.openxmlformats.org/officeDocument/2006/relationships/image" Target="media/image57.jpeg"/><Relationship Id="rId57" Type="http://schemas.openxmlformats.org/officeDocument/2006/relationships/image" Target="media/image56.jpeg"/><Relationship Id="rId56" Type="http://schemas.openxmlformats.org/officeDocument/2006/relationships/image" Target="media/image55.jpeg"/><Relationship Id="rId55" Type="http://schemas.openxmlformats.org/officeDocument/2006/relationships/image" Target="media/image54.jpeg"/><Relationship Id="rId54" Type="http://schemas.openxmlformats.org/officeDocument/2006/relationships/image" Target="media/image53.jpeg"/><Relationship Id="rId53" Type="http://schemas.openxmlformats.org/officeDocument/2006/relationships/image" Target="media/image52.jpeg"/><Relationship Id="rId52" Type="http://schemas.openxmlformats.org/officeDocument/2006/relationships/image" Target="media/image51.jpeg"/><Relationship Id="rId51" Type="http://schemas.openxmlformats.org/officeDocument/2006/relationships/image" Target="media/image50.jpeg"/><Relationship Id="rId50" Type="http://schemas.openxmlformats.org/officeDocument/2006/relationships/image" Target="media/image49.jpeg"/><Relationship Id="rId5" Type="http://schemas.openxmlformats.org/officeDocument/2006/relationships/image" Target="media/image4.jpeg"/><Relationship Id="rId49" Type="http://schemas.openxmlformats.org/officeDocument/2006/relationships/image" Target="media/image48.jpeg"/><Relationship Id="rId48" Type="http://schemas.openxmlformats.org/officeDocument/2006/relationships/image" Target="media/image47.jpeg"/><Relationship Id="rId47" Type="http://schemas.openxmlformats.org/officeDocument/2006/relationships/image" Target="media/image46.jpeg"/><Relationship Id="rId46" Type="http://schemas.openxmlformats.org/officeDocument/2006/relationships/image" Target="media/image45.jpeg"/><Relationship Id="rId45" Type="http://schemas.openxmlformats.org/officeDocument/2006/relationships/image" Target="media/image44.jpeg"/><Relationship Id="rId44" Type="http://schemas.openxmlformats.org/officeDocument/2006/relationships/image" Target="media/image43.jpeg"/><Relationship Id="rId43" Type="http://schemas.openxmlformats.org/officeDocument/2006/relationships/image" Target="media/image42.jpeg"/><Relationship Id="rId42" Type="http://schemas.openxmlformats.org/officeDocument/2006/relationships/image" Target="media/image41.jpeg"/><Relationship Id="rId41" Type="http://schemas.openxmlformats.org/officeDocument/2006/relationships/image" Target="media/image40.jpeg"/><Relationship Id="rId40" Type="http://schemas.openxmlformats.org/officeDocument/2006/relationships/image" Target="media/image39.jpeg"/><Relationship Id="rId4" Type="http://schemas.openxmlformats.org/officeDocument/2006/relationships/image" Target="media/image3.jpeg"/><Relationship Id="rId39" Type="http://schemas.openxmlformats.org/officeDocument/2006/relationships/image" Target="media/image38.jpeg"/><Relationship Id="rId38" Type="http://schemas.openxmlformats.org/officeDocument/2006/relationships/image" Target="media/image37.jpeg"/><Relationship Id="rId37" Type="http://schemas.openxmlformats.org/officeDocument/2006/relationships/image" Target="media/image36.jpeg"/><Relationship Id="rId36" Type="http://schemas.openxmlformats.org/officeDocument/2006/relationships/image" Target="media/image35.jpeg"/><Relationship Id="rId35" Type="http://schemas.openxmlformats.org/officeDocument/2006/relationships/image" Target="media/image34.jpeg"/><Relationship Id="rId34" Type="http://schemas.openxmlformats.org/officeDocument/2006/relationships/image" Target="media/image33.jpeg"/><Relationship Id="rId33" Type="http://schemas.openxmlformats.org/officeDocument/2006/relationships/image" Target="media/image32.jpeg"/><Relationship Id="rId32" Type="http://schemas.openxmlformats.org/officeDocument/2006/relationships/image" Target="media/image31.jpeg"/><Relationship Id="rId31" Type="http://schemas.openxmlformats.org/officeDocument/2006/relationships/image" Target="media/image30.jpeg"/><Relationship Id="rId30" Type="http://schemas.openxmlformats.org/officeDocument/2006/relationships/image" Target="media/image29.jpeg"/><Relationship Id="rId3" Type="http://schemas.openxmlformats.org/officeDocument/2006/relationships/image" Target="media/image2.jpeg"/><Relationship Id="rId29" Type="http://schemas.openxmlformats.org/officeDocument/2006/relationships/image" Target="media/image28.jpeg"/><Relationship Id="rId28" Type="http://schemas.openxmlformats.org/officeDocument/2006/relationships/image" Target="media/image27.jpeg"/><Relationship Id="rId27" Type="http://schemas.openxmlformats.org/officeDocument/2006/relationships/image" Target="media/image26.jpeg"/><Relationship Id="rId26" Type="http://schemas.openxmlformats.org/officeDocument/2006/relationships/image" Target="media/image25.jpeg"/><Relationship Id="rId256" Type="http://schemas.openxmlformats.org/officeDocument/2006/relationships/image" Target="media/image255.png"/><Relationship Id="rId255" Type="http://schemas.openxmlformats.org/officeDocument/2006/relationships/image" Target="media/image254.png"/><Relationship Id="rId254" Type="http://schemas.openxmlformats.org/officeDocument/2006/relationships/image" Target="media/image253.png"/><Relationship Id="rId253" Type="http://schemas.openxmlformats.org/officeDocument/2006/relationships/image" Target="media/image252.png"/><Relationship Id="rId252" Type="http://schemas.openxmlformats.org/officeDocument/2006/relationships/image" Target="media/image251.png"/><Relationship Id="rId251" Type="http://schemas.openxmlformats.org/officeDocument/2006/relationships/image" Target="media/image250.png"/><Relationship Id="rId250" Type="http://schemas.openxmlformats.org/officeDocument/2006/relationships/image" Target="media/image249.png"/><Relationship Id="rId25" Type="http://schemas.openxmlformats.org/officeDocument/2006/relationships/image" Target="media/image24.jpeg"/><Relationship Id="rId249" Type="http://schemas.openxmlformats.org/officeDocument/2006/relationships/image" Target="media/image248.png"/><Relationship Id="rId248" Type="http://schemas.openxmlformats.org/officeDocument/2006/relationships/image" Target="media/image247.png"/><Relationship Id="rId247" Type="http://schemas.openxmlformats.org/officeDocument/2006/relationships/image" Target="media/image246.png"/><Relationship Id="rId246" Type="http://schemas.openxmlformats.org/officeDocument/2006/relationships/image" Target="media/image245.png"/><Relationship Id="rId245" Type="http://schemas.openxmlformats.org/officeDocument/2006/relationships/image" Target="media/image244.png"/><Relationship Id="rId244" Type="http://schemas.openxmlformats.org/officeDocument/2006/relationships/image" Target="media/image243.png"/><Relationship Id="rId243" Type="http://schemas.openxmlformats.org/officeDocument/2006/relationships/image" Target="media/image242.png"/><Relationship Id="rId242" Type="http://schemas.openxmlformats.org/officeDocument/2006/relationships/image" Target="media/image241.png"/><Relationship Id="rId241" Type="http://schemas.openxmlformats.org/officeDocument/2006/relationships/image" Target="media/image240.png"/><Relationship Id="rId240" Type="http://schemas.openxmlformats.org/officeDocument/2006/relationships/image" Target="media/image239.png"/><Relationship Id="rId24" Type="http://schemas.openxmlformats.org/officeDocument/2006/relationships/image" Target="media/image23.jpeg"/><Relationship Id="rId239" Type="http://schemas.openxmlformats.org/officeDocument/2006/relationships/image" Target="media/image238.png"/><Relationship Id="rId238" Type="http://schemas.openxmlformats.org/officeDocument/2006/relationships/image" Target="media/image237.png"/><Relationship Id="rId237" Type="http://schemas.openxmlformats.org/officeDocument/2006/relationships/image" Target="media/image236.png"/><Relationship Id="rId236" Type="http://schemas.openxmlformats.org/officeDocument/2006/relationships/image" Target="media/image235.png"/><Relationship Id="rId235" Type="http://schemas.openxmlformats.org/officeDocument/2006/relationships/image" Target="media/image234.png"/><Relationship Id="rId234" Type="http://schemas.openxmlformats.org/officeDocument/2006/relationships/image" Target="media/image233.png"/><Relationship Id="rId233" Type="http://schemas.openxmlformats.org/officeDocument/2006/relationships/image" Target="media/image232.png"/><Relationship Id="rId232" Type="http://schemas.openxmlformats.org/officeDocument/2006/relationships/image" Target="media/image231.png"/><Relationship Id="rId231" Type="http://schemas.openxmlformats.org/officeDocument/2006/relationships/image" Target="media/image230.png"/><Relationship Id="rId230" Type="http://schemas.openxmlformats.org/officeDocument/2006/relationships/image" Target="media/image229.png"/><Relationship Id="rId23" Type="http://schemas.openxmlformats.org/officeDocument/2006/relationships/image" Target="media/image22.jpeg"/><Relationship Id="rId229" Type="http://schemas.openxmlformats.org/officeDocument/2006/relationships/image" Target="media/image228.png"/><Relationship Id="rId228" Type="http://schemas.openxmlformats.org/officeDocument/2006/relationships/image" Target="media/image227.png"/><Relationship Id="rId227" Type="http://schemas.openxmlformats.org/officeDocument/2006/relationships/image" Target="media/image226.png"/><Relationship Id="rId226" Type="http://schemas.openxmlformats.org/officeDocument/2006/relationships/image" Target="media/image225.png"/><Relationship Id="rId225" Type="http://schemas.openxmlformats.org/officeDocument/2006/relationships/image" Target="media/image224.png"/><Relationship Id="rId224" Type="http://schemas.openxmlformats.org/officeDocument/2006/relationships/image" Target="media/image223.png"/><Relationship Id="rId223" Type="http://schemas.openxmlformats.org/officeDocument/2006/relationships/image" Target="media/image222.png"/><Relationship Id="rId222" Type="http://schemas.openxmlformats.org/officeDocument/2006/relationships/image" Target="media/image221.png"/><Relationship Id="rId221" Type="http://schemas.openxmlformats.org/officeDocument/2006/relationships/image" Target="media/image220.png"/><Relationship Id="rId220" Type="http://schemas.openxmlformats.org/officeDocument/2006/relationships/image" Target="media/image219.png"/><Relationship Id="rId22" Type="http://schemas.openxmlformats.org/officeDocument/2006/relationships/image" Target="media/image21.jpeg"/><Relationship Id="rId219" Type="http://schemas.openxmlformats.org/officeDocument/2006/relationships/image" Target="media/image218.png"/><Relationship Id="rId218" Type="http://schemas.openxmlformats.org/officeDocument/2006/relationships/image" Target="media/image217.png"/><Relationship Id="rId217" Type="http://schemas.openxmlformats.org/officeDocument/2006/relationships/image" Target="media/image216.png"/><Relationship Id="rId216" Type="http://schemas.openxmlformats.org/officeDocument/2006/relationships/image" Target="media/image215.png"/><Relationship Id="rId215" Type="http://schemas.openxmlformats.org/officeDocument/2006/relationships/image" Target="media/image214.png"/><Relationship Id="rId214" Type="http://schemas.openxmlformats.org/officeDocument/2006/relationships/image" Target="media/image213.png"/><Relationship Id="rId213" Type="http://schemas.openxmlformats.org/officeDocument/2006/relationships/image" Target="media/image212.png"/><Relationship Id="rId212" Type="http://schemas.openxmlformats.org/officeDocument/2006/relationships/image" Target="media/image211.png"/><Relationship Id="rId211" Type="http://schemas.openxmlformats.org/officeDocument/2006/relationships/image" Target="media/image210.png"/><Relationship Id="rId210" Type="http://schemas.openxmlformats.org/officeDocument/2006/relationships/image" Target="media/image209.png"/><Relationship Id="rId21" Type="http://schemas.openxmlformats.org/officeDocument/2006/relationships/image" Target="media/image20.jpeg"/><Relationship Id="rId209" Type="http://schemas.openxmlformats.org/officeDocument/2006/relationships/image" Target="media/image208.png"/><Relationship Id="rId208" Type="http://schemas.openxmlformats.org/officeDocument/2006/relationships/image" Target="media/image207.png"/><Relationship Id="rId207" Type="http://schemas.openxmlformats.org/officeDocument/2006/relationships/image" Target="media/image206.png"/><Relationship Id="rId206" Type="http://schemas.openxmlformats.org/officeDocument/2006/relationships/image" Target="media/image205.png"/><Relationship Id="rId205" Type="http://schemas.openxmlformats.org/officeDocument/2006/relationships/image" Target="media/image204.png"/><Relationship Id="rId204" Type="http://schemas.openxmlformats.org/officeDocument/2006/relationships/image" Target="media/image203.png"/><Relationship Id="rId203" Type="http://schemas.openxmlformats.org/officeDocument/2006/relationships/image" Target="media/image202.png"/><Relationship Id="rId202" Type="http://schemas.openxmlformats.org/officeDocument/2006/relationships/image" Target="media/image201.png"/><Relationship Id="rId201" Type="http://schemas.openxmlformats.org/officeDocument/2006/relationships/image" Target="media/image200.png"/><Relationship Id="rId200" Type="http://schemas.openxmlformats.org/officeDocument/2006/relationships/image" Target="media/image199.png"/><Relationship Id="rId20" Type="http://schemas.openxmlformats.org/officeDocument/2006/relationships/image" Target="media/image19.jpeg"/><Relationship Id="rId2" Type="http://schemas.openxmlformats.org/officeDocument/2006/relationships/image" Target="NULL" TargetMode="External"/><Relationship Id="rId199" Type="http://schemas.openxmlformats.org/officeDocument/2006/relationships/image" Target="media/image198.png"/><Relationship Id="rId198" Type="http://schemas.openxmlformats.org/officeDocument/2006/relationships/image" Target="media/image197.png"/><Relationship Id="rId197" Type="http://schemas.openxmlformats.org/officeDocument/2006/relationships/image" Target="media/image196.png"/><Relationship Id="rId196" Type="http://schemas.openxmlformats.org/officeDocument/2006/relationships/image" Target="media/image195.png"/><Relationship Id="rId195" Type="http://schemas.openxmlformats.org/officeDocument/2006/relationships/image" Target="media/image194.png"/><Relationship Id="rId194" Type="http://schemas.openxmlformats.org/officeDocument/2006/relationships/image" Target="media/image193.png"/><Relationship Id="rId193" Type="http://schemas.openxmlformats.org/officeDocument/2006/relationships/image" Target="media/image192.png"/><Relationship Id="rId192" Type="http://schemas.openxmlformats.org/officeDocument/2006/relationships/image" Target="media/image191.png"/><Relationship Id="rId191" Type="http://schemas.openxmlformats.org/officeDocument/2006/relationships/image" Target="media/image190.png"/><Relationship Id="rId190" Type="http://schemas.openxmlformats.org/officeDocument/2006/relationships/image" Target="media/image189.png"/><Relationship Id="rId19" Type="http://schemas.openxmlformats.org/officeDocument/2006/relationships/image" Target="media/image18.jpeg"/><Relationship Id="rId189" Type="http://schemas.openxmlformats.org/officeDocument/2006/relationships/image" Target="media/image188.png"/><Relationship Id="rId188" Type="http://schemas.openxmlformats.org/officeDocument/2006/relationships/image" Target="media/image187.png"/><Relationship Id="rId187" Type="http://schemas.openxmlformats.org/officeDocument/2006/relationships/image" Target="media/image186.png"/><Relationship Id="rId186" Type="http://schemas.openxmlformats.org/officeDocument/2006/relationships/image" Target="media/image185.png"/><Relationship Id="rId185" Type="http://schemas.openxmlformats.org/officeDocument/2006/relationships/image" Target="media/image184.png"/><Relationship Id="rId184" Type="http://schemas.openxmlformats.org/officeDocument/2006/relationships/image" Target="media/image183.png"/><Relationship Id="rId183" Type="http://schemas.openxmlformats.org/officeDocument/2006/relationships/image" Target="media/image182.png"/><Relationship Id="rId182" Type="http://schemas.openxmlformats.org/officeDocument/2006/relationships/image" Target="media/image181.png"/><Relationship Id="rId181" Type="http://schemas.openxmlformats.org/officeDocument/2006/relationships/image" Target="media/image180.png"/><Relationship Id="rId180" Type="http://schemas.openxmlformats.org/officeDocument/2006/relationships/image" Target="media/image179.png"/><Relationship Id="rId18" Type="http://schemas.openxmlformats.org/officeDocument/2006/relationships/image" Target="media/image17.jpeg"/><Relationship Id="rId179" Type="http://schemas.openxmlformats.org/officeDocument/2006/relationships/image" Target="media/image178.png"/><Relationship Id="rId178" Type="http://schemas.openxmlformats.org/officeDocument/2006/relationships/image" Target="media/image177.png"/><Relationship Id="rId177" Type="http://schemas.openxmlformats.org/officeDocument/2006/relationships/image" Target="media/image176.png"/><Relationship Id="rId176" Type="http://schemas.openxmlformats.org/officeDocument/2006/relationships/image" Target="media/image175.png"/><Relationship Id="rId175" Type="http://schemas.openxmlformats.org/officeDocument/2006/relationships/image" Target="media/image174.png"/><Relationship Id="rId174" Type="http://schemas.openxmlformats.org/officeDocument/2006/relationships/image" Target="media/image173.png"/><Relationship Id="rId173" Type="http://schemas.openxmlformats.org/officeDocument/2006/relationships/image" Target="media/image172.png"/><Relationship Id="rId172" Type="http://schemas.openxmlformats.org/officeDocument/2006/relationships/image" Target="media/image171.png"/><Relationship Id="rId171" Type="http://schemas.openxmlformats.org/officeDocument/2006/relationships/image" Target="media/image170.png"/><Relationship Id="rId170" Type="http://schemas.openxmlformats.org/officeDocument/2006/relationships/image" Target="media/image169.png"/><Relationship Id="rId17" Type="http://schemas.openxmlformats.org/officeDocument/2006/relationships/image" Target="media/image16.jpeg"/><Relationship Id="rId169" Type="http://schemas.openxmlformats.org/officeDocument/2006/relationships/image" Target="media/image168.png"/><Relationship Id="rId168" Type="http://schemas.openxmlformats.org/officeDocument/2006/relationships/image" Target="media/image167.png"/><Relationship Id="rId167" Type="http://schemas.openxmlformats.org/officeDocument/2006/relationships/image" Target="media/image166.png"/><Relationship Id="rId166" Type="http://schemas.openxmlformats.org/officeDocument/2006/relationships/image" Target="media/image165.png"/><Relationship Id="rId165" Type="http://schemas.openxmlformats.org/officeDocument/2006/relationships/image" Target="media/image164.png"/><Relationship Id="rId164" Type="http://schemas.openxmlformats.org/officeDocument/2006/relationships/image" Target="media/image163.png"/><Relationship Id="rId163" Type="http://schemas.openxmlformats.org/officeDocument/2006/relationships/image" Target="media/image162.png"/><Relationship Id="rId162" Type="http://schemas.openxmlformats.org/officeDocument/2006/relationships/image" Target="media/image161.png"/><Relationship Id="rId161" Type="http://schemas.openxmlformats.org/officeDocument/2006/relationships/image" Target="media/image160.png"/><Relationship Id="rId160" Type="http://schemas.openxmlformats.org/officeDocument/2006/relationships/image" Target="media/image159.png"/><Relationship Id="rId16" Type="http://schemas.openxmlformats.org/officeDocument/2006/relationships/image" Target="media/image15.jpeg"/><Relationship Id="rId159" Type="http://schemas.openxmlformats.org/officeDocument/2006/relationships/image" Target="media/image158.png"/><Relationship Id="rId158" Type="http://schemas.openxmlformats.org/officeDocument/2006/relationships/image" Target="media/image157.png"/><Relationship Id="rId157" Type="http://schemas.openxmlformats.org/officeDocument/2006/relationships/image" Target="media/image156.png"/><Relationship Id="rId156" Type="http://schemas.openxmlformats.org/officeDocument/2006/relationships/image" Target="media/image155.png"/><Relationship Id="rId155" Type="http://schemas.openxmlformats.org/officeDocument/2006/relationships/image" Target="media/image154.png"/><Relationship Id="rId154" Type="http://schemas.openxmlformats.org/officeDocument/2006/relationships/image" Target="media/image153.png"/><Relationship Id="rId153" Type="http://schemas.openxmlformats.org/officeDocument/2006/relationships/image" Target="media/image152.png"/><Relationship Id="rId152" Type="http://schemas.openxmlformats.org/officeDocument/2006/relationships/image" Target="media/image151.png"/><Relationship Id="rId151" Type="http://schemas.openxmlformats.org/officeDocument/2006/relationships/image" Target="media/image150.png"/><Relationship Id="rId150" Type="http://schemas.openxmlformats.org/officeDocument/2006/relationships/image" Target="media/image149.png"/><Relationship Id="rId15" Type="http://schemas.openxmlformats.org/officeDocument/2006/relationships/image" Target="media/image14.jpeg"/><Relationship Id="rId149" Type="http://schemas.openxmlformats.org/officeDocument/2006/relationships/image" Target="media/image148.png"/><Relationship Id="rId148" Type="http://schemas.openxmlformats.org/officeDocument/2006/relationships/image" Target="media/image147.png"/><Relationship Id="rId147" Type="http://schemas.openxmlformats.org/officeDocument/2006/relationships/image" Target="media/image146.png"/><Relationship Id="rId146" Type="http://schemas.openxmlformats.org/officeDocument/2006/relationships/image" Target="media/image145.png"/><Relationship Id="rId145" Type="http://schemas.openxmlformats.org/officeDocument/2006/relationships/image" Target="media/image144.png"/><Relationship Id="rId144" Type="http://schemas.openxmlformats.org/officeDocument/2006/relationships/image" Target="media/image143.png"/><Relationship Id="rId143" Type="http://schemas.openxmlformats.org/officeDocument/2006/relationships/image" Target="media/image142.png"/><Relationship Id="rId142" Type="http://schemas.openxmlformats.org/officeDocument/2006/relationships/image" Target="media/image141.png"/><Relationship Id="rId141" Type="http://schemas.openxmlformats.org/officeDocument/2006/relationships/image" Target="media/image140.png"/><Relationship Id="rId140" Type="http://schemas.openxmlformats.org/officeDocument/2006/relationships/image" Target="media/image139.png"/><Relationship Id="rId14" Type="http://schemas.openxmlformats.org/officeDocument/2006/relationships/image" Target="media/image13.jpeg"/><Relationship Id="rId139" Type="http://schemas.openxmlformats.org/officeDocument/2006/relationships/image" Target="media/image138.png"/><Relationship Id="rId138" Type="http://schemas.openxmlformats.org/officeDocument/2006/relationships/image" Target="media/image137.png"/><Relationship Id="rId137" Type="http://schemas.openxmlformats.org/officeDocument/2006/relationships/image" Target="media/image136.png"/><Relationship Id="rId136" Type="http://schemas.openxmlformats.org/officeDocument/2006/relationships/image" Target="media/image135.png"/><Relationship Id="rId135" Type="http://schemas.openxmlformats.org/officeDocument/2006/relationships/image" Target="media/image134.png"/><Relationship Id="rId134" Type="http://schemas.openxmlformats.org/officeDocument/2006/relationships/image" Target="media/image133.png"/><Relationship Id="rId133" Type="http://schemas.openxmlformats.org/officeDocument/2006/relationships/image" Target="media/image132.png"/><Relationship Id="rId132" Type="http://schemas.openxmlformats.org/officeDocument/2006/relationships/image" Target="media/image131.png"/><Relationship Id="rId131" Type="http://schemas.openxmlformats.org/officeDocument/2006/relationships/image" Target="media/image130.png"/><Relationship Id="rId130" Type="http://schemas.openxmlformats.org/officeDocument/2006/relationships/image" Target="media/image129.png"/><Relationship Id="rId13" Type="http://schemas.openxmlformats.org/officeDocument/2006/relationships/image" Target="media/image12.jpeg"/><Relationship Id="rId129" Type="http://schemas.openxmlformats.org/officeDocument/2006/relationships/image" Target="media/image128.png"/><Relationship Id="rId128" Type="http://schemas.openxmlformats.org/officeDocument/2006/relationships/image" Target="media/image127.png"/><Relationship Id="rId127" Type="http://schemas.openxmlformats.org/officeDocument/2006/relationships/image" Target="media/image126.png"/><Relationship Id="rId126" Type="http://schemas.openxmlformats.org/officeDocument/2006/relationships/image" Target="media/image125.png"/><Relationship Id="rId125" Type="http://schemas.openxmlformats.org/officeDocument/2006/relationships/image" Target="media/image124.png"/><Relationship Id="rId124" Type="http://schemas.openxmlformats.org/officeDocument/2006/relationships/image" Target="media/image123.png"/><Relationship Id="rId123" Type="http://schemas.openxmlformats.org/officeDocument/2006/relationships/image" Target="media/image122.png"/><Relationship Id="rId122" Type="http://schemas.openxmlformats.org/officeDocument/2006/relationships/image" Target="media/image121.png"/><Relationship Id="rId121" Type="http://schemas.openxmlformats.org/officeDocument/2006/relationships/image" Target="media/image120.png"/><Relationship Id="rId120" Type="http://schemas.openxmlformats.org/officeDocument/2006/relationships/image" Target="media/image119.png"/><Relationship Id="rId12" Type="http://schemas.openxmlformats.org/officeDocument/2006/relationships/image" Target="media/image11.jpeg"/><Relationship Id="rId119" Type="http://schemas.openxmlformats.org/officeDocument/2006/relationships/image" Target="media/image118.png"/><Relationship Id="rId118" Type="http://schemas.openxmlformats.org/officeDocument/2006/relationships/image" Target="media/image117.png"/><Relationship Id="rId117" Type="http://schemas.openxmlformats.org/officeDocument/2006/relationships/image" Target="media/image116.png"/><Relationship Id="rId116" Type="http://schemas.openxmlformats.org/officeDocument/2006/relationships/image" Target="media/image115.png"/><Relationship Id="rId115" Type="http://schemas.openxmlformats.org/officeDocument/2006/relationships/image" Target="media/image114.png"/><Relationship Id="rId114" Type="http://schemas.openxmlformats.org/officeDocument/2006/relationships/image" Target="media/image113.png"/><Relationship Id="rId113" Type="http://schemas.openxmlformats.org/officeDocument/2006/relationships/image" Target="media/image112.png"/><Relationship Id="rId112" Type="http://schemas.openxmlformats.org/officeDocument/2006/relationships/image" Target="media/image111.png"/><Relationship Id="rId111" Type="http://schemas.openxmlformats.org/officeDocument/2006/relationships/image" Target="media/image110.png"/><Relationship Id="rId110" Type="http://schemas.openxmlformats.org/officeDocument/2006/relationships/image" Target="media/image109.png"/><Relationship Id="rId11" Type="http://schemas.openxmlformats.org/officeDocument/2006/relationships/image" Target="media/image10.jpeg"/><Relationship Id="rId109" Type="http://schemas.openxmlformats.org/officeDocument/2006/relationships/image" Target="media/image108.png"/><Relationship Id="rId108" Type="http://schemas.openxmlformats.org/officeDocument/2006/relationships/image" Target="media/image107.png"/><Relationship Id="rId107" Type="http://schemas.openxmlformats.org/officeDocument/2006/relationships/image" Target="media/image106.png"/><Relationship Id="rId106" Type="http://schemas.openxmlformats.org/officeDocument/2006/relationships/image" Target="media/image105.png"/><Relationship Id="rId105" Type="http://schemas.openxmlformats.org/officeDocument/2006/relationships/image" Target="media/image104.png"/><Relationship Id="rId104" Type="http://schemas.openxmlformats.org/officeDocument/2006/relationships/image" Target="media/image103.png"/><Relationship Id="rId103" Type="http://schemas.openxmlformats.org/officeDocument/2006/relationships/image" Target="media/image102.png"/><Relationship Id="rId102" Type="http://schemas.openxmlformats.org/officeDocument/2006/relationships/image" Target="media/image101.png"/><Relationship Id="rId101" Type="http://schemas.openxmlformats.org/officeDocument/2006/relationships/image" Target="media/image100.png"/><Relationship Id="rId100" Type="http://schemas.openxmlformats.org/officeDocument/2006/relationships/image" Target="media/image99.png"/><Relationship Id="rId10" Type="http://schemas.openxmlformats.org/officeDocument/2006/relationships/image" Target="media/image9.jpeg"/><Relationship Id="rId1" Type="http://schemas.openxmlformats.org/officeDocument/2006/relationships/image" Target="media/image1.jpe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www.wps.cn/officeDocument/2020/cellImage" Target="cellimages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4.xml"/><Relationship Id="rId16" Type="http://schemas.openxmlformats.org/officeDocument/2006/relationships/pivotCacheDefinition" Target="pivotCache/pivotCacheDefinition3.xml"/><Relationship Id="rId15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42</xdr:row>
      <xdr:rowOff>0</xdr:rowOff>
    </xdr:from>
    <xdr:to>
      <xdr:col>4</xdr:col>
      <xdr:colOff>304800</xdr:colOff>
      <xdr:row>43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5469890" y="10668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36134;&#21495;&#25991;&#20214;\&#20113;&#40614;\&#20854;&#20182;&#25968;&#25454;&#25991;&#20214;\&#20113;&#40614;&#25968;&#25454;&#26085;&#25253;-11.2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总消费"/>
      <sheetName val="笔记日报"/>
      <sheetName val="笔记数据自定义"/>
      <sheetName val="账号投放进度"/>
      <sheetName val="笔记数据看板"/>
      <sheetName val="笔记匹配"/>
      <sheetName val="日报数据源"/>
      <sheetName val="信息流数据源"/>
      <sheetName val="搜索数据源"/>
      <sheetName val="筋膜枪进度数据源"/>
      <sheetName val="体脂秤进度数据源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广告类型</v>
          </cell>
          <cell r="B1" t="str">
            <v>搜索广告</v>
          </cell>
        </row>
        <row r="2">
          <cell r="A2" t="str">
            <v>时间</v>
          </cell>
          <cell r="B2" t="str">
            <v>(多项)</v>
          </cell>
        </row>
        <row r="4">
          <cell r="A4" t="str">
            <v>笔记ID</v>
          </cell>
          <cell r="B4" t="str">
            <v> 消费</v>
          </cell>
          <cell r="C4" t="str">
            <v> 展现量</v>
          </cell>
          <cell r="D4" t="str">
            <v> 点击量</v>
          </cell>
          <cell r="E4" t="str">
            <v>  点击率</v>
          </cell>
          <cell r="F4" t="str">
            <v> 点击成本</v>
          </cell>
          <cell r="G4" t="str">
            <v> 千展费用</v>
          </cell>
          <cell r="H4" t="str">
            <v> 点赞</v>
          </cell>
          <cell r="I4" t="str">
            <v> 评论</v>
          </cell>
          <cell r="J4" t="str">
            <v> 收藏</v>
          </cell>
          <cell r="K4" t="str">
            <v> 关注</v>
          </cell>
          <cell r="L4" t="str">
            <v> 分享</v>
          </cell>
          <cell r="M4" t="str">
            <v> 互动量</v>
          </cell>
          <cell r="N4" t="str">
            <v> 互动成本</v>
          </cell>
          <cell r="O4" t="str">
            <v>私信人数</v>
          </cell>
          <cell r="P4" t="str">
            <v> 私信成本</v>
          </cell>
          <cell r="Q4" t="str">
            <v>开口数</v>
          </cell>
          <cell r="R4" t="str">
            <v> 开口成本</v>
          </cell>
          <cell r="S4" t="str">
            <v> 私信率</v>
          </cell>
        </row>
        <row r="5">
          <cell r="A5" t="str">
            <v>614c3095000000000102b268</v>
          </cell>
          <cell r="B5">
            <v>233.58</v>
          </cell>
          <cell r="C5">
            <v>11688</v>
          </cell>
          <cell r="D5">
            <v>651</v>
          </cell>
          <cell r="E5">
            <v>0.0556981519507187</v>
          </cell>
          <cell r="F5">
            <v>0.358801843317972</v>
          </cell>
          <cell r="G5">
            <v>19.9845995893224</v>
          </cell>
          <cell r="H5">
            <v>23</v>
          </cell>
          <cell r="I5">
            <v>0</v>
          </cell>
          <cell r="J5">
            <v>19</v>
          </cell>
          <cell r="K5">
            <v>2</v>
          </cell>
          <cell r="L5">
            <v>3</v>
          </cell>
          <cell r="M5">
            <v>47</v>
          </cell>
          <cell r="N5">
            <v>4.96978723404255</v>
          </cell>
          <cell r="O5">
            <v>0</v>
          </cell>
          <cell r="P5" t="e">
            <v>#DIV/0!</v>
          </cell>
          <cell r="Q5">
            <v>0</v>
          </cell>
          <cell r="R5" t="e">
            <v>#DIV/0!</v>
          </cell>
          <cell r="S5">
            <v>0</v>
          </cell>
        </row>
        <row r="6">
          <cell r="A6" t="str">
            <v>6255518c000000002103cbe1</v>
          </cell>
          <cell r="B6">
            <v>3456.24</v>
          </cell>
          <cell r="C6">
            <v>160773</v>
          </cell>
          <cell r="D6">
            <v>4712</v>
          </cell>
          <cell r="E6">
            <v>0.0293084037742656</v>
          </cell>
          <cell r="F6">
            <v>0.733497453310696</v>
          </cell>
          <cell r="G6">
            <v>21.4976395290254</v>
          </cell>
          <cell r="H6">
            <v>43</v>
          </cell>
          <cell r="I6">
            <v>2</v>
          </cell>
          <cell r="J6">
            <v>13</v>
          </cell>
          <cell r="K6">
            <v>0</v>
          </cell>
          <cell r="L6">
            <v>2</v>
          </cell>
          <cell r="M6">
            <v>60</v>
          </cell>
          <cell r="N6">
            <v>57.604</v>
          </cell>
          <cell r="O6">
            <v>0</v>
          </cell>
          <cell r="P6" t="e">
            <v>#DIV/0!</v>
          </cell>
          <cell r="Q6">
            <v>0</v>
          </cell>
          <cell r="R6" t="e">
            <v>#DIV/0!</v>
          </cell>
          <cell r="S6">
            <v>0</v>
          </cell>
        </row>
        <row r="7">
          <cell r="A7" t="str">
            <v>62f0b4f000000000120392e6</v>
          </cell>
          <cell r="B7">
            <v>1303.62</v>
          </cell>
          <cell r="C7">
            <v>61823</v>
          </cell>
          <cell r="D7">
            <v>3249</v>
          </cell>
          <cell r="E7">
            <v>0.052553256878508</v>
          </cell>
          <cell r="F7">
            <v>0.40123730378578</v>
          </cell>
          <cell r="G7">
            <v>21.0863270950941</v>
          </cell>
          <cell r="H7">
            <v>55</v>
          </cell>
          <cell r="I7">
            <v>2</v>
          </cell>
          <cell r="J7">
            <v>21</v>
          </cell>
          <cell r="K7">
            <v>3</v>
          </cell>
          <cell r="L7">
            <v>2</v>
          </cell>
          <cell r="M7">
            <v>83</v>
          </cell>
          <cell r="N7">
            <v>15.706265060241</v>
          </cell>
          <cell r="O7">
            <v>0</v>
          </cell>
          <cell r="P7" t="e">
            <v>#DIV/0!</v>
          </cell>
          <cell r="Q7">
            <v>0</v>
          </cell>
          <cell r="R7" t="e">
            <v>#DIV/0!</v>
          </cell>
          <cell r="S7">
            <v>0</v>
          </cell>
        </row>
        <row r="8">
          <cell r="A8" t="str">
            <v>62f37bbf0000000012024867</v>
          </cell>
          <cell r="B8">
            <v>311.58</v>
          </cell>
          <cell r="C8">
            <v>5050</v>
          </cell>
          <cell r="D8">
            <v>216</v>
          </cell>
          <cell r="E8">
            <v>0.0427722772277228</v>
          </cell>
          <cell r="F8">
            <v>1.4425</v>
          </cell>
          <cell r="G8">
            <v>61.6990099009901</v>
          </cell>
          <cell r="H8">
            <v>7</v>
          </cell>
          <cell r="I8">
            <v>0</v>
          </cell>
          <cell r="J8">
            <v>2</v>
          </cell>
          <cell r="K8">
            <v>1</v>
          </cell>
          <cell r="L8">
            <v>0</v>
          </cell>
          <cell r="M8">
            <v>10</v>
          </cell>
          <cell r="N8">
            <v>31.158</v>
          </cell>
          <cell r="O8">
            <v>0</v>
          </cell>
          <cell r="P8" t="e">
            <v>#DIV/0!</v>
          </cell>
          <cell r="Q8">
            <v>0</v>
          </cell>
          <cell r="R8" t="e">
            <v>#DIV/0!</v>
          </cell>
          <cell r="S8">
            <v>0</v>
          </cell>
        </row>
        <row r="9">
          <cell r="A9" t="str">
            <v>63104c390000000011035a33</v>
          </cell>
          <cell r="B9">
            <v>6406.05</v>
          </cell>
          <cell r="C9">
            <v>113150</v>
          </cell>
          <cell r="D9">
            <v>11212</v>
          </cell>
          <cell r="E9">
            <v>0.0990897039328325</v>
          </cell>
          <cell r="F9">
            <v>0.571356582233321</v>
          </cell>
          <cell r="G9">
            <v>56.6155545735749</v>
          </cell>
          <cell r="H9">
            <v>68</v>
          </cell>
          <cell r="I9">
            <v>6</v>
          </cell>
          <cell r="J9">
            <v>24</v>
          </cell>
          <cell r="K9">
            <v>2</v>
          </cell>
          <cell r="L9">
            <v>11</v>
          </cell>
          <cell r="M9">
            <v>111</v>
          </cell>
          <cell r="N9">
            <v>57.7121621621622</v>
          </cell>
          <cell r="O9">
            <v>0</v>
          </cell>
          <cell r="P9" t="e">
            <v>#DIV/0!</v>
          </cell>
          <cell r="Q9">
            <v>0</v>
          </cell>
          <cell r="R9" t="e">
            <v>#DIV/0!</v>
          </cell>
          <cell r="S9">
            <v>0</v>
          </cell>
        </row>
        <row r="10">
          <cell r="A10" t="str">
            <v>632acfbb000000000800a017</v>
          </cell>
          <cell r="B10">
            <v>2631.83</v>
          </cell>
          <cell r="C10">
            <v>118893</v>
          </cell>
          <cell r="D10">
            <v>5721</v>
          </cell>
          <cell r="E10">
            <v>0.048118896823194</v>
          </cell>
          <cell r="F10">
            <v>0.460029715084775</v>
          </cell>
          <cell r="G10">
            <v>22.1361223957676</v>
          </cell>
          <cell r="H10">
            <v>67</v>
          </cell>
          <cell r="I10">
            <v>3</v>
          </cell>
          <cell r="J10">
            <v>34</v>
          </cell>
          <cell r="K10">
            <v>2</v>
          </cell>
          <cell r="L10">
            <v>3</v>
          </cell>
          <cell r="M10">
            <v>109</v>
          </cell>
          <cell r="N10">
            <v>24.1452293577982</v>
          </cell>
          <cell r="O10">
            <v>0</v>
          </cell>
          <cell r="P10" t="e">
            <v>#DIV/0!</v>
          </cell>
          <cell r="Q10">
            <v>0</v>
          </cell>
          <cell r="R10" t="e">
            <v>#DIV/0!</v>
          </cell>
          <cell r="S10">
            <v>0</v>
          </cell>
        </row>
        <row r="11">
          <cell r="A11" t="str">
            <v>632a812e0000000011016f09</v>
          </cell>
          <cell r="B11">
            <v>1953.87</v>
          </cell>
          <cell r="C11">
            <v>63852</v>
          </cell>
          <cell r="D11">
            <v>3661</v>
          </cell>
          <cell r="E11">
            <v>0.057335713838251</v>
          </cell>
          <cell r="F11">
            <v>0.533698443048347</v>
          </cell>
          <cell r="G11">
            <v>30.5999812065401</v>
          </cell>
          <cell r="H11">
            <v>55</v>
          </cell>
          <cell r="I11">
            <v>1</v>
          </cell>
          <cell r="J11">
            <v>18</v>
          </cell>
          <cell r="K11">
            <v>0</v>
          </cell>
          <cell r="L11">
            <v>0</v>
          </cell>
          <cell r="M11">
            <v>74</v>
          </cell>
          <cell r="N11">
            <v>26.4036486486486</v>
          </cell>
          <cell r="O11">
            <v>0</v>
          </cell>
          <cell r="P11" t="e">
            <v>#DIV/0!</v>
          </cell>
          <cell r="Q11">
            <v>0</v>
          </cell>
          <cell r="R11" t="e">
            <v>#DIV/0!</v>
          </cell>
          <cell r="S11">
            <v>0</v>
          </cell>
        </row>
        <row r="12">
          <cell r="A12" t="str">
            <v>6336c064000000001d00f647</v>
          </cell>
          <cell r="B12">
            <v>268.65</v>
          </cell>
          <cell r="C12">
            <v>11995</v>
          </cell>
          <cell r="D12">
            <v>653</v>
          </cell>
          <cell r="E12">
            <v>0.0544393497290538</v>
          </cell>
          <cell r="F12">
            <v>0.411408882082695</v>
          </cell>
          <cell r="G12">
            <v>22.3968320133389</v>
          </cell>
          <cell r="H12">
            <v>9</v>
          </cell>
          <cell r="I12">
            <v>0</v>
          </cell>
          <cell r="J12">
            <v>12</v>
          </cell>
          <cell r="K12">
            <v>1</v>
          </cell>
          <cell r="L12">
            <v>0</v>
          </cell>
          <cell r="M12">
            <v>22</v>
          </cell>
          <cell r="N12">
            <v>12.2113636363636</v>
          </cell>
          <cell r="O12">
            <v>0</v>
          </cell>
          <cell r="P12" t="e">
            <v>#DIV/0!</v>
          </cell>
          <cell r="Q12">
            <v>0</v>
          </cell>
          <cell r="R12" t="e">
            <v>#DIV/0!</v>
          </cell>
          <cell r="S12">
            <v>0</v>
          </cell>
        </row>
        <row r="13">
          <cell r="A13" t="str">
            <v>6358b83600000000140344b6</v>
          </cell>
          <cell r="B13">
            <v>1543.11</v>
          </cell>
          <cell r="C13">
            <v>35462</v>
          </cell>
          <cell r="D13">
            <v>3080</v>
          </cell>
          <cell r="E13">
            <v>0.0868535333596526</v>
          </cell>
          <cell r="F13">
            <v>0.50100974025974</v>
          </cell>
          <cell r="G13">
            <v>43.5144661891602</v>
          </cell>
          <cell r="H13">
            <v>204</v>
          </cell>
          <cell r="I13">
            <v>2</v>
          </cell>
          <cell r="J13">
            <v>223</v>
          </cell>
          <cell r="K13">
            <v>47</v>
          </cell>
          <cell r="L13">
            <v>15</v>
          </cell>
          <cell r="M13">
            <v>491</v>
          </cell>
          <cell r="N13">
            <v>3.14279022403259</v>
          </cell>
          <cell r="O13">
            <v>0</v>
          </cell>
          <cell r="P13" t="e">
            <v>#DIV/0!</v>
          </cell>
          <cell r="Q13">
            <v>0</v>
          </cell>
          <cell r="R13" t="e">
            <v>#DIV/0!</v>
          </cell>
          <cell r="S13">
            <v>0</v>
          </cell>
        </row>
        <row r="14">
          <cell r="A14" t="str">
            <v>635f7fd20000000008010ca4</v>
          </cell>
          <cell r="B14">
            <v>488.69</v>
          </cell>
          <cell r="C14">
            <v>5346</v>
          </cell>
          <cell r="D14">
            <v>691</v>
          </cell>
          <cell r="E14">
            <v>0.129255518144407</v>
          </cell>
          <cell r="F14">
            <v>0.707221418234443</v>
          </cell>
          <cell r="G14">
            <v>91.4122708567153</v>
          </cell>
          <cell r="H14">
            <v>11</v>
          </cell>
          <cell r="I14">
            <v>0</v>
          </cell>
          <cell r="J14">
            <v>5</v>
          </cell>
          <cell r="K14">
            <v>0</v>
          </cell>
          <cell r="L14">
            <v>1</v>
          </cell>
          <cell r="M14">
            <v>17</v>
          </cell>
          <cell r="N14">
            <v>28.7464705882353</v>
          </cell>
          <cell r="O14">
            <v>0</v>
          </cell>
          <cell r="P14" t="e">
            <v>#DIV/0!</v>
          </cell>
          <cell r="Q14">
            <v>0</v>
          </cell>
          <cell r="R14" t="e">
            <v>#DIV/0!</v>
          </cell>
          <cell r="S14">
            <v>0</v>
          </cell>
        </row>
        <row r="15">
          <cell r="A15" t="str">
            <v>6358a9b6000000001401d37d</v>
          </cell>
          <cell r="B15">
            <v>339.39</v>
          </cell>
          <cell r="C15">
            <v>2878</v>
          </cell>
          <cell r="D15">
            <v>378</v>
          </cell>
          <cell r="E15">
            <v>0.131341209173037</v>
          </cell>
          <cell r="F15">
            <v>0.897857142857143</v>
          </cell>
          <cell r="G15">
            <v>117.925642807505</v>
          </cell>
          <cell r="H15">
            <v>14</v>
          </cell>
          <cell r="I15">
            <v>0</v>
          </cell>
          <cell r="J15">
            <v>6</v>
          </cell>
          <cell r="K15">
            <v>1</v>
          </cell>
          <cell r="L15">
            <v>1</v>
          </cell>
          <cell r="M15">
            <v>22</v>
          </cell>
          <cell r="N15">
            <v>15.4268181818182</v>
          </cell>
          <cell r="O15">
            <v>0</v>
          </cell>
          <cell r="P15" t="e">
            <v>#DIV/0!</v>
          </cell>
          <cell r="Q15">
            <v>0</v>
          </cell>
          <cell r="R15" t="e">
            <v>#DIV/0!</v>
          </cell>
          <cell r="S15">
            <v>0</v>
          </cell>
        </row>
      </sheetData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08.4570138889" refreshedBy="Administrator" recordCount="1418">
  <cacheSource type="worksheet">
    <worksheetSource ref="A1:AB94044" sheet="日报数据源"/>
  </cacheSource>
  <cacheFields count="35">
    <cacheField name="时间" numFmtId="0">
      <sharedItems containsBlank="1" containsDate="1" containsMixedTypes="1" count="362">
        <s v="2022-05-19"/>
        <s v="2022-05-20"/>
        <s v="2022-05-21"/>
        <s v="2022-05-23"/>
        <s v="2022-05-24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9"/>
        <s v="2022-07-02"/>
        <s v="2022-07-03"/>
        <s v="2022-07-04"/>
        <s v="2022-07-06"/>
        <s v="2022-07-09"/>
        <s v="2022-07-10"/>
        <s v="2022-07-12"/>
        <s v="2022-07-13"/>
        <s v="2022-07-14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s v="2022-09-09"/>
        <s v="2022-09-10"/>
        <s v="2022-09-11"/>
        <s v="2022-09-12"/>
        <s v="2022-09-13"/>
        <s v="2022-09-14"/>
        <s v="2022-09-15"/>
        <s v="2022-09-16"/>
        <s v="2022-09-17"/>
        <s v="2022-09-18"/>
        <s v="2022-09-19"/>
        <s v="2022-09-20"/>
        <s v="2022-09-21"/>
        <s v="2022-09-22"/>
        <s v="2022-09-23"/>
        <s v="2022-09-24"/>
        <s v="2022-09-25"/>
        <s v="2022-09-26"/>
        <s v="2022-09-27"/>
        <s v="2022-09-28"/>
        <s v="2022-09-29"/>
        <s v="2022-09-30"/>
        <s v="2022-10-01"/>
        <s v="2022-10-02"/>
        <s v="2022-10-03"/>
        <s v="2022-10-04"/>
        <s v="2022-10-05"/>
        <s v="2022-10-06"/>
        <s v="2022-10-07"/>
        <s v="2022-10-08"/>
        <s v="2022-10-09"/>
        <s v="2022-10-10"/>
        <s v="2022-10-11"/>
        <s v="2022-10-12"/>
        <s v="2022-10-13"/>
        <s v="2022-10-14"/>
        <s v="2022-10-15"/>
        <s v="2022-10-16"/>
        <s v="2022-10-17"/>
        <s v="2022-10-18"/>
        <s v="2022-10-19"/>
        <s v="2022-10-20"/>
        <s v="2022-10-21"/>
        <s v="2022-10-22"/>
        <s v="2022-10-23"/>
        <s v="2022-10-24"/>
        <s v="2022-10-25"/>
        <s v="2022-10-26"/>
        <s v="2022-10-27"/>
        <s v="2022-10-28"/>
        <s v="2022-10-29"/>
        <s v="2022-10-30"/>
        <s v="2022-10-31"/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03-10~2022-05-1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m/>
        <d v="2022-05-19T00:00:00" u="1"/>
        <d v="2022-05-20T00:00:00" u="1"/>
        <d v="2022-05-21T00:00:00" u="1"/>
        <d v="2022-05-23T00:00:00" u="1"/>
        <d v="2022-05-24T00:00:00" u="1"/>
        <d v="2022-05-26T00:00:00" u="1"/>
        <d v="2022-05-27T00:00:00" u="1"/>
        <d v="2022-05-28T00:00:00" u="1"/>
        <d v="2022-05-29T00:00:00" u="1"/>
        <d v="2022-05-30T00:00:00" u="1"/>
        <d v="2022-05-31T00:00:00" u="1"/>
        <d v="2022-06-01T00:00:00" u="1"/>
        <d v="2022-06-02T00:00:00" u="1"/>
        <d v="2022-06-03T00:00:00" u="1"/>
        <d v="2022-06-04T00:00:00" u="1"/>
        <d v="2022-06-05T00:00:00" u="1"/>
        <d v="2022-06-06T00:00:00" u="1"/>
        <d v="2022-06-07T00:00:00" u="1"/>
        <d v="2022-06-08T00:00:00" u="1"/>
        <d v="2022-06-09T00:00:00" u="1"/>
        <d v="2022-06-10T00:00:00" u="1"/>
        <d v="2022-06-11T00:00:00" u="1"/>
        <d v="2022-06-12T00:00:00" u="1"/>
        <d v="2022-06-13T00:00:00" u="1"/>
        <d v="2022-06-14T00:00:00" u="1"/>
        <d v="2022-06-15T00:00:00" u="1"/>
        <d v="2022-06-16T00:00:00" u="1"/>
        <d v="2022-06-17T00:00:00" u="1"/>
        <d v="2022-06-18T00:00:00" u="1"/>
        <d v="2022-06-19T00:00:00" u="1"/>
        <d v="2022-06-20T00:00:00" u="1"/>
        <d v="2022-06-21T00:00:00" u="1"/>
        <d v="2022-06-22T00:00:00" u="1"/>
        <d v="2022-06-23T00:00:00" u="1"/>
        <d v="2022-06-24T00:00:00" u="1"/>
        <d v="2022-06-25T00:00:00" u="1"/>
        <d v="2022-06-26T00:00:00" u="1"/>
        <d v="2022-06-27T00:00:00" u="1"/>
        <d v="2022-06-29T00:00:00" u="1"/>
        <d v="2022-07-02T00:00:00" u="1"/>
        <d v="2022-07-03T00:00:00" u="1"/>
        <d v="2022-07-04T00:00:00" u="1"/>
        <d v="2022-07-06T00:00:00" u="1"/>
        <d v="2022-07-09T00:00:00" u="1"/>
        <d v="2022-07-10T00:00:00" u="1"/>
        <d v="2022-07-12T00:00:00" u="1"/>
        <d v="2022-07-13T00:00:00" u="1"/>
        <d v="2022-07-14T00:00:00" u="1"/>
        <d v="2022-07-27T00:00:00" u="1"/>
        <d v="2022-07-28T00:00:00" u="1"/>
        <d v="2022-07-29T00:00:00" u="1"/>
        <d v="2022-07-30T00:00:00" u="1"/>
        <d v="2022-07-31T00:00:00" u="1"/>
        <d v="2022-08-01T00:00:00" u="1"/>
        <d v="2022-08-02T00:00:00" u="1"/>
        <d v="2022-08-03T00:00:00" u="1"/>
        <d v="2022-08-04T00:00:00" u="1"/>
        <d v="2022-08-05T00:00:00" u="1"/>
        <d v="2022-08-06T00:00:00" u="1"/>
        <d v="2022-08-07T00:00:00" u="1"/>
        <d v="2022-08-08T00:00:00" u="1"/>
        <d v="2022-08-09T00:00:00" u="1"/>
        <d v="2022-08-10T00:00:00" u="1"/>
        <d v="2022-08-11T00:00:00" u="1"/>
        <d v="2022-08-12T00:00:00" u="1"/>
        <d v="2022-08-13T00:00:00" u="1"/>
        <d v="2022-08-14T00:00:00" u="1"/>
        <d v="2022-08-15T00:00:00" u="1"/>
        <d v="2022-08-16T00:00:00" u="1"/>
        <d v="2022-08-17T00:00:00" u="1"/>
        <d v="2022-08-18T00:00:00" u="1"/>
        <d v="2022-08-19T00:00:00" u="1"/>
        <d v="2022-08-20T00:00:00" u="1"/>
        <d v="2022-08-21T00:00:00" u="1"/>
        <d v="2022-08-22T00:00:00" u="1"/>
        <d v="2022-08-23T00:00:00" u="1"/>
        <d v="2022-08-24T00:00:00" u="1"/>
        <d v="2022-08-25T00:00:00" u="1"/>
        <d v="2022-08-26T00:00:00" u="1"/>
        <d v="2022-08-27T00:00:00" u="1"/>
        <d v="2022-08-28T00:00:00" u="1"/>
        <d v="2022-08-29T00:00:00" u="1"/>
        <d v="2022-08-30T00:00:00" u="1"/>
        <d v="2022-08-31T00:00:00" u="1"/>
        <d v="2022-09-01T00:00:00" u="1"/>
        <d v="2022-09-02T00:00:00" u="1"/>
        <d v="2022-09-03T00:00:00" u="1"/>
        <d v="2022-09-04T00:00:00" u="1"/>
        <d v="2022-09-05T00:00:00" u="1"/>
        <d v="2022-09-06T00:00:00" u="1"/>
        <d v="2022-09-07T00:00:00" u="1"/>
        <d v="2022-09-08T00:00:00" u="1"/>
        <d v="2022-09-09T00:00:00" u="1"/>
        <d v="2022-09-10T00:00:00" u="1"/>
        <d v="2022-09-11T00:00:00" u="1"/>
        <d v="2022-09-12T00:00:00" u="1"/>
        <d v="2022-09-13T00:00:00" u="1"/>
        <d v="2022-09-14T00:00:00" u="1"/>
        <d v="2022-09-15T00:00:00" u="1"/>
        <d v="2022-09-16T00:00:00" u="1"/>
        <d v="2022-09-17T00:00:00" u="1"/>
        <d v="2022-09-18T00:00:00" u="1"/>
        <d v="2022-09-19T00:00:00" u="1"/>
        <d v="2022-09-20T00:00:00" u="1"/>
        <d v="2022-09-21T00:00:00" u="1"/>
        <d v="2022-09-22T00:00:00" u="1"/>
        <d v="2022-09-23T00:00:00" u="1"/>
        <d v="2022-09-24T00:00:00" u="1"/>
        <d v="2022-09-25T00:00:00" u="1"/>
        <d v="2022-09-26T00:00:00" u="1"/>
        <d v="2022-09-27T00:00:00" u="1"/>
        <d v="2022-09-28T00:00:00" u="1"/>
        <d v="2022-09-29T00:00:00" u="1"/>
        <d v="2022-09-30T00:00:00" u="1"/>
        <d v="2022-10-01T00:00:00" u="1"/>
        <d v="2022-10-02T00:00:00" u="1"/>
        <d v="2022-10-03T00:00:00" u="1"/>
        <d v="2022-10-04T00:00:00" u="1"/>
        <d v="2022-10-05T00:00:00" u="1"/>
        <d v="2022-10-06T00:00:00" u="1"/>
        <d v="2022-10-07T00:00:00" u="1"/>
        <d v="2022-10-08T00:00:00" u="1"/>
        <d v="2022-10-09T00:00:00" u="1"/>
        <d v="2022-10-10T00:00:00" u="1"/>
        <d v="2022-10-11T00:00:00" u="1"/>
        <d v="2022-10-12T00:00:00" u="1"/>
        <d v="2022-10-13T00:00:00" u="1"/>
        <d v="2022-10-14T00:00:00" u="1"/>
        <d v="2022-10-15T00:00:00" u="1"/>
        <d v="2022-10-16T00:00:00" u="1"/>
        <d v="2022-10-17T00:00:00" u="1"/>
        <d v="2022-10-18T00:00:00" u="1"/>
        <d v="2022-10-19T00:00:00" u="1"/>
        <d v="2022-10-20T00:00:00" u="1"/>
        <d v="2022-10-21T00:00:00" u="1"/>
        <d v="2022-10-22T00:00:00" u="1"/>
        <d v="2022-10-23T00:00:00" u="1"/>
        <d v="2022-10-24T00:00:00" u="1"/>
        <d v="2022-10-25T00:00:00" u="1"/>
        <d v="2022-10-26T00:00:00" u="1"/>
        <d v="2022-10-27T00:00:00" u="1"/>
        <d v="2022-10-28T00:00:00" u="1"/>
        <d v="2022-10-29T00:00:00" u="1"/>
        <d v="2022-10-30T00:00:00" u="1"/>
        <d v="2022-10-31T00:00:00" u="1"/>
        <d v="2022-11-01T00:00:00" u="1"/>
        <d v="2022-11-02T00:00:00" u="1"/>
        <d v="2022-11-03T00:00:00" u="1"/>
        <d v="2022-11-04T00:00:00" u="1"/>
        <d v="2022-11-05T00:00:00" u="1"/>
        <d v="2022-11-06T00:00:00" u="1"/>
        <d v="2022-11-07T00:00:00" u="1"/>
        <d v="2022-11-08T00:00:00" u="1"/>
        <d v="2022-11-09T00:00:00" u="1"/>
        <d v="2022-11-10T00:00:00" u="1"/>
        <d v="2022-11-11T00:00:00" u="1"/>
        <d v="2022-11-12T00:00:00" u="1"/>
        <d v="2022-05-06T00:00:00" u="1"/>
        <d v="2022-05-07T00:00:00" u="1"/>
        <d v="2022-05-08T00:00:00" u="1"/>
        <d v="2022-05-09T00:00:00" u="1"/>
        <d v="2022-05-10T00:00:00" u="1"/>
        <d v="2022-05-11T00:00:00" u="1"/>
        <d v="2022-05-12T00:00:00" u="1"/>
        <d v="2022-05-13T00:00:00" u="1"/>
        <d v="2022-05-14T00:00:00" u="1"/>
        <d v="2022-05-15T00:00:00" u="1"/>
        <d v="2022-05-16T00:00:00" u="1"/>
        <d v="2022-05-17T00:00:00" u="1"/>
        <d v="2022-05-18T00:00:00" u="1"/>
        <d v="2022-05-22T00:00:00" u="1"/>
        <d v="2022-05-25T00:00:00" u="1"/>
        <d v="2022-06-28T00:00:00" u="1"/>
        <d v="2022-06-30T00:00:00" u="1"/>
        <d v="2022-07-01T00:00:00" u="1"/>
        <d v="2022-07-05T00:00:00" u="1"/>
        <d v="2022-07-07T00:00:00" u="1"/>
        <d v="2022-07-08T00:00:00" u="1"/>
        <d v="2022-07-11T00:00:00" u="1"/>
        <d v="2022-07-15T00:00:00" u="1"/>
        <d v="2022-07-16T00:00:00" u="1"/>
        <d v="2022-07-17T00:00:00" u="1"/>
        <d v="2022-07-18T00:00:00" u="1"/>
        <d v="2022-07-19T00:00:00" u="1"/>
        <d v="2022-07-20T00:00:00" u="1"/>
        <d v="2022-07-21T00:00:00" u="1"/>
        <d v="2022-07-22T00:00:00" u="1"/>
        <d v="2022-07-23T00:00:00" u="1"/>
        <d v="2022-07-24T00:00:00" u="1"/>
        <d v="2022-07-25T00:00:00" u="1"/>
        <d v="2022-07-26T00:00:00" u="1"/>
      </sharedItems>
    </cacheField>
    <cacheField name="创意名称" numFmtId="0">
      <sharedItems containsBlank="1" count="197">
        <s v="圆又圆超爱笑"/>
        <s v="Sophia大大"/>
        <s v="咩咩是杨景然"/>
        <s v="我是铁核桃也是小百合"/>
        <s v="沁儿你好哇"/>
        <s v="大敏敏的蜕变日记"/>
        <s v="爱跳绳的粥粥-跳绳"/>
        <s v="我是铁核桃也是小百合-体脂秤3"/>
        <s v="郝有金-筋膜枪cc"/>
        <s v="郝有金-筋膜枪cc_复制"/>
        <s v="热锅上的蚂蚁-筋膜枪cc"/>
        <s v="pp-体脂秤3mini"/>
        <s v="大敏敏的蜕变日记-体脂秤3mini"/>
        <s v="七七_YiB"/>
        <s v="pp-信息流"/>
        <s v="Sophia大大-信息流"/>
        <s v="我是铁核桃也是小百合-信息流"/>
        <s v="七七_YiBo"/>
        <s v="大桐yoto-体脂秤3mini"/>
        <s v="爱上健身的Amy-体脂秤3mini"/>
        <s v="白白-跳绳"/>
        <s v="小小李-跳绳"/>
        <s v="白白"/>
        <s v="爱跳绳的粥粥"/>
        <s v="小菜包超幸运"/>
        <s v="Candy yoga"/>
        <s v="小雪教瑜伽"/>
        <s v="大桐yoto"/>
        <s v="产品种草_创意_20220602_1"/>
        <s v="产品种草_创意_20220602_2"/>
        <s v="0602-种草-信息流-努力变好的yy-筋膜枪"/>
        <s v=" 威风凛凛小队长"/>
        <s v="咕咕猪小短腿"/>
        <s v="努力变好的yy"/>
        <s v="威风凛凛小队长"/>
        <s v="小雪教瑜伽-搜索"/>
        <s v="圆又圆超爱笑-搜索"/>
        <s v="小方今天瘦了吗"/>
        <s v="pp-搜索"/>
        <s v="pp"/>
        <s v="干坐着的小瑶"/>
        <s v="辣妈含含"/>
        <s v="凯琳KatherineW"/>
        <s v="杨大大的预备辣妹日记"/>
        <s v="丫丫小姐姐"/>
        <s v="六月炎妍"/>
        <s v="星星要变瘦"/>
        <s v="苏妤Serene."/>
        <s v="小月月"/>
        <s v="干坐着的小瑶-搜索"/>
        <s v="凯琳KatherineW-搜索"/>
        <s v="六月炎妍-搜素"/>
        <s v="马可乐cora"/>
        <s v="苏妤Serene.-搜索"/>
        <s v="郝有金-搜索"/>
        <s v="爱跳绳的粥粥-搜索"/>
        <s v="马可乐cora-搜索"/>
        <s v="茜茜子"/>
        <s v="Celine丹丹"/>
        <s v="林菀桃桃"/>
        <s v="爱撸铁的丁"/>
        <s v="熊猫叮"/>
        <s v="生椰黎子yoga"/>
        <s v="福崽"/>
        <s v="小胡的张张"/>
        <s v="Shirley小蕾"/>
        <s v="小翻译美芽酱"/>
        <s v="产品种草_创意_20220802_1"/>
        <s v="产品种草_创意_20220802_1_复制085816"/>
        <s v="产品种草_创意_20220805_1"/>
        <s v="产品种草_创意_20220802_2_复制160803"/>
        <s v="抢占关键词_创意_20220808_1"/>
        <s v="抢占关键词_创意_20220808_1_复制185753"/>
        <s v="抢占关键词_创意_20220808_1_复制185930"/>
        <s v="抢占关键词_创意_20220808_1_复制190437"/>
        <s v="抢占关键词_创意_20220808_1_复制191612"/>
        <s v="抢占关键词_创意_20220808_1_复制191843"/>
        <s v="产品种草_创意_20220809_1"/>
        <s v="产品种草_创意_20220811_1"/>
        <s v="产品种草_创意_20220812_1"/>
        <s v="产品种草_创意_20220816_1"/>
        <s v="产品种草_创意_20220817_1"/>
        <s v="产品种草_创意_20220818_1"/>
        <s v="产品种草_创意_20220819_1"/>
        <s v="产品种草_创意_20220820_1"/>
        <s v="产品种草_创意_20220822_1"/>
        <s v="产品种草_创意_20220823_1"/>
        <s v="产品种草_创意_20220829_1"/>
        <s v="产品种草_创意_20220831_1"/>
        <s v="产品种草_创意_20220831_1_复制195807"/>
        <s v="产品种草_创意_20220901_1"/>
        <s v="产品种草_创意_20220902_1"/>
        <s v="产品种草_创意_20220901_1_复制184510"/>
        <s v="产品种草_创意_20220905_1"/>
        <s v="产品种草_创意_20220906_1"/>
        <s v="产品种草_创意_20220905_1_复制180351"/>
        <s v="产品种草_创意_20220907_1"/>
        <s v="产品种草_创意_20220908_1"/>
        <s v="产品种草_创意_20220909_1"/>
        <s v="产品种草_创意_20220901_1_复制144922"/>
        <s v="产品种草_创意_20220910_1"/>
        <s v="产品种草_创意_20220914_1"/>
        <s v="产品种草_创意_20220916_1"/>
        <s v="产品种草_创意_20220917_1"/>
        <s v="产品种草_创意_20220919_1"/>
        <s v="产品种草_创意_20220922_1"/>
        <s v="产品种草_创意_20220923_1"/>
        <s v="产品种草_创意_20220924_1"/>
        <s v="产品种草_创意_20220926_1"/>
        <s v="产品种草_创意_20220928_1"/>
        <s v="产品种草_创意_20220919_1_复制161035"/>
        <s v="产品种草_创意_20220930_1"/>
        <s v="产品种草_创意_20220930_1_复制184802"/>
        <s v="产品种草_创意_20221011_1"/>
        <s v="产品种草_创意_20221013_1"/>
        <s v="产品种草_创意_20221014_1"/>
        <s v="产品种草_创意_20221014_1_复制174035"/>
        <s v="产品种草_创意_20221018_1"/>
        <s v="产品种草_创意_20221014_1_复制210502"/>
        <s v="产品种草_创意_20221018_1_复制213708"/>
        <s v="产品种草_创意_20221019_1"/>
        <s v="产品种草_创意_20221020_1"/>
        <s v="产品种草_创意_20221021_1"/>
        <s v="产品种草_创意_20221014_1_复制180331"/>
        <s v="产品种草_创意_20221022_1"/>
        <s v="抢占关键词_创意_20221024_1"/>
        <s v="抢占关键词_创意_20221024_1_复制180927"/>
        <s v="产品种草_创意_20221024_1"/>
        <s v="抢占关键词_创意_20221024_1_复制181701"/>
        <s v="抢占关键词_创意_20221024_1_复制182937"/>
        <s v="产品种草_创意_20221025_1"/>
        <s v="产品种草_创意_20221026_1"/>
        <s v="抢占关键词_创意_20221026_1"/>
        <s v="产品种草_创意_20221029_1"/>
        <s v="抢占关键词_创意_20221026_1_复制180124"/>
        <s v="抢占关键词_创意_20221031_1"/>
        <s v="抢占关键词_创意_20221031_1_复制180407"/>
        <s v="抢占关键词_创意_20221026_1_复制180705"/>
        <s v="抢占关键词_创意_20221031_1_复制180813"/>
        <s v="产品种草_创意_20221022_1_复制201824"/>
        <s v="抢占关键词_创意_20221031_1_复制202047"/>
        <s v="产品种草_创意_20221101_1"/>
        <s v="产品种草_创意_20221102_1"/>
        <s v="产品种草_创意_20221103_1"/>
        <s v="产品种草_创意_20221102_1_复制190941"/>
        <s v="产品种草_创意_20221105_1"/>
        <s v="产品种草_创意_20221106_1"/>
        <s v="抢占关键词_创意_20221026_1_复制193653"/>
        <s v="抢占关键词_创意_20221107_1"/>
        <s v="产品种草_创意_20221107_1"/>
        <s v="634d395b000000000602b10a"/>
        <s v="636240b30000000007035fa2"/>
        <s v="产品种草_创意_20221022_1_复制221708"/>
        <s v="产品种草_创意_20221108_1"/>
        <s v="抢占关键词_创意_20221108_1"/>
        <s v="63621e680000000008012eb3"/>
        <s v="产品种草_创意_20221109_1"/>
        <s v="抢占关键词_创意_20221108_1_复制193404"/>
        <s v="抢占关键词_创意_20221109_1"/>
        <s v="产品种草_创意_20221110_1"/>
        <s v="抢占关键词_创意_20221110_1"/>
        <s v="632c10b9000000001200da7e"/>
        <s v="抢占关键词_创意_20221031_1_复制172445"/>
        <s v="62f37bbf0000000012024867"/>
        <s v="产品种草_创意_20220822_2"/>
        <s v="产品种草_创意_20220822_3"/>
        <s v="产品种草_创意_20220822_4"/>
        <s v="产品种草_创意_20220822_5"/>
        <s v="产品种草_创意_20220822_6"/>
        <s v="产品种草_创意_20220822_7"/>
        <s v="产品种草_创意_20220822_8"/>
        <s v="产品种草_创意_20220822_9"/>
        <s v="产品种草_创意_20220822_10"/>
        <s v="产品种草_创意_20220822_11"/>
        <s v="产品种草_创意_20220822_12"/>
        <s v="产品种草_创意_20220822_13"/>
        <s v="产品种草_创意_20220822_14"/>
        <s v="产品种草_创意_20220822_15"/>
        <s v="产品种草_创意_20220822_16"/>
        <s v="产品种草_创意_20220822_17"/>
        <s v="636a29360000000007037622"/>
        <s v="63437a13000000000b0135ee"/>
        <s v="636b36a10000000007034630"/>
        <s v="63104c390000000011035a33"/>
        <s v="6333fbc80000000017017605"/>
        <s v="632a812e0000000011016f09"/>
        <s v="6347ce7d0000000007039781"/>
        <s v="6358a9b6000000001401d37d"/>
        <s v="632acfbb000000000800a017"/>
        <s v="6333db92000000001703f2f8"/>
        <s v="6389bf260000000022035854"/>
        <s v="638d5ea9000000001f00d4d6"/>
        <s v="63104c390000000011035a33_复制185030"/>
        <s v="633115bb0000000018003042"/>
        <s v="6385c23a0000000019022ad3"/>
        <s v="63104c390000000011035a33_复制174313"/>
        <m/>
      </sharedItems>
    </cacheField>
    <cacheField name="创意ID" numFmtId="0">
      <sharedItems containsString="0" containsBlank="1" containsNumber="1" containsInteger="1" minValue="0" maxValue="25677394" count="257">
        <n v="14438625"/>
        <n v="14438656"/>
        <n v="14438657"/>
        <n v="14438876"/>
        <n v="14438997"/>
        <n v="14439020"/>
        <n v="14752018"/>
        <n v="14752172"/>
        <n v="14752300"/>
        <n v="14752488"/>
        <n v="14752576"/>
        <n v="14752715"/>
        <n v="14752831"/>
        <n v="14752924"/>
        <n v="14753100"/>
        <n v="14794680"/>
        <n v="14794969"/>
        <n v="14795201"/>
        <n v="14932478"/>
        <n v="14932581"/>
        <n v="14932668"/>
        <n v="14976457"/>
        <n v="14976642"/>
        <n v="14977271"/>
        <n v="14977272"/>
        <n v="14977367"/>
        <n v="14977409"/>
        <n v="14977423"/>
        <n v="14977748"/>
        <n v="14978184"/>
        <n v="15042179"/>
        <n v="15088586"/>
        <n v="15088587"/>
        <n v="15088839"/>
        <n v="15089043"/>
        <n v="15089317"/>
        <n v="15089398"/>
        <n v="15089589"/>
        <n v="15179597"/>
        <n v="15180518"/>
        <n v="15180603"/>
        <n v="15180653"/>
        <n v="15247437"/>
        <n v="15247613"/>
        <n v="15248000"/>
        <n v="15248117"/>
        <n v="15248253"/>
        <n v="15248439"/>
        <n v="15248486"/>
        <n v="15295967"/>
        <n v="15296197"/>
        <n v="15296796"/>
        <n v="15296992"/>
        <n v="15297115"/>
        <n v="15353127"/>
        <n v="15678633"/>
        <n v="15678822"/>
        <n v="15678883"/>
        <n v="15679270"/>
        <n v="15688208"/>
        <n v="15720852"/>
        <n v="15732722"/>
        <n v="15733280"/>
        <n v="15734437"/>
        <n v="15734941"/>
        <n v="15735260"/>
        <n v="15803975"/>
        <n v="15804098"/>
        <n v="15804284"/>
        <n v="15804340"/>
        <n v="15804452"/>
        <n v="15804507"/>
        <n v="15867913"/>
        <n v="15869520"/>
        <n v="15869599"/>
        <n v="15993169"/>
        <n v="17533208"/>
        <n v="17799451"/>
        <n v="17799473"/>
        <n v="17858272"/>
        <n v="17901185"/>
        <n v="17974319"/>
        <n v="18043262"/>
        <n v="18043311"/>
        <n v="18043343"/>
        <n v="18043411"/>
        <n v="18043601"/>
        <n v="18043872"/>
        <n v="18044011"/>
        <n v="18044115"/>
        <n v="18085273"/>
        <n v="18170615"/>
        <n v="18224197"/>
        <n v="18353517"/>
        <n v="18412322"/>
        <n v="18455742"/>
        <n v="18456034"/>
        <n v="18503974"/>
        <n v="18541581"/>
        <n v="18606896"/>
        <n v="18606961"/>
        <n v="18646400"/>
        <n v="18646457"/>
        <n v="18907506"/>
        <n v="19004470"/>
        <n v="19010467"/>
        <n v="19010569"/>
        <n v="19010961"/>
        <n v="19010992"/>
        <n v="19011007"/>
        <n v="19054447"/>
        <n v="19054497"/>
        <n v="19058466"/>
        <n v="19106392"/>
        <n v="19106863"/>
        <n v="19106999"/>
        <n v="19210765"/>
        <n v="19210822"/>
        <n v="19261230"/>
        <n v="19316723"/>
        <n v="19316774"/>
        <n v="19380003"/>
        <n v="19428780"/>
        <n v="19428860"/>
        <n v="19450181"/>
        <n v="19450191"/>
        <n v="19607601"/>
        <n v="19607721"/>
        <n v="19713110"/>
        <n v="19752470"/>
        <n v="19713077"/>
        <n v="19834935"/>
        <n v="19834982"/>
        <n v="20017048"/>
        <n v="20060143"/>
        <n v="20060178"/>
        <n v="20100228"/>
        <n v="20100261"/>
        <n v="20200905"/>
        <n v="20316817"/>
        <n v="20317349"/>
        <n v="20323358"/>
        <n v="20485013"/>
        <n v="20485042"/>
        <n v="20485369"/>
        <n v="20978448"/>
        <n v="20978571"/>
        <n v="21122736"/>
        <n v="21203504"/>
        <n v="21209031"/>
        <n v="21360243"/>
        <n v="21414957"/>
        <n v="21415048"/>
        <n v="21440220"/>
        <n v="21451628"/>
        <n v="21451929"/>
        <n v="21453398"/>
        <n v="21506599"/>
        <n v="21508062"/>
        <n v="21508319"/>
        <n v="21600313"/>
        <n v="21600849"/>
        <n v="21674555"/>
        <n v="21688273"/>
        <n v="21747929"/>
        <n v="21747992"/>
        <n v="21879174"/>
        <n v="21879909"/>
        <n v="21880743"/>
        <n v="21880771"/>
        <n v="21881635"/>
        <n v="21881978"/>
        <n v="21978813"/>
        <n v="21988099"/>
        <n v="22072602"/>
        <n v="22072814"/>
        <n v="22072908"/>
        <n v="22315363"/>
        <n v="22437894"/>
        <n v="22438055"/>
        <n v="22438145"/>
        <n v="22438197"/>
        <n v="22438463"/>
        <n v="22438538"/>
        <n v="22438584"/>
        <n v="22438657"/>
        <n v="22448358"/>
        <n v="22449871"/>
        <n v="22449984"/>
        <n v="22450115"/>
        <n v="22513708"/>
        <n v="22516134"/>
        <n v="22516377"/>
        <n v="22596197"/>
        <n v="22675609"/>
        <n v="22762574"/>
        <n v="22820705"/>
        <n v="22845628"/>
        <n v="22943656"/>
        <n v="22943729"/>
        <n v="22943828"/>
        <n v="22943914"/>
        <n v="22943955"/>
        <n v="22944060"/>
        <n v="22952348"/>
        <n v="23019540"/>
        <n v="23019923"/>
        <n v="23020109"/>
        <n v="23095610"/>
        <n v="23095722"/>
        <n v="23095824"/>
        <n v="23095921"/>
        <n v="23177814"/>
        <n v="23177925"/>
        <n v="23178157"/>
        <n v="23178271"/>
        <n v="23178412"/>
        <n v="23252885"/>
        <n v="23253296"/>
        <n v="18606962"/>
        <n v="18606963"/>
        <n v="18606964"/>
        <n v="18606965"/>
        <n v="18606966"/>
        <n v="18606967"/>
        <n v="18606968"/>
        <n v="18606969"/>
        <n v="18606970"/>
        <n v="18606971"/>
        <n v="18606972"/>
        <n v="18606973"/>
        <n v="18606974"/>
        <n v="18606975"/>
        <n v="18606976"/>
        <n v="18606977"/>
        <n v="24941624"/>
        <n v="24941722"/>
        <n v="24991923"/>
        <n v="25066640"/>
        <n v="25066769"/>
        <n v="25066825"/>
        <n v="25105925"/>
        <n v="25105983"/>
        <n v="25106098"/>
        <n v="25178456"/>
        <n v="25178656"/>
        <n v="25178876"/>
        <n v="25244107"/>
        <n v="25314758"/>
        <n v="25314842"/>
        <n v="25314916"/>
        <n v="25315073"/>
        <n v="25391742"/>
        <n v="25485889"/>
        <n v="25677301"/>
        <n v="25677394"/>
        <m/>
      </sharedItems>
    </cacheField>
    <cacheField name="广告类型" numFmtId="0">
      <sharedItems containsBlank="1" count="3">
        <s v="信息流广告"/>
        <s v="搜索广告"/>
        <m/>
      </sharedItems>
    </cacheField>
    <cacheField name="笔记ID" numFmtId="0">
      <sharedItems containsBlank="1" count="126">
        <s v="626acb02000000000102c35c"/>
        <s v="627ba9fe0000000021037192"/>
        <s v="627e0bba000000000102fbbb"/>
        <s v="627bb815000000000102a1d9"/>
        <s v="62737915000000002103f16c"/>
        <s v="627e157b000000000102d2c9"/>
        <s v="6286eeb6000000002103d135"/>
        <s v="614c3095000000000102b268"/>
        <s v="6268be6f000000002103575a"/>
        <s v="6255518c000000002103cbe1"/>
        <s v="6284a6120000000021036c2e"/>
        <s v="628c7af500000000010254ad"/>
        <s v="6290703f000000002103d411"/>
        <s v="628f4e490000000001027a43"/>
        <s v="6290482100000000210356f2"/>
        <s v="628da6fb000000000102646e"/>
        <s v="62879826000000000102800f"/>
        <s v="62482509000000000102d31e"/>
        <s v="629417c7000000002103479b"/>
        <s v="62903659000000000102fa9a"/>
        <s v="6290c4360000000021036385"/>
        <s v="629714e6000000000102d6c7"/>
        <s v="629dca29000000000102d19e"/>
        <s v="6299f16c000000000102ddd2"/>
        <s v="6290b2bb0000000021036eee"/>
        <s v="629700ce000000002103529c"/>
        <s v="629434dd0000000021038af3"/>
        <s v="62a045ea000000002103a321"/>
        <s v="629de623000000001d0153c8"/>
        <s v="62a3362f000000002103b738"/>
        <s v="62a461080000000001029226"/>
        <s v="62a6fd32000000001d0141d2"/>
        <s v="62a86da600000000210394c6"/>
        <s v="62a859ca000000001b034829"/>
        <s v="62a8420e000000001b03634d"/>
        <s v="62a72114000000002103631b"/>
        <s v="62a853b8000000002103dca1"/>
        <s v="62a98321000000001401a556"/>
        <s v="62aa9568000000000e021f22"/>
        <s v="62a321f2000000001d032701"/>
        <s v="62aa5b72000000000e01fa80"/>
        <s v="62df60d4000000001b0182ec"/>
        <s v="62e4ce29000000000e02bbd1"/>
        <s v="62e34ecb00000000110133c9"/>
        <s v="62e9103f000000001202c377"/>
        <s v="62e109a2000000001b03e2a0"/>
        <s v="62f0b4f000000000120392e6"/>
        <s v="62f37bbf0000000012024867"/>
        <s v="62f4c9f60000000009006fcb"/>
        <s v="62f7a27a0000000016030b54"/>
        <s v="62fa14a60000000014019759"/>
        <s v="62fc81290000000016037396"/>
        <s v="62fddb6e000000001b01b0e1"/>
        <s v="62fe048b000000001b005d67"/>
        <s v="62fdc897000000001b0063ad"/>
        <s v="630096c8000000001800de5a"/>
        <s v="62ff55630000000019029cc0"/>
        <s v="6308506e000000001702e57f"/>
        <s v="630055e2000000001b007e50"/>
        <s v="630f1fc800000000110355fc"/>
        <s v="630f0f5c0000000008021e9f"/>
        <s v="63108c530000000012038e6f"/>
        <s v="63104c390000000011035a33"/>
        <s v="6315edad00000000110364bd"/>
        <s v="63182f720000000008023b9f"/>
        <s v="6319c330000000000900f191"/>
        <s v="631ff1f10000000009033b64"/>
        <s v="63195acb0000000011011cb5"/>
        <s v="631e1af0000000001801b519"/>
        <s v="6322ac1f000000001200fd50"/>
        <s v="632591a1000000001801796c"/>
        <s v="6322ec9800000000080096e6"/>
        <s v="632acfbb000000000800a017"/>
        <s v="632a812e0000000011016f09"/>
        <s v="632c461f000000000801c166"/>
        <s v="6331a517000000001702438c"/>
        <s v="6333db92000000001703f2f8"/>
        <s v="6333d83500000000170279af"/>
        <s v="6340ef66000000001d014fd0"/>
        <s v="6342abf4000000001c00c1fb"/>
        <s v="63492dd50000000008014d5e"/>
        <s v="63492acb0000000008010b08"/>
        <s v="6343c9ea000000001c02e342"/>
        <s v="6336c064000000001d00f647"/>
        <s v="63437f77000000001d027e1b"/>
        <s v="634e1fe90000000008014572"/>
        <s v="63563e19000000001601ebbf"/>
        <s v="6358b83600000000140344b6"/>
        <s v="635b58ed000000001700c609"/>
        <s v="634fe7d20000000008010532"/>
        <s v="6347ce7d0000000007039781"/>
        <s v="6360d1d5000000000600811c"/>
        <s v="63622157000000000601d5cb"/>
        <s v="635361ae0000000015023541"/>
        <s v="634d395b000000000602b10a"/>
        <s v="636240b30000000007035fa2"/>
        <s v="63621e680000000008012eb3"/>
        <s v="635f8a250000000009000539"/>
        <s v="635f7fd20000000008010ca4"/>
        <s v="6364e9dc0000000009013c84"/>
        <s v="635ca4d0000000001601eee4"/>
        <s v="6368faca000000000901170a"/>
        <s v="6358a9b6000000001401d37d"/>
        <s v="632c10b9000000001200da7e"/>
        <s v="6225c1390000000021034e33"/>
        <s v="612359a60000000001024e1f"/>
        <s v="61765727000000000102dd1a"/>
        <s v="617bc5dd000000000102b409"/>
        <s v="622d8d0d0000000001029c29"/>
        <s v="6135ea0c000000000102fad5"/>
        <s v="621e1314000000000102a9ba"/>
        <s v="6232bdc30000000021034fa7"/>
        <s v="616ab9850000000001028279"/>
        <s v="621df4740000000021039fc3"/>
        <s v="61a75f5a000000000102d798"/>
        <s v="6221f6170000000021034926"/>
        <s v="625529c2000000000102f35c"/>
        <s v="636a29360000000007037622"/>
        <s v="63437a13000000000b0135ee"/>
        <s v="636b36a10000000007034630"/>
        <s v="6333fbc80000000017017605"/>
        <s v="6389bf260000000022035854"/>
        <s v="638d5ea9000000001f00d4d6"/>
        <s v="633115bb0000000018003042"/>
        <s v="6385c23a0000000019022ad3"/>
        <m/>
      </sharedItems>
    </cacheField>
    <cacheField name="单元名称" numFmtId="0">
      <sharedItems containsBlank="1" count="228">
        <s v="0519-种草-信息流-筋膜枪赛马测试"/>
        <s v="0519-种草-信息流-体脂秤3"/>
        <s v="0519-种草-信息流-体脂秤3mini赛马测试"/>
        <s v="0526-种草-信息流-云麦跳绳心率款"/>
        <s v="0526-种草-搜索-我是铁核桃-云麦体脂秤3"/>
        <s v="0526-种草-搜索-郝有金-筋膜枪cc"/>
        <s v="0526-种草-搜索-郝有金-筋膜枪cc_复制"/>
        <s v="0526-种草-搜索-圆又圆超爱笑-筋膜枪cc"/>
        <s v="0526-种草-信息流-热锅上的蚂蚁-筋膜枪cc"/>
        <s v="0526-种草-搜索-pp"/>
        <s v="0526-种草-搜索-大敏敏蜕变日记-体脂秤"/>
        <s v="0526-种草-信息流-七七-体脂秤3mini"/>
        <s v="0527-种草-信息流-pp-体脂秤3mini"/>
        <s v="0527-种草-信息流-Sophia大大-筋膜枪c"/>
        <s v="0527-种草-信息流-我是铁核桃-体脂秤3"/>
        <s v="0530-种草-搜索-七七-体脂秤3mini"/>
        <s v="0530-种草-信息流-大桐yoto-体脂秤3mi"/>
        <s v="0530-种草-信息流-Amy-体脂秤3mini"/>
        <s v="0531-种草-信息流-白白"/>
        <s v="0531-种草-信息流-云麦心率跳绳赛马测试"/>
        <s v="0531-种草-信息流-云麦体脂秤3赛马测试"/>
        <s v="0531-信息流-大桐yoto-体脂秤3mini"/>
        <s v="0601-小雪瑜伽-类目词-首位"/>
        <s v="0602-种草-信息流-小雪教瑜伽"/>
        <s v="0602-种草-信息流-努力变好的yy-筋膜枪"/>
        <s v="0602-种草-信息流-体脂秤3赛马计划"/>
        <s v="0602-种草-信息流-心率跳绳赛马测试"/>
        <s v="0605-种草-信息流-小雪教瑜伽-筋膜枪cc"/>
        <s v="0605-种草-信息流-白白-心率跳绳"/>
        <s v="0605-种草-信息流-咕咕猪小短腿-体脂秤3"/>
        <s v="0605-种草-信息流-努力变好的yy-筋膜枪cc"/>
        <s v="0606-种草-信息流-威风凛凛小队长-体脂秤3"/>
        <s v="0606-种草-信息流-努力变好的yy-筋膜枪cc"/>
        <s v="0606-小雪瑜伽-类目词-筋膜枪cc-"/>
        <s v="0606- 圆又圆超爱笑-类目词-筋膜枪cc"/>
        <s v="0606-小方-类目词-体脂秤3mini"/>
        <s v="0606-pp-类目词-体脂秤3mini"/>
        <s v="0606-种草-信息流-pp-体脂秤3mini"/>
        <s v="0607-种草-信息流-雪瑜伽-筋膜枪cc"/>
        <s v="0607-种草-信息流-干坐着的小瑶-筋膜枪cc"/>
        <s v="0607-种草-信息流-辣妈含含-体脂秤3"/>
        <s v="0607-种草-信息流-凯琳-心率跳绳"/>
        <s v="0607-种草-信息流-杨大大-心率跳绳"/>
        <s v="0608-种草-信息流-丫丫小姐姐-心率跳绳"/>
        <s v="0614-种草-信息流-六月炎妍-体脂秤3mini"/>
        <s v="0614-种草-信息流- 星星要变瘦-筋膜枪cc"/>
        <s v="0614-种草-信息流- 苏妤Sere-筋膜枪cc"/>
        <s v="0614-种草-信息流-小月月-体脂秤3"/>
        <s v="0614-种草-搜索-干坐着的小瑶"/>
        <s v="0615-抢赛道-凯琳-首位-心率跳绳"/>
        <s v="0615-抢赛道-炎妍-类目词-体脂秤3mini"/>
        <s v="0615-种草-信息流-马可乐-体脂秤3mini"/>
        <s v="0615-抢前3-苏妤-类目词-筋膜枪cc"/>
        <s v="0615-抢首-郝有金-类目词-筋膜枪cc"/>
        <s v="0615-抢前3-粥粥-类目词-心率跳绳"/>
        <s v="0616-抢前3-马可乐-功效词-体脂秤3mini"/>
        <s v="0616-种草-信息流-茜茜子-体脂秤3mini"/>
        <s v="0616-种草-信息流-丹丹-筋膜枪cc"/>
        <s v="0616-种草-信息流-林菀桃桃-筋膜枪cc"/>
        <s v="0616-种草-信息流-爱撸铁的丁-筋膜枪cc"/>
        <s v="0616-种草-信息流-熊猫叮-筋膜枪cc"/>
        <s v="0617-种草-信息流-生椰黎子-体脂秤3mini"/>
        <s v="0617-种草-信息流-福崽-筋膜枪cc"/>
        <s v="0617-种草-信息流-小胡的张张-筋膜枪cc"/>
        <s v="0620-种草-信息流-小蕾-筋膜枪cc"/>
        <s v="0727-种草-信息流-小翻译美芽酱-点击"/>
        <s v="0802-种草-信息流-曲美腻腻-互动点击"/>
        <s v="0804-种草-信息流-阿煜-互动点击"/>
        <s v="0805-种草-信息流-Jeremy 赵-筋膜枪"/>
        <s v="0802-种草-信息流-曲美腻腻-互动点击_复制160803"/>
        <s v="0808-种草-搜素-郝有金-筋膜枪-品牌词-首"/>
        <s v="0808-种草-搜素-郝有金-筋膜枪-品牌词-首_复制185616"/>
        <s v="0808-种草-搜素-郝有金-筋膜枪-品牌词-首_复制185753"/>
        <s v="0808-种草-搜素-郝有金-筋膜枪-品牌词-首_复制185930"/>
        <s v="0808-种草-搜素-郝有金-筋膜枪-品牌词-首_复制190437"/>
        <s v="0808-种草-搜素-郝有金-筋膜枪-品牌词-首_复制190957"/>
        <s v="0808-种草-搜素-郝有金-筋膜枪-品牌词-首_复制191612"/>
        <s v="0808-种草-搜素-郝有金-筋膜枪-品牌词-首_复制191843"/>
        <s v="0809-种草-信息流-元气芥末酱-点击"/>
        <s v="0811-种草-信息流-马可乐-筋膜枪-点击"/>
        <s v="0812-种草-信息流-朱俊畅-pb-点击"/>
        <s v="0811-种草-信息流-马可乐-筋膜枪-点击_复制154842"/>
        <s v="0817-种草-信息流-大红辣辣椒-pb"/>
        <s v="0818-种草-信息流-板野友美-pb"/>
        <s v="0818-种草-搜索-元气芥末酱-pb-类目词"/>
        <s v="0819-种草-信息流-圆圆-pb"/>
        <s v="0820-种草-信息流-板野友美iii-pb"/>
        <s v="0822-种草-信息流-雾霾少女i-pb"/>
        <s v="0822-种草-信息流-小蓝i-pb"/>
        <s v="0823-种草-信息流-桃子酱酱-pb"/>
        <s v="0823-种草-信息流-月亮起床了-pb"/>
        <s v="0829-种草-信息流-爱梨-pb"/>
        <s v="0831-种草-信息流-雪碧要加冰-pb"/>
        <s v="0831-种草-信息流-朱俊畅-pb"/>
        <s v="0831-种草-信息流-小雪教瑜伽-cc"/>
        <s v="0831-种草-搜索-朱俊畅-pb-类目词"/>
        <s v="0831-种草-搜索-小雪教瑜伽-cc-类目词"/>
        <s v="0901-种草-信息流-玩长板的慧慧-pb"/>
        <s v="0901-种草-信息流-Bruce小厮-pb"/>
        <s v="0901-种草-搜索-芥末酱-pb-类目词"/>
        <s v="0902-种草-信息流-木子棋Kiki-pb-点击"/>
        <s v="0902-种草-信息流-包子熟了-pb-点击"/>
        <s v="0902-种草-搜索-马可乐-pb-类目词"/>
        <s v="0905-种草-搜索-包子熟了-pb-类目词"/>
        <s v="0906-种草-信息流-Lucas雨田-pb-点"/>
        <s v="0907-种草-搜索-木子棋-pb-类目词"/>
        <s v="0908-种草-搜索-阿三啊-pb-"/>
        <s v="0909-种草-搜索-圆圆-pb-类目词"/>
        <s v="0909-种草-信息流-JJJJackson-pb"/>
        <s v="0910-种草-搜索-小四-pb-类目"/>
        <s v="国产收音机X"/>
        <s v="跑酷莫承烽"/>
        <s v="国产收音机X_复制183035"/>
        <s v="0917-种草-信息流-朱俊畅-pb-点击-"/>
        <s v="国产收音机X_复制182936"/>
        <s v="0919-种草-信息流-西米-pb"/>
        <s v="0919-种草-信息流-林然-pb"/>
        <s v="0922-种草-信息流-芥末酱-pb"/>
        <s v="0923-种草-信息流-小羊羔崽子-pb-互动"/>
        <s v="0923-种草-信息流-一颗西兰花fa-pb-点击"/>
        <s v="0924-种草-信息流-小羊羔崽子-点击"/>
        <s v="0924-种草-信息流-一颗西兰花fa-点击"/>
        <s v="0926-种草-信息流-小小柯尔鸭-自定义标签"/>
        <s v="0928-种草-信息流-西米-点击"/>
        <s v="0928-种草-信息流-高凯元-pb-互动"/>
        <s v="0919-种草-信息流-西米-pb_复制161035"/>
        <s v="0930-种草-搜索-芥末酱-类目词"/>
        <s v="0930-种草-搜索-pp-3mini-类目词"/>
        <s v="1011-种草-信息流-臃肿大白鹅"/>
        <s v="1011-种草-信息流-芋泥团团茶"/>
        <s v="1013-种草-信息流-板野友美-pb"/>
        <s v="1014-种草-信息流-一颗西兰花fa"/>
        <s v="1014-种草-信息流-郝有金-cc"/>
        <s v="1014-种草-信息流-一颗西"/>
        <s v="1018-种草-信息流-蜜桃少女宁小美-cc"/>
        <s v="1018-种草-信息流-thePans.-cc"/>
        <s v="1018-种草-信息流-pp-体脂秤-3mini"/>
        <s v="1018-种草-信息流-pp-体脂秤-点击"/>
        <s v="1014-种草-信息流-一颗西兰花fa_复制210502"/>
        <s v="1018-种草-信息流-thePans.-cc_复制213708"/>
        <s v="1019-种草-信息流-索菲亚-体脂秤-3mini"/>
        <s v="1019-种草-信息流-健康营养师格格"/>
        <s v="1019-种草-信息流-咦同学-筋膜枪-cc"/>
        <s v="1020-种草-信息流-thePans-筋膜枪cc"/>
        <s v="1020-信息流-橘子汽水-体脂秤-3mini"/>
        <s v="1021-信息流-诸葛亮晶晶-体脂秤-3mini"/>
        <s v="1014-种草-信息流-一颗西兰花fa_复制180331"/>
        <s v="1022-种草-信息流-小羊羔崽子-筋膜枪-pb"/>
        <s v="1022-种草-信息流-形体矫正小李-筋膜枪-pb"/>
        <s v="1024-抢位-一颗西兰花fa-筋膜枪-品牌词"/>
        <s v="1024-种草-信息流-一颗西兰花fa-品类词"/>
        <s v="1024-信息流-pp-体脂秤-3mini"/>
        <s v="1024-信息流-pp-体脂-3mini-品牌词"/>
        <s v="1024-信息流-pp-体脂-3mini-品牌词_复制182937"/>
        <s v="1025-种草-信息流-脆鱼日记-筋膜枪cc"/>
        <s v="1025-种草-信息流- 蜜桃少女宁-筋膜枪cc"/>
        <s v="1026-种草-信息流-西米-筋膜枪-pb"/>
        <s v="1026-搜索-包子-品牌词"/>
        <s v="1026-搜索-包子-品类词"/>
        <s v="11029-种草-信息流-小乔您了-筋膜枪-pb"/>
        <s v="1026-搜索-芥末酱-品类词"/>
        <s v="1031-搜索-郝有金-品类词"/>
        <s v="1031-搜索-小岛-品类词"/>
        <s v="1031-搜索-橘子汽水-品类词"/>
        <s v="1031-搜索-小岛-体脂秤-3mini-类目词"/>
        <s v="1022-种草-信息流-小羊羔崽子-筋膜枪-pb_复制201824"/>
        <s v="1031-搜索-小岛-体脂秤-3mini-类目词_"/>
        <s v="1101-种草-信息流-小甜心-体脂秤-3mini"/>
        <s v="1101-种草-信息流-周周也是倩倩-筋膜枪-pb"/>
        <s v="1101-种草-信息流-Zora张张-筋膜枪-pb"/>
        <s v="1102-种草-信息流-爱健身陈淼淼-筋膜枪-pb"/>
        <s v="1103-种草-信息流-晚一子-点击"/>
        <s v="1102-种草-信息流-爱健身陈淼淼-筋膜枪-pb_复制190941"/>
        <s v="1105-种草-信息流-Zora張張-筋膜枪-cc"/>
        <s v="1106-种草-信息流-脆鱼日记-筋膜枪cc"/>
        <s v="1026-搜索-包子-品类词_复制193653"/>
        <s v="1107-种草-信息流-语宸-筋膜枪cc"/>
        <s v="1107-种草-信息流-小糖果-筋膜枪cc"/>
        <s v="1107-种草-信息流-毛豆-体脂秤3mini"/>
        <s v="1107-种草-信息流-趁早早-体脂秤3mini"/>
        <s v="1022-种草-信息流-小羊羔崽子-筋膜枪-pb_复制221708"/>
        <s v="1108-种草-信息流-语宸-筋膜枪cc"/>
        <s v="1108-种草-信息流-晚一子-体脂秤3mini"/>
        <s v="1108-搜索-小羊羔-品类词"/>
        <s v="1109-种草-信息流-趁早早-体脂秤3mini"/>
        <s v="1109-种草-信息流-小岛-体脂秤3mini"/>
        <s v="1108-搜索-小羊羔-品类词_复制193404"/>
        <s v="1110-种草-信息流-野生辣妹-筋膜枪"/>
        <s v="1110-种草-信息流-樱桃小丸子-筋膜枪"/>
        <s v="1110-种草-信息流-秦亲亲-体脂秤3mini"/>
        <s v="1110-种草-信息流-曼玉-跳绳"/>
        <s v="1111-搜索-马可乐-体脂秤-3mini-类目词"/>
        <s v="0823-种草-信息流-小蓝i-pb"/>
        <s v="0824-种草-信息流-小蓝i-pb"/>
        <s v="0825-种草-信息流-小蓝i-pb"/>
        <s v="0826-种草-信息流-小蓝i-pb"/>
        <s v="0827-种草-信息流-小蓝i-pb"/>
        <s v="0828-种草-信息流-小蓝i-pb"/>
        <s v="0829-种草-信息流-小蓝i-pb"/>
        <s v="0830-种草-信息流-小蓝i-pb"/>
        <s v="0831-种草-信息流-小蓝i-pb"/>
        <s v="0832-种草-信息流-小蓝i-pb"/>
        <s v="0833-种草-信息流-小蓝i-pb"/>
        <s v="0834-种草-信息流-小蓝i-pb"/>
        <s v="0835-种草-信息流-小蓝i-pb"/>
        <s v="0836-种草-信息流-小蓝i-pb"/>
        <s v="0837-种草-信息流-小蓝i-pb"/>
        <s v="0838-种草-信息流-小蓝i-pb"/>
        <s v="1201-信息流-蔓玉有点甜-跳绳"/>
        <s v="1201-信息流-miss小宝-筋膜枪pb2"/>
        <s v="1202-信息流-嘎嘎今天不要懒-跳绳2go"/>
        <s v="1203-信息流-小饼-筋膜枪cc"/>
        <s v="1203-信息流-包子熟了-筋膜枪pb2"/>
        <s v="芒果腻"/>
        <s v="1204-种草-信息流-一颗西兰花-筋膜枪pb2"/>
        <s v="1204-种草-信息流-zora张张-ccgo"/>
        <s v="1204-种草-信息流-猪脚-跳绳2go"/>
        <s v="1205-种草-信息流-小羊羔崽子-筋膜枪pb2"/>
        <s v="1205-种草-信息流-臃肿大白鹅-筋膜枪pb2"/>
        <s v="1205-种草-信息流-蛋卷er-筋膜枪cc"/>
        <s v="1206-种草-信息流-紫菜-筋膜枪cc"/>
        <s v="1207-抢位-包子-cc-首位"/>
        <s v="1207-抢位-张张-cc-前三"/>
        <s v="1207-种草-信息流-Morii-跳绳2go"/>
        <s v="1208-种草-信息流- 是33崽-筋膜枪cc"/>
        <s v="1209-种草-信息流-马可乐-pb2"/>
        <s v="1212-抢位-马可乐-pb-前三"/>
        <m/>
      </sharedItems>
    </cacheField>
    <cacheField name="单元ID" numFmtId="0">
      <sharedItems containsString="0" containsBlank="1" containsNumber="1" containsInteger="1" minValue="0" maxValue="7047407" count="228">
        <n v="2918793"/>
        <n v="2918813"/>
        <n v="2918831"/>
        <n v="2959750"/>
        <n v="2959778"/>
        <n v="2959797"/>
        <n v="2959816"/>
        <n v="2959820"/>
        <n v="2959834"/>
        <n v="2959849"/>
        <n v="2959861"/>
        <n v="2959880"/>
        <n v="2966106"/>
        <n v="2966132"/>
        <n v="2966196"/>
        <n v="2978792"/>
        <n v="2978801"/>
        <n v="2978810"/>
        <n v="2984115"/>
        <n v="2984144"/>
        <n v="2984271"/>
        <n v="2984400"/>
        <n v="2993851"/>
        <n v="3001667"/>
        <n v="3001688"/>
        <n v="3001731"/>
        <n v="3001791"/>
        <n v="3007578"/>
        <n v="3007658"/>
        <n v="3007662"/>
        <n v="3007667"/>
        <n v="3014687"/>
        <n v="3014707"/>
        <n v="3014737"/>
        <n v="3014754"/>
        <n v="3014764"/>
        <n v="3014779"/>
        <n v="3014783"/>
        <n v="3020475"/>
        <n v="3020499"/>
        <n v="3020580"/>
        <n v="3020613"/>
        <n v="3020628"/>
        <n v="3028319"/>
        <n v="3067706"/>
        <n v="3067718"/>
        <n v="3067721"/>
        <n v="3067744"/>
        <n v="3068565"/>
        <n v="3074136"/>
        <n v="3076866"/>
        <n v="3076999"/>
        <n v="3077376"/>
        <n v="3077590"/>
        <n v="3077734"/>
        <n v="3087946"/>
        <n v="3087955"/>
        <n v="3087971"/>
        <n v="3087973"/>
        <n v="3087983"/>
        <n v="3087989"/>
        <n v="3099180"/>
        <n v="3099710"/>
        <n v="3099720"/>
        <n v="3118218"/>
        <n v="3362209"/>
        <n v="3466574"/>
        <n v="3493737"/>
        <n v="3514560"/>
        <n v="3544995"/>
        <n v="3580052"/>
        <n v="3580060"/>
        <n v="3580099"/>
        <n v="3580132"/>
        <n v="3580226"/>
        <n v="3580327"/>
        <n v="3580433"/>
        <n v="3580480"/>
        <n v="3600311"/>
        <n v="3639848"/>
        <n v="3665138"/>
        <n v="3729412"/>
        <n v="3755110"/>
        <n v="3775804"/>
        <n v="3775925"/>
        <n v="3798655"/>
        <n v="3817956"/>
        <n v="3851140"/>
        <n v="3851160"/>
        <n v="3870533"/>
        <n v="3870563"/>
        <n v="3992888"/>
        <n v="4036081"/>
        <n v="4039162"/>
        <n v="4039210"/>
        <n v="4039364"/>
        <n v="4039390"/>
        <n v="4059790"/>
        <n v="4059827"/>
        <n v="4061725"/>
        <n v="4083919"/>
        <n v="4084168"/>
        <n v="4084260"/>
        <n v="4133905"/>
        <n v="4155782"/>
        <n v="4178883"/>
        <n v="4206144"/>
        <n v="4228760"/>
        <n v="4228800"/>
        <n v="4239566"/>
        <n v="4314778"/>
        <n v="4314821"/>
        <n v="4365075"/>
        <n v="4384092"/>
        <n v="4365044"/>
        <n v="4425179"/>
        <n v="4425218"/>
        <n v="4507302"/>
        <n v="4528587"/>
        <n v="4528603"/>
        <n v="4551147"/>
        <n v="4551153"/>
        <n v="4605593"/>
        <n v="4664600"/>
        <n v="4664833"/>
        <n v="4667757"/>
        <n v="4743757"/>
        <n v="4743785"/>
        <n v="5010053"/>
        <n v="5010131"/>
        <n v="5077750"/>
        <n v="5116446"/>
        <n v="5119266"/>
        <n v="5192303"/>
        <n v="5218190"/>
        <n v="5218235"/>
        <n v="5218312"/>
        <n v="5234903"/>
        <n v="5235064"/>
        <n v="5235825"/>
        <n v="5258337"/>
        <n v="5258914"/>
        <n v="5259036"/>
        <n v="5300130"/>
        <n v="5300358"/>
        <n v="5332127"/>
        <n v="5338035"/>
        <n v="5366393"/>
        <n v="5366424"/>
        <n v="5428268"/>
        <n v="5428627"/>
        <n v="5428999"/>
        <n v="5429032"/>
        <n v="5429663"/>
        <n v="5474004"/>
        <n v="5479098"/>
        <n v="5521266"/>
        <n v="5521358"/>
        <n v="5521414"/>
        <n v="5634352"/>
        <n v="5694637"/>
        <n v="5694754"/>
        <n v="5694908"/>
        <n v="5694979"/>
        <n v="5699471"/>
        <n v="5700276"/>
        <n v="5700336"/>
        <n v="5731231"/>
        <n v="5732324"/>
        <n v="5732455"/>
        <n v="5771085"/>
        <n v="5809017"/>
        <n v="5851094"/>
        <n v="5880638"/>
        <n v="5893381"/>
        <n v="5942225"/>
        <n v="5942327"/>
        <n v="5942343"/>
        <n v="5942377"/>
        <n v="5942417"/>
        <n v="5946923"/>
        <n v="5980615"/>
        <n v="5980832"/>
        <n v="5980913"/>
        <n v="6017655"/>
        <n v="6017685"/>
        <n v="6017761"/>
        <n v="6056558"/>
        <n v="6056608"/>
        <n v="6056747"/>
        <n v="6056874"/>
        <n v="6095328"/>
        <n v="3851161"/>
        <n v="3851162"/>
        <n v="3851163"/>
        <n v="3851164"/>
        <n v="3851165"/>
        <n v="3851166"/>
        <n v="3851167"/>
        <n v="3851168"/>
        <n v="3851169"/>
        <n v="3851170"/>
        <n v="3851171"/>
        <n v="3851172"/>
        <n v="3851173"/>
        <n v="3851174"/>
        <n v="3851175"/>
        <n v="3851176"/>
        <n v="6702550"/>
        <n v="6702577"/>
        <n v="6725293"/>
        <n v="6759755"/>
        <n v="6759811"/>
        <n v="6759850"/>
        <n v="6779533"/>
        <n v="6779552"/>
        <n v="6779635"/>
        <n v="6811834"/>
        <n v="6811939"/>
        <n v="6812062"/>
        <n v="6841351"/>
        <n v="6872965"/>
        <n v="6872994"/>
        <n v="6873109"/>
        <n v="6908546"/>
        <n v="6951868"/>
        <n v="7047407"/>
        <m/>
      </sharedItems>
    </cacheField>
    <cacheField name="计划名称" numFmtId="0">
      <sharedItems containsBlank="1" count="229">
        <s v="0519-种草-信息流-筋膜枪赛马测试"/>
        <s v="0519-种草-信息流-体脂秤3"/>
        <s v="0519-种草-信息流-体脂秤3mini赛马测试"/>
        <s v="0526-种草-信息流-爱跳绳粥粥-云麦跳绳心率款"/>
        <s v="0526-种草-搜索-我是铁核桃-云麦体脂秤3"/>
        <s v="0526-郝有金-筋膜枪cc-类目词--首位"/>
        <s v="0601- 圆又圆超爱笑-类目词-筋膜枪cc-前3"/>
        <s v="0526-种草-信息流-热锅上的蚂蚁-筋膜枪cc"/>
        <s v="0526-种草-搜索-pp-体脂秤3mini"/>
        <s v="0526-种草-搜索-大敏敏-体脂秤3mini"/>
        <s v="0526-种草-信息流-七七-体脂秤3mini"/>
        <s v="0527-种草-信息流-pp-体脂秤3mini"/>
        <s v="0527-种草-信息流-Sophia大大-筋膜枪c"/>
        <s v="0530-种草-信息流-我是铁核桃-体脂秤3"/>
        <s v="0602-体脂秤3mini-类目词-首位"/>
        <s v="0530-种草-信息流-大桐yoto-体脂秤3mi"/>
        <s v="0530-种草-信息流-Amy-体脂秤3mini"/>
        <s v="0531-种草-信息流-白白-心率跳绳"/>
        <s v="0606-种草-信息流-小小李-云麦心率跳绳"/>
        <s v="0601-种草-信息流-小菜包-云麦体脂秤3"/>
        <s v="0531-信息流-大桐yoto-体脂秤3mini"/>
        <s v="0601-小雪瑜伽-筋膜枪-类目词-首位"/>
        <s v="0602-种草-信息流-小雪教瑜伽-筋膜枪cc"/>
        <s v="0602-种草-信息流-努力变好的yy-筋膜枪"/>
        <s v="0603-种草-信息流-咕咕猪小短腿-体脂秤3"/>
        <s v="0602-种草-信息流-心率跳绳赛马测试"/>
        <s v="0605-种草-信息流-小雪教瑜伽-筋膜枪cc"/>
        <s v="0605-种草-信息流-白白-心率跳绳"/>
        <s v="0605-种草-信息流-咕咕猪小短腿-体脂秤3"/>
        <s v="0605-种草-信息流-努力变好的yy-筋膜枪cc"/>
        <s v="0606-种草-信息流-威风凛凛小队长-体脂秤3"/>
        <s v="0606-种草-信息流-努力变好的yy-筋膜枪cc"/>
        <s v="0606-小雪瑜伽-类目词-筋膜枪cc-"/>
        <s v="0606- 圆又圆超爱笑-类目词-筋膜枪cc"/>
        <s v="0614-种草-信息流-小方-体脂秤3mini"/>
        <s v="0614-pp-类目词-体脂秤3mini"/>
        <s v="0606-种草-信息流-pp-体脂秤3mini"/>
        <s v="0614-种草-信息流-雪瑜伽-筋膜枪cc"/>
        <s v="0607-种草-信息流-干坐着的小瑶-筋膜枪cc"/>
        <s v="0607-种草-信息流-辣妈含含-体脂秤3"/>
        <s v="0607-种草-信息流-凯琳-心率跳绳"/>
        <s v="0607-种草-信息流-杨大大-心率跳绳"/>
        <s v="0608-种草-信息流-丫丫小姐姐-心率跳绳"/>
        <s v="0614-种草-信息流-六月炎妍-体脂秤3mini"/>
        <s v="0614-种草-信息流- 星星要变瘦-筋膜枪cc"/>
        <s v="0614-种草-信息流- 苏妤Sere-筋膜枪cc"/>
        <s v="0614-种草-信息流-小月月-体脂秤3"/>
        <s v="0614-抢前3-干坐着的小瑶-类目词-筋膜枪cc"/>
        <s v="0615-抢赛道-凯琳-首位-心率跳绳"/>
        <s v="0615-抢前3-炎妍-类目词-体脂秤3mini"/>
        <s v="0615-种草-信息流-马可乐-体脂秤3mini"/>
        <s v="0615-抢前3-苏妤-类目词-筋膜枪cc"/>
        <s v="0615-抢首-郝有金-类目词-筋膜枪cc"/>
        <s v="0615-抢前3-粥粥-类目词-心率跳绳"/>
        <s v="0616-抢前3-马可乐-功效词-体脂秤3mini"/>
        <s v="0616-种草-信息流-茜茜子-体脂秤3mini"/>
        <s v="0616-种草-信息流-丹丹-筋膜枪cc"/>
        <s v="0616-种草-信息流-林菀桃桃-筋膜枪cc"/>
        <s v="0616-种草-信息流-爱撸铁的丁-筋膜枪cc"/>
        <s v="0616-种草-信息流-熊猫叮-筋膜枪cc"/>
        <s v="0617-种草-信息流-生椰黎子-体脂秤3mini"/>
        <s v="0617-种草-信息流-福崽-筋膜枪cc"/>
        <s v="0617-种草-信息流-小胡的张张-筋膜枪cc"/>
        <s v="0620-种草-信息流-小蕾-筋膜枪cc"/>
        <s v="0727-种草-信息流-小翻译美芽酱-点击"/>
        <s v="0802-种草-信息流-曲美腻腻-筋膜枪-互动点击"/>
        <s v="0804-种草-信息流-阿煜-筋膜枪-互动点击"/>
        <s v="0805-种草-信息流-Jeremy 赵-筋膜枪"/>
        <s v="0806-种草-信息流-小恩哥带你练臀-筋膜枪"/>
        <s v="0808-种草-搜素-郝有金-筋膜枪-品牌词-首"/>
        <s v="0808-种草-搜素-苏舒-筋膜枪-品牌词-首"/>
        <s v="0808-种草-搜素-郝有金-筋膜枪-类目词-首"/>
        <s v="0808-种草-搜素-苏舒-筋膜枪-类目词-前三"/>
        <s v="0808-种草-搜素-苏舒-筋膜枪-竞品词-首"/>
        <s v="0808-种草-搜素-pp-体脂秤-品牌词-首"/>
        <s v="0808-种草-搜素-pp-体脂秤-类目词-首"/>
        <s v="0808-种草-搜素-pp-体脂秤-竞品词-首"/>
        <s v="0809-种草-信息流-元气芥末酱-筋膜枪-点击"/>
        <s v="0811-种草-信息流-马可乐-pb-点击"/>
        <s v="0812-种草-信息流-朱俊畅-pb-点击"/>
        <s v="0816-种草-信息流-爱跳绳的粥粥-pb-点击"/>
        <s v="0817-种草-信息流-大红辣辣椒-pb"/>
        <s v="0818-种草-信息流-板野友美-pb"/>
        <s v="0818-种草-搜索-元气芥末酱-pb-类目词"/>
        <s v="0819-种草-信息流-圆圆-pb"/>
        <s v="0820-种草-信息流-板野友美iii-pb"/>
        <s v="0822-种草-信息流-雾霾少女i-pb"/>
        <s v="0822-种草-信息流-小蓝i-pb"/>
        <s v="0823-种草-信息流-桃子酱酱-pb"/>
        <s v="0823-种草-信息流-月亮起床了-pb"/>
        <s v="0829-种草-信息流-爱梨-pb"/>
        <s v="0831-种草-信息流-雪碧要加冰-pb"/>
        <s v="0831-种草-信息流-朱俊畅-pb"/>
        <s v="0831-种草-信息流-小雪教瑜伽-cc"/>
        <s v="0831-种草-搜索-朱俊畅-pb-类目词"/>
        <s v="0831-种草-搜索-小雪教瑜伽-cc-类目词"/>
        <s v="0901-种草-信息流-玩长板的慧慧-pb"/>
        <s v="0901-种草-信息流-Bruce小厮-pb"/>
        <s v="0901-种草-搜索-芥末酱-pb-类目词"/>
        <s v="0902-种草-信息流-木子棋Kiki-pb-点击"/>
        <s v="0902-种草-信息流-包子熟了-pb-点击"/>
        <s v="0902-种草-搜索-马可乐-pb-类目词"/>
        <s v="0905-种草-搜索-包子熟了-pb-类目词"/>
        <s v="0906-种草-信息流-Lucas雨田-pb-点"/>
        <s v="0907-种草-搜索-木子棋Ki-pb-类目词"/>
        <s v="0908-种草-信息流-阿三啊-pb-点"/>
        <s v="0909-种草-搜索-圆圆-pb-类目词"/>
        <s v="0909-种草-信息流-JJJJackson-pb"/>
        <s v="0910-种草-搜索-小厮-pb-类目词"/>
        <s v="0914-种草-信息流-国产收音机X-pb"/>
        <s v="0914-种草-信息流-跑酷莫承烽-pb"/>
        <s v="0916-种草-信息流-小刘爱游泳-pb"/>
        <s v="0917-种草-信息流-朱俊畅-pb-点击-"/>
        <s v="0918-种草-信息流-小乔您了-pb"/>
        <s v="0919-种草-信息流-西米-pb"/>
        <s v="0919-种草-信息流-林然-pb"/>
        <s v="0922-种草-信息流-芥末酱-pb"/>
        <s v="0923-种草-信息流-小羊羔崽子-pb-互动"/>
        <s v="0923-种草-信息流-一颗西兰花fa-pb-互动"/>
        <s v="0924-种草-信息流-小羊羔崽子-点击"/>
        <s v="0924-种草-信息流-一颗西兰花fa-点击"/>
        <s v="0926-种草-信息流-小小柯尔鸭--pb-自定义"/>
        <s v="0928-种草-信息流-西米-pb-点击"/>
        <s v="0928-种草-信息流-高凯元-pb-互动"/>
        <s v="0919-种草-信息流-西米-pb-通投"/>
        <s v="0930-种草-搜索-芥末酱-类目词"/>
        <s v="0930-种草-搜索-pp-3mini-类目词"/>
        <s v="1011-种草-信息流-臃肿大白鹅"/>
        <s v="1011-种草-信息流-芋泥团团茶"/>
        <s v="1013-种草-信息流-板野友美-pb"/>
        <s v="1014-种草-信息流-一颗西兰花fa"/>
        <s v="1014-种草-信息流-郝有金-cc"/>
        <s v="1014-种草-信息流-一颗西兰花fa_pb"/>
        <s v="1018-种草-信息流-蜜桃少女宁小美-cc"/>
        <s v="1018-种草-信息流-thePans.-cc"/>
        <s v="1018-种草-信息流-pp-体脂秤-3mini"/>
        <s v="1018-种草-信息流-pp-体脂秤-点击"/>
        <s v="1018-种草-信息流-一颗西兰花fa_pb"/>
        <s v="1018-种草-信息流-thePans.-cc-"/>
        <s v="1019-种草-信息流-索菲亚-体脂秤-3mini"/>
        <s v="1019-种草-信息流-营养师格格-筋膜枪-cc"/>
        <s v="1019-种草-信息流-咦同学-筋膜枪-cc"/>
        <s v="1020-种草-信息流-thePans-筋膜枪cc"/>
        <s v="1020-信息流-橘子汽水-体脂秤-3mini"/>
        <s v="1021-信息流-诸葛亮晶晶-体脂秤-3mini"/>
        <s v="1021-种草-信息流-一颗西兰花fa_pb_复制"/>
        <s v="1022-种草-信息流-小羊羔崽子-筋膜枪-pb"/>
        <s v="1022-种草-信息流-形体矫正小李-筋膜枪-pb"/>
        <s v="1024-搜索-一颗西兰花fa-品牌词"/>
        <s v="1024-搜索-一颗西兰花fa-品类词"/>
        <s v="1024-信息流-pp-体脂秤-3mini"/>
        <s v="1024-搜索-pp-体脂-3mini-品牌词"/>
        <s v="1024-搜索-pp-体脂秤-3mini-类目词"/>
        <s v="1025-种草-信息流-脆鱼日记-筋膜枪cc"/>
        <s v="1025-种草-信息流- 蜜桃少女宁-筋膜枪cc"/>
        <s v="1026-种草-信息流-西米-筋膜枪-pb"/>
        <s v="1026-搜索-包子-品牌词"/>
        <s v="1026-搜索-包子-品类词"/>
        <s v="1029-种草-信息流-小乔您了-筋膜枪-pb"/>
        <s v="1026-搜索-芥末酱-品类词"/>
        <s v="1031-搜索-郝有金-品类词"/>
        <s v="1031-搜索-小岛-品类词"/>
        <s v="1031-搜索-橘子汽水-品类词"/>
        <s v="1031-搜索-小岛-体脂秤-3mini-类目词"/>
        <s v="1031-种草-信息流-小羊羔崽子-筋膜枪-pb_"/>
        <s v="1031-搜索-橘子汽水-体脂秤-3mini-类目"/>
        <s v="1101-种草-信息流-小甜心-体脂秤-3mini"/>
        <s v="1101-种草-信息流-周周也是倩倩-筋膜枪-pb"/>
        <s v="1101-种草-信息流-Zora张张-筋膜枪-pb"/>
        <s v="1102-种草-信息流-爱健身陈淼淼-筋膜枪-pb"/>
        <s v="1103-种草-信息流-晚一子-点击"/>
        <s v="1104-种草-信息流-爱健身陈淼淼-筋膜枪-pb"/>
        <s v="1105-种草-信息流-Zora張張-筋膜枪-pb"/>
        <s v="1106-种草-信息流-脆鱼日记-筋膜枪cc"/>
        <s v="1107-搜索-西兰花-品类词_"/>
        <s v="1107-种草-信息流-语宸-筋膜枪cc"/>
        <s v="1107-种草-信息流-小糖果-筋膜枪cc"/>
        <s v="1107-种草-信息流-毛豆-体脂秤3mini"/>
        <s v="1107-种草-信息流-趁早早-体脂秤3mini"/>
        <s v="1107-种草-信息流-小羊羔崽子-筋膜枪-pb"/>
        <s v="1108-种草-信息流-方丈-筋膜枪pb"/>
        <s v="1108-种草-信息流-晚一子-体脂秤3mini"/>
        <s v="1108-搜索-小羊羔-品类词"/>
        <s v="1109-种草-信息流-趁早早-体脂秤3mini"/>
        <s v="1109-种草-信息流-小岛-体脂秤3mini"/>
        <s v="1108-搜索-猪脚-跳绳-品类词"/>
        <s v="1110-种草-信息流-野生辣妹-筋膜枪"/>
        <s v="1110-种草-信息流-樱桃小丸子-筋膜枪"/>
        <s v="1110-种草-信息流-秦亲亲-体脂秤3mini"/>
        <s v="1110-种草-信息流-曼玉-跳绳"/>
        <s v="1111-搜索-马可乐-体脂秤-3mini-类目词"/>
        <s v="0823-种草-信息流-小蓝i-pb"/>
        <s v="0824-种草-信息流-小蓝i-pb"/>
        <s v="0825-种草-信息流-小蓝i-pb"/>
        <s v="0826-种草-信息流-小蓝i-pb"/>
        <s v="0827-种草-信息流-小蓝i-pb"/>
        <s v="0828-种草-信息流-小蓝i-pb"/>
        <s v="0829-种草-信息流-小蓝i-pb"/>
        <s v="0830-种草-信息流-小蓝i-pb"/>
        <s v="0831-种草-信息流-小蓝i-pb"/>
        <s v="0832-种草-信息流-小蓝i-pb"/>
        <s v="0833-种草-信息流-小蓝i-pb"/>
        <s v="0834-种草-信息流-小蓝i-pb"/>
        <s v="0835-种草-信息流-小蓝i-pb"/>
        <s v="0836-种草-信息流-小蓝i-pb"/>
        <s v="0837-种草-信息流-小蓝i-pb"/>
        <s v="0838-种草-信息流-小蓝i-pb"/>
        <s v="1201-信息流-蔓玉有点甜-跳绳"/>
        <s v="1201-信息流-miss小宝-筋膜枪pb2"/>
        <s v="1202-信息流-嘎嘎今天不要懒-跳绳2go"/>
        <s v="1203-信息流-小饼-筋膜枪cc"/>
        <s v="1203-信息流-包子熟了-筋膜枪pb2"/>
        <s v="1203-信息流-芒果腻-跳绳2go"/>
        <s v="1204-种草-信息流-一颗西兰花-筋膜枪pb2"/>
        <s v="1204-种草-信息流-zora张张-ccgo"/>
        <s v="1204-种草-信息流-猪脚-跳绳2go"/>
        <s v="1205-种草-信息流-小羊羔崽子-筋膜枪pb2"/>
        <s v="1205-种草-信息流-臃肿大白鹅-筋膜枪pb2"/>
        <s v="1205-种草-信息流-蛋卷er-筋膜枪cc"/>
        <s v="1206-种草-信息流-紫菜-筋膜枪cc"/>
        <s v="1207-抢位-包子-cc-首位"/>
        <s v="1207-抢位-张张-cc-前三"/>
        <s v="1207-种草-信息流-Morii-跳绳2go"/>
        <s v="1207-抢位-包子-cc-首位--短语"/>
        <s v="1207-抢位-张张-cc-前三-短语"/>
        <s v="1208-种草-信息流- 是33崽-筋膜枪cc"/>
        <s v="1209-种草-信息流-马可乐-pb2"/>
        <s v="1212-抢位-马可乐-pb-前三"/>
        <m/>
      </sharedItems>
    </cacheField>
    <cacheField name="计划ID" numFmtId="0">
      <sharedItems containsString="0" containsBlank="1" containsNumber="1" containsInteger="1" minValue="0" maxValue="5814443" count="227">
        <n v="2325045"/>
        <n v="2325078"/>
        <n v="2325093"/>
        <n v="2362546"/>
        <n v="2362558"/>
        <n v="2362567"/>
        <n v="2362578"/>
        <n v="2362586"/>
        <n v="2362592"/>
        <n v="2362601"/>
        <n v="2362615"/>
        <n v="2368633"/>
        <n v="2368658"/>
        <n v="2368701"/>
        <n v="2380738"/>
        <n v="2380750"/>
        <n v="2380758"/>
        <n v="2385895"/>
        <n v="2385921"/>
        <n v="2385975"/>
        <n v="2386169"/>
        <n v="2394430"/>
        <n v="2400711"/>
        <n v="2400733"/>
        <n v="2400767"/>
        <n v="2400796"/>
        <n v="2405816"/>
        <n v="2405905"/>
        <n v="2405908"/>
        <n v="2405911"/>
        <n v="2412594"/>
        <n v="2412606"/>
        <n v="2412630"/>
        <n v="2412642"/>
        <n v="2412653"/>
        <n v="2412665"/>
        <n v="2412680"/>
        <n v="2418288"/>
        <n v="2418330"/>
        <n v="2418405"/>
        <n v="2418438"/>
        <n v="2418459"/>
        <n v="2426112"/>
        <n v="2464957"/>
        <n v="2464972"/>
        <n v="2464984"/>
        <n v="2465008"/>
        <n v="2465715"/>
        <n v="2470597"/>
        <n v="2473013"/>
        <n v="2473124"/>
        <n v="2473298"/>
        <n v="2473348"/>
        <n v="2473395"/>
        <n v="2483361"/>
        <n v="2483370"/>
        <n v="2483385"/>
        <n v="2483391"/>
        <n v="2483401"/>
        <n v="2483404"/>
        <n v="2494227"/>
        <n v="2494725"/>
        <n v="2494738"/>
        <n v="2512637"/>
        <n v="2750426"/>
        <n v="2852359"/>
        <n v="2879595"/>
        <n v="2900401"/>
        <n v="2930179"/>
        <n v="2965300"/>
        <n v="2965320"/>
        <n v="2965351"/>
        <n v="2965381"/>
        <n v="2965480"/>
        <n v="2965570"/>
        <n v="2965681"/>
        <n v="2965724"/>
        <n v="2985865"/>
        <n v="3024741"/>
        <n v="3050231"/>
        <n v="3114670"/>
        <n v="3140313"/>
        <n v="3160901"/>
        <n v="3160965"/>
        <n v="3183731"/>
        <n v="3202963"/>
        <n v="3236249"/>
        <n v="3236289"/>
        <n v="3255602"/>
        <n v="3255634"/>
        <n v="3377376"/>
        <n v="3419519"/>
        <n v="3422446"/>
        <n v="3422478"/>
        <n v="3422548"/>
        <n v="3422670"/>
        <n v="3442545"/>
        <n v="3442591"/>
        <n v="3444458"/>
        <n v="3466445"/>
        <n v="3466674"/>
        <n v="3466751"/>
        <n v="3516487"/>
        <n v="3538615"/>
        <n v="3561099"/>
        <n v="3587795"/>
        <n v="3609684"/>
        <n v="3609716"/>
        <n v="3620137"/>
        <n v="3692242"/>
        <n v="3692290"/>
        <n v="3739182"/>
        <n v="3756475"/>
        <n v="3739155"/>
        <n v="3793911"/>
        <n v="3793941"/>
        <n v="3866054"/>
        <n v="3884107"/>
        <n v="3884156"/>
        <n v="3901246"/>
        <n v="3901276"/>
        <n v="3943057"/>
        <n v="3987468"/>
        <n v="3987559"/>
        <n v="3990162"/>
        <n v="4046764"/>
        <n v="4046938"/>
        <n v="4244083"/>
        <n v="4244220"/>
        <n v="4295042"/>
        <n v="4323752"/>
        <n v="4325923"/>
        <n v="4379647"/>
        <n v="4398989"/>
        <n v="4399042"/>
        <n v="4399094"/>
        <n v="4411839"/>
        <n v="4411964"/>
        <n v="4412508"/>
        <n v="4430183"/>
        <n v="4430653"/>
        <n v="4430734"/>
        <n v="4462683"/>
        <n v="4462859"/>
        <n v="4486849"/>
        <n v="4491537"/>
        <n v="4512630"/>
        <n v="4512653"/>
        <n v="4559088"/>
        <n v="4559489"/>
        <n v="4559759"/>
        <n v="4559792"/>
        <n v="4560362"/>
        <n v="4594476"/>
        <n v="4598049"/>
        <n v="4629783"/>
        <n v="4629845"/>
        <n v="4629891"/>
        <n v="4716427"/>
        <n v="4763185"/>
        <n v="4763278"/>
        <n v="4763397"/>
        <n v="4763457"/>
        <n v="4766957"/>
        <n v="4767576"/>
        <n v="4767631"/>
        <n v="4791791"/>
        <n v="4792636"/>
        <n v="4792733"/>
        <n v="4823658"/>
        <n v="4853063"/>
        <n v="4883982"/>
        <n v="4905165"/>
        <n v="4914610"/>
        <n v="4951199"/>
        <n v="4951269"/>
        <n v="4951295"/>
        <n v="4951320"/>
        <n v="4951348"/>
        <n v="4954714"/>
        <n v="4980556"/>
        <n v="4980726"/>
        <n v="4980814"/>
        <n v="5008601"/>
        <n v="5008634"/>
        <n v="5008695"/>
        <n v="5038322"/>
        <n v="5038355"/>
        <n v="5038453"/>
        <n v="5038547"/>
        <n v="5066383"/>
        <n v="3236290"/>
        <n v="3236291"/>
        <n v="3236292"/>
        <n v="3236293"/>
        <n v="3236294"/>
        <n v="3236295"/>
        <n v="3236296"/>
        <n v="3236297"/>
        <n v="3236298"/>
        <n v="3236299"/>
        <n v="3236300"/>
        <n v="3236301"/>
        <n v="3236302"/>
        <n v="3236303"/>
        <n v="3236304"/>
        <n v="3236305"/>
        <n v="5544655"/>
        <n v="5544687"/>
        <n v="5562274"/>
        <n v="5588587"/>
        <n v="5588631"/>
        <n v="5588665"/>
        <n v="5603469"/>
        <n v="5603494"/>
        <n v="5603554"/>
        <n v="5629385"/>
        <n v="5629470"/>
        <n v="5629576"/>
        <n v="5653063"/>
        <n v="5677972"/>
        <n v="5678058"/>
        <n v="5678142"/>
        <n v="5706379"/>
        <n v="5740102"/>
        <n v="5814443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19067.98" count="918">
        <n v="537.52"/>
        <n v="120.37"/>
        <n v="62.11"/>
        <n v="187.16"/>
        <n v="174.26"/>
        <n v="288.35"/>
        <n v="450.96"/>
        <n v="73.75"/>
        <n v="29.03"/>
        <n v="185.55"/>
        <n v="70.78"/>
        <n v="299.54"/>
        <n v="227.84"/>
        <n v="46.98"/>
        <n v="92.83"/>
        <n v="8.96"/>
        <n v="174.01"/>
        <n v="276.55"/>
        <n v="83.45"/>
        <n v="68.05"/>
        <n v="2.34"/>
        <n v="154.07"/>
        <n v="113.01"/>
        <n v="31.85"/>
        <n v="16.87"/>
        <n v="0.71"/>
        <n v="36.4"/>
        <n v="285.91"/>
        <n v="4.08"/>
        <n v="65.07"/>
        <n v="0"/>
        <n v="112.47"/>
        <n v="189.27"/>
        <n v="60.74"/>
        <n v="5.61"/>
        <n v="188.12"/>
        <n v="293.5"/>
        <n v="56.86"/>
        <n v="107.59"/>
        <n v="0.78"/>
        <n v="5.8"/>
        <n v="187.29"/>
        <n v="470.03"/>
        <n v="282.27"/>
        <n v="277.58"/>
        <n v="402.77"/>
        <n v="510.08"/>
        <n v="106.3"/>
        <n v="184.75"/>
        <n v="462.84"/>
        <n v="276.07"/>
        <n v="275.36"/>
        <n v="404.53"/>
        <n v="502.44"/>
        <n v="137.64"/>
        <n v="182.98"/>
        <n v="459.63"/>
        <n v="276.64"/>
        <n v="191.7"/>
        <n v="407.8"/>
        <n v="135.68"/>
        <n v="218.19"/>
        <n v="581.37"/>
        <n v="35.44"/>
        <n v="270.79"/>
        <n v="276.28"/>
        <n v="291.74"/>
        <n v="16.19"/>
        <n v="512.81"/>
        <n v="716.17"/>
        <n v="1872.02"/>
        <n v="1914.24"/>
        <n v="2.59"/>
        <n v="169.56"/>
        <n v="0.06"/>
        <n v="0.97"/>
        <n v="67.49"/>
        <n v="155.8"/>
        <n v="1249.65"/>
        <n v="192.68"/>
        <n v="85.84"/>
        <n v="26.16"/>
        <n v="314.95"/>
        <n v="286.55"/>
        <n v="1014.98"/>
        <n v="2774.72"/>
        <n v="2972.72"/>
        <n v="19.82"/>
        <n v="764.32"/>
        <n v="0.03"/>
        <n v="2.07"/>
        <n v="219.05"/>
        <n v="0.79"/>
        <n v="0.2"/>
        <n v="671.42"/>
        <n v="556.41"/>
        <n v="1027.22"/>
        <n v="57.14"/>
        <n v="54.84"/>
        <n v="7.31"/>
        <n v="1292.01"/>
        <n v="1514.56"/>
        <n v="2003.34"/>
        <n v="1752.41"/>
        <n v="204.44"/>
        <n v="93.65"/>
        <n v="1978.91"/>
        <n v="192.93"/>
        <n v="149.21"/>
        <n v="231.19"/>
        <n v="376.07"/>
        <n v="1010.62"/>
        <n v="4006.54"/>
        <n v="5.5"/>
        <n v="4028.36"/>
        <n v="2032.25"/>
        <n v="302.11"/>
        <n v="1906.54"/>
        <n v="100.06"/>
        <n v="0.12"/>
        <n v="528.64"/>
        <n v="203.95"/>
        <n v="1016.74"/>
        <n v="8064.3"/>
        <n v="6.47"/>
        <n v="2016.49"/>
        <n v="304.08"/>
        <n v="1011.84"/>
        <n v="8104.35"/>
        <n v="2028.43"/>
        <n v="302.37"/>
        <n v="4022.41"/>
        <n v="464.57"/>
        <n v="960.65"/>
        <n v="1969.24"/>
        <n v="914.29"/>
        <n v="12.67"/>
        <n v="0.22"/>
        <n v="0.48"/>
        <n v="0.63"/>
        <n v="478.23"/>
        <n v="511.24"/>
        <n v="1634.14"/>
        <n v="516.31"/>
        <n v="1008.88"/>
        <n v="303.31"/>
        <n v="1678.43"/>
        <n v="9.34"/>
        <n v="1.9"/>
        <n v="506.98"/>
        <n v="9.99"/>
        <n v="498.9"/>
        <n v="1463.44"/>
        <n v="1980.97"/>
        <n v="463.52"/>
        <n v="504.45"/>
        <n v="465.57"/>
        <n v="466.2"/>
        <n v="1003.96"/>
        <n v="1824.2"/>
        <n v="873.46"/>
        <n v="1410.99"/>
        <n v="740.76"/>
        <n v="703.64"/>
        <n v="0.56"/>
        <n v="410.75"/>
        <n v="85.63"/>
        <n v="496.71"/>
        <n v="860.85"/>
        <n v="725.57"/>
        <n v="443.62"/>
        <n v="7.96"/>
        <n v="392.21"/>
        <n v="325.02"/>
        <n v="0.6"/>
        <n v="502.84"/>
        <n v="710.33"/>
        <n v="917.53"/>
        <n v="6.52"/>
        <n v="257.78"/>
        <n v="73.67"/>
        <n v="953.57"/>
        <n v="944.49"/>
        <n v="684"/>
        <n v="8.67"/>
        <n v="954.09"/>
        <n v="960.03"/>
        <n v="994.85"/>
        <n v="505.43"/>
        <n v="588.13"/>
        <n v="892.62"/>
        <n v="270.5"/>
        <n v="27.07"/>
        <n v="1004.67"/>
        <n v="305.5"/>
        <n v="985.15"/>
        <n v="1508.53"/>
        <n v="500.85"/>
        <n v="72.54"/>
        <n v="1011.38"/>
        <n v="509.03"/>
        <n v="508.28"/>
        <n v="513.7"/>
        <n v="250.96"/>
        <n v="501.14"/>
        <n v="890.73"/>
        <n v="1893.79"/>
        <n v="1355.37"/>
        <n v="0.18"/>
        <n v="503.97"/>
        <n v="1006.41"/>
        <n v="503.09"/>
        <n v="0.43"/>
        <n v="1080.5"/>
        <n v="1016"/>
        <n v="159.75"/>
        <n v="511.9"/>
        <n v="557.38"/>
        <n v="1419.68"/>
        <n v="512.99"/>
        <n v="0.27"/>
        <n v="1009.64"/>
        <n v="843.4"/>
        <n v="1576.27"/>
        <n v="841.48"/>
        <n v="576.96"/>
        <n v="1028.27"/>
        <n v="458.39"/>
        <n v="0.17"/>
        <n v="712.11"/>
        <n v="1545.81"/>
        <n v="534.48"/>
        <n v="505.2"/>
        <n v="505.54"/>
        <n v="504.41"/>
        <n v="509.16"/>
        <n v="506.12"/>
        <n v="913.76"/>
        <n v="482.1"/>
        <n v="24.99"/>
        <n v="1444.74"/>
        <n v="1473.85"/>
        <n v="1012.93"/>
        <n v="236.39"/>
        <n v="1015.18"/>
        <n v="1011.09"/>
        <n v="511.14"/>
        <n v="502.19"/>
        <n v="465.42"/>
        <n v="475.7"/>
        <n v="1.26"/>
        <n v="475.51"/>
        <n v="502.78"/>
        <n v="503.9"/>
        <n v="505.56"/>
        <n v="1245.98"/>
        <n v="4.66"/>
        <n v="7"/>
        <n v="14.09"/>
        <n v="1015.41"/>
        <n v="371.94"/>
        <n v="2543.55"/>
        <n v="2035.81"/>
        <n v="509.74"/>
        <n v="5.95"/>
        <n v="5"/>
        <n v="2.77"/>
        <n v="0.49"/>
        <n v="514.62"/>
        <n v="502.13"/>
        <n v="1006.52"/>
        <n v="1085.66"/>
        <n v="585.34"/>
        <n v="790.16"/>
        <n v="2048.07"/>
        <n v="1016.02"/>
        <n v="506.72"/>
        <n v="504.78"/>
        <n v="889.86"/>
        <n v="757.79"/>
        <n v="1572.01"/>
        <n v="2413.04"/>
        <n v="936.74"/>
        <n v="304.85"/>
        <n v="910.32"/>
        <n v="2029.34"/>
        <n v="393.18"/>
        <n v="791.01"/>
        <n v="503.44"/>
        <n v="76.77"/>
        <n v="1.93"/>
        <n v="9.77"/>
        <n v="24.03"/>
        <n v="49.47"/>
        <n v="3.79"/>
        <n v="1.04"/>
        <n v="4.47"/>
        <n v="7.6"/>
        <n v="3.55"/>
        <n v="104.15"/>
        <n v="2.95"/>
        <n v="117.7"/>
        <n v="482.54"/>
        <n v="73.76"/>
        <n v="243.74"/>
        <n v="327.67"/>
        <n v="70.71"/>
        <n v="301.69"/>
        <n v="600.5"/>
        <n v="4.28"/>
        <n v="1499.04"/>
        <n v="1.24"/>
        <n v="96.12"/>
        <n v="493.43"/>
        <n v="111.26"/>
        <n v="297.59"/>
        <n v="432.2"/>
        <n v="66.38"/>
        <n v="299.7"/>
        <n v="486.35"/>
        <n v="208.98"/>
        <n v="147.1"/>
        <n v="273.91"/>
        <n v="11.8"/>
        <n v="150.28"/>
        <n v="81.33"/>
        <n v="16.67"/>
        <n v="15.9"/>
        <n v="315.37"/>
        <n v="9.14"/>
        <n v="3.4"/>
        <n v="36.09"/>
        <n v="2.8"/>
        <n v="50.76"/>
        <n v="205.95"/>
        <n v="175.43"/>
        <n v="108.02"/>
        <n v="518.95"/>
        <n v="41.92"/>
        <n v="106.98"/>
        <n v="199.16"/>
        <n v="9.41"/>
        <n v="121.84"/>
        <n v="104.85"/>
        <n v="214.6"/>
        <n v="211.17"/>
        <n v="302.83"/>
        <n v="448.72"/>
        <n v="508.5"/>
        <n v="332.89"/>
        <n v="1011.77"/>
        <n v="478.02"/>
        <n v="351.67"/>
        <n v="983.87"/>
        <n v="465.24"/>
        <n v="497.18"/>
        <n v="971.03"/>
        <n v="498.67"/>
        <n v="493.29"/>
        <n v="1419.37"/>
        <n v="471.68"/>
        <n v="496.45"/>
        <n v="1950.34"/>
        <n v="6.64"/>
        <n v="520.73"/>
        <n v="2.85"/>
        <n v="22.46"/>
        <n v="845.49"/>
        <n v="512.45"/>
        <n v="453.34"/>
        <n v="980.5"/>
        <n v="15.11"/>
        <n v="9.08"/>
        <n v="284.36"/>
        <n v="533.46"/>
        <n v="1000.48"/>
        <n v="7.71"/>
        <n v="323.94"/>
        <n v="392.49"/>
        <n v="325.01"/>
        <n v="9.44"/>
        <n v="503.86"/>
        <n v="885.65"/>
        <n v="319.24"/>
        <n v="488.46"/>
        <n v="13.88"/>
        <n v="6.18"/>
        <n v="394.13"/>
        <n v="480.88"/>
        <n v="909.63"/>
        <n v="11.61"/>
        <n v="459.4"/>
        <n v="303.07"/>
        <n v="506.47"/>
        <n v="437.05"/>
        <n v="508.88"/>
        <n v="134.28"/>
        <n v="503.28"/>
        <n v="485.93"/>
        <n v="803.82"/>
        <n v="4.13"/>
        <n v="1.92"/>
        <n v="504.48"/>
        <n v="502.95"/>
        <n v="999.21"/>
        <n v="339.6"/>
        <n v="490.65"/>
        <n v="623.86"/>
        <n v="460.6"/>
        <n v="9.66"/>
        <n v="848.03"/>
        <n v="415.79"/>
        <n v="1014.02"/>
        <n v="750.9"/>
        <n v="516.58"/>
        <n v="8.28"/>
        <n v="2017.98"/>
        <n v="21.34"/>
        <n v="1.18"/>
        <n v="16.91"/>
        <n v="505.71"/>
        <n v="429.48"/>
        <n v="929.84"/>
        <n v="1014.19"/>
        <n v="797.9"/>
        <n v="2.18"/>
        <n v="1016.99"/>
        <n v="0.81"/>
        <n v="24.78"/>
        <n v="769.44"/>
        <n v="1017.91"/>
        <n v="20.1"/>
        <n v="478.07"/>
        <n v="508.55"/>
        <n v="507.61"/>
        <n v="836.45"/>
        <n v="13.05"/>
        <n v="1.09"/>
        <n v="3.28"/>
        <n v="1.69"/>
        <n v="51.13"/>
        <n v="218.84"/>
        <n v="1042.41"/>
        <n v="429.77"/>
        <n v="997.47"/>
        <n v="474.01"/>
        <n v="268.39"/>
        <n v="428.64"/>
        <n v="483.48"/>
        <n v="552.48"/>
        <n v="8.77"/>
        <n v="9.59"/>
        <n v="1.27"/>
        <n v="575.89"/>
        <n v="547.59"/>
        <n v="513.36"/>
        <n v="769.61"/>
        <n v="1023.64"/>
        <n v="0.3"/>
        <n v="1.68"/>
        <n v="525.68"/>
        <n v="1016.77"/>
        <n v="12.05"/>
        <n v="440.95"/>
        <n v="0.59"/>
        <n v="514.27"/>
        <n v="484.58"/>
        <n v="1005.93"/>
        <n v="495.33"/>
        <n v="512.72"/>
        <n v="13.77"/>
        <n v="520.26"/>
        <n v="368.98"/>
        <n v="1010.19"/>
        <n v="483.89"/>
        <n v="503.54"/>
        <n v="1007.29"/>
        <n v="1.51"/>
        <n v="505.67"/>
        <n v="1.36"/>
        <n v="439.66"/>
        <n v="510.47"/>
        <n v="514.29"/>
        <n v="0.1"/>
        <n v="1008.4"/>
        <n v="504.71"/>
        <n v="2.9"/>
        <n v="1007.79"/>
        <n v="508.2"/>
        <n v="499.73"/>
        <n v="504.35"/>
        <n v="774.15"/>
        <n v="503.26"/>
        <n v="868.91"/>
        <n v="511.41"/>
        <n v="16.75"/>
        <n v="503.03"/>
        <n v="646.63"/>
        <n v="391.8"/>
        <n v="502.72"/>
        <n v="262.11"/>
        <n v="511.87"/>
        <n v="510.59"/>
        <n v="507.42"/>
        <n v="716.27"/>
        <n v="673.38"/>
        <n v="497.23"/>
        <n v="2.01"/>
        <n v="383.03"/>
        <n v="2.22"/>
        <n v="958.52"/>
        <n v="477.48"/>
        <n v="5.45"/>
        <n v="325.3"/>
        <n v="429.79"/>
        <n v="12.47"/>
        <n v="7.2"/>
        <n v="4.59"/>
        <n v="11.98"/>
        <n v="11.78"/>
        <n v="1713.99"/>
        <n v="3.41"/>
        <n v="622.91"/>
        <n v="1007.71"/>
        <n v="356.52"/>
        <n v="409.94"/>
        <n v="41.1"/>
        <n v="515.16"/>
        <n v="810.38"/>
        <n v="395.4"/>
        <n v="1441.34"/>
        <n v="826.88"/>
        <n v="1014.13"/>
        <n v="13.84"/>
        <n v="804.96"/>
        <n v="453.17"/>
        <n v="18.17"/>
        <n v="521.38"/>
        <n v="880.73"/>
        <n v="398.12"/>
        <n v="310.16"/>
        <n v="472.53"/>
        <n v="414"/>
        <n v="291.78"/>
        <n v="390.35"/>
        <n v="512.77"/>
        <n v="6.28"/>
        <n v="411.89"/>
        <n v="978.46"/>
        <n v="0.28"/>
        <n v="502.57"/>
        <n v="504.25"/>
        <n v="500.81"/>
        <n v="1007.37"/>
        <n v="158.56"/>
        <n v="193.43"/>
        <n v="301.66"/>
        <n v="300.76"/>
        <n v="504.86"/>
        <n v="2007.9"/>
        <n v="502.59"/>
        <n v="502.04"/>
        <n v="3213.15"/>
        <n v="499.49"/>
        <n v="395.6"/>
        <n v="390.54"/>
        <n v="2003.08"/>
        <n v="281.87"/>
        <n v="402.75"/>
        <n v="15.17"/>
        <n v="635.86"/>
        <n v="430.92"/>
        <n v="3.1"/>
        <n v="212.55"/>
        <n v="200.71"/>
        <n v="348.64"/>
        <n v="1005.9"/>
        <n v="245.1"/>
        <n v="504.06"/>
        <n v="4.97"/>
        <n v="48.83"/>
        <n v="12.78"/>
        <n v="593.78"/>
        <n v="3.93"/>
        <n v="37.46"/>
        <n v="612.24"/>
        <n v="618.93"/>
        <n v="615.27"/>
        <n v="616.05"/>
        <n v="611.37"/>
        <n v="417.31"/>
        <n v="607.4"/>
        <n v="419.14"/>
        <n v="610.88"/>
        <n v="409.5"/>
        <n v="609.04"/>
        <n v="409.34"/>
        <n v="607.67"/>
        <n v="411.5"/>
        <n v="511.86"/>
        <n v="358.26"/>
        <n v="133.43"/>
        <n v="9.32"/>
        <n v="331.02"/>
        <n v="509.38"/>
        <n v="109.59"/>
        <n v="302.23"/>
        <n v="49.54"/>
        <n v="302.07"/>
        <n v="463.23"/>
        <n v="14.67"/>
        <n v="1510.29"/>
        <n v="1504.8"/>
        <n v="520.92"/>
        <n v="1507.7"/>
        <n v="508.8"/>
        <n v="567.01"/>
        <n v="1904.92"/>
        <n v="32.17"/>
        <n v="330.78"/>
        <n v="104.74"/>
        <n v="20.21"/>
        <n v="205.7"/>
        <n v="17.11"/>
        <n v="106.33"/>
        <n v="701.36"/>
        <n v="47.68"/>
        <n v="308.96"/>
        <n v="399.34"/>
        <n v="95.43"/>
        <n v="240"/>
        <n v="523.23"/>
        <n v="600"/>
        <n v="942.55"/>
        <n v="509.01"/>
        <n v="360"/>
        <n v="215.01"/>
        <n v="1346.83"/>
        <n v="20.65"/>
        <n v="1.05"/>
        <n v="4.72"/>
        <n v="471.53"/>
        <n v="15.54"/>
        <n v="2.38"/>
        <n v="1521.26"/>
        <n v="1007.4"/>
        <n v="2010.56"/>
        <n v="501.01"/>
        <n v="255.9"/>
        <n v="1507.4"/>
        <n v="851.07"/>
        <n v="287.99"/>
        <n v="531.69"/>
        <n v="404.6"/>
        <n v="0.15"/>
        <n v="126.27"/>
        <n v="1619.13"/>
        <n v="9.33"/>
        <n v="308.16"/>
        <n v="305.83"/>
        <n v="492.83"/>
        <n v="61.42"/>
        <n v="323.06"/>
        <n v="478.87"/>
        <n v="11.76"/>
        <n v="971.66"/>
        <n v="307.07"/>
        <n v="108.63"/>
        <n v="320.01"/>
        <n v="205.14"/>
        <n v="190.93"/>
        <n v="1015.8"/>
        <n v="303.91"/>
        <n v="10.55"/>
        <n v="1643.98"/>
        <n v="508.16"/>
        <n v="108"/>
        <n v="325.83"/>
        <n v="202.72"/>
        <n v="7.41"/>
        <n v="4.8"/>
        <n v="190.29"/>
        <n v="313.25"/>
        <n v="1297.69"/>
        <n v="6.59"/>
        <n v="83.46"/>
        <n v="468.29"/>
        <n v="35.89"/>
        <n v="504.13"/>
        <n v="17.84"/>
        <n v="302.58"/>
        <n v="33.53"/>
        <n v="313.97"/>
        <n v="491.75"/>
        <n v="107.56"/>
        <n v="406.84"/>
        <n v="135.38"/>
        <n v="51.81"/>
        <n v="105.02"/>
        <n v="311.13"/>
        <n v="502.21"/>
        <n v="303.39"/>
        <n v="203.01"/>
        <n v="1480.36"/>
        <n v="1455.94"/>
        <n v="2020.89"/>
        <n v="14.36"/>
        <n v="119.04"/>
        <n v="2072.94"/>
        <n v="489.09"/>
        <n v="124.4"/>
        <n v="6.12"/>
        <n v="141.22"/>
        <n v="127.72"/>
        <n v="0.41"/>
        <n v="225.14"/>
        <n v="0.76"/>
        <n v="250.61"/>
        <n v="9.68"/>
        <n v="73.41"/>
        <n v="17.57"/>
        <n v="810.87"/>
        <n v="202.04"/>
        <n v="504.92"/>
        <n v="4.38"/>
        <n v="436.94"/>
        <n v="1806.37"/>
        <n v="362.99"/>
        <n v="75"/>
        <n v="353.47"/>
        <n v="105.29"/>
        <n v="430.07"/>
        <n v="0.47"/>
        <n v="303.55"/>
        <n v="309.38"/>
        <n v="302.64"/>
        <n v="1008.02"/>
        <n v="302.62"/>
        <n v="1510.86"/>
        <n v="213.23"/>
        <n v="1008.97"/>
        <n v="279.78"/>
        <n v="54.67"/>
        <n v="406.83"/>
        <n v="0.57"/>
        <n v="90.35"/>
        <n v="304.74"/>
        <n v="0.88"/>
        <n v="508.49"/>
        <n v="1017.25"/>
        <n v="0.86"/>
        <n v="1466.85"/>
        <n v="0.26"/>
        <n v="2"/>
        <n v="1009.12"/>
        <n v="100.84"/>
        <n v="101.38"/>
        <n v="395.47"/>
        <n v="235.79"/>
        <n v="479.93"/>
        <n v="311.46"/>
        <n v="0.4"/>
        <n v="13.45"/>
        <n v="3.06"/>
        <n v="6.63"/>
        <n v="1.6"/>
        <n v="1066.42"/>
        <n v="944.24"/>
        <n v="0.61"/>
        <n v="0.53"/>
        <n v="2031.4"/>
        <n v="2013.83"/>
        <n v="1021.06"/>
        <n v="517.58"/>
        <n v="97.39"/>
        <n v="203.72"/>
        <n v="1.77"/>
        <n v="520.2"/>
        <n v="1124.36"/>
        <n v="388.58"/>
        <n v="505.97"/>
        <n v="424.9"/>
        <n v="1012.78"/>
        <n v="2032.48"/>
        <n v="101.13"/>
        <n v="303.15"/>
        <n v="1429.44"/>
        <n v="118.17"/>
        <n v="195.62"/>
        <n v="126.07"/>
        <n v="28.44"/>
        <n v="512.23"/>
        <n v="333.84"/>
        <n v="522.18"/>
        <n v="973.58"/>
        <n v="3051.56"/>
        <n v="137.25"/>
        <n v="89.06"/>
        <n v="165.13"/>
        <n v="1015.34"/>
        <n v="524.89"/>
        <n v="239.12"/>
        <n v="38.99"/>
        <n v="488.69"/>
        <n v="1004.83"/>
        <n v="2840.13"/>
        <n v="2.09"/>
        <n v="303.03"/>
        <n v="509.85"/>
        <n v="204.03"/>
        <n v="1516.14"/>
        <n v="516.42"/>
        <n v="505.53"/>
        <n v="325.27"/>
        <n v="507.85"/>
        <n v="339.39"/>
        <n v="1012.72"/>
        <n v="3996.82"/>
        <n v="56.78"/>
        <n v="813.63"/>
        <n v="345.69"/>
        <n v="2417.47"/>
        <n v="1029.35"/>
        <n v="5.12"/>
        <n v="2031.23"/>
        <n v="523.47"/>
        <n v="311.58"/>
        <n v="2.05"/>
        <n v="8.27"/>
        <n v="13.58"/>
        <n v="0.21"/>
        <n v="19067.98"/>
        <n v="9206.39"/>
        <n v="6649.95"/>
        <n v="5663.27"/>
        <n v="5611.22"/>
        <n v="5166.56"/>
        <n v="4390.27"/>
        <n v="2849.49"/>
        <n v="1887.46"/>
        <n v="1655.14"/>
        <n v="734.27"/>
        <n v="690.66"/>
        <n v="449.56"/>
        <n v="436.86"/>
        <n v="413.88"/>
        <n v="199.55"/>
        <n v="505.57"/>
        <n v="506.89"/>
        <n v="0.65"/>
        <n v="1311.03"/>
        <n v="505.48"/>
        <n v="1.8"/>
        <n v="502.96"/>
        <n v="508.35"/>
        <n v="1.85"/>
        <n v="984.27"/>
        <n v="505.02"/>
        <n v="515.7"/>
        <n v="477.03"/>
        <n v="507.76"/>
        <n v="1240.59"/>
        <n v="1017.2"/>
        <n v="548.09"/>
        <n v="506.61"/>
        <n v="294.63"/>
        <n v="400.22"/>
        <n v="498.62"/>
        <n v="0.44"/>
        <n v="491.06"/>
        <n v="1011.12"/>
        <n v="1081.1"/>
        <n v="1481.56"/>
        <n v="5.78"/>
        <n v="9.18"/>
        <n v="508.02"/>
        <n v="403.88"/>
        <n v="598.01"/>
        <n v="827.71"/>
        <n v="547.8"/>
        <n v="494.92"/>
        <n v="508.79"/>
        <n v="220.23"/>
        <n v="0.68"/>
        <n v="504.93"/>
        <n v="505.79"/>
        <n v="253.92"/>
        <n v="979.88"/>
        <n v="787.79"/>
        <n v="526.32"/>
        <n v="3.11"/>
        <n v="204.11"/>
        <n v="307.55"/>
        <n v="0.13"/>
        <n v="290.47"/>
        <n v="3.12"/>
        <n v="863.66"/>
        <n v="1010.73"/>
        <n v="316.93"/>
        <n v="203.12"/>
        <n v="4.53"/>
        <n v="303.48"/>
        <n v="1506.84"/>
        <n v="1008.62"/>
        <n v="306.27"/>
        <n v="508.71"/>
        <n v="0.37"/>
        <n v="1489.96"/>
        <n v="1217.46"/>
        <n v="324.24"/>
        <n v="685.94"/>
        <n v="373.62"/>
        <n v="962.63"/>
        <n v="667.78"/>
        <n v="362.25"/>
        <n v="0.5"/>
        <n v="506.5"/>
        <m/>
      </sharedItems>
    </cacheField>
    <cacheField name="展现量" numFmtId="0">
      <sharedItems containsString="0" containsBlank="1" containsNumber="1" containsInteger="1" minValue="0" maxValue="1707999" count="930">
        <n v="56536"/>
        <n v="13237"/>
        <n v="20416"/>
        <n v="12017"/>
        <n v="38207"/>
        <n v="35118"/>
        <n v="69824"/>
        <n v="11731"/>
        <n v="12390"/>
        <n v="14319"/>
        <n v="22799"/>
        <n v="49719"/>
        <n v="49012"/>
        <n v="9110"/>
        <n v="7872"/>
        <n v="1103"/>
        <n v="28089"/>
        <n v="34344"/>
        <n v="10872"/>
        <n v="4108"/>
        <n v="469"/>
        <n v="25905"/>
        <n v="25538"/>
        <n v="6178"/>
        <n v="1360"/>
        <n v="198"/>
        <n v="6341"/>
        <n v="40542"/>
        <n v="328"/>
        <n v="2307"/>
        <n v="4"/>
        <n v="2914"/>
        <n v="22155"/>
        <n v="828"/>
        <n v="577"/>
        <n v="29213"/>
        <n v="43386"/>
        <n v="1641"/>
        <n v="2744"/>
        <n v="91"/>
        <n v="8"/>
        <n v="868"/>
        <n v="32321"/>
        <n v="110046"/>
        <n v="28676"/>
        <n v="45357"/>
        <n v="10718"/>
        <n v="14283"/>
        <n v="11802"/>
        <n v="32382"/>
        <n v="105531"/>
        <n v="33828"/>
        <n v="56289"/>
        <n v="7633"/>
        <n v="13063"/>
        <n v="0"/>
        <n v="13294"/>
        <n v="23788"/>
        <n v="88856"/>
        <n v="41360"/>
        <n v="34061"/>
        <n v="10128"/>
        <n v="4007"/>
        <n v="32"/>
        <n v="44553"/>
        <n v="52558"/>
        <n v="1314"/>
        <n v="14397"/>
        <n v="21229"/>
        <n v="36399"/>
        <n v="1758"/>
        <n v="6272"/>
        <n v="20565"/>
        <n v="185341"/>
        <n v="147665"/>
        <n v="44"/>
        <n v="12815"/>
        <n v="10"/>
        <n v="97"/>
        <n v="1"/>
        <n v="10185"/>
        <n v="23279"/>
        <n v="127547"/>
        <n v="14137"/>
        <n v="9696"/>
        <n v="1534"/>
        <n v="14497"/>
        <n v="32318"/>
        <n v="25447"/>
        <n v="255271"/>
        <n v="214093"/>
        <n v="765"/>
        <n v="76651"/>
        <n v="31"/>
        <n v="403"/>
        <n v="15697"/>
        <n v="79"/>
        <n v="9"/>
        <n v="91270"/>
        <n v="15178"/>
        <n v="22514"/>
        <n v="3214"/>
        <n v="2848"/>
        <n v="867"/>
        <n v="85353"/>
        <n v="74754"/>
        <n v="325865"/>
        <n v="45875"/>
        <n v="4782"/>
        <n v="1846"/>
        <n v="237365"/>
        <n v="31919"/>
        <n v="33339"/>
        <n v="29745"/>
        <n v="52708"/>
        <n v="26991"/>
        <n v="315487"/>
        <n v="354"/>
        <n v="564779"/>
        <n v="51717"/>
        <n v="13749"/>
        <n v="136206"/>
        <n v="15277"/>
        <n v="87"/>
        <n v="103759"/>
        <n v="30860"/>
        <n v="28663"/>
        <n v="604683"/>
        <n v="1354"/>
        <n v="52146"/>
        <n v="5672"/>
        <n v="26672"/>
        <n v="653853"/>
        <n v="54231"/>
        <n v="5626"/>
        <n v="458003"/>
        <n v="73985"/>
        <n v="167940"/>
        <n v="248747"/>
        <n v="81956"/>
        <n v="1657"/>
        <n v="28"/>
        <n v="170"/>
        <n v="227"/>
        <n v="69565"/>
        <n v="66637"/>
        <n v="55833"/>
        <n v="21041"/>
        <n v="79313"/>
        <n v="18496"/>
        <n v="197360"/>
        <n v="636"/>
        <n v="286"/>
        <n v="61606"/>
        <n v="294"/>
        <n v="48047"/>
        <n v="17"/>
        <n v="191662"/>
        <n v="197692"/>
        <n v="82112"/>
        <n v="171451"/>
        <n v="67929"/>
        <n v="102709"/>
        <n v="91441"/>
        <n v="207967"/>
        <n v="104927"/>
        <n v="241633"/>
        <n v="247755"/>
        <n v="105951"/>
        <n v="220"/>
        <n v="48643"/>
        <n v="3492"/>
        <n v="48068"/>
        <n v="122694"/>
        <n v="85243"/>
        <n v="102452"/>
        <n v="2200"/>
        <n v="70204"/>
        <n v="44182"/>
        <n v="19"/>
        <n v="55028"/>
        <n v="84932"/>
        <n v="81656"/>
        <n v="1345"/>
        <n v="22704"/>
        <n v="5088"/>
        <n v="27"/>
        <n v="112516"/>
        <n v="123761"/>
        <n v="43399"/>
        <n v="225"/>
        <n v="128468"/>
        <n v="125522"/>
        <n v="66015"/>
        <n v="46561"/>
        <n v="80283"/>
        <n v="98444"/>
        <n v="24441"/>
        <n v="2157"/>
        <n v="85769"/>
        <n v="6832"/>
        <n v="120865"/>
        <n v="161834"/>
        <n v="40915"/>
        <n v="5318"/>
        <n v="152555"/>
        <n v="54918"/>
        <n v="35262"/>
        <n v="64692"/>
        <n v="19402"/>
        <n v="41858"/>
        <n v="13092"/>
        <n v="162799"/>
        <n v="107864"/>
        <n v="43"/>
        <n v="62984"/>
        <n v="103818"/>
        <n v="47275"/>
        <n v="117"/>
        <n v="39144"/>
        <n v="28219"/>
        <n v="5083"/>
        <n v="87734"/>
        <n v="23397"/>
        <n v="31504"/>
        <n v="22516"/>
        <n v="21"/>
        <n v="13998"/>
        <n v="86475"/>
        <n v="137956"/>
        <n v="91610"/>
        <n v="41097"/>
        <n v="26578"/>
        <n v="23868"/>
        <n v="36"/>
        <n v="18934"/>
        <n v="33600"/>
        <n v="2"/>
        <n v="22494"/>
        <n v="22949"/>
        <n v="71681"/>
        <n v="60090"/>
        <n v="58161"/>
        <n v="89634"/>
        <n v="10753"/>
        <n v="49771"/>
        <n v="2003"/>
        <n v="121866"/>
        <n v="120204"/>
        <n v="28795"/>
        <n v="8136"/>
        <n v="27078"/>
        <n v="11125"/>
        <n v="21187"/>
        <n v="35388"/>
        <n v="80807"/>
        <n v="38034"/>
        <n v="82"/>
        <n v="51836"/>
        <n v="37346"/>
        <n v="86093"/>
        <n v="68416"/>
        <n v="18237"/>
        <n v="337"/>
        <n v="508"/>
        <n v="1251"/>
        <n v="22848"/>
        <n v="11458"/>
        <n v="52193"/>
        <n v="23869"/>
        <n v="22301"/>
        <n v="677"/>
        <n v="254"/>
        <n v="539"/>
        <n v="68"/>
        <n v="200"/>
        <n v="106"/>
        <n v="14659"/>
        <n v="56586"/>
        <n v="113325"/>
        <n v="23668"/>
        <n v="38023"/>
        <n v="17065"/>
        <n v="30563"/>
        <n v="20341"/>
        <n v="110082"/>
        <n v="40485"/>
        <n v="76896"/>
        <n v="14616"/>
        <n v="87951"/>
        <n v="157911"/>
        <n v="248554"/>
        <n v="19617"/>
        <n v="9340"/>
        <n v="23977"/>
        <n v="35160"/>
        <n v="31037"/>
        <n v="51316"/>
        <n v="83947"/>
        <n v="24991"/>
        <n v="993"/>
        <n v="1813"/>
        <n v="4244"/>
        <n v="123"/>
        <n v="57"/>
        <n v="317"/>
        <n v="658"/>
        <n v="692"/>
        <n v="1599"/>
        <n v="71"/>
        <n v="30335"/>
        <n v="84291"/>
        <n v="4470"/>
        <n v="12232"/>
        <n v="15000"/>
        <n v="3378"/>
        <n v="61625"/>
        <n v="215"/>
        <n v="57020"/>
        <n v="913"/>
        <n v="82593"/>
        <n v="281"/>
        <n v="8685"/>
        <n v="38119"/>
        <n v="10014"/>
        <n v="54574"/>
        <n v="37896"/>
        <n v="6754"/>
        <n v="66364"/>
        <n v="92936"/>
        <n v="15980"/>
        <n v="21125"/>
        <n v="47774"/>
        <n v="3"/>
        <n v="526"/>
        <n v="15733"/>
        <n v="12016"/>
        <n v="35"/>
        <n v="579"/>
        <n v="816"/>
        <n v="14223"/>
        <n v="591"/>
        <n v="322"/>
        <n v="1117"/>
        <n v="211"/>
        <n v="1911"/>
        <n v="21842"/>
        <n v="21941"/>
        <n v="3047"/>
        <n v="15044"/>
        <n v="2383"/>
        <n v="4320"/>
        <n v="6396"/>
        <n v="622"/>
        <n v="13594"/>
        <n v="1177"/>
        <n v="5519"/>
        <n v="3253"/>
        <n v="36031"/>
        <n v="47494"/>
        <n v="108888"/>
        <n v="33949"/>
        <n v="113907"/>
        <n v="99750"/>
        <n v="38026"/>
        <n v="62452"/>
        <n v="91049"/>
        <n v="59700"/>
        <n v="71038"/>
        <n v="77297"/>
        <n v="57106"/>
        <n v="103125"/>
        <n v="72295"/>
        <n v="52741"/>
        <n v="126911"/>
        <n v="1396"/>
        <n v="37111"/>
        <n v="304"/>
        <n v="2040"/>
        <n v="62077"/>
        <n v="48426"/>
        <n v="76349"/>
        <n v="71750"/>
        <n v="954"/>
        <n v="1712"/>
        <n v="58082"/>
        <n v="18879"/>
        <n v="60636"/>
        <n v="1231"/>
        <n v="33798"/>
        <n v="41150"/>
        <n v="21739"/>
        <n v="968"/>
        <n v="47753"/>
        <n v="62490"/>
        <n v="19026"/>
        <n v="39050"/>
        <n v="1074"/>
        <n v="255"/>
        <n v="43442"/>
        <n v="41651"/>
        <n v="56784"/>
        <n v="1143"/>
        <n v="48698"/>
        <n v="56879"/>
        <n v="94143"/>
        <n v="31537"/>
        <n v="53670"/>
        <n v="12437"/>
        <n v="66635"/>
        <n v="33015"/>
        <n v="117893"/>
        <n v="271"/>
        <n v="305"/>
        <n v="32550"/>
        <n v="100599"/>
        <n v="69338"/>
        <n v="27922"/>
        <n v="94032"/>
        <n v="46500"/>
        <n v="43067"/>
        <n v="1603"/>
        <n v="65782"/>
        <n v="28309"/>
        <n v="156465"/>
        <n v="55084"/>
        <n v="47578"/>
        <n v="681"/>
        <n v="273125"/>
        <n v="1568"/>
        <n v="158"/>
        <n v="1773"/>
        <n v="35962"/>
        <n v="67223"/>
        <n v="50846"/>
        <n v="130458"/>
        <n v="18363"/>
        <n v="35718"/>
        <n v="110"/>
        <n v="4881"/>
        <n v="47331"/>
        <n v="110601"/>
        <n v="206"/>
        <n v="5120"/>
        <n v="46477"/>
        <n v="44797"/>
        <n v="23290"/>
        <n v="885"/>
        <n v="157"/>
        <n v="6277"/>
        <n v="31643"/>
        <n v="29992"/>
        <n v="46271"/>
        <n v="140024"/>
        <n v="11697"/>
        <n v="20911"/>
        <n v="32816"/>
        <n v="23828"/>
        <n v="12708"/>
        <n v="380"/>
        <n v="510"/>
        <n v="81"/>
        <n v="45337"/>
        <n v="7433"/>
        <n v="89082"/>
        <n v="60146"/>
        <n v="18019"/>
        <n v="74"/>
        <n v="17916"/>
        <n v="44620"/>
        <n v="672"/>
        <n v="17282"/>
        <n v="36727"/>
        <n v="12"/>
        <n v="105395"/>
        <n v="44771"/>
        <n v="72948"/>
        <n v="39077"/>
        <n v="13263"/>
        <n v="57633"/>
        <n v="38410"/>
        <n v="20418"/>
        <n v="38191"/>
        <n v="82661"/>
        <n v="5"/>
        <n v="61722"/>
        <n v="63"/>
        <n v="38095"/>
        <n v="37929"/>
        <n v="32776"/>
        <n v="79339"/>
        <n v="83200"/>
        <n v="149"/>
        <n v="60804"/>
        <n v="33860"/>
        <n v="44920"/>
        <n v="84098"/>
        <n v="62600"/>
        <n v="19260"/>
        <n v="64229"/>
        <n v="48305"/>
        <n v="1247"/>
        <n v="20115"/>
        <n v="49068"/>
        <n v="44885"/>
        <n v="45683"/>
        <n v="13096"/>
        <n v="80530"/>
        <n v="77627"/>
        <n v="19970"/>
        <n v="46981"/>
        <n v="51725"/>
        <n v="38903"/>
        <n v="54"/>
        <n v="31275"/>
        <n v="11"/>
        <n v="134"/>
        <n v="67826"/>
        <n v="39373"/>
        <n v="559"/>
        <n v="20634"/>
        <n v="34341"/>
        <n v="928"/>
        <n v="419"/>
        <n v="483"/>
        <n v="938"/>
        <n v="105162"/>
        <n v="115"/>
        <n v="36994"/>
        <n v="124983"/>
        <n v="18383"/>
        <n v="24310"/>
        <n v="2723"/>
        <n v="40768"/>
        <n v="78470"/>
        <n v="30947"/>
        <n v="84514"/>
        <n v="182928"/>
        <n v="76857"/>
        <n v="67490"/>
        <n v="1165"/>
        <n v="57812"/>
        <n v="18590"/>
        <n v="3636"/>
        <n v="76572"/>
        <n v="58966"/>
        <n v="20199"/>
        <n v="12853"/>
        <n v="33805"/>
        <n v="66229"/>
        <n v="25833"/>
        <n v="11784"/>
        <n v="12743"/>
        <n v="84469"/>
        <n v="194"/>
        <n v="527"/>
        <n v="18194"/>
        <n v="31555"/>
        <n v="78"/>
        <n v="13126"/>
        <n v="10588"/>
        <n v="20843"/>
        <n v="68304"/>
        <n v="5593"/>
        <n v="3903"/>
        <n v="26795"/>
        <n v="24241"/>
        <n v="23823"/>
        <n v="67553"/>
        <n v="58744"/>
        <n v="42675"/>
        <n v="55"/>
        <n v="65626"/>
        <n v="43996"/>
        <n v="32084"/>
        <n v="45299"/>
        <n v="62523"/>
        <n v="19297"/>
        <n v="32688"/>
        <n v="1093"/>
        <n v="16506"/>
        <n v="26219"/>
        <n v="231"/>
        <n v="14730"/>
        <n v="13464"/>
        <n v="29641"/>
        <n v="113474"/>
        <n v="7087"/>
        <n v="30647"/>
        <n v="246"/>
        <n v="2120"/>
        <n v="177"/>
        <n v="14"/>
        <n v="39179"/>
        <n v="262"/>
        <n v="1519"/>
        <n v="35506"/>
        <n v="33141"/>
        <n v="37154"/>
        <n v="33243"/>
        <n v="37404"/>
        <n v="26941"/>
        <n v="36888"/>
        <n v="30234"/>
        <n v="36934"/>
        <n v="26124"/>
        <n v="37755"/>
        <n v="27176"/>
        <n v="39799"/>
        <n v="32791"/>
        <n v="35874"/>
        <n v="8771"/>
        <n v="9788"/>
        <n v="178"/>
        <n v="21182"/>
        <n v="32418"/>
        <n v="8371"/>
        <n v="26646"/>
        <n v="2972"/>
        <n v="30080"/>
        <n v="50579"/>
        <n v="1377"/>
        <n v="101010"/>
        <n v="241"/>
        <n v="136080"/>
        <n v="71695"/>
        <n v="163655"/>
        <n v="40128"/>
        <n v="55578"/>
        <n v="200824"/>
        <n v="2922"/>
        <n v="15247"/>
        <n v="14991"/>
        <n v="1644"/>
        <n v="23591"/>
        <n v="2556"/>
        <n v="153"/>
        <n v="5307"/>
        <n v="49277"/>
        <n v="4279"/>
        <n v="63007"/>
        <n v="24569"/>
        <n v="6706"/>
        <n v="10002"/>
        <n v="29650"/>
        <n v="27124"/>
        <n v="63067"/>
        <n v="35526"/>
        <n v="14209"/>
        <n v="28439"/>
        <n v="27829"/>
        <n v="58592"/>
        <n v="12284"/>
        <n v="478"/>
        <n v="31502"/>
        <n v="212"/>
        <n v="24137"/>
        <n v="26438"/>
        <n v="739"/>
        <n v="17195"/>
        <n v="279"/>
        <n v="137721"/>
        <n v="35073"/>
        <n v="28438"/>
        <n v="161513"/>
        <n v="33801"/>
        <n v="18373"/>
        <n v="111529"/>
        <n v="71451"/>
        <n v="5846"/>
        <n v="11976"/>
        <n v="64212"/>
        <n v="39"/>
        <n v="3614"/>
        <n v="266"/>
        <n v="94150"/>
        <n v="960"/>
        <n v="9742"/>
        <n v="4397"/>
        <n v="49345"/>
        <n v="4906"/>
        <n v="16954"/>
        <n v="34464"/>
        <n v="2822"/>
        <n v="57717"/>
        <n v="24"/>
        <n v="37379"/>
        <n v="9158"/>
        <n v="15052"/>
        <n v="16382"/>
        <n v="11403"/>
        <n v="80157"/>
        <n v="6759"/>
        <n v="718"/>
        <n v="116021"/>
        <n v="54101"/>
        <n v="9736"/>
        <n v="14322"/>
        <n v="20433"/>
        <n v="283"/>
        <n v="467"/>
        <n v="4143"/>
        <n v="3818"/>
        <n v="98851"/>
        <n v="100"/>
        <n v="827"/>
        <n v="1458"/>
        <n v="25898"/>
        <n v="800"/>
        <n v="4645"/>
        <n v="32475"/>
        <n v="12628"/>
        <n v="31797"/>
        <n v="2444"/>
        <n v="3686"/>
        <n v="6600"/>
        <n v="8227"/>
        <n v="6"/>
        <n v="8965"/>
        <n v="25537"/>
        <n v="31962"/>
        <n v="5028"/>
        <n v="5550"/>
        <n v="63034"/>
        <n v="78937"/>
        <n v="84329"/>
        <n v="32640"/>
        <n v="998"/>
        <n v="2677"/>
        <n v="108516"/>
        <n v="6905"/>
        <n v="6559"/>
        <n v="259"/>
        <n v="5453"/>
        <n v="5428"/>
        <n v="6090"/>
        <n v="9141"/>
        <n v="588"/>
        <n v="7110"/>
        <n v="2835"/>
        <n v="45096"/>
        <n v="14742"/>
        <n v="34090"/>
        <n v="85"/>
        <n v="16912"/>
        <n v="102093"/>
        <n v="5966"/>
        <n v="5800"/>
        <n v="18997"/>
        <n v="6218"/>
        <n v="12245"/>
        <n v="28220"/>
        <n v="11858"/>
        <n v="16028"/>
        <n v="64845"/>
        <n v="31790"/>
        <n v="101058"/>
        <n v="4448"/>
        <n v="90767"/>
        <n v="4028"/>
        <n v="3309"/>
        <n v="18120"/>
        <n v="42"/>
        <n v="3442"/>
        <n v="16238"/>
        <n v="60"/>
        <n v="19338"/>
        <n v="77263"/>
        <n v="87805"/>
        <n v="48"/>
        <n v="74474"/>
        <n v="1525"/>
        <n v="5118"/>
        <n v="19077"/>
        <n v="5868"/>
        <n v="29076"/>
        <n v="26786"/>
        <n v="858"/>
        <n v="344"/>
        <n v="174"/>
        <n v="23"/>
        <n v="41965"/>
        <n v="41356"/>
        <n v="118290"/>
        <n v="117265"/>
        <n v="76996"/>
        <n v="20934"/>
        <n v="1636"/>
        <n v="4969"/>
        <n v="277"/>
        <n v="31853"/>
        <n v="35719"/>
        <n v="27815"/>
        <n v="59421"/>
        <n v="35945"/>
        <n v="38717"/>
        <n v="78765"/>
        <n v="152836"/>
        <n v="1907"/>
        <n v="8148"/>
        <n v="67867"/>
        <n v="11015"/>
        <n v="30338"/>
        <n v="12533"/>
        <n v="1708"/>
        <n v="54588"/>
        <n v="39359"/>
        <n v="28881"/>
        <n v="65394"/>
        <n v="159826"/>
        <n v="3860"/>
        <n v="1513"/>
        <n v="3002"/>
        <n v="64525"/>
        <n v="23827"/>
        <n v="13553"/>
        <n v="14771"/>
        <n v="1493"/>
        <n v="5346"/>
        <n v="52446"/>
        <n v="129460"/>
        <n v="5602"/>
        <n v="1485"/>
        <n v="6221"/>
        <n v="3810"/>
        <n v="127057"/>
        <n v="22854"/>
        <n v="20000"/>
        <n v="14718"/>
        <n v="62864"/>
        <n v="2878"/>
        <n v="53638"/>
        <n v="146478"/>
        <n v="932"/>
        <n v="7162"/>
        <n v="3371"/>
        <n v="173369"/>
        <n v="41838"/>
        <n v="166"/>
        <n v="76858"/>
        <n v="30346"/>
        <n v="5050"/>
        <n v="59"/>
        <n v="348"/>
        <n v="41"/>
        <n v="984"/>
        <n v="1707999"/>
        <n v="97285"/>
        <n v="90995"/>
        <n v="72812"/>
        <n v="233298"/>
        <n v="569696"/>
        <n v="655981"/>
        <n v="76007"/>
        <n v="390831"/>
        <n v="170979"/>
        <n v="10328"/>
        <n v="89568"/>
        <n v="205901"/>
        <n v="34334"/>
        <n v="32590"/>
        <n v="20710"/>
        <n v="29805"/>
        <n v="52077"/>
        <n v="51"/>
        <n v="145972"/>
        <n v="40012"/>
        <n v="51875"/>
        <n v="52036"/>
        <n v="69445"/>
        <n v="319"/>
        <n v="63543"/>
        <n v="64069"/>
        <n v="31791"/>
        <n v="39545"/>
        <n v="46454"/>
        <n v="97786"/>
        <n v="121159"/>
        <n v="71689"/>
        <n v="45566"/>
        <n v="16358"/>
        <n v="22613"/>
        <n v="33647"/>
        <n v="20"/>
        <n v="49070"/>
        <n v="105238"/>
        <n v="127559"/>
        <n v="117214"/>
        <n v="404"/>
        <n v="445"/>
        <n v="39547"/>
        <n v="24628"/>
        <n v="40349"/>
        <n v="82701"/>
        <n v="72971"/>
        <n v="54107"/>
        <n v="37525"/>
        <n v="7631"/>
        <n v="17070"/>
        <n v="48392"/>
        <n v="13942"/>
        <n v="64843"/>
        <n v="67544"/>
        <n v="73519"/>
        <n v="355"/>
        <n v="34"/>
        <n v="4077"/>
        <n v="10062"/>
        <n v="45"/>
        <n v="17733"/>
        <n v="46985"/>
        <n v="73280"/>
        <n v="42095"/>
        <n v="3633"/>
        <n v="165"/>
        <n v="12836"/>
        <n v="75988"/>
        <n v="85983"/>
        <n v="43646"/>
        <n v="8309"/>
        <n v="86259"/>
        <n v="116806"/>
        <n v="45212"/>
        <n v="46462"/>
        <n v="7567"/>
        <n v="49519"/>
        <n v="37184"/>
        <n v="5350"/>
        <n v="19164"/>
        <m/>
      </sharedItems>
    </cacheField>
    <cacheField name="点击量" numFmtId="0">
      <sharedItems containsString="0" containsBlank="1" containsNumber="1" containsInteger="1" minValue="0" maxValue="133384" count="775">
        <n v="4162"/>
        <n v="1336"/>
        <n v="557"/>
        <n v="788"/>
        <n v="1519"/>
        <n v="2489"/>
        <n v="6732"/>
        <n v="1418"/>
        <n v="397"/>
        <n v="884"/>
        <n v="971"/>
        <n v="4014"/>
        <n v="4515"/>
        <n v="1008"/>
        <n v="490"/>
        <n v="83"/>
        <n v="2490"/>
        <n v="3433"/>
        <n v="1181"/>
        <n v="272"/>
        <n v="33"/>
        <n v="2347"/>
        <n v="2419"/>
        <n v="722"/>
        <n v="11"/>
        <n v="592"/>
        <n v="3929"/>
        <n v="10"/>
        <n v="141"/>
        <n v="0"/>
        <n v="226"/>
        <n v="2620"/>
        <n v="98"/>
        <n v="2202"/>
        <n v="3942"/>
        <n v="102"/>
        <n v="204"/>
        <n v="9"/>
        <n v="21"/>
        <n v="2133"/>
        <n v="7772"/>
        <n v="3868"/>
        <n v="5064"/>
        <n v="984"/>
        <n v="1160"/>
        <n v="277"/>
        <n v="2398"/>
        <n v="7329"/>
        <n v="4289"/>
        <n v="6315"/>
        <n v="785"/>
        <n v="1003"/>
        <n v="348"/>
        <n v="2299"/>
        <n v="6325"/>
        <n v="4696"/>
        <n v="3582"/>
        <n v="942"/>
        <n v="320"/>
        <n v="3112"/>
        <n v="5903"/>
        <n v="85"/>
        <n v="354"/>
        <n v="5910"/>
        <n v="1781"/>
        <n v="270"/>
        <n v="483"/>
        <n v="1674"/>
        <n v="10984"/>
        <n v="14816"/>
        <n v="4"/>
        <n v="244"/>
        <n v="1"/>
        <n v="3"/>
        <n v="615"/>
        <n v="2278"/>
        <n v="17778"/>
        <n v="689"/>
        <n v="423"/>
        <n v="96"/>
        <n v="713"/>
        <n v="7288"/>
        <n v="2215"/>
        <n v="14074"/>
        <n v="19836"/>
        <n v="23"/>
        <n v="3768"/>
        <n v="41"/>
        <n v="797"/>
        <n v="17437"/>
        <n v="946"/>
        <n v="1934"/>
        <n v="265"/>
        <n v="386"/>
        <n v="13"/>
        <n v="4854"/>
        <n v="3853"/>
        <n v="59882"/>
        <n v="2949"/>
        <n v="454"/>
        <n v="150"/>
        <n v="13680"/>
        <n v="3418"/>
        <n v="1835"/>
        <n v="3283"/>
        <n v="6362"/>
        <n v="1944"/>
        <n v="14880"/>
        <n v="105286"/>
        <n v="3199"/>
        <n v="503"/>
        <n v="9966"/>
        <n v="2090"/>
        <n v="2"/>
        <n v="9098"/>
        <n v="3293"/>
        <n v="2053"/>
        <n v="25292"/>
        <n v="167"/>
        <n v="3270"/>
        <n v="546"/>
        <n v="2051"/>
        <n v="26178"/>
        <n v="3477"/>
        <n v="541"/>
        <n v="31470"/>
        <n v="8052"/>
        <n v="18650"/>
        <n v="27840"/>
        <n v="3822"/>
        <n v="142"/>
        <n v="12"/>
        <n v="15"/>
        <n v="4347"/>
        <n v="7354"/>
        <n v="4000"/>
        <n v="1439"/>
        <n v="6237"/>
        <n v="675"/>
        <n v="13351"/>
        <n v="52"/>
        <n v="5894"/>
        <n v="25"/>
        <n v="3338"/>
        <n v="12130"/>
        <n v="12669"/>
        <n v="3587"/>
        <n v="7542"/>
        <n v="3788"/>
        <n v="6408"/>
        <n v="11958"/>
        <n v="7070"/>
        <n v="8356"/>
        <n v="9020"/>
        <n v="5184"/>
        <n v="2291"/>
        <n v="221"/>
        <n v="3244"/>
        <n v="6904"/>
        <n v="6196"/>
        <n v="4096"/>
        <n v="132"/>
        <n v="3462"/>
        <n v="1957"/>
        <n v="3432"/>
        <n v="4685"/>
        <n v="5822"/>
        <n v="107"/>
        <n v="1580"/>
        <n v="399"/>
        <n v="6085"/>
        <n v="8259"/>
        <n v="3379"/>
        <n v="7243"/>
        <n v="8983"/>
        <n v="4946"/>
        <n v="3486"/>
        <n v="4255"/>
        <n v="7112"/>
        <n v="1796"/>
        <n v="190"/>
        <n v="6687"/>
        <n v="511"/>
        <n v="6235"/>
        <n v="10093"/>
        <n v="3054"/>
        <n v="371"/>
        <n v="10483"/>
        <n v="5926"/>
        <n v="3750"/>
        <n v="5068"/>
        <n v="621"/>
        <n v="3227"/>
        <n v="1442"/>
        <n v="7519"/>
        <n v="6070"/>
        <n v="4852"/>
        <n v="11107"/>
        <n v="4084"/>
        <n v="5"/>
        <n v="1526"/>
        <n v="2440"/>
        <n v="394"/>
        <n v="4627"/>
        <n v="1341"/>
        <n v="1564"/>
        <n v="1465"/>
        <n v="4324"/>
        <n v="7932"/>
        <n v="6994"/>
        <n v="3517"/>
        <n v="1128"/>
        <n v="1092"/>
        <n v="1034"/>
        <n v="1484"/>
        <n v="1967"/>
        <n v="5377"/>
        <n v="3396"/>
        <n v="2542"/>
        <n v="2194"/>
        <n v="3355"/>
        <n v="1258"/>
        <n v="2403"/>
        <n v="178"/>
        <n v="9978"/>
        <n v="11588"/>
        <n v="1180"/>
        <n v="553"/>
        <n v="1440"/>
        <n v="521"/>
        <n v="1914"/>
        <n v="7210"/>
        <n v="3259"/>
        <n v="2021"/>
        <n v="2511"/>
        <n v="2235"/>
        <n v="3191"/>
        <n v="3827"/>
        <n v="1741"/>
        <n v="24"/>
        <n v="71"/>
        <n v="172"/>
        <n v="1072"/>
        <n v="812"/>
        <n v="3282"/>
        <n v="1147"/>
        <n v="1803"/>
        <n v="53"/>
        <n v="26"/>
        <n v="36"/>
        <n v="741"/>
        <n v="4036"/>
        <n v="11827"/>
        <n v="1193"/>
        <n v="1277"/>
        <n v="987"/>
        <n v="1449"/>
        <n v="1935"/>
        <n v="25483"/>
        <n v="3186"/>
        <n v="5284"/>
        <n v="1317"/>
        <n v="4925"/>
        <n v="14619"/>
        <n v="22108"/>
        <n v="961"/>
        <n v="683"/>
        <n v="1323"/>
        <n v="1477"/>
        <n v="2267"/>
        <n v="3922"/>
        <n v="5260"/>
        <n v="237"/>
        <n v="77"/>
        <n v="257"/>
        <n v="550"/>
        <n v="7"/>
        <n v="28"/>
        <n v="51"/>
        <n v="151"/>
        <n v="392"/>
        <n v="1206"/>
        <n v="123"/>
        <n v="554"/>
        <n v="659"/>
        <n v="2305"/>
        <n v="6"/>
        <n v="3961"/>
        <n v="56"/>
        <n v="7364"/>
        <n v="317"/>
        <n v="3521"/>
        <n v="357"/>
        <n v="3540"/>
        <n v="3554"/>
        <n v="194"/>
        <n v="3558"/>
        <n v="5189"/>
        <n v="1529"/>
        <n v="1497"/>
        <n v="2875"/>
        <n v="27"/>
        <n v="1126"/>
        <n v="925"/>
        <n v="37"/>
        <n v="545"/>
        <n v="20"/>
        <n v="76"/>
        <n v="8"/>
        <n v="93"/>
        <n v="1566"/>
        <n v="1726"/>
        <n v="159"/>
        <n v="670"/>
        <n v="70"/>
        <n v="117"/>
        <n v="286"/>
        <n v="628"/>
        <n v="121"/>
        <n v="255"/>
        <n v="328"/>
        <n v="1557"/>
        <n v="2379"/>
        <n v="4700"/>
        <n v="1753"/>
        <n v="7402"/>
        <n v="3142"/>
        <n v="1790"/>
        <n v="4313"/>
        <n v="2390"/>
        <n v="2968"/>
        <n v="4988"/>
        <n v="2666"/>
        <n v="6900"/>
        <n v="2381"/>
        <n v="2317"/>
        <n v="7533"/>
        <n v="3889"/>
        <n v="2611"/>
        <n v="4745"/>
        <n v="1248"/>
        <n v="4661"/>
        <n v="64"/>
        <n v="970"/>
        <n v="700"/>
        <n v="3508"/>
        <n v="996"/>
        <n v="2471"/>
        <n v="754"/>
        <n v="61"/>
        <n v="3030"/>
        <n v="2659"/>
        <n v="870"/>
        <n v="2522"/>
        <n v="81"/>
        <n v="18"/>
        <n v="1622"/>
        <n v="1677"/>
        <n v="3130"/>
        <n v="63"/>
        <n v="966"/>
        <n v="4646"/>
        <n v="1940"/>
        <n v="2642"/>
        <n v="3817"/>
        <n v="2110"/>
        <n v="5788"/>
        <n v="1979"/>
        <n v="4419"/>
        <n v="4006"/>
        <n v="1666"/>
        <n v="4172"/>
        <n v="2740"/>
        <n v="2391"/>
        <n v="89"/>
        <n v="3708"/>
        <n v="1802"/>
        <n v="6191"/>
        <n v="3661"/>
        <n v="2891"/>
        <n v="42"/>
        <n v="10080"/>
        <n v="130"/>
        <n v="80"/>
        <n v="2972"/>
        <n v="1261"/>
        <n v="2736"/>
        <n v="7123"/>
        <n v="674"/>
        <n v="1169"/>
        <n v="2431"/>
        <n v="7456"/>
        <n v="310"/>
        <n v="2340"/>
        <n v="1985"/>
        <n v="939"/>
        <n v="79"/>
        <n v="145"/>
        <n v="772"/>
        <n v="1158"/>
        <n v="3915"/>
        <n v="471"/>
        <n v="568"/>
        <n v="1091"/>
        <n v="1065"/>
        <n v="522"/>
        <n v="17"/>
        <n v="1175"/>
        <n v="410"/>
        <n v="3864"/>
        <n v="1541"/>
        <n v="746"/>
        <n v="456"/>
        <n v="3996"/>
        <n v="917"/>
        <n v="3377"/>
        <n v="2683"/>
        <n v="4248"/>
        <n v="1655"/>
        <n v="3425"/>
        <n v="438"/>
        <n v="1212"/>
        <n v="3887"/>
        <n v="1333"/>
        <n v="1063"/>
        <n v="7249"/>
        <n v="1899"/>
        <n v="1194"/>
        <n v="2606"/>
        <n v="1461"/>
        <n v="6664"/>
        <n v="2502"/>
        <n v="3021"/>
        <n v="1597"/>
        <n v="3491"/>
        <n v="2652"/>
        <n v="2913"/>
        <n v="1958"/>
        <n v="2731"/>
        <n v="3530"/>
        <n v="82"/>
        <n v="2180"/>
        <n v="2083"/>
        <n v="1243"/>
        <n v="3159"/>
        <n v="3323"/>
        <n v="2120"/>
        <n v="2303"/>
        <n v="1401"/>
        <n v="3006"/>
        <n v="1407"/>
        <n v="3013"/>
        <n v="1129"/>
        <n v="45"/>
        <n v="881"/>
        <n v="1609"/>
        <n v="44"/>
        <n v="59"/>
        <n v="5076"/>
        <n v="2074"/>
        <n v="3694"/>
        <n v="1027"/>
        <n v="1106"/>
        <n v="1654"/>
        <n v="1969"/>
        <n v="1315"/>
        <n v="2801"/>
        <n v="2855"/>
        <n v="3160"/>
        <n v="3144"/>
        <n v="2179"/>
        <n v="749"/>
        <n v="3740"/>
        <n v="2745"/>
        <n v="993"/>
        <n v="604"/>
        <n v="1634"/>
        <n v="3165"/>
        <n v="1131"/>
        <n v="2640"/>
        <n v="29"/>
        <n v="589"/>
        <n v="431"/>
        <n v="1029"/>
        <n v="4665"/>
        <n v="295"/>
        <n v="193"/>
        <n v="1583"/>
        <n v="1256"/>
        <n v="999"/>
        <n v="5770"/>
        <n v="3147"/>
        <n v="1933"/>
        <n v="4565"/>
        <n v="2102"/>
        <n v="911"/>
        <n v="4367"/>
        <n v="1087"/>
        <n v="1584"/>
        <n v="1157"/>
        <n v="2078"/>
        <n v="428"/>
        <n v="853"/>
        <n v="835"/>
        <n v="6339"/>
        <n v="463"/>
        <n v="1766"/>
        <n v="87"/>
        <n v="1686"/>
        <n v="114"/>
        <n v="1683"/>
        <n v="949"/>
        <n v="1724"/>
        <n v="928"/>
        <n v="1706"/>
        <n v="794"/>
        <n v="1687"/>
        <n v="819"/>
        <n v="1702"/>
        <n v="814"/>
        <n v="1691"/>
        <n v="787"/>
        <n v="1737"/>
        <n v="874"/>
        <n v="1602"/>
        <n v="412"/>
        <n v="441"/>
        <n v="1096"/>
        <n v="214"/>
        <n v="974"/>
        <n v="1278"/>
        <n v="2256"/>
        <n v="58"/>
        <n v="4605"/>
        <n v="5570"/>
        <n v="3479"/>
        <n v="7214"/>
        <n v="2655"/>
        <n v="6464"/>
        <n v="32"/>
        <n v="276"/>
        <n v="189"/>
        <n v="437"/>
        <n v="60"/>
        <n v="184"/>
        <n v="2132"/>
        <n v="2377"/>
        <n v="1013"/>
        <n v="319"/>
        <n v="838"/>
        <n v="1508"/>
        <n v="2456"/>
        <n v="2724"/>
        <n v="3069"/>
        <n v="740"/>
        <n v="2684"/>
        <n v="977"/>
        <n v="1393"/>
        <n v="2528"/>
        <n v="951"/>
        <n v="31"/>
        <n v="2791"/>
        <n v="3603"/>
        <n v="1295"/>
        <n v="38"/>
        <n v="14"/>
        <n v="7256"/>
        <n v="2695"/>
        <n v="3688"/>
        <n v="8319"/>
        <n v="2787"/>
        <n v="2400"/>
        <n v="4743"/>
        <n v="5018"/>
        <n v="651"/>
        <n v="3243"/>
        <n v="156"/>
        <n v="4345"/>
        <n v="681"/>
        <n v="362"/>
        <n v="2754"/>
        <n v="138"/>
        <n v="361"/>
        <n v="1983"/>
        <n v="3401"/>
        <n v="1961"/>
        <n v="232"/>
        <n v="358"/>
        <n v="1255"/>
        <n v="283"/>
        <n v="5342"/>
        <n v="710"/>
        <n v="9745"/>
        <n v="2778"/>
        <n v="239"/>
        <n v="1375"/>
        <n v="416"/>
        <n v="402"/>
        <n v="7780"/>
        <n v="109"/>
        <n v="1861"/>
        <n v="544"/>
        <n v="1793"/>
        <n v="73"/>
        <n v="359"/>
        <n v="2412"/>
        <n v="269"/>
        <n v="343"/>
        <n v="493"/>
        <n v="206"/>
        <n v="671"/>
        <n v="2323"/>
        <n v="678"/>
        <n v="2356"/>
        <n v="3221"/>
        <n v="4115"/>
        <n v="1489"/>
        <n v="162"/>
        <n v="5662"/>
        <n v="1042"/>
        <n v="349"/>
        <n v="561"/>
        <n v="596"/>
        <n v="380"/>
        <n v="55"/>
        <n v="2343"/>
        <n v="2057"/>
        <n v="1807"/>
        <n v="485"/>
        <n v="5890"/>
        <n v="780"/>
        <n v="890"/>
        <n v="300"/>
        <n v="2758"/>
        <n v="662"/>
        <n v="954"/>
        <n v="2952"/>
        <n v="3799"/>
        <n v="5796"/>
        <n v="248"/>
        <n v="5036"/>
        <n v="609"/>
        <n v="134"/>
        <n v="1009"/>
        <n v="1133"/>
        <n v="3122"/>
        <n v="4923"/>
        <n v="4486"/>
        <n v="223"/>
        <n v="979"/>
        <n v="505"/>
        <n v="1813"/>
        <n v="3089"/>
        <n v="66"/>
        <n v="2442"/>
        <n v="1912"/>
        <n v="7736"/>
        <n v="7850"/>
        <n v="3369"/>
        <n v="1144"/>
        <n v="213"/>
        <n v="297"/>
        <n v="1267"/>
        <n v="4584"/>
        <n v="822"/>
        <n v="1697"/>
        <n v="2118"/>
        <n v="2916"/>
        <n v="7731"/>
        <n v="450"/>
        <n v="8057"/>
        <n v="314"/>
        <n v="795"/>
        <n v="535"/>
        <n v="3696"/>
        <n v="3411"/>
        <n v="1263"/>
        <n v="2704"/>
        <n v="8205"/>
        <n v="153"/>
        <n v="185"/>
        <n v="3655"/>
        <n v="848"/>
        <n v="1716"/>
        <n v="49"/>
        <n v="691"/>
        <n v="2320"/>
        <n v="6827"/>
        <n v="339"/>
        <n v="712"/>
        <n v="6294"/>
        <n v="1130"/>
        <n v="2043"/>
        <n v="672"/>
        <n v="3001"/>
        <n v="378"/>
        <n v="2476"/>
        <n v="7200"/>
        <n v="113"/>
        <n v="347"/>
        <n v="8861"/>
        <n v="2067"/>
        <n v="5603"/>
        <n v="976"/>
        <n v="216"/>
        <n v="57"/>
        <n v="133384"/>
        <n v="9288"/>
        <n v="5253"/>
        <n v="6778"/>
        <n v="13625"/>
        <n v="51244"/>
        <n v="61433"/>
        <n v="4064"/>
        <n v="26648"/>
        <n v="8217"/>
        <n v="919"/>
        <n v="8487"/>
        <n v="26969"/>
        <n v="2597"/>
        <n v="2362"/>
        <n v="2641"/>
        <n v="3273"/>
        <n v="16112"/>
        <n v="5612"/>
        <n v="2313"/>
        <n v="5697"/>
        <n v="4058"/>
        <n v="4071"/>
        <n v="4517"/>
        <n v="1761"/>
        <n v="5900"/>
        <n v="4975"/>
        <n v="7380"/>
        <n v="6971"/>
        <n v="3756"/>
        <n v="1023"/>
        <n v="1748"/>
        <n v="2638"/>
        <n v="7058"/>
        <n v="13233"/>
        <n v="8100"/>
        <n v="1863"/>
        <n v="1040"/>
        <n v="1926"/>
        <n v="6996"/>
        <n v="3468"/>
        <n v="2245"/>
        <n v="372"/>
        <n v="807"/>
        <n v="4755"/>
        <n v="551"/>
        <n v="3238"/>
        <n v="3739"/>
        <n v="6557"/>
        <n v="312"/>
        <n v="465"/>
        <n v="716"/>
        <n v="2509"/>
        <n v="4703"/>
        <n v="451"/>
        <n v="1120"/>
        <n v="3810"/>
        <n v="5563"/>
        <n v="4246"/>
        <n v="1121"/>
        <n v="3969"/>
        <n v="6858"/>
        <n v="4331"/>
        <n v="3067"/>
        <n v="826"/>
        <n v="2258"/>
        <n v="846"/>
        <n v="1100"/>
        <m/>
      </sharedItems>
    </cacheField>
    <cacheField name="点击率" numFmtId="0">
      <sharedItems containsString="0" containsBlank="1" containsNumber="1" minValue="0" maxValue="0.2784" count="606">
        <n v="0.0736"/>
        <n v="0.1009"/>
        <n v="0.0273"/>
        <n v="0.0656"/>
        <n v="0.0398"/>
        <n v="0.0709"/>
        <n v="0.0964"/>
        <n v="0.1209"/>
        <n v="0.032"/>
        <n v="0.0617"/>
        <n v="0.0426"/>
        <n v="0.0807"/>
        <n v="0.0921"/>
        <n v="0.1106"/>
        <n v="0.0622"/>
        <n v="0.0752"/>
        <n v="0.0886"/>
        <n v="0.1"/>
        <n v="0.1086"/>
        <n v="0.0662"/>
        <n v="0.0704"/>
        <n v="0.0906"/>
        <n v="0.0947"/>
        <n v="0.1169"/>
        <n v="0.061"/>
        <n v="0.0556"/>
        <n v="0.0934"/>
        <n v="0.0969"/>
        <n v="0.0305"/>
        <n v="0.0611"/>
        <n v="0"/>
        <n v="0.0776"/>
        <n v="0.1183"/>
        <n v="0.1184"/>
        <n v="0.0173"/>
        <n v="0.0754"/>
        <n v="0.0909"/>
        <n v="0.0743"/>
        <n v="0.0989"/>
        <n v="0.0242"/>
        <n v="0.066"/>
        <n v="0.0706"/>
        <n v="0.1349"/>
        <n v="0.1116"/>
        <n v="0.0918"/>
        <n v="0.0812"/>
        <n v="0.0235"/>
        <n v="0.0741"/>
        <n v="0.0694"/>
        <n v="0.1268"/>
        <n v="0.1122"/>
        <n v="0.1028"/>
        <n v="0.0768"/>
        <n v="0.0262"/>
        <n v="0.0966"/>
        <n v="0.0712"/>
        <n v="0.1135"/>
        <n v="0.1052"/>
        <n v="0.093"/>
        <n v="0.0799"/>
        <n v="0.0698"/>
        <n v="0.1123"/>
        <n v="0.0647"/>
        <n v="0.0246"/>
        <n v="0.2784"/>
        <n v="0.0489"/>
        <n v="0.1536"/>
        <n v="0.077"/>
        <n v="0.0814"/>
        <n v="0.0593"/>
        <n v="0.1003"/>
        <n v="0.019"/>
        <n v="0.0309"/>
        <n v="0.0604"/>
        <n v="0.0979"/>
        <n v="0.1394"/>
        <n v="0.0487"/>
        <n v="0.0436"/>
        <n v="0.0626"/>
        <n v="0.0492"/>
        <n v="0.2255"/>
        <n v="0.087"/>
        <n v="0.0551"/>
        <n v="0.0927"/>
        <n v="0.0301"/>
        <n v="0.0323"/>
        <n v="0.1017"/>
        <n v="0.0508"/>
        <n v="0.0506"/>
        <n v="0.1111"/>
        <n v="0.191"/>
        <n v="0.0623"/>
        <n v="0.0859"/>
        <n v="0.0825"/>
        <n v="0.1355"/>
        <n v="0.015"/>
        <n v="0.0569"/>
        <n v="0.0515"/>
        <n v="0.1838"/>
        <n v="0.0643"/>
        <n v="0.0949"/>
        <n v="0.0813"/>
        <n v="0.0576"/>
        <n v="0.1071"/>
        <n v="0.055"/>
        <n v="0.1104"/>
        <n v="0.1207"/>
        <n v="0.072"/>
        <n v="0.0472"/>
        <n v="0.0367"/>
        <n v="0.1864"/>
        <n v="0.0619"/>
        <n v="0.0366"/>
        <n v="0.0732"/>
        <n v="0.1368"/>
        <n v="0.023"/>
        <n v="0.0877"/>
        <n v="0.1067"/>
        <n v="0.0716"/>
        <n v="0.0418"/>
        <n v="0.1233"/>
        <n v="0.0627"/>
        <n v="0.0963"/>
        <n v="0.0769"/>
        <n v="0.04"/>
        <n v="0.0641"/>
        <n v="0.0962"/>
        <n v="0.0687"/>
        <n v="0.1088"/>
        <n v="0.1119"/>
        <n v="0.0466"/>
        <n v="0.0857"/>
        <n v="0.0714"/>
        <n v="0.0661"/>
        <n v="0.0625"/>
        <n v="0.0684"/>
        <n v="0.0786"/>
        <n v="0.0365"/>
        <n v="0.0676"/>
        <n v="0.0818"/>
        <n v="0.0455"/>
        <n v="0.0957"/>
        <n v="0.085"/>
        <n v="0.0695"/>
        <n v="0.0633"/>
        <n v="0.0437"/>
        <n v="0.044"/>
        <n v="0.0558"/>
        <n v="0.0624"/>
        <n v="0.0692"/>
        <n v="0.0575"/>
        <n v="0.0674"/>
        <n v="0.0346"/>
        <n v="0.0364"/>
        <n v="0.0471"/>
        <n v="0.0675"/>
        <n v="0.0563"/>
        <n v="0.0727"/>
        <n v="0.06"/>
        <n v="0.0493"/>
        <n v="0.0443"/>
        <n v="0.1053"/>
        <n v="0.0552"/>
        <n v="0.0713"/>
        <n v="0.0796"/>
        <n v="0.0696"/>
        <n v="0.0784"/>
        <n v="0.037"/>
        <n v="0.0541"/>
        <n v="0.0667"/>
        <n v="0.0779"/>
        <n v="0.1467"/>
        <n v="0.0564"/>
        <n v="0.0749"/>
        <n v="0.053"/>
        <n v="0.0722"/>
        <n v="0.0735"/>
        <n v="0.0881"/>
        <n v="0.078"/>
        <n v="0.0748"/>
        <n v="0.0516"/>
        <n v="0.0746"/>
        <n v="0.1079"/>
        <n v="0.1063"/>
        <n v="0.0783"/>
        <n v="0.0771"/>
        <n v="0.1101"/>
        <n v="0.0462"/>
        <n v="0.0465"/>
        <n v="0.107"/>
        <n v="0.0864"/>
        <n v="0.0427"/>
        <n v="0.039"/>
        <n v="0.0865"/>
        <n v="0.0775"/>
        <n v="0.0527"/>
        <n v="0.0429"/>
        <n v="0.0476"/>
        <n v="0.1047"/>
        <n v="0.05"/>
        <n v="0.0763"/>
        <n v="0.0856"/>
        <n v="0.0424"/>
        <n v="0.0458"/>
        <n v="0.0546"/>
        <n v="0.0442"/>
        <n v="0.0874"/>
        <n v="0.2343"/>
        <n v="0.0474"/>
        <n v="0.0423"/>
        <n v="0.0377"/>
        <n v="0.0374"/>
        <n v="0.117"/>
        <n v="0.0483"/>
        <n v="0.0889"/>
        <n v="0.0819"/>
        <n v="0.041"/>
        <n v="0.068"/>
        <n v="0.0532"/>
        <n v="0.0468"/>
        <n v="0.0903"/>
        <n v="0.2037"/>
        <n v="0.0403"/>
        <n v="0.0531"/>
        <n v="0.0488"/>
        <n v="0.0484"/>
        <n v="0.0598"/>
        <n v="0.0371"/>
        <n v="0.0559"/>
        <n v="0.0955"/>
        <n v="0.1398"/>
        <n v="0.1375"/>
        <n v="0.0469"/>
        <n v="0.0629"/>
        <n v="0.0481"/>
        <n v="0.0808"/>
        <n v="0.1024"/>
        <n v="0.0668"/>
        <n v="0.0588"/>
        <n v="0.02"/>
        <n v="0.0283"/>
        <n v="0.0505"/>
        <n v="0.1044"/>
        <n v="0.0504"/>
        <n v="0.0336"/>
        <n v="0.0578"/>
        <n v="0.0951"/>
        <n v="0.2315"/>
        <n v="0.0787"/>
        <n v="0.0901"/>
        <n v="0.056"/>
        <n v="0.0926"/>
        <n v="0.049"/>
        <n v="0.0731"/>
        <n v="0.042"/>
        <n v="0.073"/>
        <n v="0.0764"/>
        <n v="0.0095"/>
        <n v="0.1418"/>
        <n v="0.1296"/>
        <n v="0.0175"/>
        <n v="0.0883"/>
        <n v="0.0944"/>
        <n v="0.0129"/>
        <n v="0.0143"/>
        <n v="0.0275"/>
        <n v="0.0453"/>
        <n v="0.0439"/>
        <n v="0.0447"/>
        <n v="0.0279"/>
        <n v="0.0613"/>
        <n v="0.0892"/>
        <n v="0.0534"/>
        <n v="0.0924"/>
        <n v="0.0357"/>
        <n v="0.0649"/>
        <n v="0.0938"/>
        <n v="0.0287"/>
        <n v="0.0536"/>
        <n v="0.0602"/>
        <n v="0.0513"/>
        <n v="0.0639"/>
        <n v="0.0343"/>
        <n v="0.0383"/>
        <n v="0.0338"/>
        <n v="0.0217"/>
        <n v="0.0379"/>
        <n v="0.0717"/>
        <n v="0.0522"/>
        <n v="0.0445"/>
        <n v="0.0294"/>
        <n v="0.0271"/>
        <n v="0.0193"/>
        <n v="0.1008"/>
        <n v="0.0432"/>
        <n v="0.0501"/>
        <n v="0.065"/>
        <n v="0.0315"/>
        <n v="0.0691"/>
        <n v="0.0497"/>
        <n v="0.0702"/>
        <n v="0.0325"/>
        <n v="0.0467"/>
        <n v="0.0669"/>
        <n v="0.0329"/>
        <n v="0.0594"/>
        <n v="0.0372"/>
        <n v="0.1048"/>
        <n v="0.0428"/>
        <n v="0.0421"/>
        <n v="0.098"/>
        <n v="0.0163"/>
        <n v="0.0671"/>
        <n v="0.0216"/>
        <n v="0.0167"/>
        <n v="0.0579"/>
        <n v="0.0211"/>
        <n v="0.0295"/>
        <n v="0.0347"/>
        <n v="0.063"/>
        <n v="0.0635"/>
        <n v="0.0457"/>
        <n v="0.0646"/>
        <n v="0.0373"/>
        <n v="0.0397"/>
        <n v="0.017"/>
        <n v="0.0494"/>
        <n v="0.0615"/>
        <n v="0.0213"/>
        <n v="0.0573"/>
        <n v="0.0491"/>
        <n v="0.0221"/>
        <n v="0.059"/>
        <n v="0.0608"/>
        <n v="0.0597"/>
        <n v="0.0444"/>
        <n v="0.0589"/>
        <n v="0.0555"/>
        <n v="0.0637"/>
        <n v="0.0396"/>
        <n v="0.0665"/>
        <n v="0.0369"/>
        <n v="0.0829"/>
        <n v="0.0316"/>
        <n v="0.0451"/>
        <n v="0.0826"/>
        <n v="0.0188"/>
        <n v="0.0538"/>
        <n v="0.0571"/>
        <n v="0.0327"/>
        <n v="0.0545"/>
        <n v="0.0209"/>
        <n v="0.0514"/>
        <n v="0.0583"/>
        <n v="0.0605"/>
        <n v="0.0503"/>
        <n v="0.0893"/>
        <n v="0.0406"/>
        <n v="0.0231"/>
        <n v="0.0244"/>
        <n v="0.025"/>
        <n v="0.028"/>
        <n v="0.0272"/>
        <n v="0.0332"/>
        <n v="0.0411"/>
        <n v="0.0259"/>
        <n v="0.0434"/>
        <n v="0.0256"/>
        <n v="0.0414"/>
        <n v="0.0247"/>
        <n v="0.0255"/>
        <n v="0.0896"/>
        <n v="0.0417"/>
        <n v="0.0919"/>
        <n v="0.0227"/>
        <n v="0.0876"/>
        <n v="0.0438"/>
        <n v="0.033"/>
        <n v="0.021"/>
        <n v="0.1012"/>
        <n v="0.0653"/>
        <n v="0.0278"/>
        <n v="0.2"/>
        <n v="0.0308"/>
        <n v="0.0313"/>
        <n v="0.0446"/>
        <n v="0.0127"/>
        <n v="0.084"/>
        <n v="0.0537"/>
        <n v="0.0777"/>
        <n v="0.0425"/>
        <n v="0.0658"/>
        <n v="0.1084"/>
        <n v="0.0277"/>
        <n v="0.0512"/>
        <n v="0.0392"/>
        <n v="0.1062"/>
        <n v="0.0773"/>
        <n v="0.045"/>
        <n v="0.097"/>
        <n v="0.0805"/>
        <n v="0.0549"/>
        <n v="0.0345"/>
        <n v="0.0766"/>
        <n v="0.0561"/>
        <n v="0.0296"/>
        <n v="0.0251"/>
        <n v="0.0331"/>
        <n v="0.0156"/>
        <n v="0.0223"/>
        <n v="0.047"/>
        <n v="0.0478"/>
        <n v="0.0361"/>
        <n v="0.0433"/>
        <n v="0.0621"/>
        <n v="0.0449"/>
        <n v="0.0407"/>
        <n v="0.0683"/>
        <n v="0.0591"/>
        <n v="0.0518"/>
        <n v="0.0419"/>
        <n v="0.0854"/>
        <n v="0.0182"/>
        <n v="0.0201"/>
        <n v="0.0485"/>
        <n v="0.0701"/>
        <n v="0.0793"/>
        <n v="0.0291"/>
        <n v="0.0634"/>
        <n v="0.0282"/>
        <n v="0.1186"/>
        <n v="0.043"/>
        <n v="0.075"/>
        <n v="0.0286"/>
        <n v="0.0464"/>
        <n v="0.0456"/>
        <n v="0.0461"/>
        <n v="0.0312"/>
        <n v="0.0448"/>
        <n v="0.029"/>
        <n v="0.0267"/>
        <n v="0.1517"/>
        <n v="0.0208"/>
        <n v="0.0166"/>
        <n v="0.0409"/>
        <n v="0.0441"/>
        <n v="0.0306"/>
        <n v="0.0322"/>
        <n v="0.011"/>
        <n v="0.0181"/>
        <n v="0.0126"/>
        <n v="0.0219"/>
        <n v="0.0185"/>
        <n v="0.0229"/>
        <n v="0.0412"/>
        <n v="0.0838"/>
        <n v="0.0509"/>
        <n v="0.0905"/>
        <n v="0.0521"/>
        <n v="0.0351"/>
        <n v="0.0431"/>
        <n v="0.0774"/>
        <n v="0.0146"/>
        <n v="0.1493"/>
        <n v="0.0502"/>
        <n v="0.1297"/>
        <n v="0.1306"/>
        <n v="0.1114"/>
        <n v="0.0585"/>
        <n v="0.1015"/>
        <n v="0.0823"/>
        <n v="0.0699"/>
        <n v="0.0281"/>
        <n v="0.0525"/>
        <n v="0.0253"/>
        <n v="0.0238"/>
        <n v="0.0248"/>
        <n v="0.0666"/>
        <n v="0.105"/>
        <n v="0.0836"/>
        <n v="0.0245"/>
        <n v="0.0252"/>
        <n v="0.0673"/>
        <n v="0.0353"/>
        <n v="0.0535"/>
        <n v="0.1004"/>
        <n v="0.03"/>
        <n v="0.0719"/>
        <n v="0.1162"/>
        <n v="0.1171"/>
        <n v="0.0284"/>
        <n v="0.0759"/>
        <n v="0.1196"/>
        <n v="0.052"/>
        <n v="0.0599"/>
        <n v="0.1667"/>
        <n v="0.0263"/>
        <n v="0.1348"/>
        <n v="0.0996"/>
        <n v="0.0408"/>
        <n v="0.0311"/>
        <n v="0.1509"/>
        <n v="0.1429"/>
        <n v="0.0652"/>
        <n v="0.0391"/>
        <n v="0.0194"/>
        <n v="0.1395"/>
        <n v="0.1059"/>
        <n v="0.0577"/>
        <n v="0.1307"/>
        <n v="0.0328"/>
        <n v="0.0482"/>
        <n v="0.0977"/>
        <n v="0.0595"/>
        <n v="0.1195"/>
        <n v="0.0574"/>
        <n v="0.1512"/>
        <n v="0.0405"/>
        <n v="0.0557"/>
        <n v="0.0833"/>
        <n v="0.0586"/>
        <n v="0.0404"/>
        <n v="0.25"/>
        <n v="0.1462"/>
        <n v="0.0861"/>
        <n v="0.1153"/>
        <n v="0.0206"/>
        <n v="0.1786"/>
        <n v="0.1739"/>
        <n v="0.0582"/>
        <n v="0.0968"/>
        <n v="0.0654"/>
        <n v="0.0435"/>
        <n v="0.1302"/>
        <n v="0.1283"/>
        <n v="0.0547"/>
        <n v="0.1117"/>
        <n v="0.1187"/>
        <n v="0.0285"/>
        <n v="0.0677"/>
        <n v="0.0867"/>
        <n v="0.0413"/>
        <n v="0.1223"/>
        <n v="0.0566"/>
        <n v="0.1293"/>
        <n v="0.2286"/>
        <n v="0.1609"/>
        <n v="0.1145"/>
        <n v="0.1131"/>
        <n v="0.0495"/>
        <n v="0.1022"/>
        <n v="0.0477"/>
        <n v="0.1313"/>
        <n v="0.1212"/>
        <n v="0.1243"/>
        <n v="0.1029"/>
        <n v="0.0511"/>
        <n v="0.1149"/>
        <n v="0.0729"/>
        <n v="0.0603"/>
        <n v="0.0781"/>
        <n v="0.0931"/>
        <n v="0.0584"/>
        <n v="0.0899"/>
        <n v="0.0937"/>
        <n v="0.0682"/>
        <n v="0.089"/>
        <n v="0.0948"/>
        <n v="0.131"/>
        <n v="0.0756"/>
        <n v="0.0725"/>
        <n v="0.1275"/>
        <n v="0.0689"/>
        <n v="0.0628"/>
        <n v="0.1521"/>
        <n v="0.1082"/>
        <n v="0.082"/>
        <n v="0.1421"/>
        <n v="0.127"/>
        <n v="0.0609"/>
        <n v="0.0972"/>
        <n v="0.0824"/>
        <n v="0.1037"/>
        <n v="0.1146"/>
        <n v="0.0422"/>
        <n v="0.0473"/>
        <n v="0.0959"/>
        <n v="0.027"/>
        <n v="0.0983"/>
        <n v="0.0395"/>
        <n v="0.0499"/>
        <n v="0.0554"/>
        <n v="0.0765"/>
        <n v="0.0642"/>
        <n v="0.1032"/>
        <n v="0.1241"/>
        <n v="0.0606"/>
        <n v="0.0873"/>
        <n v="0.0973"/>
        <n v="0.046"/>
        <n v="0.0587"/>
        <n v="0.0958"/>
        <n v="0.1092"/>
        <n v="0.0607"/>
        <n v="0.1581"/>
        <m/>
      </sharedItems>
    </cacheField>
    <cacheField name="平均点击成本" numFmtId="0">
      <sharedItems containsString="0" containsBlank="1" containsNumber="1" minValue="0" maxValue="1.94" count="114">
        <n v="0.13"/>
        <n v="0.09"/>
        <n v="0.11"/>
        <n v="0.24"/>
        <n v="0.12"/>
        <n v="0.07"/>
        <n v="0.05"/>
        <n v="0.21"/>
        <n v="0.19"/>
        <n v="0.08"/>
        <n v="0.25"/>
        <n v="0.04"/>
        <n v="0.2"/>
        <n v="0.06"/>
        <n v="0.41"/>
        <n v="0.46"/>
        <n v="0"/>
        <n v="0.5"/>
        <n v="0.62"/>
        <n v="0.56"/>
        <n v="0.53"/>
        <n v="0.28"/>
        <n v="0.44"/>
        <n v="0.38"/>
        <n v="0.52"/>
        <n v="0.4"/>
        <n v="0.43"/>
        <n v="0.42"/>
        <n v="0.1"/>
        <n v="0.76"/>
        <n v="0.16"/>
        <n v="1.06"/>
        <n v="0.17"/>
        <n v="0.65"/>
        <n v="0.69"/>
        <n v="0.32"/>
        <n v="0.27"/>
        <n v="0.15"/>
        <n v="0.86"/>
        <n v="0.03"/>
        <n v="0.59"/>
        <n v="0.22"/>
        <n v="0.14"/>
        <n v="0.39"/>
        <n v="0.45"/>
        <n v="0.64"/>
        <n v="0.6"/>
        <n v="0.49"/>
        <n v="0.31"/>
        <n v="0.58"/>
        <n v="0.36"/>
        <n v="0.18"/>
        <n v="0.3"/>
        <n v="0.26"/>
        <n v="0.71"/>
        <n v="0.33"/>
        <n v="0.91"/>
        <n v="1.04"/>
        <n v="0.23"/>
        <n v="0.73"/>
        <n v="0.7"/>
        <n v="1.94"/>
        <n v="0.72"/>
        <n v="0.95"/>
        <n v="0.78"/>
        <n v="1.77"/>
        <n v="0.8"/>
        <n v="1.41"/>
        <n v="0.68"/>
        <n v="0.97"/>
        <n v="1.37"/>
        <n v="0.48"/>
        <n v="0.54"/>
        <n v="0.47"/>
        <n v="0.34"/>
        <n v="0.57"/>
        <n v="0.35"/>
        <n v="0.55"/>
        <n v="0.77"/>
        <n v="0.87"/>
        <n v="0.84"/>
        <n v="0.29"/>
        <n v="0.37"/>
        <n v="0.51"/>
        <n v="1.18"/>
        <n v="1.09"/>
        <n v="1.68"/>
        <n v="1.54"/>
        <n v="0.89"/>
        <n v="1.01"/>
        <n v="1.34"/>
        <n v="1.15"/>
        <n v="1.19"/>
        <n v="1.51"/>
        <n v="0.61"/>
        <n v="0.85"/>
        <n v="1.17"/>
        <n v="1"/>
        <n v="0.66"/>
        <n v="0.75"/>
        <n v="1.2"/>
        <n v="0.67"/>
        <n v="0.79"/>
        <n v="0.81"/>
        <n v="0.9"/>
        <n v="0.74"/>
        <n v="0.93"/>
        <n v="0.92"/>
        <n v="0.63"/>
        <n v="1.44"/>
        <n v="1.27"/>
        <n v="0.99"/>
        <n v="0.02"/>
        <m/>
      </sharedItems>
    </cacheField>
    <cacheField name="平均千次展示费用" numFmtId="0">
      <sharedItems containsString="0" containsBlank="1" containsNumber="1" minValue="0" maxValue="302" count="819">
        <n v="9.51"/>
        <n v="9.09"/>
        <n v="3.04"/>
        <n v="15.57"/>
        <n v="4.56"/>
        <n v="8.21"/>
        <n v="6.46"/>
        <n v="6.29"/>
        <n v="2.34"/>
        <n v="12.96"/>
        <n v="3.1"/>
        <n v="6.02"/>
        <n v="4.65"/>
        <n v="5.16"/>
        <n v="11.79"/>
        <n v="8.12"/>
        <n v="6.19"/>
        <n v="8.05"/>
        <n v="7.68"/>
        <n v="16.57"/>
        <n v="4.99"/>
        <n v="5.95"/>
        <n v="4.43"/>
        <n v="12.4"/>
        <n v="3.59"/>
        <n v="5.74"/>
        <n v="7.05"/>
        <n v="12.44"/>
        <n v="28.21"/>
        <n v="0"/>
        <n v="38.6"/>
        <n v="8.54"/>
        <n v="73.36"/>
        <n v="9.72"/>
        <n v="6.44"/>
        <n v="6.76"/>
        <n v="34.65"/>
        <n v="39.21"/>
        <n v="8.57"/>
        <n v="6.68"/>
        <n v="5.79"/>
        <n v="4.27"/>
        <n v="9.84"/>
        <n v="6.12"/>
        <n v="37.58"/>
        <n v="35.71"/>
        <n v="9.01"/>
        <n v="5.71"/>
        <n v="4.39"/>
        <n v="8.16"/>
        <n v="4.89"/>
        <n v="53"/>
        <n v="38.46"/>
        <n v="10.35"/>
        <n v="7.69"/>
        <n v="5.17"/>
        <n v="6.69"/>
        <n v="5.63"/>
        <n v="40.26"/>
        <n v="33.86"/>
        <n v="4.9"/>
        <n v="11.06"/>
        <n v="26.97"/>
        <n v="18.81"/>
        <n v="13.01"/>
        <n v="8.02"/>
        <n v="9.21"/>
        <n v="81.76"/>
        <n v="34.82"/>
        <n v="10.1"/>
        <n v="58.86"/>
        <n v="13.23"/>
        <n v="6"/>
        <n v="10"/>
        <n v="6.63"/>
        <n v="9.8"/>
        <n v="13.63"/>
        <n v="8.85"/>
        <n v="17.05"/>
        <n v="21.73"/>
        <n v="8.87"/>
        <n v="39.89"/>
        <n v="10.87"/>
        <n v="13.89"/>
        <n v="25.91"/>
        <n v="9.97"/>
        <n v="0.97"/>
        <n v="5.14"/>
        <n v="13.95"/>
        <n v="22.22"/>
        <n v="7.36"/>
        <n v="36.66"/>
        <n v="45.63"/>
        <n v="17.78"/>
        <n v="19.26"/>
        <n v="8.43"/>
        <n v="15.14"/>
        <n v="20.26"/>
        <n v="6.15"/>
        <n v="38.2"/>
        <n v="42.75"/>
        <n v="50.73"/>
        <n v="8.34"/>
        <n v="6.04"/>
        <n v="4.48"/>
        <n v="7.77"/>
        <n v="7.13"/>
        <n v="37.44"/>
        <n v="12.7"/>
        <n v="15.54"/>
        <n v="39.3"/>
        <n v="21.97"/>
        <n v="14"/>
        <n v="6.55"/>
        <n v="1.38"/>
        <n v="5.09"/>
        <n v="6.61"/>
        <n v="35.47"/>
        <n v="13.34"/>
        <n v="4.78"/>
        <n v="38.67"/>
        <n v="53.61"/>
        <n v="37.94"/>
        <n v="12.39"/>
        <n v="37.4"/>
        <n v="53.75"/>
        <n v="8.78"/>
        <n v="6.28"/>
        <n v="5.72"/>
        <n v="7.92"/>
        <n v="11.16"/>
        <n v="7.65"/>
        <n v="7.86"/>
        <n v="2.82"/>
        <n v="2.78"/>
        <n v="6.87"/>
        <n v="7.67"/>
        <n v="29.27"/>
        <n v="24.54"/>
        <n v="12.72"/>
        <n v="16.4"/>
        <n v="8.5"/>
        <n v="14.69"/>
        <n v="6.64"/>
        <n v="8.23"/>
        <n v="33.98"/>
        <n v="10.38"/>
        <n v="7.64"/>
        <n v="10.02"/>
        <n v="5.64"/>
        <n v="2.94"/>
        <n v="6.85"/>
        <n v="4.54"/>
        <n v="10.98"/>
        <n v="8.77"/>
        <n v="8.32"/>
        <n v="5.84"/>
        <n v="2.99"/>
        <n v="2.55"/>
        <n v="8.44"/>
        <n v="24.52"/>
        <n v="10.33"/>
        <n v="7.02"/>
        <n v="8.51"/>
        <n v="4.33"/>
        <n v="3.62"/>
        <n v="5.59"/>
        <n v="31.58"/>
        <n v="9.14"/>
        <n v="8.36"/>
        <n v="11.24"/>
        <n v="4.85"/>
        <n v="11.35"/>
        <n v="14.48"/>
        <n v="4.44"/>
        <n v="8.47"/>
        <n v="7.63"/>
        <n v="15.76"/>
        <n v="38.53"/>
        <n v="7.43"/>
        <n v="15.07"/>
        <n v="10.86"/>
        <n v="7.33"/>
        <n v="9.07"/>
        <n v="11.07"/>
        <n v="12.55"/>
        <n v="11.71"/>
        <n v="44.72"/>
        <n v="8.15"/>
        <n v="9.32"/>
        <n v="12.24"/>
        <n v="13.64"/>
        <n v="9.27"/>
        <n v="14.41"/>
        <n v="7.94"/>
        <n v="12.93"/>
        <n v="11.97"/>
        <n v="68.04"/>
        <n v="11.63"/>
        <n v="12.57"/>
        <n v="4.19"/>
        <n v="8"/>
        <n v="9.69"/>
        <n v="10.64"/>
        <n v="3.68"/>
        <n v="27.6"/>
        <n v="36"/>
        <n v="31.43"/>
        <n v="5.83"/>
        <n v="23.82"/>
        <n v="45.06"/>
        <n v="22.78"/>
        <n v="12.86"/>
        <n v="72.13"/>
        <n v="9.75"/>
        <n v="11.43"/>
        <n v="9.19"/>
        <n v="14.04"/>
        <n v="38.69"/>
        <n v="19.21"/>
        <n v="4.72"/>
        <n v="37.61"/>
        <n v="46.01"/>
        <n v="23.76"/>
        <n v="22.01"/>
        <n v="8.39"/>
        <n v="8.75"/>
        <n v="5.65"/>
        <n v="84.98"/>
        <n v="12.48"/>
        <n v="11.86"/>
        <n v="12.26"/>
        <n v="35.18"/>
        <n v="29.05"/>
        <n v="37.49"/>
        <n v="90.88"/>
        <n v="24.13"/>
        <n v="14.19"/>
        <n v="5.76"/>
        <n v="12.51"/>
        <n v="15.37"/>
        <n v="9.17"/>
        <n v="13.46"/>
        <n v="5.85"/>
        <n v="7.39"/>
        <n v="68.32"/>
        <n v="13.83"/>
        <n v="13.78"/>
        <n v="11.26"/>
        <n v="44.44"/>
        <n v="32.46"/>
        <n v="48.73"/>
        <n v="85.29"/>
        <n v="22.86"/>
        <n v="8.79"/>
        <n v="19.69"/>
        <n v="7.21"/>
        <n v="3.9"/>
        <n v="35.11"/>
        <n v="8.88"/>
        <n v="45.87"/>
        <n v="15.39"/>
        <n v="46.3"/>
        <n v="67.01"/>
        <n v="25.22"/>
        <n v="9.23"/>
        <n v="12.52"/>
        <n v="6.56"/>
        <n v="60.88"/>
        <n v="8.62"/>
        <n v="9.96"/>
        <n v="9.71"/>
        <n v="47.75"/>
        <n v="32.64"/>
        <n v="37.97"/>
        <n v="57.72"/>
        <n v="12.67"/>
        <n v="15.41"/>
        <n v="3.07"/>
        <n v="43.86"/>
        <n v="13.25"/>
        <n v="11.66"/>
        <n v="30.81"/>
        <n v="18.25"/>
        <n v="14.1"/>
        <n v="11.55"/>
        <n v="5.13"/>
        <n v="65.13"/>
        <n v="41.55"/>
        <n v="3.88"/>
        <n v="16.5"/>
        <n v="19.93"/>
        <n v="21.84"/>
        <n v="20.93"/>
        <n v="2.6"/>
        <n v="10.53"/>
        <n v="4.69"/>
        <n v="18.15"/>
        <n v="4.41"/>
        <n v="12.94"/>
        <n v="11.11"/>
        <n v="5.45"/>
        <n v="11.4"/>
        <n v="9.83"/>
        <n v="4.52"/>
        <n v="5.23"/>
        <n v="13.08"/>
        <n v="6.96"/>
        <n v="5.73"/>
        <n v="22.43"/>
        <n v="9.55"/>
        <n v="6.77"/>
        <n v="28.79"/>
        <n v="19.49"/>
        <n v="22.17"/>
        <n v="15.47"/>
        <n v="10.56"/>
        <n v="32.31"/>
        <n v="13.27"/>
        <n v="26.56"/>
        <n v="9.43"/>
        <n v="35.45"/>
        <n v="34.5"/>
        <n v="17.59"/>
        <n v="24.76"/>
        <n v="31.14"/>
        <n v="15.13"/>
        <n v="8.96"/>
        <n v="89.08"/>
        <n v="38.88"/>
        <n v="64.92"/>
        <n v="8.4"/>
        <n v="9.45"/>
        <n v="4.67"/>
        <n v="9.81"/>
        <n v="4.79"/>
        <n v="9.25"/>
        <n v="15.75"/>
        <n v="5.11"/>
        <n v="8.33"/>
        <n v="13.67"/>
        <n v="6.45"/>
        <n v="8.64"/>
        <n v="13.76"/>
        <n v="6.52"/>
        <n v="9.41"/>
        <n v="4.76"/>
        <n v="14.03"/>
        <n v="9.38"/>
        <n v="11.01"/>
        <n v="13.62"/>
        <n v="10.58"/>
        <n v="5.94"/>
        <n v="15.84"/>
        <n v="5.3"/>
        <n v="28.26"/>
        <n v="6.26"/>
        <n v="9.58"/>
        <n v="9.54"/>
        <n v="14.95"/>
        <n v="10.55"/>
        <n v="14.17"/>
        <n v="16.78"/>
        <n v="12.92"/>
        <n v="24.24"/>
        <n v="16.02"/>
        <n v="10.16"/>
        <n v="5.33"/>
        <n v="5.38"/>
        <n v="13.86"/>
        <n v="9.48"/>
        <n v="10.8"/>
        <n v="7.55"/>
        <n v="14.72"/>
        <n v="6.82"/>
        <n v="15.24"/>
        <n v="6.3"/>
        <n v="15.5"/>
        <n v="5"/>
        <n v="12.16"/>
        <n v="5.22"/>
        <n v="13.42"/>
        <n v="10.69"/>
        <n v="6.03"/>
        <n v="12.89"/>
        <n v="6.48"/>
        <n v="13.61"/>
        <n v="7.47"/>
        <n v="14.06"/>
        <n v="6.39"/>
        <n v="18.29"/>
        <n v="43.45"/>
        <n v="62.29"/>
        <n v="28.47"/>
        <n v="5.08"/>
        <n v="16.26"/>
        <n v="9.2"/>
        <n v="97.57"/>
        <n v="93.37"/>
        <n v="10.94"/>
        <n v="11.33"/>
        <n v="35.91"/>
        <n v="14.75"/>
        <n v="6.94"/>
        <n v="12.1"/>
        <n v="8.45"/>
        <n v="6.92"/>
        <n v="34.76"/>
        <n v="9.29"/>
        <n v="7.12"/>
        <n v="40.52"/>
        <n v="12.83"/>
        <n v="13.06"/>
        <n v="20.29"/>
        <n v="43.47"/>
        <n v="23.08"/>
        <n v="18.8"/>
        <n v="15.68"/>
        <n v="73.67"/>
        <n v="12.8"/>
        <n v="56.81"/>
        <n v="3.7"/>
        <n v="22.7"/>
        <n v="29.34"/>
        <n v="22.79"/>
        <n v="17.93"/>
        <n v="25.51"/>
        <n v="59"/>
        <n v="4.6"/>
        <n v="22.47"/>
        <n v="6.79"/>
        <n v="13.12"/>
        <n v="8.61"/>
        <n v="39.23"/>
        <n v="6.4"/>
        <n v="26.3"/>
        <n v="23.7"/>
        <n v="13.18"/>
        <n v="12.19"/>
        <n v="302"/>
        <n v="8.19"/>
        <n v="21.59"/>
        <n v="11.54"/>
        <n v="15.69"/>
        <n v="1.27"/>
        <n v="12.71"/>
        <n v="6.07"/>
        <n v="19.46"/>
        <n v="15.01"/>
        <n v="11.12"/>
        <n v="12.37"/>
        <n v="26.13"/>
        <n v="13.53"/>
        <n v="10.59"/>
        <n v="13.43"/>
        <n v="25.01"/>
        <n v="8.73"/>
        <n v="11"/>
        <n v="20.01"/>
        <n v="6.36"/>
        <n v="6.58"/>
        <n v="25.41"/>
        <n v="15.25"/>
        <n v="13.02"/>
        <n v="12.78"/>
        <n v="37.22"/>
        <n v="12.25"/>
        <n v="14.13"/>
        <n v="12.13"/>
        <n v="15.77"/>
        <n v="13.44"/>
        <n v="17.18"/>
        <n v="7.93"/>
        <n v="24.8"/>
        <n v="12.56"/>
        <n v="16.3"/>
        <n v="29.65"/>
        <n v="16.84"/>
        <n v="8.06"/>
        <n v="19.39"/>
        <n v="16.86"/>
        <n v="15.09"/>
        <n v="12.64"/>
        <n v="6.65"/>
        <n v="15.03"/>
        <n v="11.88"/>
        <n v="13.92"/>
        <n v="24.38"/>
        <n v="6.81"/>
        <n v="14.94"/>
        <n v="19.71"/>
        <n v="13.98"/>
        <n v="15.23"/>
        <n v="16.03"/>
        <n v="30.63"/>
        <n v="10.36"/>
        <n v="11.92"/>
        <n v="22.64"/>
        <n v="31.01"/>
        <n v="38.29"/>
        <n v="47.62"/>
        <n v="24.03"/>
        <n v="28.35"/>
        <n v="49.56"/>
        <n v="12.41"/>
        <n v="21.19"/>
        <n v="29.72"/>
        <n v="8.56"/>
        <n v="11.76"/>
        <n v="3.09"/>
        <n v="48.96"/>
        <n v="12.33"/>
        <n v="32.04"/>
        <n v="14.61"/>
        <n v="12.32"/>
        <n v="13.88"/>
        <n v="38.52"/>
        <n v="16.44"/>
        <n v="14.43"/>
        <n v="14.91"/>
        <n v="8.86"/>
        <n v="34.58"/>
        <n v="16.45"/>
        <n v="20.2"/>
        <n v="23.03"/>
        <n v="72.2"/>
        <n v="15.16"/>
        <n v="15"/>
        <n v="24.66"/>
        <n v="17.24"/>
        <n v="18.68"/>
        <n v="16.56"/>
        <n v="18.53"/>
        <n v="16.35"/>
        <n v="15.49"/>
        <n v="16.47"/>
        <n v="16.54"/>
        <n v="16.13"/>
        <n v="15.06"/>
        <n v="15.27"/>
        <n v="14.27"/>
        <n v="40.85"/>
        <n v="52.36"/>
        <n v="15.63"/>
        <n v="15.71"/>
        <n v="13.09"/>
        <n v="11.34"/>
        <n v="16.67"/>
        <n v="10.04"/>
        <n v="9.16"/>
        <n v="10.65"/>
        <n v="2.32"/>
        <n v="7.27"/>
        <n v="12.68"/>
        <n v="10.2"/>
        <n v="9.49"/>
        <n v="21.69"/>
        <n v="6.99"/>
        <n v="12.29"/>
        <n v="8.72"/>
        <n v="20.04"/>
        <n v="14.23"/>
        <n v="11.14"/>
        <n v="16.25"/>
        <n v="24"/>
        <n v="17.65"/>
        <n v="22.12"/>
        <n v="16.89"/>
        <n v="35.82"/>
        <n v="12.66"/>
        <n v="7.73"/>
        <n v="33.3"/>
        <n v="22.99"/>
        <n v="19.54"/>
        <n v="43.2"/>
        <n v="19.05"/>
        <n v="5.1"/>
        <n v="22.26"/>
        <n v="12.6"/>
        <n v="17.84"/>
        <n v="21.03"/>
        <n v="34.89"/>
        <n v="8.53"/>
        <n v="11.05"/>
        <n v="28.72"/>
        <n v="17.62"/>
        <n v="12.45"/>
        <n v="14.82"/>
        <n v="13.93"/>
        <n v="13.52"/>
        <n v="11.91"/>
        <n v="49.26"/>
        <n v="44.4"/>
        <n v="3.85"/>
        <n v="34.94"/>
        <n v="7.26"/>
        <n v="17.2"/>
        <n v="31.63"/>
        <n v="69.55"/>
        <n v="9.99"/>
        <n v="19.06"/>
        <n v="4.17"/>
        <n v="16.83"/>
        <n v="8.22"/>
        <n v="21.26"/>
        <n v="16.74"/>
        <n v="44.96"/>
        <n v="9.39"/>
        <n v="11.09"/>
        <n v="22.75"/>
        <n v="9.92"/>
        <n v="26.18"/>
        <n v="10.28"/>
        <n v="45.93"/>
        <n v="82.05"/>
        <n v="13.13"/>
        <n v="2.7"/>
        <n v="7.97"/>
        <n v="57.24"/>
        <n v="18.08"/>
        <n v="44.86"/>
        <n v="108.53"/>
        <n v="10.85"/>
        <n v="11.48"/>
        <n v="24.86"/>
        <n v="44.01"/>
        <n v="110.37"/>
        <n v="20.51"/>
        <n v="20"/>
        <n v="12.18"/>
        <n v="60.34"/>
        <n v="36.58"/>
        <n v="23.49"/>
        <n v="18.44"/>
        <n v="23.96"/>
        <n v="15.52"/>
        <n v="14.39"/>
        <n v="44.47"/>
        <n v="19.1"/>
        <n v="70.83"/>
        <n v="18.97"/>
        <n v="23.63"/>
        <n v="25.9"/>
        <n v="23.53"/>
        <n v="17.08"/>
        <n v="36.97"/>
        <n v="54.29"/>
        <n v="27.42"/>
        <n v="16.46"/>
        <n v="10.32"/>
        <n v="6.2"/>
        <n v="17.98"/>
        <n v="13.71"/>
        <n v="14.81"/>
        <n v="51.53"/>
        <n v="25.84"/>
        <n v="17.69"/>
        <n v="60.84"/>
        <n v="18.61"/>
        <n v="16.93"/>
        <n v="35.12"/>
        <n v="24.74"/>
        <n v="10.76"/>
        <n v="26.09"/>
        <n v="18.88"/>
        <n v="15.55"/>
        <n v="9.52"/>
        <n v="14.26"/>
        <n v="47.94"/>
        <n v="69.46"/>
        <n v="16.52"/>
        <n v="22.45"/>
        <n v="13.57"/>
        <n v="26.25"/>
        <n v="18.77"/>
        <n v="14.67"/>
        <n v="26.29"/>
        <n v="13.17"/>
        <n v="13.65"/>
        <n v="16.71"/>
        <n v="65"/>
        <n v="41.67"/>
        <n v="13.55"/>
        <n v="66.12"/>
        <n v="19.81"/>
        <n v="20.73"/>
        <n v="40.18"/>
        <n v="16.51"/>
        <n v="4.12"/>
        <n v="8.9"/>
        <n v="48.57"/>
        <n v="38.1"/>
        <n v="69.57"/>
        <n v="22.83"/>
        <n v="5.75"/>
        <n v="17.1"/>
        <n v="17.17"/>
        <n v="8.7"/>
        <n v="13.26"/>
        <n v="24.72"/>
        <n v="59.53"/>
        <n v="41"/>
        <n v="16.33"/>
        <n v="31.48"/>
        <n v="13.97"/>
        <n v="8.63"/>
        <n v="14.08"/>
        <n v="10.97"/>
        <n v="13.3"/>
        <n v="53.03"/>
        <n v="37.21"/>
        <n v="21.06"/>
        <n v="10.73"/>
        <n v="10.06"/>
        <n v="16.65"/>
        <n v="8.48"/>
        <n v="14.89"/>
        <n v="19.09"/>
        <n v="35.56"/>
        <n v="55.01"/>
        <n v="15.74"/>
        <n v="22.03"/>
        <n v="17.64"/>
        <n v="24.37"/>
        <n v="26.12"/>
        <n v="91.41"/>
        <n v="19.16"/>
        <n v="21.94"/>
        <n v="59.71"/>
        <n v="54.09"/>
        <n v="72.74"/>
        <n v="81.96"/>
        <n v="53.55"/>
        <n v="11.93"/>
        <n v="22.6"/>
        <n v="25.28"/>
        <n v="22.1"/>
        <n v="8.08"/>
        <n v="117.93"/>
        <n v="27.29"/>
        <n v="60.92"/>
        <n v="113.6"/>
        <n v="102.55"/>
        <n v="13.94"/>
        <n v="24.6"/>
        <n v="30.84"/>
        <n v="26.43"/>
        <n v="17.25"/>
        <n v="61.7"/>
        <n v="34.75"/>
        <n v="30.98"/>
        <n v="13.8"/>
        <n v="94.63"/>
        <n v="73.08"/>
        <n v="77.78"/>
        <n v="24.05"/>
        <n v="4.83"/>
        <n v="9.68"/>
        <n v="71.1"/>
        <n v="7.71"/>
        <n v="2.18"/>
        <n v="9.64"/>
        <n v="16.96"/>
        <n v="9.73"/>
        <n v="12.75"/>
        <n v="8.98"/>
        <n v="12.63"/>
        <n v="8.74"/>
        <n v="9.67"/>
        <n v="7.32"/>
        <n v="5.8"/>
        <n v="7.88"/>
        <n v="16.22"/>
        <n v="12.06"/>
        <n v="10.93"/>
        <n v="12.69"/>
        <n v="18.01"/>
        <n v="17.7"/>
        <n v="22"/>
        <n v="10.01"/>
        <n v="9.61"/>
        <n v="14.31"/>
        <n v="20.63"/>
        <n v="12.85"/>
        <n v="7.51"/>
        <n v="9.15"/>
        <n v="13.56"/>
        <n v="28.86"/>
        <n v="29.58"/>
        <n v="10.45"/>
        <n v="18.21"/>
        <n v="15.11"/>
        <n v="7.16"/>
        <n v="8.76"/>
        <n v="50.06"/>
        <n v="30.57"/>
        <n v="2.89"/>
        <n v="16.38"/>
        <n v="18.38"/>
        <n v="13.79"/>
        <n v="7.53"/>
        <n v="55.91"/>
        <n v="27.45"/>
        <n v="23.64"/>
        <n v="19.83"/>
        <n v="11.73"/>
        <n v="61.22"/>
        <n v="18.5"/>
        <n v="17.27"/>
        <n v="10.42"/>
        <n v="7.17"/>
        <n v="14.76"/>
        <n v="49.37"/>
        <n v="19.44"/>
        <n v="3.45"/>
        <n v="17.96"/>
        <n v="67.71"/>
        <n v="125"/>
        <m/>
      </sharedItems>
    </cacheField>
    <cacheField name="点赞" numFmtId="0">
      <sharedItems containsString="0" containsBlank="1" containsNumber="1" containsInteger="1" minValue="-1" maxValue="8283" count="253">
        <n v="137"/>
        <n v="20"/>
        <n v="11"/>
        <n v="36"/>
        <n v="32"/>
        <n v="85"/>
        <n v="164"/>
        <n v="12"/>
        <n v="2"/>
        <n v="29"/>
        <n v="19"/>
        <n v="70"/>
        <n v="105"/>
        <n v="8"/>
        <n v="14"/>
        <n v="0"/>
        <n v="47"/>
        <n v="16"/>
        <n v="1"/>
        <n v="46"/>
        <n v="50"/>
        <n v="7"/>
        <n v="6"/>
        <n v="4"/>
        <n v="83"/>
        <n v="98"/>
        <n v="3"/>
        <n v="74"/>
        <n v="62"/>
        <n v="90"/>
        <n v="41"/>
        <n v="35"/>
        <n v="110"/>
        <n v="71"/>
        <n v="54"/>
        <n v="37"/>
        <n v="28"/>
        <n v="88"/>
        <n v="66"/>
        <n v="89"/>
        <n v="49"/>
        <n v="5"/>
        <n v="99"/>
        <n v="22"/>
        <n v="152"/>
        <n v="407"/>
        <n v="15"/>
        <n v="496"/>
        <n v="30"/>
        <n v="72"/>
        <n v="44"/>
        <n v="163"/>
        <n v="563"/>
        <n v="186"/>
        <n v="21"/>
        <n v="65"/>
        <n v="17"/>
        <n v="256"/>
        <n v="128"/>
        <n v="307"/>
        <n v="76"/>
        <n v="334"/>
        <n v="42"/>
        <n v="13"/>
        <n v="18"/>
        <n v="25"/>
        <n v="34"/>
        <n v="741"/>
        <n v="1235"/>
        <n v="347"/>
        <n v="59"/>
        <n v="23"/>
        <n v="1071"/>
        <n v="825"/>
        <n v="104"/>
        <n v="520"/>
        <n v="51"/>
        <n v="122"/>
        <n v="368"/>
        <n v="113"/>
        <n v="26"/>
        <n v="109"/>
        <n v="226"/>
        <n v="82"/>
        <n v="150"/>
        <n v="449"/>
        <n v="55"/>
        <n v="75"/>
        <n v="97"/>
        <n v="182"/>
        <n v="292"/>
        <n v="413"/>
        <n v="45"/>
        <n v="168"/>
        <n v="63"/>
        <n v="58"/>
        <n v="68"/>
        <n v="173"/>
        <n v="176"/>
        <n v="92"/>
        <n v="61"/>
        <n v="175"/>
        <n v="60"/>
        <n v="118"/>
        <n v="159"/>
        <n v="158"/>
        <n v="52"/>
        <n v="57"/>
        <n v="141"/>
        <n v="106"/>
        <n v="302"/>
        <n v="87"/>
        <n v="39"/>
        <n v="133"/>
        <n v="81"/>
        <n v="185"/>
        <n v="215"/>
        <n v="180"/>
        <n v="67"/>
        <n v="79"/>
        <n v="114"/>
        <n v="95"/>
        <n v="228"/>
        <n v="238"/>
        <n v="252"/>
        <n v="9"/>
        <n v="38"/>
        <n v="84"/>
        <n v="80"/>
        <n v="275"/>
        <n v="289"/>
        <n v="187"/>
        <n v="107"/>
        <n v="165"/>
        <n v="360"/>
        <n v="371"/>
        <n v="303"/>
        <n v="408"/>
        <n v="507"/>
        <n v="56"/>
        <n v="221"/>
        <n v="518"/>
        <n v="234"/>
        <n v="121"/>
        <n v="202"/>
        <n v="151"/>
        <n v="112"/>
        <n v="40"/>
        <n v="27"/>
        <n v="78"/>
        <n v="73"/>
        <n v="273"/>
        <n v="86"/>
        <n v="284"/>
        <n v="397"/>
        <n v="492"/>
        <n v="267"/>
        <n v="243"/>
        <n v="116"/>
        <n v="77"/>
        <n v="160"/>
        <n v="24"/>
        <n v="102"/>
        <n v="244"/>
        <n v="108"/>
        <n v="131"/>
        <n v="130"/>
        <n v="193"/>
        <n v="195"/>
        <n v="123"/>
        <n v="143"/>
        <n v="93"/>
        <n v="48"/>
        <n v="338"/>
        <n v="153"/>
        <n v="166"/>
        <n v="64"/>
        <n v="10"/>
        <n v="237"/>
        <n v="161"/>
        <n v="174"/>
        <n v="196"/>
        <n v="183"/>
        <n v="69"/>
        <n v="119"/>
        <n v="31"/>
        <n v="33"/>
        <n v="101"/>
        <n v="129"/>
        <n v="147"/>
        <n v="421"/>
        <n v="879"/>
        <n v="487"/>
        <n v="223"/>
        <n v="-1"/>
        <n v="115"/>
        <n v="140"/>
        <n v="94"/>
        <n v="278"/>
        <n v="190"/>
        <n v="117"/>
        <n v="192"/>
        <n v="169"/>
        <n v="43"/>
        <n v="389"/>
        <n v="132"/>
        <n v="456"/>
        <n v="96"/>
        <n v="856"/>
        <n v="719"/>
        <n v="111"/>
        <n v="199"/>
        <n v="139"/>
        <n v="136"/>
        <n v="100"/>
        <n v="135"/>
        <n v="315"/>
        <n v="230"/>
        <n v="287"/>
        <n v="125"/>
        <n v="254"/>
        <n v="311"/>
        <n v="191"/>
        <n v="194"/>
        <n v="178"/>
        <n v="481"/>
        <n v="8283"/>
        <n v="198"/>
        <n v="179"/>
        <n v="779"/>
        <n v="1000"/>
        <n v="1285"/>
        <n v="943"/>
        <n v="227"/>
        <n v="154"/>
        <n v="126"/>
        <n v="189"/>
        <n v="148"/>
        <n v="314"/>
        <n v="343"/>
        <n v="224"/>
        <n v="53"/>
        <n v="318"/>
        <n v="384"/>
        <n v="200"/>
        <n v="146"/>
        <n v="220"/>
        <n v="188"/>
        <n v="138"/>
        <n v="249"/>
        <n v="263"/>
        <n v="240"/>
        <m/>
      </sharedItems>
    </cacheField>
    <cacheField name="评论" numFmtId="0">
      <sharedItems containsString="0" containsBlank="1" containsNumber="1" containsInteger="1" minValue="0" maxValue="152" count="28">
        <n v="2"/>
        <n v="1"/>
        <n v="0"/>
        <n v="4"/>
        <n v="8"/>
        <n v="7"/>
        <n v="6"/>
        <n v="3"/>
        <n v="10"/>
        <n v="21"/>
        <n v="5"/>
        <n v="9"/>
        <n v="16"/>
        <n v="22"/>
        <n v="70"/>
        <n v="11"/>
        <n v="31"/>
        <n v="152"/>
        <n v="53"/>
        <n v="12"/>
        <n v="28"/>
        <n v="17"/>
        <n v="20"/>
        <n v="19"/>
        <n v="145"/>
        <n v="43"/>
        <n v="13"/>
        <m/>
      </sharedItems>
    </cacheField>
    <cacheField name="收藏" numFmtId="0">
      <sharedItems containsString="0" containsBlank="1" containsNumber="1" containsInteger="1" minValue="-1" maxValue="4196" count="178">
        <n v="67"/>
        <n v="15"/>
        <n v="10"/>
        <n v="36"/>
        <n v="14"/>
        <n v="42"/>
        <n v="116"/>
        <n v="11"/>
        <n v="6"/>
        <n v="34"/>
        <n v="16"/>
        <n v="76"/>
        <n v="62"/>
        <n v="24"/>
        <n v="0"/>
        <n v="45"/>
        <n v="37"/>
        <n v="19"/>
        <n v="44"/>
        <n v="4"/>
        <n v="5"/>
        <n v="41"/>
        <n v="7"/>
        <n v="18"/>
        <n v="1"/>
        <n v="40"/>
        <n v="43"/>
        <n v="56"/>
        <n v="30"/>
        <n v="33"/>
        <n v="39"/>
        <n v="20"/>
        <n v="53"/>
        <n v="21"/>
        <n v="48"/>
        <n v="47"/>
        <n v="22"/>
        <n v="55"/>
        <n v="28"/>
        <n v="25"/>
        <n v="70"/>
        <n v="121"/>
        <n v="3"/>
        <n v="239"/>
        <n v="224"/>
        <n v="13"/>
        <n v="68"/>
        <n v="366"/>
        <n v="156"/>
        <n v="9"/>
        <n v="2"/>
        <n v="245"/>
        <n v="177"/>
        <n v="46"/>
        <n v="269"/>
        <n v="31"/>
        <n v="689"/>
        <n v="144"/>
        <n v="86"/>
        <n v="206"/>
        <n v="994"/>
        <n v="65"/>
        <n v="833"/>
        <n v="90"/>
        <n v="129"/>
        <n v="80"/>
        <n v="306"/>
        <n v="100"/>
        <n v="63"/>
        <n v="167"/>
        <n v="140"/>
        <n v="60"/>
        <n v="141"/>
        <n v="23"/>
        <n v="168"/>
        <n v="169"/>
        <n v="150"/>
        <n v="201"/>
        <n v="114"/>
        <n v="26"/>
        <n v="231"/>
        <n v="88"/>
        <n v="109"/>
        <n v="133"/>
        <n v="32"/>
        <n v="27"/>
        <n v="119"/>
        <n v="17"/>
        <n v="163"/>
        <n v="29"/>
        <n v="8"/>
        <n v="12"/>
        <n v="35"/>
        <n v="186"/>
        <n v="181"/>
        <n v="75"/>
        <n v="128"/>
        <n v="229"/>
        <n v="331"/>
        <n v="85"/>
        <n v="95"/>
        <n v="428"/>
        <n v="617"/>
        <n v="-1"/>
        <n v="148"/>
        <n v="362"/>
        <n v="166"/>
        <n v="139"/>
        <n v="89"/>
        <n v="176"/>
        <n v="319"/>
        <n v="228"/>
        <n v="204"/>
        <n v="425"/>
        <n v="209"/>
        <n v="242"/>
        <n v="101"/>
        <n v="127"/>
        <n v="202"/>
        <n v="61"/>
        <n v="102"/>
        <n v="83"/>
        <n v="78"/>
        <n v="106"/>
        <n v="104"/>
        <n v="82"/>
        <n v="69"/>
        <n v="118"/>
        <n v="113"/>
        <n v="221"/>
        <n v="123"/>
        <n v="134"/>
        <n v="57"/>
        <n v="51"/>
        <n v="77"/>
        <n v="79"/>
        <n v="54"/>
        <n v="107"/>
        <n v="73"/>
        <n v="117"/>
        <n v="74"/>
        <n v="66"/>
        <n v="58"/>
        <n v="323"/>
        <n v="81"/>
        <n v="257"/>
        <n v="631"/>
        <n v="50"/>
        <n v="1178"/>
        <n v="937"/>
        <n v="94"/>
        <n v="164"/>
        <n v="225"/>
        <n v="195"/>
        <n v="234"/>
        <n v="52"/>
        <n v="38"/>
        <n v="215"/>
        <n v="49"/>
        <n v="92"/>
        <n v="112"/>
        <n v="162"/>
        <n v="4196"/>
        <n v="433"/>
        <n v="192"/>
        <n v="267"/>
        <n v="383"/>
        <n v="460"/>
        <n v="103"/>
        <n v="71"/>
        <n v="64"/>
        <n v="120"/>
        <n v="108"/>
        <n v="125"/>
        <n v="255"/>
        <n v="99"/>
        <n v="84"/>
        <m/>
      </sharedItems>
    </cacheField>
    <cacheField name="关注" numFmtId="0">
      <sharedItems containsString="0" containsBlank="1" containsNumber="1" containsInteger="1" minValue="-1" maxValue="688" count="65">
        <n v="3"/>
        <n v="4"/>
        <n v="19"/>
        <n v="0"/>
        <n v="5"/>
        <n v="1"/>
        <n v="9"/>
        <n v="16"/>
        <n v="12"/>
        <n v="8"/>
        <n v="10"/>
        <n v="2"/>
        <n v="6"/>
        <n v="7"/>
        <n v="14"/>
        <n v="35"/>
        <n v="30"/>
        <n v="13"/>
        <n v="18"/>
        <n v="46"/>
        <n v="25"/>
        <n v="39"/>
        <n v="22"/>
        <n v="70"/>
        <n v="108"/>
        <n v="256"/>
        <n v="24"/>
        <n v="192"/>
        <n v="184"/>
        <n v="44"/>
        <n v="104"/>
        <n v="26"/>
        <n v="15"/>
        <n v="27"/>
        <n v="52"/>
        <n v="17"/>
        <n v="94"/>
        <n v="61"/>
        <n v="91"/>
        <n v="38"/>
        <n v="21"/>
        <n v="64"/>
        <n v="20"/>
        <n v="34"/>
        <n v="28"/>
        <n v="32"/>
        <n v="56"/>
        <n v="31"/>
        <n v="36"/>
        <n v="121"/>
        <n v="41"/>
        <n v="11"/>
        <n v="50"/>
        <n v="48"/>
        <n v="29"/>
        <n v="37"/>
        <n v="-1"/>
        <n v="62"/>
        <n v="58"/>
        <n v="688"/>
        <n v="93"/>
        <n v="255"/>
        <n v="23"/>
        <n v="73"/>
        <m/>
      </sharedItems>
    </cacheField>
    <cacheField name="分享" numFmtId="0">
      <sharedItems containsString="0" containsBlank="1" containsNumber="1" containsInteger="1" minValue="0" maxValue="263" count="45">
        <n v="4"/>
        <n v="2"/>
        <n v="1"/>
        <n v="0"/>
        <n v="3"/>
        <n v="9"/>
        <n v="8"/>
        <n v="7"/>
        <n v="6"/>
        <n v="17"/>
        <n v="43"/>
        <n v="26"/>
        <n v="16"/>
        <n v="10"/>
        <n v="19"/>
        <n v="24"/>
        <n v="46"/>
        <n v="47"/>
        <n v="103"/>
        <n v="87"/>
        <n v="49"/>
        <n v="23"/>
        <n v="22"/>
        <n v="5"/>
        <n v="11"/>
        <n v="21"/>
        <n v="15"/>
        <n v="12"/>
        <n v="20"/>
        <n v="14"/>
        <n v="13"/>
        <n v="48"/>
        <n v="34"/>
        <n v="18"/>
        <n v="66"/>
        <n v="28"/>
        <n v="27"/>
        <n v="45"/>
        <n v="90"/>
        <n v="263"/>
        <n v="36"/>
        <n v="25"/>
        <n v="146"/>
        <n v="30"/>
        <m/>
      </sharedItems>
    </cacheField>
    <cacheField name="互动量" numFmtId="0">
      <sharedItems containsString="0" containsBlank="1" containsNumber="1" containsInteger="1" minValue="-1" maxValue="13575" count="342">
        <n v="213"/>
        <n v="42"/>
        <n v="26"/>
        <n v="94"/>
        <n v="49"/>
        <n v="132"/>
        <n v="288"/>
        <n v="28"/>
        <n v="8"/>
        <n v="73"/>
        <n v="35"/>
        <n v="165"/>
        <n v="172"/>
        <n v="16"/>
        <n v="55"/>
        <n v="0"/>
        <n v="104"/>
        <n v="123"/>
        <n v="37"/>
        <n v="43"/>
        <n v="1"/>
        <n v="98"/>
        <n v="14"/>
        <n v="18"/>
        <n v="30"/>
        <n v="134"/>
        <n v="12"/>
        <n v="2"/>
        <n v="125"/>
        <n v="164"/>
        <n v="11"/>
        <n v="7"/>
        <n v="137"/>
        <n v="106"/>
        <n v="97"/>
        <n v="91"/>
        <n v="59"/>
        <n v="10"/>
        <n v="170"/>
        <n v="119"/>
        <n v="141"/>
        <n v="74"/>
        <n v="50"/>
        <n v="139"/>
        <n v="157"/>
        <n v="82"/>
        <n v="77"/>
        <n v="15"/>
        <n v="40"/>
        <n v="181"/>
        <n v="13"/>
        <n v="24"/>
        <n v="52"/>
        <n v="229"/>
        <n v="211"/>
        <n v="708"/>
        <n v="19"/>
        <n v="44"/>
        <n v="814"/>
        <n v="110"/>
        <n v="76"/>
        <n v="261"/>
        <n v="1017"/>
        <n v="387"/>
        <n v="60"/>
        <n v="118"/>
        <n v="57"/>
        <n v="67"/>
        <n v="9"/>
        <n v="36"/>
        <n v="3"/>
        <n v="569"/>
        <n v="345"/>
        <n v="512"/>
        <n v="160"/>
        <n v="5"/>
        <n v="673"/>
        <n v="58"/>
        <n v="17"/>
        <n v="68"/>
        <n v="1615"/>
        <n v="1834"/>
        <n v="202"/>
        <n v="4"/>
        <n v="593"/>
        <n v="34"/>
        <n v="79"/>
        <n v="39"/>
        <n v="2413"/>
        <n v="169"/>
        <n v="90"/>
        <n v="1941"/>
        <n v="185"/>
        <n v="6"/>
        <n v="1007"/>
        <n v="86"/>
        <n v="156"/>
        <n v="588"/>
        <n v="297"/>
        <n v="100"/>
        <n v="196"/>
        <n v="41"/>
        <n v="148"/>
        <n v="316"/>
        <n v="114"/>
        <n v="121"/>
        <n v="224"/>
        <n v="821"/>
        <n v="240"/>
        <n v="83"/>
        <n v="176"/>
        <n v="267"/>
        <n v="514"/>
        <n v="536"/>
        <n v="65"/>
        <n v="442"/>
        <n v="107"/>
        <n v="105"/>
        <n v="339"/>
        <n v="215"/>
        <n v="259"/>
        <n v="88"/>
        <n v="108"/>
        <n v="359"/>
        <n v="138"/>
        <n v="129"/>
        <n v="385"/>
        <n v="168"/>
        <n v="336"/>
        <n v="489"/>
        <n v="99"/>
        <n v="85"/>
        <n v="281"/>
        <n v="151"/>
        <n v="189"/>
        <n v="572"/>
        <n v="247"/>
        <n v="287"/>
        <n v="66"/>
        <n v="20"/>
        <n v="195"/>
        <n v="326"/>
        <n v="128"/>
        <n v="146"/>
        <n v="166"/>
        <n v="96"/>
        <n v="413"/>
        <n v="327"/>
        <n v="33"/>
        <n v="31"/>
        <n v="89"/>
        <n v="159"/>
        <n v="303"/>
        <n v="178"/>
        <n v="29"/>
        <n v="443"/>
        <n v="54"/>
        <n v="448"/>
        <n v="408"/>
        <n v="192"/>
        <n v="171"/>
        <n v="526"/>
        <n v="655"/>
        <n v="354"/>
        <n v="81"/>
        <n v="25"/>
        <n v="71"/>
        <n v="235"/>
        <n v="124"/>
        <n v="300"/>
        <n v="32"/>
        <n v="93"/>
        <n v="216"/>
        <n v="604"/>
        <n v="858"/>
        <n v="117"/>
        <n v="577"/>
        <n v="761"/>
        <n v="47"/>
        <n v="112"/>
        <n v="142"/>
        <n v="1201"/>
        <n v="102"/>
        <n v="394"/>
        <n v="952"/>
        <n v="425"/>
        <n v="180"/>
        <n v="358"/>
        <n v="161"/>
        <n v="269"/>
        <n v="217"/>
        <n v="48"/>
        <n v="120"/>
        <n v="145"/>
        <n v="456"/>
        <n v="84"/>
        <n v="769"/>
        <n v="122"/>
        <n v="546"/>
        <n v="533"/>
        <n v="95"/>
        <n v="135"/>
        <n v="771"/>
        <n v="109"/>
        <n v="972"/>
        <n v="527"/>
        <n v="242"/>
        <n v="311"/>
        <n v="38"/>
        <n v="183"/>
        <n v="488"/>
        <n v="197"/>
        <n v="177"/>
        <n v="225"/>
        <n v="190"/>
        <n v="279"/>
        <n v="390"/>
        <n v="239"/>
        <n v="222"/>
        <n v="347"/>
        <n v="230"/>
        <n v="234"/>
        <n v="294"/>
        <n v="274"/>
        <n v="228"/>
        <n v="329"/>
        <n v="174"/>
        <n v="75"/>
        <n v="658"/>
        <n v="307"/>
        <n v="173"/>
        <n v="116"/>
        <n v="70"/>
        <n v="251"/>
        <n v="113"/>
        <n v="250"/>
        <n v="298"/>
        <n v="252"/>
        <n v="64"/>
        <n v="127"/>
        <n v="115"/>
        <n v="56"/>
        <n v="163"/>
        <n v="45"/>
        <n v="62"/>
        <n v="101"/>
        <n v="299"/>
        <n v="111"/>
        <n v="103"/>
        <n v="51"/>
        <n v="130"/>
        <n v="143"/>
        <n v="133"/>
        <n v="179"/>
        <n v="517"/>
        <n v="1076"/>
        <n v="589"/>
        <n v="149"/>
        <n v="268"/>
        <n v="-1"/>
        <n v="153"/>
        <n v="53"/>
        <n v="301"/>
        <n v="220"/>
        <n v="409"/>
        <n v="92"/>
        <n v="147"/>
        <n v="188"/>
        <n v="126"/>
        <n v="280"/>
        <n v="254"/>
        <n v="199"/>
        <n v="757"/>
        <n v="1151"/>
        <n v="167"/>
        <n v="22"/>
        <n v="131"/>
        <n v="2142"/>
        <n v="1758"/>
        <n v="175"/>
        <n v="260"/>
        <n v="72"/>
        <n v="63"/>
        <n v="227"/>
        <n v="23"/>
        <n v="21"/>
        <n v="209"/>
        <n v="353"/>
        <n v="321"/>
        <n v="576"/>
        <n v="451"/>
        <n v="382"/>
        <n v="624"/>
        <n v="182"/>
        <n v="310"/>
        <n v="27"/>
        <n v="372"/>
        <n v="289"/>
        <n v="253"/>
        <n v="431"/>
        <n v="162"/>
        <n v="352"/>
        <n v="136"/>
        <n v="69"/>
        <n v="154"/>
        <n v="361"/>
        <n v="237"/>
        <n v="13575"/>
        <n v="974"/>
        <n v="420"/>
        <n v="308"/>
        <n v="1149"/>
        <n v="1507"/>
        <n v="2696"/>
        <n v="1498"/>
        <n v="305"/>
        <n v="272"/>
        <n v="334"/>
        <n v="204"/>
        <n v="207"/>
        <n v="368"/>
        <n v="231"/>
        <n v="370"/>
        <n v="203"/>
        <n v="367"/>
        <n v="469"/>
        <n v="459"/>
        <n v="61"/>
        <n v="78"/>
        <n v="200"/>
        <n v="458"/>
        <n v="679"/>
        <n v="332"/>
        <n v="208"/>
        <n v="312"/>
        <n v="257"/>
        <n v="337"/>
        <n v="187"/>
        <n v="374"/>
        <n v="286"/>
        <n v="333"/>
        <m/>
      </sharedItems>
    </cacheField>
    <cacheField name="平均互动成本" numFmtId="0">
      <sharedItems containsString="0" containsBlank="1" containsNumber="1" minValue="0" maxValue="362.25" count="649">
        <n v="2.52"/>
        <n v="2.87"/>
        <n v="2.39"/>
        <n v="1.99"/>
        <n v="3.56"/>
        <n v="2.18"/>
        <n v="1.57"/>
        <n v="2.63"/>
        <n v="3.63"/>
        <n v="2.54"/>
        <n v="2.02"/>
        <n v="1.82"/>
        <n v="1.32"/>
        <n v="2.94"/>
        <n v="1.69"/>
        <n v="0"/>
        <n v="1.67"/>
        <n v="2.25"/>
        <n v="2.26"/>
        <n v="1.58"/>
        <n v="2.34"/>
        <n v="1.15"/>
        <n v="2.28"/>
        <n v="0.94"/>
        <n v="1.21"/>
        <n v="2.13"/>
        <n v="5.42"/>
        <n v="8.03"/>
        <n v="3.86"/>
        <n v="30.37"/>
        <n v="1.5"/>
        <n v="1.79"/>
        <n v="5.17"/>
        <n v="15.37"/>
        <n v="2.9"/>
        <n v="1.37"/>
        <n v="4.43"/>
        <n v="2.91"/>
        <n v="2.07"/>
        <n v="8.65"/>
        <n v="10.63"/>
        <n v="1.09"/>
        <n v="4.45"/>
        <n v="2.32"/>
        <n v="1.95"/>
        <n v="5.47"/>
        <n v="10.05"/>
        <n v="11.47"/>
        <n v="4.69"/>
        <n v="1.76"/>
        <n v="5.3"/>
        <n v="9.05"/>
        <n v="5.45"/>
        <n v="3.21"/>
        <n v="2.73"/>
        <n v="11.28"/>
        <n v="5.31"/>
        <n v="1.27"/>
        <n v="10.47"/>
        <n v="13.77"/>
        <n v="8.87"/>
        <n v="2.7"/>
        <n v="2.59"/>
        <n v="8.92"/>
        <n v="1.53"/>
        <n v="11.13"/>
        <n v="1.54"/>
        <n v="2.12"/>
        <n v="3.07"/>
        <n v="2.01"/>
        <n v="6.06"/>
        <n v="2.6"/>
        <n v="13.36"/>
        <n v="2.92"/>
        <n v="19.82"/>
        <n v="1.97"/>
        <n v="3.65"/>
        <n v="0.2"/>
        <n v="5.69"/>
        <n v="9.76"/>
        <n v="15.33"/>
        <n v="6.35"/>
        <n v="1.52"/>
        <n v="2.44"/>
        <n v="2.27"/>
        <n v="4.39"/>
        <n v="3.91"/>
        <n v="10.95"/>
        <n v="40.89"/>
        <n v="31.22"/>
        <n v="3.33"/>
        <n v="8.78"/>
        <n v="9.63"/>
        <n v="7.67"/>
        <n v="14.86"/>
        <n v="2.48"/>
        <n v="5.5"/>
        <n v="2.2"/>
        <n v="10.06"/>
        <n v="75.53"/>
        <n v="3.22"/>
        <n v="6.69"/>
        <n v="5.23"/>
        <n v="13.74"/>
        <n v="3.34"/>
        <n v="3.24"/>
        <n v="11.93"/>
        <n v="43.44"/>
        <n v="11.24"/>
        <n v="4.18"/>
        <n v="10.96"/>
        <n v="50.4"/>
        <n v="3.99"/>
        <n v="5.4"/>
        <n v="6.16"/>
        <n v="3.35"/>
        <n v="3.08"/>
        <n v="1.81"/>
        <n v="11.39"/>
        <n v="5.11"/>
        <n v="8.34"/>
        <n v="12.59"/>
        <n v="6.82"/>
        <n v="43.33"/>
        <n v="1.04"/>
        <n v="1.9"/>
        <n v="9.99"/>
        <n v="4.12"/>
        <n v="6.53"/>
        <n v="2.41"/>
        <n v="5.39"/>
        <n v="8.41"/>
        <n v="1.94"/>
        <n v="5.62"/>
        <n v="5.7"/>
        <n v="6.83"/>
        <n v="1.7"/>
        <n v="11.4"/>
        <n v="1.59"/>
        <n v="7.14"/>
        <n v="4.64"/>
        <n v="8.2"/>
        <n v="2.14"/>
        <n v="2.06"/>
        <n v="1.51"/>
        <n v="5.71"/>
        <n v="6.58"/>
        <n v="2.56"/>
        <n v="6.52"/>
        <n v="1.87"/>
        <n v="5.26"/>
        <n v="7.39"/>
        <n v="2.45"/>
        <n v="1.77"/>
        <n v="5.68"/>
        <n v="2.86"/>
        <n v="2.03"/>
        <n v="6.92"/>
        <n v="3.18"/>
        <n v="6.77"/>
        <n v="5.32"/>
        <n v="76.38"/>
        <n v="7.64"/>
        <n v="2.64"/>
        <n v="8.06"/>
        <n v="3.52"/>
        <n v="7.71"/>
        <n v="4.27"/>
        <n v="9.88"/>
        <n v="12.55"/>
        <n v="6.11"/>
        <n v="98.97"/>
        <n v="9.71"/>
        <n v="4.16"/>
        <n v="2.98"/>
        <n v="8.05"/>
        <n v="3.93"/>
        <n v="31.78"/>
        <n v="6.96"/>
        <n v="17.75"/>
        <n v="1.48"/>
        <n v="13.59"/>
        <n v="15.77"/>
        <n v="3.09"/>
        <n v="77.66"/>
        <n v="8.79"/>
        <n v="3.82"/>
        <n v="2.57"/>
        <n v="5.06"/>
        <n v="31.16"/>
        <n v="14.79"/>
        <n v="0.17"/>
        <n v="18.26"/>
        <n v="17.37"/>
        <n v="2.89"/>
        <n v="2.83"/>
        <n v="17.56"/>
        <n v="1.14"/>
        <n v="53.75"/>
        <n v="8.93"/>
        <n v="8.33"/>
        <n v="3.61"/>
        <n v="34.93"/>
        <n v="19.7"/>
        <n v="14.93"/>
        <n v="27.33"/>
        <n v="2.66"/>
        <n v="2.99"/>
        <n v="2.08"/>
        <n v="2.78"/>
        <n v="1.26"/>
        <n v="0.9"/>
        <n v="0.77"/>
        <n v="1.42"/>
        <n v="6.24"/>
        <n v="103.83"/>
        <n v="2.33"/>
        <n v="7"/>
        <n v="35.01"/>
        <n v="14.88"/>
        <n v="23.12"/>
        <n v="28.67"/>
        <n v="2.17"/>
        <n v="1.19"/>
        <n v="2.5"/>
        <n v="0.55"/>
        <n v="0.78"/>
        <n v="64.33"/>
        <n v="4.05"/>
        <n v="3.36"/>
        <n v="38.77"/>
        <n v="11.26"/>
        <n v="24.69"/>
        <n v="22.02"/>
        <n v="2.37"/>
        <n v="1.68"/>
        <n v="0.59"/>
        <n v="4.85"/>
        <n v="46.83"/>
        <n v="6.48"/>
        <n v="2.72"/>
        <n v="3.17"/>
        <n v="55.1"/>
        <n v="11.73"/>
        <n v="19.37"/>
        <n v="18.12"/>
        <n v="2.77"/>
        <n v="0.66"/>
        <n v="4.94"/>
        <n v="2.95"/>
        <n v="1.6"/>
        <n v="0.48"/>
        <n v="1.78"/>
        <n v="104.15"/>
        <n v="10.97"/>
        <n v="4.92"/>
        <n v="8.4"/>
        <n v="10.57"/>
        <n v="6.43"/>
        <n v="1.83"/>
        <n v="4.28"/>
        <n v="1.24"/>
        <n v="6.01"/>
        <n v="1.16"/>
        <n v="6.95"/>
        <n v="1.65"/>
        <n v="13.28"/>
        <n v="1.86"/>
        <n v="0.96"/>
        <n v="1.88"/>
        <n v="2.31"/>
        <n v="15.9"/>
        <n v="12.61"/>
        <n v="18.05"/>
        <n v="12.69"/>
        <n v="54.01"/>
        <n v="14.42"/>
        <n v="20.96"/>
        <n v="66.39"/>
        <n v="3.69"/>
        <n v="104.85"/>
        <n v="23.84"/>
        <n v="52.79"/>
        <n v="1.12"/>
        <n v="3.96"/>
        <n v="3.92"/>
        <n v="3.38"/>
        <n v="1.8"/>
        <n v="4.11"/>
        <n v="5.25"/>
        <n v="1.84"/>
        <n v="5.02"/>
        <n v="4.55"/>
        <n v="3.25"/>
        <n v="2.85"/>
        <n v="1.18"/>
        <n v="7.17"/>
        <n v="7.56"/>
        <n v="1.92"/>
        <n v="9.17"/>
        <n v="22.23"/>
        <n v="5.49"/>
        <n v="1.62"/>
        <n v="5.51"/>
        <n v="7.91"/>
        <n v="16.8"/>
        <n v="1.61"/>
        <n v="13.88"/>
        <n v="6.18"/>
        <n v="10.37"/>
        <n v="10.45"/>
        <n v="16.78"/>
        <n v="2.65"/>
        <n v="1.74"/>
        <n v="4.13"/>
        <n v="2.11"/>
        <n v="2.88"/>
        <n v="2.1"/>
        <n v="3.37"/>
        <n v="4.83"/>
        <n v="3.1"/>
        <n v="4.32"/>
        <n v="6.89"/>
        <n v="2.67"/>
        <n v="4.23"/>
        <n v="5.16"/>
        <n v="13.01"/>
        <n v="7.88"/>
        <n v="3.3"/>
        <n v="44.33"/>
        <n v="16.95"/>
        <n v="8.26"/>
        <n v="7.69"/>
        <n v="36.77"/>
        <n v="6.97"/>
        <n v="4.98"/>
        <n v="76.04"/>
        <n v="13.05"/>
        <n v="8.52"/>
        <n v="6.84"/>
        <n v="12.12"/>
        <n v="6.32"/>
        <n v="5.77"/>
        <n v="13.94"/>
        <n v="5.48"/>
        <n v="4.51"/>
        <n v="9.87"/>
        <n v="69.06"/>
        <n v="8.77"/>
        <n v="4.8"/>
        <n v="6.47"/>
        <n v="136.9"/>
        <n v="6.34"/>
        <n v="6.63"/>
        <n v="127.96"/>
        <n v="43.81"/>
        <n v="3.12"/>
        <n v="9.19"/>
        <n v="4.01"/>
        <n v="4.95"/>
        <n v="4.54"/>
        <n v="4.59"/>
        <n v="57.81"/>
        <n v="6.25"/>
        <n v="4.04"/>
        <n v="14.66"/>
        <n v="6.14"/>
        <n v="4.36"/>
        <n v="17.59"/>
        <n v="5.8"/>
        <n v="16.59"/>
        <n v="4"/>
        <n v="7.89"/>
        <n v="7.52"/>
        <n v="16.39"/>
        <n v="7.1"/>
        <n v="6.73"/>
        <n v="3.54"/>
        <n v="15.52"/>
        <n v="4.87"/>
        <n v="5.58"/>
        <n v="5.03"/>
        <n v="12.44"/>
        <n v="5.29"/>
        <n v="32.76"/>
        <n v="3.14"/>
        <n v="10.64"/>
        <n v="4.41"/>
        <n v="15.92"/>
        <n v="5.91"/>
        <n v="4.35"/>
        <n v="2.22"/>
        <n v="16.53"/>
        <n v="7.02"/>
        <n v="3.13"/>
        <n v="6.93"/>
        <n v="12.47"/>
        <n v="3"/>
        <n v="11.78"/>
        <n v="7.72"/>
        <n v="20.09"/>
        <n v="9.25"/>
        <n v="3.16"/>
        <n v="3.76"/>
        <n v="6.85"/>
        <n v="17.76"/>
        <n v="8.02"/>
        <n v="4.82"/>
        <n v="7.45"/>
        <n v="12.52"/>
        <n v="13.84"/>
        <n v="5.83"/>
        <n v="4.44"/>
        <n v="16.01"/>
        <n v="4.86"/>
        <n v="3.01"/>
        <n v="9.64"/>
        <n v="17.7"/>
        <n v="4.1"/>
        <n v="5.28"/>
        <n v="4.93"/>
        <n v="3.53"/>
        <n v="2.81"/>
        <n v="7.57"/>
        <n v="4.66"/>
        <n v="2.82"/>
        <n v="3.88"/>
        <n v="4.88"/>
        <n v="3.32"/>
        <n v="4.46"/>
        <n v="8.68"/>
        <n v="3.4"/>
        <n v="3.81"/>
        <n v="5.6"/>
        <n v="8.5"/>
        <n v="33.45"/>
        <n v="9.42"/>
        <n v="10.7"/>
        <n v="4.89"/>
        <n v="1.66"/>
        <n v="6.1"/>
        <n v="3.2"/>
        <n v="16.05"/>
        <n v="12.49"/>
        <n v="34.38"/>
        <n v="16.19"/>
        <n v="56"/>
        <n v="14.56"/>
        <n v="27.82"/>
        <n v="15.18"/>
        <n v="52.39"/>
        <n v="20.36"/>
        <n v="45.5"/>
        <n v="16.92"/>
        <n v="34.11"/>
        <n v="15.58"/>
        <n v="51.44"/>
        <n v="14.22"/>
        <n v="22.24"/>
        <n v="9.61"/>
        <n v="9.13"/>
        <n v="10.07"/>
        <n v="16.51"/>
        <n v="16.54"/>
        <n v="7.34"/>
        <n v="4.07"/>
        <n v="16.08"/>
        <n v="26.18"/>
        <n v="18.7"/>
        <n v="106.33"/>
        <n v="4.77"/>
        <n v="19.31"/>
        <n v="6.66"/>
        <n v="5.96"/>
        <n v="5.01"/>
        <n v="5.66"/>
        <n v="4.71"/>
        <n v="17.92"/>
        <n v="4.76"/>
        <n v="4.81"/>
        <n v="3.87"/>
        <n v="3.44"/>
        <n v="2.36"/>
        <n v="7.07"/>
        <n v="7.25"/>
        <n v="7.77"/>
        <n v="3.45"/>
        <n v="1.33"/>
        <n v="7.92"/>
        <n v="0.95"/>
        <n v="1.47"/>
        <n v="9.36"/>
        <n v="0.74"/>
        <n v="96"/>
        <n v="26.58"/>
        <n v="7.78"/>
        <n v="126.27"/>
        <n v="0.49"/>
        <n v="30.82"/>
        <n v="30.58"/>
        <n v="7.58"/>
        <n v="30.71"/>
        <n v="80.76"/>
        <n v="5.88"/>
        <n v="27.16"/>
        <n v="80"/>
        <n v="7.75"/>
        <n v="151.96"/>
        <n v="9.07"/>
        <n v="21.6"/>
        <n v="108.61"/>
        <n v="2.74"/>
        <n v="3.7"/>
        <n v="190.29"/>
        <n v="44.75"/>
        <n v="2.84"/>
        <n v="100.83"/>
        <n v="0.4"/>
        <n v="16.76"/>
        <n v="34.89"/>
        <n v="26.89"/>
        <n v="45.2"/>
        <n v="17.27"/>
        <n v="26.26"/>
        <n v="34.57"/>
        <n v="3.03"/>
        <n v="75.85"/>
        <n v="33.84"/>
        <n v="6.09"/>
        <n v="11.29"/>
        <n v="12.06"/>
        <n v="119.04"/>
        <n v="163.03"/>
        <n v="62.2"/>
        <n v="47.07"/>
        <n v="2.42"/>
        <n v="5.55"/>
        <n v="1.45"/>
        <n v="8.01"/>
        <n v="218.47"/>
        <n v="7.96"/>
        <n v="36.3"/>
        <n v="75"/>
        <n v="2.46"/>
        <n v="10.84"/>
        <n v="6.05"/>
        <n v="5.07"/>
        <n v="1.36"/>
        <n v="7.23"/>
        <n v="71.08"/>
        <n v="9.09"/>
        <n v="69.94"/>
        <n v="54.67"/>
        <n v="16.27"/>
        <n v="0.57"/>
        <n v="1.44"/>
        <n v="0.86"/>
        <n v="25.21"/>
        <n v="20.28"/>
        <n v="12.36"/>
        <n v="2.43"/>
        <n v="13.54"/>
        <n v="6.72"/>
        <n v="1.02"/>
        <n v="1.85"/>
        <n v="2.09"/>
        <n v="3.23"/>
        <n v="5.61"/>
        <n v="5.75"/>
        <n v="16.23"/>
        <n v="67.91"/>
        <n v="8.64"/>
        <n v="15.54"/>
        <n v="15.81"/>
        <n v="15.74"/>
        <n v="6.98"/>
        <n v="11.48"/>
        <n v="50.56"/>
        <n v="37.89"/>
        <n v="3.84"/>
        <n v="21.74"/>
        <n v="9.7"/>
        <n v="9.48"/>
        <n v="8.13"/>
        <n v="20.86"/>
        <n v="18.65"/>
        <n v="6.86"/>
        <n v="10.56"/>
        <n v="34.31"/>
        <n v="29.69"/>
        <n v="82.56"/>
        <n v="32.81"/>
        <n v="0.84"/>
        <n v="38.99"/>
        <n v="28.75"/>
        <n v="6.2"/>
        <n v="10.92"/>
        <n v="63.73"/>
        <n v="3.29"/>
        <n v="4.31"/>
        <n v="23.47"/>
        <n v="3.72"/>
        <n v="7.36"/>
        <n v="15.43"/>
        <n v="11.07"/>
        <n v="28.39"/>
        <n v="116.23"/>
        <n v="8.43"/>
        <n v="24.51"/>
        <n v="8.57"/>
        <n v="1.4"/>
        <n v="9.45"/>
        <n v="15.83"/>
        <n v="18.39"/>
        <n v="3.43"/>
        <n v="1.63"/>
        <n v="33.52"/>
        <n v="12.35"/>
        <n v="34.97"/>
        <n v="1.13"/>
        <n v="2.19"/>
        <n v="3.95"/>
        <n v="2.96"/>
        <n v="2.49"/>
        <n v="1.41"/>
        <n v="4.06"/>
        <n v="1.49"/>
        <n v="6.39"/>
        <n v="0.44"/>
        <n v="2.21"/>
        <n v="9.18"/>
        <n v="7.26"/>
        <n v="7.09"/>
        <n v="55.06"/>
        <n v="20.2"/>
        <n v="3.11"/>
        <n v="102.06"/>
        <n v="51.26"/>
        <n v="33.85"/>
        <n v="4.53"/>
        <n v="4.03"/>
        <n v="63.59"/>
        <n v="4.47"/>
        <n v="3.9"/>
        <n v="4.7"/>
        <n v="62.27"/>
        <n v="362.25"/>
        <n v="8.44"/>
        <m/>
      </sharedItems>
    </cacheField>
    <cacheField name="行动按钮点击量" numFmtId="0">
      <sharedItems containsString="0" containsBlank="1" containsNumber="1" containsInteger="1" minValue="0" maxValue="52" count="42">
        <n v="0"/>
        <n v="2"/>
        <n v="1"/>
        <n v="7"/>
        <n v="10"/>
        <n v="9"/>
        <n v="25"/>
        <n v="37"/>
        <n v="12"/>
        <n v="19"/>
        <n v="26"/>
        <n v="22"/>
        <n v="36"/>
        <n v="3"/>
        <n v="4"/>
        <n v="11"/>
        <n v="6"/>
        <n v="17"/>
        <n v="5"/>
        <n v="28"/>
        <n v="14"/>
        <n v="27"/>
        <n v="31"/>
        <n v="16"/>
        <n v="34"/>
        <n v="18"/>
        <n v="32"/>
        <n v="8"/>
        <n v="35"/>
        <n v="39"/>
        <n v="38"/>
        <n v="23"/>
        <n v="45"/>
        <n v="41"/>
        <n v="52"/>
        <n v="51"/>
        <n v="49"/>
        <n v="29"/>
        <n v="13"/>
        <n v="15"/>
        <n v="21"/>
        <m/>
      </sharedItems>
    </cacheField>
    <cacheField name="行动按钮点击率" numFmtId="0">
      <sharedItems containsString="0" containsBlank="1" containsNumber="1" minValue="0" maxValue="16" count="120">
        <n v="0"/>
        <n v="0.0008"/>
        <n v="0.0002"/>
        <n v="0.0001"/>
        <n v="0.0005"/>
        <n v="0.0071"/>
        <n v="0.0007"/>
        <n v="0.0143"/>
        <n v="0.0161"/>
        <n v="0.0156"/>
        <n v="0.0068"/>
        <n v="0.0106"/>
        <n v="0.0088"/>
        <n v="0.0083"/>
        <n v="0.0095"/>
        <n v="0.0769"/>
        <n v="0.0288"/>
        <n v="0.0811"/>
        <n v="0.0124"/>
        <n v="0.0057"/>
        <n v="0.0385"/>
        <n v="0.011"/>
        <n v="0.008"/>
        <n v="0.0064"/>
        <n v="0.0034"/>
        <n v="0.0025"/>
        <n v="0.0036"/>
        <n v="0.0062"/>
        <n v="0.0045"/>
        <n v="0.0189"/>
        <n v="0.0048"/>
        <n v="0.1667"/>
        <n v="0.0032"/>
        <n v="0.0053"/>
        <n v="0.0044"/>
        <n v="0.0031"/>
        <n v="0.0087"/>
        <n v="0.0098"/>
        <n v="0.017"/>
        <n v="0.0207"/>
        <n v="0.0065"/>
        <n v="0.0104"/>
        <n v="0.0043"/>
        <n v="0.0055"/>
        <n v="0.0077"/>
        <n v="0.0017"/>
        <n v="0.0013"/>
        <n v="0.004"/>
        <n v="0.0066"/>
        <n v="0.0023"/>
        <n v="0.0255"/>
        <n v="0.013"/>
        <n v="0.0113"/>
        <n v="0.0117"/>
        <n v="0.0134"/>
        <n v="0.003"/>
        <n v="0.0152"/>
        <n v="0.0079"/>
        <n v="0.0129"/>
        <n v="0.0183"/>
        <n v="0.0139"/>
        <n v="0.0051"/>
        <n v="0.0121"/>
        <n v="0.0131"/>
        <n v="0.0142"/>
        <n v="0.0155"/>
        <n v="0.0308"/>
        <n v="0.0184"/>
        <n v="0.0209"/>
        <n v="0.0299"/>
        <n v="0.019"/>
        <n v="0.0166"/>
        <n v="0.0219"/>
        <n v="0.0181"/>
        <n v="0.0243"/>
        <n v="0.0099"/>
        <n v="0.012"/>
        <n v="0.005"/>
        <n v="0.0108"/>
        <n v="0.0092"/>
        <n v="0.0037"/>
        <n v="0.0029"/>
        <n v="0.0072"/>
        <n v="0.0126"/>
        <n v="0.0198"/>
        <n v="0.0115"/>
        <n v="0.0211"/>
        <n v="0.0281"/>
        <n v="0.001"/>
        <n v="0.0149"/>
        <n v="0.0377"/>
        <n v="0.009"/>
        <n v="0.0094"/>
        <n v="0.0089"/>
        <n v="0.0054"/>
        <n v="0.0006"/>
        <n v="0.0056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0.0073"/>
        <n v="0.0119"/>
        <n v="0.0067"/>
        <n v="0.0081"/>
        <n v="0.0125"/>
        <n v="0.0097"/>
        <m/>
      </sharedItems>
    </cacheField>
    <cacheField name="截图" numFmtId="0">
      <sharedItems containsString="0" containsBlank="1" containsNumber="1" containsInteger="1" minValue="0" maxValue="105" count="47">
        <n v="11"/>
        <n v="3"/>
        <n v="1"/>
        <n v="8"/>
        <n v="2"/>
        <n v="0"/>
        <n v="20"/>
        <n v="4"/>
        <n v="12"/>
        <n v="9"/>
        <n v="5"/>
        <n v="7"/>
        <n v="6"/>
        <n v="15"/>
        <n v="13"/>
        <n v="43"/>
        <n v="67"/>
        <n v="105"/>
        <n v="17"/>
        <n v="71"/>
        <n v="32"/>
        <n v="23"/>
        <n v="29"/>
        <n v="14"/>
        <n v="16"/>
        <n v="24"/>
        <n v="28"/>
        <n v="27"/>
        <n v="18"/>
        <n v="57"/>
        <n v="83"/>
        <n v="41"/>
        <n v="34"/>
        <n v="60"/>
        <n v="46"/>
        <n v="50"/>
        <n v="25"/>
        <n v="22"/>
        <n v="86"/>
        <n v="10"/>
        <n v="30"/>
        <n v="21"/>
        <n v="19"/>
        <n v="75"/>
        <n v="26"/>
        <n v="35"/>
        <m/>
      </sharedItems>
    </cacheField>
    <cacheField name="保存图片" numFmtId="0">
      <sharedItems containsString="0" containsBlank="1" containsNumber="1" containsInteger="1" minValue="0" maxValue="218" count="48">
        <n v="18"/>
        <n v="8"/>
        <n v="0"/>
        <n v="7"/>
        <n v="30"/>
        <n v="1"/>
        <n v="4"/>
        <n v="28"/>
        <n v="9"/>
        <n v="11"/>
        <n v="5"/>
        <n v="2"/>
        <n v="3"/>
        <n v="6"/>
        <n v="29"/>
        <n v="26"/>
        <n v="22"/>
        <n v="37"/>
        <n v="20"/>
        <n v="117"/>
        <n v="177"/>
        <n v="21"/>
        <n v="108"/>
        <n v="12"/>
        <n v="218"/>
        <n v="15"/>
        <n v="10"/>
        <n v="23"/>
        <n v="14"/>
        <n v="98"/>
        <n v="13"/>
        <n v="16"/>
        <n v="77"/>
        <n v="33"/>
        <n v="70"/>
        <n v="80"/>
        <n v="147"/>
        <n v="17"/>
        <n v="19"/>
        <n v="46"/>
        <n v="25"/>
        <n v="55"/>
        <n v="24"/>
        <n v="27"/>
        <n v="56"/>
        <n v="52"/>
        <n v="34"/>
        <m/>
      </sharedItems>
    </cacheField>
    <cacheField name="达人名称" numFmtId="0">
      <sharedItems containsBlank="1" containsNumber="1" containsInteger="1" containsMixedTypes="1" count="123">
        <s v="圆又圆超爱笑"/>
        <s v="Sophia大大"/>
        <s v="咩咩是杨景然"/>
        <s v="我是铁核桃也是小百合"/>
        <s v="沁儿你好哇"/>
        <s v="大敏敏的蜕变日记"/>
        <s v="爱跳绳的粥粥"/>
        <s v="郝有金"/>
        <s v="热锅上的蚂蚁"/>
        <s v="pp"/>
        <n v="-77"/>
        <s v="大桐yoto"/>
        <s v="爱上健身的Amy"/>
        <s v="白白"/>
        <s v="小小李"/>
        <s v="小菜包超幸运"/>
        <s v="Candy yoga"/>
        <s v="小雪教瑜伽"/>
        <s v="努力变好的yy"/>
        <s v="威风凛凛小队长"/>
        <s v="咕咕猪小短腿"/>
        <s v="小方今天瘦了吗"/>
        <s v="干坐着的小瑶"/>
        <s v="辣妈含含"/>
        <s v="凯琳KatherineW"/>
        <s v="杨大大的预备辣妹日记"/>
        <s v="丫丫小姐姐"/>
        <s v="六月炎妍"/>
        <s v="星星要变瘦"/>
        <s v="爽姐腿特长"/>
        <s v="小月月"/>
        <s v="马可乐cora"/>
        <s v="茜茜子"/>
        <s v="Celine丹丹"/>
        <s v="林菀桃桃"/>
        <s v="爱撸铁的丁"/>
        <s v="熊猫叮"/>
        <s v="生椰黎子yoga"/>
        <s v="福崽"/>
        <s v="小胡的张张"/>
        <s v="Shirley小蕾"/>
        <s v="小翻译美芽酱"/>
        <s v="曲美腻腻"/>
        <s v="阿煜"/>
        <s v="Jeremy 赵"/>
        <s v="小恩哥带你练臀"/>
        <s v="元气芥末酱"/>
        <s v="朱俊畅"/>
        <s v="大红辣辣椒"/>
        <s v="板野友美iii"/>
        <s v="圆圆今天暴富了么"/>
        <s v="雾霾少女i"/>
        <s v="小蓝今天吃了没"/>
        <s v="桃子酱酱"/>
        <s v="月亮起床了"/>
        <s v="爱梨"/>
        <s v="雪碧要加冰-"/>
        <s v="玩长板的慧慧"/>
        <s v="Bruce小厮"/>
        <s v="木子棋Kiki"/>
        <s v="包子熟了"/>
        <s v="Lucas雨田"/>
        <s v="阿三啊"/>
        <s v="JJJJackson"/>
        <s v="国产收音机X"/>
        <s v="跑酷莫承烽"/>
        <s v="小刘爱游泳"/>
        <s v="小乔您了"/>
        <s v="西米是个小可爱"/>
        <s v="林然Tolyn"/>
        <s v="小羊羔崽子"/>
        <s v="一颗西兰花fa"/>
        <s v="小小柯尔鸭"/>
        <s v="高凯元"/>
        <s v="臃肿大白鹅"/>
        <s v="芋泥团团茶"/>
        <s v="蜜桃少女宁小美"/>
        <s v="thePans."/>
        <s v="索菲亚的冻龄秘密"/>
        <s v="健康营养师格格"/>
        <s v="咦同学"/>
        <s v="橘子汽水"/>
        <s v="诸葛亮晶晶"/>
        <s v="形体矫正小李"/>
        <s v="脆鱼日记"/>
        <s v="小岛大瑀"/>
        <s v="小甜心"/>
        <s v="周周也是倩倩"/>
        <s v="Zora張張"/>
        <s v="爱健身的陈淼淼"/>
        <s v="晚一子"/>
        <s v="语宸要做插画师"/>
        <s v="一颗小糖果w"/>
        <s v="来一杯毛豆"/>
        <s v="趁早早呀"/>
        <s v="BD方丈"/>
        <s v="猪脚ivi"/>
        <s v="野生辣妹Stacy"/>
        <s v="樱丸小桃子"/>
        <s v="秦亲亲"/>
        <s v="蔓玉有点甜"/>
        <s v="我是张小胖"/>
        <s v="肖儿"/>
        <s v="冷冷学姐"/>
        <s v="新理小姐"/>
        <s v="是芝芝啊"/>
        <s v="鱼丸逆袭记"/>
        <s v="叫我y老师"/>
        <s v="理疗师雨辰"/>
        <s v="西瓜班陈雯"/>
        <s v="电荷荷荷"/>
        <s v="陈背心"/>
        <s v="陈以柒"/>
        <s v="厨小花的减脂餐"/>
        <s v="Miss小宝"/>
        <s v="嘎嘎今天不要懒_"/>
        <s v="oOO小饼"/>
        <s v="芒果腻"/>
        <s v="蛋卷er"/>
        <s v="一颗紫菜"/>
        <s v="Morii"/>
        <s v="是33崽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08.6485532407" refreshedBy="Administrator" recordCount="1418">
  <cacheSource type="worksheet">
    <worksheetSource ref="A1:AE99987" sheet="日报数据源"/>
  </cacheSource>
  <cacheFields count="39">
    <cacheField name="时间" numFmtId="0">
      <sharedItems containsBlank="1" count="171">
        <s v="2022-05-19"/>
        <s v="2022-05-20"/>
        <s v="2022-05-21"/>
        <s v="2022-05-23"/>
        <s v="2022-05-24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9"/>
        <s v="2022-07-02"/>
        <s v="2022-07-03"/>
        <s v="2022-07-04"/>
        <s v="2022-07-06"/>
        <s v="2022-07-09"/>
        <s v="2022-07-10"/>
        <s v="2022-07-12"/>
        <s v="2022-07-13"/>
        <s v="2022-07-14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s v="2022-09-09"/>
        <s v="2022-09-10"/>
        <s v="2022-09-11"/>
        <s v="2022-09-12"/>
        <s v="2022-09-13"/>
        <s v="2022-09-14"/>
        <s v="2022-09-15"/>
        <s v="2022-09-16"/>
        <s v="2022-09-17"/>
        <s v="2022-09-18"/>
        <s v="2022-09-19"/>
        <s v="2022-09-20"/>
        <s v="2022-09-21"/>
        <s v="2022-09-22"/>
        <s v="2022-09-23"/>
        <s v="2022-09-24"/>
        <s v="2022-09-25"/>
        <s v="2022-09-26"/>
        <s v="2022-09-27"/>
        <s v="2022-09-28"/>
        <s v="2022-09-29"/>
        <s v="2022-09-30"/>
        <s v="2022-10-01"/>
        <s v="2022-10-02"/>
        <s v="2022-10-03"/>
        <s v="2022-10-04"/>
        <s v="2022-10-05"/>
        <s v="2022-10-06"/>
        <s v="2022-10-07"/>
        <s v="2022-10-08"/>
        <s v="2022-10-09"/>
        <s v="2022-10-10"/>
        <s v="2022-10-11"/>
        <s v="2022-10-12"/>
        <s v="2022-10-13"/>
        <s v="2022-10-14"/>
        <s v="2022-10-15"/>
        <s v="2022-10-16"/>
        <s v="2022-10-17"/>
        <s v="2022-10-18"/>
        <s v="2022-10-19"/>
        <s v="2022-10-20"/>
        <s v="2022-10-21"/>
        <s v="2022-10-22"/>
        <s v="2022-10-23"/>
        <s v="2022-10-24"/>
        <s v="2022-10-25"/>
        <s v="2022-10-26"/>
        <s v="2022-10-27"/>
        <s v="2022-10-28"/>
        <s v="2022-10-29"/>
        <s v="2022-10-30"/>
        <s v="2022-10-31"/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03-10~2022-05-1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m/>
      </sharedItems>
    </cacheField>
    <cacheField name="创意名称" numFmtId="0">
      <sharedItems containsBlank="1" count="197">
        <s v="圆又圆超爱笑"/>
        <s v="Sophia大大"/>
        <s v="咩咩是杨景然"/>
        <s v="我是铁核桃也是小百合"/>
        <s v="沁儿你好哇"/>
        <s v="大敏敏的蜕变日记"/>
        <s v="爱跳绳的粥粥-跳绳"/>
        <s v="我是铁核桃也是小百合-体脂秤3"/>
        <s v="郝有金-筋膜枪cc"/>
        <s v="郝有金-筋膜枪cc_复制"/>
        <s v="热锅上的蚂蚁-筋膜枪cc"/>
        <s v="pp-体脂秤3mini"/>
        <s v="大敏敏的蜕变日记-体脂秤3mini"/>
        <s v="七七_YiB"/>
        <s v="pp-信息流"/>
        <s v="Sophia大大-信息流"/>
        <s v="我是铁核桃也是小百合-信息流"/>
        <s v="七七_YiBo"/>
        <s v="大桐yoto-体脂秤3mini"/>
        <s v="爱上健身的Amy-体脂秤3mini"/>
        <s v="白白-跳绳"/>
        <s v="小小李-跳绳"/>
        <s v="白白"/>
        <s v="爱跳绳的粥粥"/>
        <s v="小菜包超幸运"/>
        <s v="Candy yoga"/>
        <s v="小雪教瑜伽"/>
        <s v="大桐yoto"/>
        <s v="产品种草_创意_20220602_1"/>
        <s v="产品种草_创意_20220602_2"/>
        <s v="0602-种草-信息流-努力变好的yy-筋膜枪"/>
        <s v=" 威风凛凛小队长"/>
        <s v="咕咕猪小短腿"/>
        <s v="努力变好的yy"/>
        <s v="威风凛凛小队长"/>
        <s v="小雪教瑜伽-搜索"/>
        <s v="圆又圆超爱笑-搜索"/>
        <s v="小方今天瘦了吗"/>
        <s v="pp-搜索"/>
        <s v="pp"/>
        <s v="干坐着的小瑶"/>
        <s v="辣妈含含"/>
        <s v="凯琳KatherineW"/>
        <s v="杨大大的预备辣妹日记"/>
        <s v="丫丫小姐姐"/>
        <s v="六月炎妍"/>
        <s v="星星要变瘦"/>
        <s v="苏妤Serene."/>
        <s v="小月月"/>
        <s v="干坐着的小瑶-搜索"/>
        <s v="凯琳KatherineW-搜索"/>
        <s v="六月炎妍-搜素"/>
        <s v="马可乐cora"/>
        <s v="苏妤Serene.-搜索"/>
        <s v="郝有金-搜索"/>
        <s v="爱跳绳的粥粥-搜索"/>
        <s v="马可乐cora-搜索"/>
        <s v="茜茜子"/>
        <s v="Celine丹丹"/>
        <s v="林菀桃桃"/>
        <s v="爱撸铁的丁"/>
        <s v="熊猫叮"/>
        <s v="生椰黎子yoga"/>
        <s v="福崽"/>
        <s v="小胡的张张"/>
        <s v="Shirley小蕾"/>
        <s v="小翻译美芽酱"/>
        <s v="产品种草_创意_20220802_1"/>
        <s v="产品种草_创意_20220802_1_复制085816"/>
        <s v="产品种草_创意_20220805_1"/>
        <s v="产品种草_创意_20220802_2_复制160803"/>
        <s v="抢占关键词_创意_20220808_1"/>
        <s v="抢占关键词_创意_20220808_1_复制185753"/>
        <s v="抢占关键词_创意_20220808_1_复制185930"/>
        <s v="抢占关键词_创意_20220808_1_复制190437"/>
        <s v="抢占关键词_创意_20220808_1_复制191612"/>
        <s v="抢占关键词_创意_20220808_1_复制191843"/>
        <s v="产品种草_创意_20220809_1"/>
        <s v="产品种草_创意_20220811_1"/>
        <s v="产品种草_创意_20220812_1"/>
        <s v="产品种草_创意_20220816_1"/>
        <s v="产品种草_创意_20220817_1"/>
        <s v="产品种草_创意_20220818_1"/>
        <s v="产品种草_创意_20220819_1"/>
        <s v="产品种草_创意_20220820_1"/>
        <s v="产品种草_创意_20220822_1"/>
        <s v="产品种草_创意_20220823_1"/>
        <s v="产品种草_创意_20220829_1"/>
        <s v="产品种草_创意_20220831_1"/>
        <s v="产品种草_创意_20220831_1_复制195807"/>
        <s v="产品种草_创意_20220901_1"/>
        <s v="产品种草_创意_20220902_1"/>
        <s v="产品种草_创意_20220901_1_复制184510"/>
        <s v="产品种草_创意_20220905_1"/>
        <s v="产品种草_创意_20220906_1"/>
        <s v="产品种草_创意_20220905_1_复制180351"/>
        <s v="产品种草_创意_20220907_1"/>
        <s v="产品种草_创意_20220908_1"/>
        <s v="产品种草_创意_20220909_1"/>
        <s v="产品种草_创意_20220901_1_复制144922"/>
        <s v="产品种草_创意_20220910_1"/>
        <s v="产品种草_创意_20220914_1"/>
        <s v="产品种草_创意_20220916_1"/>
        <s v="产品种草_创意_20220917_1"/>
        <s v="产品种草_创意_20220919_1"/>
        <s v="产品种草_创意_20220922_1"/>
        <s v="产品种草_创意_20220923_1"/>
        <s v="产品种草_创意_20220924_1"/>
        <s v="产品种草_创意_20220926_1"/>
        <s v="产品种草_创意_20220928_1"/>
        <s v="产品种草_创意_20220919_1_复制161035"/>
        <s v="产品种草_创意_20220930_1"/>
        <s v="产品种草_创意_20220930_1_复制184802"/>
        <s v="产品种草_创意_20221011_1"/>
        <s v="产品种草_创意_20221013_1"/>
        <s v="产品种草_创意_20221014_1"/>
        <s v="产品种草_创意_20221014_1_复制174035"/>
        <s v="产品种草_创意_20221018_1"/>
        <s v="产品种草_创意_20221014_1_复制210502"/>
        <s v="产品种草_创意_20221018_1_复制213708"/>
        <s v="产品种草_创意_20221019_1"/>
        <s v="产品种草_创意_20221020_1"/>
        <s v="产品种草_创意_20221021_1"/>
        <s v="产品种草_创意_20221014_1_复制180331"/>
        <s v="产品种草_创意_20221022_1"/>
        <s v="抢占关键词_创意_20221024_1"/>
        <s v="抢占关键词_创意_20221024_1_复制180927"/>
        <s v="产品种草_创意_20221024_1"/>
        <s v="抢占关键词_创意_20221024_1_复制181701"/>
        <s v="抢占关键词_创意_20221024_1_复制182937"/>
        <s v="产品种草_创意_20221025_1"/>
        <s v="产品种草_创意_20221026_1"/>
        <s v="抢占关键词_创意_20221026_1"/>
        <s v="产品种草_创意_20221029_1"/>
        <s v="抢占关键词_创意_20221026_1_复制180124"/>
        <s v="抢占关键词_创意_20221031_1"/>
        <s v="抢占关键词_创意_20221031_1_复制180407"/>
        <s v="抢占关键词_创意_20221026_1_复制180705"/>
        <s v="抢占关键词_创意_20221031_1_复制180813"/>
        <s v="产品种草_创意_20221022_1_复制201824"/>
        <s v="抢占关键词_创意_20221031_1_复制202047"/>
        <s v="产品种草_创意_20221101_1"/>
        <s v="产品种草_创意_20221102_1"/>
        <s v="产品种草_创意_20221103_1"/>
        <s v="产品种草_创意_20221102_1_复制190941"/>
        <s v="产品种草_创意_20221105_1"/>
        <s v="产品种草_创意_20221106_1"/>
        <s v="抢占关键词_创意_20221026_1_复制193653"/>
        <s v="抢占关键词_创意_20221107_1"/>
        <s v="产品种草_创意_20221107_1"/>
        <s v="634d395b000000000602b10a"/>
        <s v="636240b30000000007035fa2"/>
        <s v="产品种草_创意_20221022_1_复制221708"/>
        <s v="产品种草_创意_20221108_1"/>
        <s v="抢占关键词_创意_20221108_1"/>
        <s v="63621e680000000008012eb3"/>
        <s v="产品种草_创意_20221109_1"/>
        <s v="抢占关键词_创意_20221108_1_复制193404"/>
        <s v="抢占关键词_创意_20221109_1"/>
        <s v="产品种草_创意_20221110_1"/>
        <s v="抢占关键词_创意_20221110_1"/>
        <s v="632c10b9000000001200da7e"/>
        <s v="抢占关键词_创意_20221031_1_复制172445"/>
        <s v="62f37bbf0000000012024867"/>
        <s v="产品种草_创意_20220822_2"/>
        <s v="产品种草_创意_20220822_3"/>
        <s v="产品种草_创意_20220822_4"/>
        <s v="产品种草_创意_20220822_5"/>
        <s v="产品种草_创意_20220822_6"/>
        <s v="产品种草_创意_20220822_7"/>
        <s v="产品种草_创意_20220822_8"/>
        <s v="产品种草_创意_20220822_9"/>
        <s v="产品种草_创意_20220822_10"/>
        <s v="产品种草_创意_20220822_11"/>
        <s v="产品种草_创意_20220822_12"/>
        <s v="产品种草_创意_20220822_13"/>
        <s v="产品种草_创意_20220822_14"/>
        <s v="产品种草_创意_20220822_15"/>
        <s v="产品种草_创意_20220822_16"/>
        <s v="产品种草_创意_20220822_17"/>
        <s v="636a29360000000007037622"/>
        <s v="63437a13000000000b0135ee"/>
        <s v="636b36a10000000007034630"/>
        <s v="63104c390000000011035a33"/>
        <s v="6333fbc80000000017017605"/>
        <s v="632a812e0000000011016f09"/>
        <s v="6347ce7d0000000007039781"/>
        <s v="6358a9b6000000001401d37d"/>
        <s v="632acfbb000000000800a017"/>
        <s v="6333db92000000001703f2f8"/>
        <s v="6389bf260000000022035854"/>
        <s v="638d5ea9000000001f00d4d6"/>
        <s v="63104c390000000011035a33_复制185030"/>
        <s v="633115bb0000000018003042"/>
        <s v="6385c23a0000000019022ad3"/>
        <s v="63104c390000000011035a33_复制174313"/>
        <m/>
      </sharedItems>
    </cacheField>
    <cacheField name="创意ID" numFmtId="0">
      <sharedItems containsString="0" containsBlank="1" containsNumber="1" containsInteger="1" minValue="0" maxValue="25677394" count="257">
        <n v="14438625"/>
        <n v="14438656"/>
        <n v="14438657"/>
        <n v="14438876"/>
        <n v="14438997"/>
        <n v="14439020"/>
        <n v="14752018"/>
        <n v="14752172"/>
        <n v="14752300"/>
        <n v="14752488"/>
        <n v="14752576"/>
        <n v="14752715"/>
        <n v="14752831"/>
        <n v="14752924"/>
        <n v="14753100"/>
        <n v="14794680"/>
        <n v="14794969"/>
        <n v="14795201"/>
        <n v="14932478"/>
        <n v="14932581"/>
        <n v="14932668"/>
        <n v="14976457"/>
        <n v="14976642"/>
        <n v="14977271"/>
        <n v="14977272"/>
        <n v="14977367"/>
        <n v="14977409"/>
        <n v="14977423"/>
        <n v="14977748"/>
        <n v="14978184"/>
        <n v="15042179"/>
        <n v="15088586"/>
        <n v="15088587"/>
        <n v="15088839"/>
        <n v="15089043"/>
        <n v="15089317"/>
        <n v="15089398"/>
        <n v="15089589"/>
        <n v="15179597"/>
        <n v="15180518"/>
        <n v="15180603"/>
        <n v="15180653"/>
        <n v="15247437"/>
        <n v="15247613"/>
        <n v="15248000"/>
        <n v="15248117"/>
        <n v="15248253"/>
        <n v="15248439"/>
        <n v="15248486"/>
        <n v="15295967"/>
        <n v="15296197"/>
        <n v="15296796"/>
        <n v="15296992"/>
        <n v="15297115"/>
        <n v="15353127"/>
        <n v="15678633"/>
        <n v="15678822"/>
        <n v="15678883"/>
        <n v="15679270"/>
        <n v="15688208"/>
        <n v="15720852"/>
        <n v="15732722"/>
        <n v="15733280"/>
        <n v="15734437"/>
        <n v="15734941"/>
        <n v="15735260"/>
        <n v="15803975"/>
        <n v="15804098"/>
        <n v="15804284"/>
        <n v="15804340"/>
        <n v="15804452"/>
        <n v="15804507"/>
        <n v="15867913"/>
        <n v="15869520"/>
        <n v="15869599"/>
        <n v="15993169"/>
        <n v="17533208"/>
        <n v="17799451"/>
        <n v="17799473"/>
        <n v="17858272"/>
        <n v="17901185"/>
        <n v="17974319"/>
        <n v="18043262"/>
        <n v="18043311"/>
        <n v="18043343"/>
        <n v="18043411"/>
        <n v="18043601"/>
        <n v="18043872"/>
        <n v="18044011"/>
        <n v="18044115"/>
        <n v="18085273"/>
        <n v="18170615"/>
        <n v="18224197"/>
        <n v="18353517"/>
        <n v="18412322"/>
        <n v="18455742"/>
        <n v="18456034"/>
        <n v="18503974"/>
        <n v="18541581"/>
        <n v="18606896"/>
        <n v="18606961"/>
        <n v="18646400"/>
        <n v="18646457"/>
        <n v="18907506"/>
        <n v="19004470"/>
        <n v="19010467"/>
        <n v="19010569"/>
        <n v="19010961"/>
        <n v="19010992"/>
        <n v="19011007"/>
        <n v="19054447"/>
        <n v="19054497"/>
        <n v="19058466"/>
        <n v="19106392"/>
        <n v="19106863"/>
        <n v="19106999"/>
        <n v="19210765"/>
        <n v="19210822"/>
        <n v="19261230"/>
        <n v="19316723"/>
        <n v="19316774"/>
        <n v="19380003"/>
        <n v="19428780"/>
        <n v="19428860"/>
        <n v="19450181"/>
        <n v="19450191"/>
        <n v="19607601"/>
        <n v="19607721"/>
        <n v="19713110"/>
        <n v="19752470"/>
        <n v="19713077"/>
        <n v="19834935"/>
        <n v="19834982"/>
        <n v="20017048"/>
        <n v="20060143"/>
        <n v="20060178"/>
        <n v="20100228"/>
        <n v="20100261"/>
        <n v="20200905"/>
        <n v="20316817"/>
        <n v="20317349"/>
        <n v="20323358"/>
        <n v="20485013"/>
        <n v="20485042"/>
        <n v="20485369"/>
        <n v="20978448"/>
        <n v="20978571"/>
        <n v="21122736"/>
        <n v="21203504"/>
        <n v="21209031"/>
        <n v="21360243"/>
        <n v="21414957"/>
        <n v="21415048"/>
        <n v="21440220"/>
        <n v="21451628"/>
        <n v="21451929"/>
        <n v="21453398"/>
        <n v="21506599"/>
        <n v="21508062"/>
        <n v="21508319"/>
        <n v="21600313"/>
        <n v="21600849"/>
        <n v="21674555"/>
        <n v="21688273"/>
        <n v="21747929"/>
        <n v="21747992"/>
        <n v="21879174"/>
        <n v="21879909"/>
        <n v="21880743"/>
        <n v="21880771"/>
        <n v="21881635"/>
        <n v="21881978"/>
        <n v="21978813"/>
        <n v="21988099"/>
        <n v="22072602"/>
        <n v="22072814"/>
        <n v="22072908"/>
        <n v="22315363"/>
        <n v="22437894"/>
        <n v="22438055"/>
        <n v="22438145"/>
        <n v="22438197"/>
        <n v="22438463"/>
        <n v="22438538"/>
        <n v="22438584"/>
        <n v="22438657"/>
        <n v="22448358"/>
        <n v="22449871"/>
        <n v="22449984"/>
        <n v="22450115"/>
        <n v="22513708"/>
        <n v="22516134"/>
        <n v="22516377"/>
        <n v="22596197"/>
        <n v="22675609"/>
        <n v="22762574"/>
        <n v="22820705"/>
        <n v="22845628"/>
        <n v="22943656"/>
        <n v="22943729"/>
        <n v="22943828"/>
        <n v="22943914"/>
        <n v="22943955"/>
        <n v="22944060"/>
        <n v="22952348"/>
        <n v="23019540"/>
        <n v="23019923"/>
        <n v="23020109"/>
        <n v="23095610"/>
        <n v="23095722"/>
        <n v="23095824"/>
        <n v="23095921"/>
        <n v="23177814"/>
        <n v="23177925"/>
        <n v="23178157"/>
        <n v="23178271"/>
        <n v="23178412"/>
        <n v="23252885"/>
        <n v="23253296"/>
        <n v="18606962"/>
        <n v="18606963"/>
        <n v="18606964"/>
        <n v="18606965"/>
        <n v="18606966"/>
        <n v="18606967"/>
        <n v="18606968"/>
        <n v="18606969"/>
        <n v="18606970"/>
        <n v="18606971"/>
        <n v="18606972"/>
        <n v="18606973"/>
        <n v="18606974"/>
        <n v="18606975"/>
        <n v="18606976"/>
        <n v="18606977"/>
        <n v="24941624"/>
        <n v="24941722"/>
        <n v="24991923"/>
        <n v="25066640"/>
        <n v="25066769"/>
        <n v="25066825"/>
        <n v="25105925"/>
        <n v="25105983"/>
        <n v="25106098"/>
        <n v="25178456"/>
        <n v="25178656"/>
        <n v="25178876"/>
        <n v="25244107"/>
        <n v="25314758"/>
        <n v="25314842"/>
        <n v="25314916"/>
        <n v="25315073"/>
        <n v="25391742"/>
        <n v="25485889"/>
        <n v="25677301"/>
        <n v="25677394"/>
        <m/>
      </sharedItems>
    </cacheField>
    <cacheField name="广告类型" numFmtId="0">
      <sharedItems containsBlank="1" count="3">
        <s v="信息流广告"/>
        <s v="搜索广告"/>
        <m/>
      </sharedItems>
    </cacheField>
    <cacheField name="笔记ID" numFmtId="0">
      <sharedItems containsBlank="1" count="126">
        <s v="626acb02000000000102c35c"/>
        <s v="627ba9fe0000000021037192"/>
        <s v="627e0bba000000000102fbbb"/>
        <s v="627bb815000000000102a1d9"/>
        <s v="62737915000000002103f16c"/>
        <s v="627e157b000000000102d2c9"/>
        <s v="6286eeb6000000002103d135"/>
        <s v="614c3095000000000102b268"/>
        <s v="6268be6f000000002103575a"/>
        <s v="6255518c000000002103cbe1"/>
        <s v="6284a6120000000021036c2e"/>
        <s v="628c7af500000000010254ad"/>
        <s v="6290703f000000002103d411"/>
        <s v="628f4e490000000001027a43"/>
        <s v="6290482100000000210356f2"/>
        <s v="628da6fb000000000102646e"/>
        <s v="62879826000000000102800f"/>
        <s v="62482509000000000102d31e"/>
        <s v="629417c7000000002103479b"/>
        <s v="62903659000000000102fa9a"/>
        <s v="6290c4360000000021036385"/>
        <s v="629714e6000000000102d6c7"/>
        <s v="629dca29000000000102d19e"/>
        <s v="6299f16c000000000102ddd2"/>
        <s v="6290b2bb0000000021036eee"/>
        <s v="629700ce000000002103529c"/>
        <s v="629434dd0000000021038af3"/>
        <s v="62a045ea000000002103a321"/>
        <s v="629de623000000001d0153c8"/>
        <s v="62a3362f000000002103b738"/>
        <s v="62a461080000000001029226"/>
        <s v="62a6fd32000000001d0141d2"/>
        <s v="62a86da600000000210394c6"/>
        <s v="62a859ca000000001b034829"/>
        <s v="62a8420e000000001b03634d"/>
        <s v="62a72114000000002103631b"/>
        <s v="62a853b8000000002103dca1"/>
        <s v="62a98321000000001401a556"/>
        <s v="62aa9568000000000e021f22"/>
        <s v="62a321f2000000001d032701"/>
        <s v="62aa5b72000000000e01fa80"/>
        <s v="62df60d4000000001b0182ec"/>
        <s v="62e4ce29000000000e02bbd1"/>
        <s v="62e34ecb00000000110133c9"/>
        <s v="62e9103f000000001202c377"/>
        <s v="62e109a2000000001b03e2a0"/>
        <s v="62f0b4f000000000120392e6"/>
        <s v="62f37bbf0000000012024867"/>
        <s v="62f4c9f60000000009006fcb"/>
        <s v="62f7a27a0000000016030b54"/>
        <s v="62fa14a60000000014019759"/>
        <s v="62fc81290000000016037396"/>
        <s v="62fddb6e000000001b01b0e1"/>
        <s v="62fe048b000000001b005d67"/>
        <s v="62fdc897000000001b0063ad"/>
        <s v="630096c8000000001800de5a"/>
        <s v="62ff55630000000019029cc0"/>
        <s v="6308506e000000001702e57f"/>
        <s v="630055e2000000001b007e50"/>
        <s v="630f1fc800000000110355fc"/>
        <s v="630f0f5c0000000008021e9f"/>
        <s v="63108c530000000012038e6f"/>
        <s v="63104c390000000011035a33"/>
        <s v="6315edad00000000110364bd"/>
        <s v="63182f720000000008023b9f"/>
        <s v="6319c330000000000900f191"/>
        <s v="631ff1f10000000009033b64"/>
        <s v="63195acb0000000011011cb5"/>
        <s v="631e1af0000000001801b519"/>
        <s v="6322ac1f000000001200fd50"/>
        <s v="632591a1000000001801796c"/>
        <s v="6322ec9800000000080096e6"/>
        <s v="632acfbb000000000800a017"/>
        <s v="632a812e0000000011016f09"/>
        <s v="632c461f000000000801c166"/>
        <s v="6331a517000000001702438c"/>
        <s v="6333db92000000001703f2f8"/>
        <s v="6333d83500000000170279af"/>
        <s v="6340ef66000000001d014fd0"/>
        <s v="6342abf4000000001c00c1fb"/>
        <s v="63492dd50000000008014d5e"/>
        <s v="63492acb0000000008010b08"/>
        <s v="6343c9ea000000001c02e342"/>
        <s v="6336c064000000001d00f647"/>
        <s v="63437f77000000001d027e1b"/>
        <s v="634e1fe90000000008014572"/>
        <s v="63563e19000000001601ebbf"/>
        <s v="6358b83600000000140344b6"/>
        <s v="635b58ed000000001700c609"/>
        <s v="634fe7d20000000008010532"/>
        <s v="6347ce7d0000000007039781"/>
        <s v="6360d1d5000000000600811c"/>
        <s v="63622157000000000601d5cb"/>
        <s v="635361ae0000000015023541"/>
        <s v="634d395b000000000602b10a"/>
        <s v="636240b30000000007035fa2"/>
        <s v="63621e680000000008012eb3"/>
        <s v="635f8a250000000009000539"/>
        <s v="635f7fd20000000008010ca4"/>
        <s v="6364e9dc0000000009013c84"/>
        <s v="635ca4d0000000001601eee4"/>
        <s v="6368faca000000000901170a"/>
        <s v="6358a9b6000000001401d37d"/>
        <s v="632c10b9000000001200da7e"/>
        <s v="6225c1390000000021034e33"/>
        <s v="612359a60000000001024e1f"/>
        <s v="61765727000000000102dd1a"/>
        <s v="617bc5dd000000000102b409"/>
        <s v="622d8d0d0000000001029c29"/>
        <s v="6135ea0c000000000102fad5"/>
        <s v="621e1314000000000102a9ba"/>
        <s v="6232bdc30000000021034fa7"/>
        <s v="616ab9850000000001028279"/>
        <s v="621df4740000000021039fc3"/>
        <s v="61a75f5a000000000102d798"/>
        <s v="6221f6170000000021034926"/>
        <s v="625529c2000000000102f35c"/>
        <s v="636a29360000000007037622"/>
        <s v="63437a13000000000b0135ee"/>
        <s v="636b36a10000000007034630"/>
        <s v="6333fbc80000000017017605"/>
        <s v="6389bf260000000022035854"/>
        <s v="638d5ea9000000001f00d4d6"/>
        <s v="633115bb0000000018003042"/>
        <s v="6385c23a0000000019022ad3"/>
        <m/>
      </sharedItems>
    </cacheField>
    <cacheField name="单元名称" numFmtId="0">
      <sharedItems containsBlank="1" count="228">
        <s v="0519-种草-信息流-筋膜枪赛马测试"/>
        <s v="0519-种草-信息流-体脂秤3"/>
        <s v="0519-种草-信息流-体脂秤3mini赛马测试"/>
        <s v="0526-种草-信息流-云麦跳绳心率款"/>
        <s v="0526-种草-搜索-我是铁核桃-云麦体脂秤3"/>
        <s v="0526-种草-搜索-郝有金-筋膜枪cc"/>
        <s v="0526-种草-搜索-郝有金-筋膜枪cc_复制"/>
        <s v="0526-种草-搜索-圆又圆超爱笑-筋膜枪cc"/>
        <s v="0526-种草-信息流-热锅上的蚂蚁-筋膜枪cc"/>
        <s v="0526-种草-搜索-pp"/>
        <s v="0526-种草-搜索-大敏敏蜕变日记-体脂秤"/>
        <s v="0526-种草-信息流-七七-体脂秤3mini"/>
        <s v="0527-种草-信息流-pp-体脂秤3mini"/>
        <s v="0527-种草-信息流-Sophia大大-筋膜枪c"/>
        <s v="0527-种草-信息流-我是铁核桃-体脂秤3"/>
        <s v="0530-种草-搜索-七七-体脂秤3mini"/>
        <s v="0530-种草-信息流-大桐yoto-体脂秤3mi"/>
        <s v="0530-种草-信息流-Amy-体脂秤3mini"/>
        <s v="0531-种草-信息流-白白"/>
        <s v="0531-种草-信息流-云麦心率跳绳赛马测试"/>
        <s v="0531-种草-信息流-云麦体脂秤3赛马测试"/>
        <s v="0531-信息流-大桐yoto-体脂秤3mini"/>
        <s v="0601-小雪瑜伽-类目词-首位"/>
        <s v="0602-种草-信息流-小雪教瑜伽"/>
        <s v="0602-种草-信息流-努力变好的yy-筋膜枪"/>
        <s v="0602-种草-信息流-体脂秤3赛马计划"/>
        <s v="0602-种草-信息流-心率跳绳赛马测试"/>
        <s v="0605-种草-信息流-小雪教瑜伽-筋膜枪cc"/>
        <s v="0605-种草-信息流-白白-心率跳绳"/>
        <s v="0605-种草-信息流-咕咕猪小短腿-体脂秤3"/>
        <s v="0605-种草-信息流-努力变好的yy-筋膜枪cc"/>
        <s v="0606-种草-信息流-威风凛凛小队长-体脂秤3"/>
        <s v="0606-种草-信息流-努力变好的yy-筋膜枪cc"/>
        <s v="0606-小雪瑜伽-类目词-筋膜枪cc-"/>
        <s v="0606- 圆又圆超爱笑-类目词-筋膜枪cc"/>
        <s v="0606-小方-类目词-体脂秤3mini"/>
        <s v="0606-pp-类目词-体脂秤3mini"/>
        <s v="0606-种草-信息流-pp-体脂秤3mini"/>
        <s v="0607-种草-信息流-雪瑜伽-筋膜枪cc"/>
        <s v="0607-种草-信息流-干坐着的小瑶-筋膜枪cc"/>
        <s v="0607-种草-信息流-辣妈含含-体脂秤3"/>
        <s v="0607-种草-信息流-凯琳-心率跳绳"/>
        <s v="0607-种草-信息流-杨大大-心率跳绳"/>
        <s v="0608-种草-信息流-丫丫小姐姐-心率跳绳"/>
        <s v="0614-种草-信息流-六月炎妍-体脂秤3mini"/>
        <s v="0614-种草-信息流- 星星要变瘦-筋膜枪cc"/>
        <s v="0614-种草-信息流- 苏妤Sere-筋膜枪cc"/>
        <s v="0614-种草-信息流-小月月-体脂秤3"/>
        <s v="0614-种草-搜索-干坐着的小瑶"/>
        <s v="0615-抢赛道-凯琳-首位-心率跳绳"/>
        <s v="0615-抢赛道-炎妍-类目词-体脂秤3mini"/>
        <s v="0615-种草-信息流-马可乐-体脂秤3mini"/>
        <s v="0615-抢前3-苏妤-类目词-筋膜枪cc"/>
        <s v="0615-抢首-郝有金-类目词-筋膜枪cc"/>
        <s v="0615-抢前3-粥粥-类目词-心率跳绳"/>
        <s v="0616-抢前3-马可乐-功效词-体脂秤3mini"/>
        <s v="0616-种草-信息流-茜茜子-体脂秤3mini"/>
        <s v="0616-种草-信息流-丹丹-筋膜枪cc"/>
        <s v="0616-种草-信息流-林菀桃桃-筋膜枪cc"/>
        <s v="0616-种草-信息流-爱撸铁的丁-筋膜枪cc"/>
        <s v="0616-种草-信息流-熊猫叮-筋膜枪cc"/>
        <s v="0617-种草-信息流-生椰黎子-体脂秤3mini"/>
        <s v="0617-种草-信息流-福崽-筋膜枪cc"/>
        <s v="0617-种草-信息流-小胡的张张-筋膜枪cc"/>
        <s v="0620-种草-信息流-小蕾-筋膜枪cc"/>
        <s v="0727-种草-信息流-小翻译美芽酱-点击"/>
        <s v="0802-种草-信息流-曲美腻腻-互动点击"/>
        <s v="0804-种草-信息流-阿煜-互动点击"/>
        <s v="0805-种草-信息流-Jeremy 赵-筋膜枪"/>
        <s v="0802-种草-信息流-曲美腻腻-互动点击_复制160803"/>
        <s v="0808-种草-搜素-郝有金-筋膜枪-品牌词-首"/>
        <s v="0808-种草-搜素-郝有金-筋膜枪-品牌词-首_复制185616"/>
        <s v="0808-种草-搜素-郝有金-筋膜枪-品牌词-首_复制185753"/>
        <s v="0808-种草-搜素-郝有金-筋膜枪-品牌词-首_复制185930"/>
        <s v="0808-种草-搜素-郝有金-筋膜枪-品牌词-首_复制190437"/>
        <s v="0808-种草-搜素-郝有金-筋膜枪-品牌词-首_复制190957"/>
        <s v="0808-种草-搜素-郝有金-筋膜枪-品牌词-首_复制191612"/>
        <s v="0808-种草-搜素-郝有金-筋膜枪-品牌词-首_复制191843"/>
        <s v="0809-种草-信息流-元气芥末酱-点击"/>
        <s v="0811-种草-信息流-马可乐-筋膜枪-点击"/>
        <s v="0812-种草-信息流-朱俊畅-pb-点击"/>
        <s v="0811-种草-信息流-马可乐-筋膜枪-点击_复制154842"/>
        <s v="0817-种草-信息流-大红辣辣椒-pb"/>
        <s v="0818-种草-信息流-板野友美-pb"/>
        <s v="0818-种草-搜索-元气芥末酱-pb-类目词"/>
        <s v="0819-种草-信息流-圆圆-pb"/>
        <s v="0820-种草-信息流-板野友美iii-pb"/>
        <s v="0822-种草-信息流-雾霾少女i-pb"/>
        <s v="0822-种草-信息流-小蓝i-pb"/>
        <s v="0823-种草-信息流-桃子酱酱-pb"/>
        <s v="0823-种草-信息流-月亮起床了-pb"/>
        <s v="0829-种草-信息流-爱梨-pb"/>
        <s v="0831-种草-信息流-雪碧要加冰-pb"/>
        <s v="0831-种草-信息流-朱俊畅-pb"/>
        <s v="0831-种草-信息流-小雪教瑜伽-cc"/>
        <s v="0831-种草-搜索-朱俊畅-pb-类目词"/>
        <s v="0831-种草-搜索-小雪教瑜伽-cc-类目词"/>
        <s v="0901-种草-信息流-玩长板的慧慧-pb"/>
        <s v="0901-种草-信息流-Bruce小厮-pb"/>
        <s v="0901-种草-搜索-芥末酱-pb-类目词"/>
        <s v="0902-种草-信息流-木子棋Kiki-pb-点击"/>
        <s v="0902-种草-信息流-包子熟了-pb-点击"/>
        <s v="0902-种草-搜索-马可乐-pb-类目词"/>
        <s v="0905-种草-搜索-包子熟了-pb-类目词"/>
        <s v="0906-种草-信息流-Lucas雨田-pb-点"/>
        <s v="0907-种草-搜索-木子棋-pb-类目词"/>
        <s v="0908-种草-搜索-阿三啊-pb-"/>
        <s v="0909-种草-搜索-圆圆-pb-类目词"/>
        <s v="0909-种草-信息流-JJJJackson-pb"/>
        <s v="0910-种草-搜索-小四-pb-类目"/>
        <s v="国产收音机X"/>
        <s v="跑酷莫承烽"/>
        <s v="国产收音机X_复制183035"/>
        <s v="0917-种草-信息流-朱俊畅-pb-点击-"/>
        <s v="国产收音机X_复制182936"/>
        <s v="0919-种草-信息流-西米-pb"/>
        <s v="0919-种草-信息流-林然-pb"/>
        <s v="0922-种草-信息流-芥末酱-pb"/>
        <s v="0923-种草-信息流-小羊羔崽子-pb-互动"/>
        <s v="0923-种草-信息流-一颗西兰花fa-pb-点击"/>
        <s v="0924-种草-信息流-小羊羔崽子-点击"/>
        <s v="0924-种草-信息流-一颗西兰花fa-点击"/>
        <s v="0926-种草-信息流-小小柯尔鸭-自定义标签"/>
        <s v="0928-种草-信息流-西米-点击"/>
        <s v="0928-种草-信息流-高凯元-pb-互动"/>
        <s v="0919-种草-信息流-西米-pb_复制161035"/>
        <s v="0930-种草-搜索-芥末酱-类目词"/>
        <s v="0930-种草-搜索-pp-3mini-类目词"/>
        <s v="1011-种草-信息流-臃肿大白鹅"/>
        <s v="1011-种草-信息流-芋泥团团茶"/>
        <s v="1013-种草-信息流-板野友美-pb"/>
        <s v="1014-种草-信息流-一颗西兰花fa"/>
        <s v="1014-种草-信息流-郝有金-cc"/>
        <s v="1014-种草-信息流-一颗西"/>
        <s v="1018-种草-信息流-蜜桃少女宁小美-cc"/>
        <s v="1018-种草-信息流-thePans.-cc"/>
        <s v="1018-种草-信息流-pp-体脂秤-3mini"/>
        <s v="1018-种草-信息流-pp-体脂秤-点击"/>
        <s v="1014-种草-信息流-一颗西兰花fa_复制210502"/>
        <s v="1018-种草-信息流-thePans.-cc_复制213708"/>
        <s v="1019-种草-信息流-索菲亚-体脂秤-3mini"/>
        <s v="1019-种草-信息流-健康营养师格格"/>
        <s v="1019-种草-信息流-咦同学-筋膜枪-cc"/>
        <s v="1020-种草-信息流-thePans-筋膜枪cc"/>
        <s v="1020-信息流-橘子汽水-体脂秤-3mini"/>
        <s v="1021-信息流-诸葛亮晶晶-体脂秤-3mini"/>
        <s v="1014-种草-信息流-一颗西兰花fa_复制180331"/>
        <s v="1022-种草-信息流-小羊羔崽子-筋膜枪-pb"/>
        <s v="1022-种草-信息流-形体矫正小李-筋膜枪-pb"/>
        <s v="1024-抢位-一颗西兰花fa-筋膜枪-品牌词"/>
        <s v="1024-种草-信息流-一颗西兰花fa-品类词"/>
        <s v="1024-信息流-pp-体脂秤-3mini"/>
        <s v="1024-信息流-pp-体脂-3mini-品牌词"/>
        <s v="1024-信息流-pp-体脂-3mini-品牌词_复制182937"/>
        <s v="1025-种草-信息流-脆鱼日记-筋膜枪cc"/>
        <s v="1025-种草-信息流- 蜜桃少女宁-筋膜枪cc"/>
        <s v="1026-种草-信息流-西米-筋膜枪-pb"/>
        <s v="1026-搜索-包子-品牌词"/>
        <s v="1026-搜索-包子-品类词"/>
        <s v="11029-种草-信息流-小乔您了-筋膜枪-pb"/>
        <s v="1026-搜索-芥末酱-品类词"/>
        <s v="1031-搜索-郝有金-品类词"/>
        <s v="1031-搜索-小岛-品类词"/>
        <s v="1031-搜索-橘子汽水-品类词"/>
        <s v="1031-搜索-小岛-体脂秤-3mini-类目词"/>
        <s v="1022-种草-信息流-小羊羔崽子-筋膜枪-pb_复制201824"/>
        <s v="1031-搜索-小岛-体脂秤-3mini-类目词_"/>
        <s v="1101-种草-信息流-小甜心-体脂秤-3mini"/>
        <s v="1101-种草-信息流-周周也是倩倩-筋膜枪-pb"/>
        <s v="1101-种草-信息流-Zora张张-筋膜枪-pb"/>
        <s v="1102-种草-信息流-爱健身陈淼淼-筋膜枪-pb"/>
        <s v="1103-种草-信息流-晚一子-点击"/>
        <s v="1102-种草-信息流-爱健身陈淼淼-筋膜枪-pb_复制190941"/>
        <s v="1105-种草-信息流-Zora張張-筋膜枪-cc"/>
        <s v="1106-种草-信息流-脆鱼日记-筋膜枪cc"/>
        <s v="1026-搜索-包子-品类词_复制193653"/>
        <s v="1107-种草-信息流-语宸-筋膜枪cc"/>
        <s v="1107-种草-信息流-小糖果-筋膜枪cc"/>
        <s v="1107-种草-信息流-毛豆-体脂秤3mini"/>
        <s v="1107-种草-信息流-趁早早-体脂秤3mini"/>
        <s v="1022-种草-信息流-小羊羔崽子-筋膜枪-pb_复制221708"/>
        <s v="1108-种草-信息流-语宸-筋膜枪cc"/>
        <s v="1108-种草-信息流-晚一子-体脂秤3mini"/>
        <s v="1108-搜索-小羊羔-品类词"/>
        <s v="1109-种草-信息流-趁早早-体脂秤3mini"/>
        <s v="1109-种草-信息流-小岛-体脂秤3mini"/>
        <s v="1108-搜索-小羊羔-品类词_复制193404"/>
        <s v="1110-种草-信息流-野生辣妹-筋膜枪"/>
        <s v="1110-种草-信息流-樱桃小丸子-筋膜枪"/>
        <s v="1110-种草-信息流-秦亲亲-体脂秤3mini"/>
        <s v="1110-种草-信息流-曼玉-跳绳"/>
        <s v="1111-搜索-马可乐-体脂秤-3mini-类目词"/>
        <s v="0823-种草-信息流-小蓝i-pb"/>
        <s v="0824-种草-信息流-小蓝i-pb"/>
        <s v="0825-种草-信息流-小蓝i-pb"/>
        <s v="0826-种草-信息流-小蓝i-pb"/>
        <s v="0827-种草-信息流-小蓝i-pb"/>
        <s v="0828-种草-信息流-小蓝i-pb"/>
        <s v="0829-种草-信息流-小蓝i-pb"/>
        <s v="0830-种草-信息流-小蓝i-pb"/>
        <s v="0831-种草-信息流-小蓝i-pb"/>
        <s v="0832-种草-信息流-小蓝i-pb"/>
        <s v="0833-种草-信息流-小蓝i-pb"/>
        <s v="0834-种草-信息流-小蓝i-pb"/>
        <s v="0835-种草-信息流-小蓝i-pb"/>
        <s v="0836-种草-信息流-小蓝i-pb"/>
        <s v="0837-种草-信息流-小蓝i-pb"/>
        <s v="0838-种草-信息流-小蓝i-pb"/>
        <s v="1201-信息流-蔓玉有点甜-跳绳"/>
        <s v="1201-信息流-miss小宝-筋膜枪pb2"/>
        <s v="1202-信息流-嘎嘎今天不要懒-跳绳2go"/>
        <s v="1203-信息流-小饼-筋膜枪cc"/>
        <s v="1203-信息流-包子熟了-筋膜枪pb2"/>
        <s v="芒果腻"/>
        <s v="1204-种草-信息流-一颗西兰花-筋膜枪pb2"/>
        <s v="1204-种草-信息流-zora张张-ccgo"/>
        <s v="1204-种草-信息流-猪脚-跳绳2go"/>
        <s v="1205-种草-信息流-小羊羔崽子-筋膜枪pb2"/>
        <s v="1205-种草-信息流-臃肿大白鹅-筋膜枪pb2"/>
        <s v="1205-种草-信息流-蛋卷er-筋膜枪cc"/>
        <s v="1206-种草-信息流-紫菜-筋膜枪cc"/>
        <s v="1207-抢位-包子-cc-首位"/>
        <s v="1207-抢位-张张-cc-前三"/>
        <s v="1207-种草-信息流-Morii-跳绳2go"/>
        <s v="1208-种草-信息流- 是33崽-筋膜枪cc"/>
        <s v="1209-种草-信息流-马可乐-pb2"/>
        <s v="1212-抢位-马可乐-pb-前三"/>
        <m/>
      </sharedItems>
    </cacheField>
    <cacheField name="单元ID" numFmtId="0">
      <sharedItems containsString="0" containsBlank="1" containsNumber="1" containsInteger="1" minValue="0" maxValue="7047407" count="228">
        <n v="2918793"/>
        <n v="2918813"/>
        <n v="2918831"/>
        <n v="2959750"/>
        <n v="2959778"/>
        <n v="2959797"/>
        <n v="2959816"/>
        <n v="2959820"/>
        <n v="2959834"/>
        <n v="2959849"/>
        <n v="2959861"/>
        <n v="2959880"/>
        <n v="2966106"/>
        <n v="2966132"/>
        <n v="2966196"/>
        <n v="2978792"/>
        <n v="2978801"/>
        <n v="2978810"/>
        <n v="2984115"/>
        <n v="2984144"/>
        <n v="2984271"/>
        <n v="2984400"/>
        <n v="2993851"/>
        <n v="3001667"/>
        <n v="3001688"/>
        <n v="3001731"/>
        <n v="3001791"/>
        <n v="3007578"/>
        <n v="3007658"/>
        <n v="3007662"/>
        <n v="3007667"/>
        <n v="3014687"/>
        <n v="3014707"/>
        <n v="3014737"/>
        <n v="3014754"/>
        <n v="3014764"/>
        <n v="3014779"/>
        <n v="3014783"/>
        <n v="3020475"/>
        <n v="3020499"/>
        <n v="3020580"/>
        <n v="3020613"/>
        <n v="3020628"/>
        <n v="3028319"/>
        <n v="3067706"/>
        <n v="3067718"/>
        <n v="3067721"/>
        <n v="3067744"/>
        <n v="3068565"/>
        <n v="3074136"/>
        <n v="3076866"/>
        <n v="3076999"/>
        <n v="3077376"/>
        <n v="3077590"/>
        <n v="3077734"/>
        <n v="3087946"/>
        <n v="3087955"/>
        <n v="3087971"/>
        <n v="3087973"/>
        <n v="3087983"/>
        <n v="3087989"/>
        <n v="3099180"/>
        <n v="3099710"/>
        <n v="3099720"/>
        <n v="3118218"/>
        <n v="3362209"/>
        <n v="3466574"/>
        <n v="3493737"/>
        <n v="3514560"/>
        <n v="3544995"/>
        <n v="3580052"/>
        <n v="3580060"/>
        <n v="3580099"/>
        <n v="3580132"/>
        <n v="3580226"/>
        <n v="3580327"/>
        <n v="3580433"/>
        <n v="3580480"/>
        <n v="3600311"/>
        <n v="3639848"/>
        <n v="3665138"/>
        <n v="3729412"/>
        <n v="3755110"/>
        <n v="3775804"/>
        <n v="3775925"/>
        <n v="3798655"/>
        <n v="3817956"/>
        <n v="3851140"/>
        <n v="3851160"/>
        <n v="3870533"/>
        <n v="3870563"/>
        <n v="3992888"/>
        <n v="4036081"/>
        <n v="4039162"/>
        <n v="4039210"/>
        <n v="4039364"/>
        <n v="4039390"/>
        <n v="4059790"/>
        <n v="4059827"/>
        <n v="4061725"/>
        <n v="4083919"/>
        <n v="4084168"/>
        <n v="4084260"/>
        <n v="4133905"/>
        <n v="4155782"/>
        <n v="4178883"/>
        <n v="4206144"/>
        <n v="4228760"/>
        <n v="4228800"/>
        <n v="4239566"/>
        <n v="4314778"/>
        <n v="4314821"/>
        <n v="4365075"/>
        <n v="4384092"/>
        <n v="4365044"/>
        <n v="4425179"/>
        <n v="4425218"/>
        <n v="4507302"/>
        <n v="4528587"/>
        <n v="4528603"/>
        <n v="4551147"/>
        <n v="4551153"/>
        <n v="4605593"/>
        <n v="4664600"/>
        <n v="4664833"/>
        <n v="4667757"/>
        <n v="4743757"/>
        <n v="4743785"/>
        <n v="5010053"/>
        <n v="5010131"/>
        <n v="5077750"/>
        <n v="5116446"/>
        <n v="5119266"/>
        <n v="5192303"/>
        <n v="5218190"/>
        <n v="5218235"/>
        <n v="5218312"/>
        <n v="5234903"/>
        <n v="5235064"/>
        <n v="5235825"/>
        <n v="5258337"/>
        <n v="5258914"/>
        <n v="5259036"/>
        <n v="5300130"/>
        <n v="5300358"/>
        <n v="5332127"/>
        <n v="5338035"/>
        <n v="5366393"/>
        <n v="5366424"/>
        <n v="5428268"/>
        <n v="5428627"/>
        <n v="5428999"/>
        <n v="5429032"/>
        <n v="5429663"/>
        <n v="5474004"/>
        <n v="5479098"/>
        <n v="5521266"/>
        <n v="5521358"/>
        <n v="5521414"/>
        <n v="5634352"/>
        <n v="5694637"/>
        <n v="5694754"/>
        <n v="5694908"/>
        <n v="5694979"/>
        <n v="5699471"/>
        <n v="5700276"/>
        <n v="5700336"/>
        <n v="5731231"/>
        <n v="5732324"/>
        <n v="5732455"/>
        <n v="5771085"/>
        <n v="5809017"/>
        <n v="5851094"/>
        <n v="5880638"/>
        <n v="5893381"/>
        <n v="5942225"/>
        <n v="5942327"/>
        <n v="5942343"/>
        <n v="5942377"/>
        <n v="5942417"/>
        <n v="5946923"/>
        <n v="5980615"/>
        <n v="5980832"/>
        <n v="5980913"/>
        <n v="6017655"/>
        <n v="6017685"/>
        <n v="6017761"/>
        <n v="6056558"/>
        <n v="6056608"/>
        <n v="6056747"/>
        <n v="6056874"/>
        <n v="6095328"/>
        <n v="3851161"/>
        <n v="3851162"/>
        <n v="3851163"/>
        <n v="3851164"/>
        <n v="3851165"/>
        <n v="3851166"/>
        <n v="3851167"/>
        <n v="3851168"/>
        <n v="3851169"/>
        <n v="3851170"/>
        <n v="3851171"/>
        <n v="3851172"/>
        <n v="3851173"/>
        <n v="3851174"/>
        <n v="3851175"/>
        <n v="3851176"/>
        <n v="6702550"/>
        <n v="6702577"/>
        <n v="6725293"/>
        <n v="6759755"/>
        <n v="6759811"/>
        <n v="6759850"/>
        <n v="6779533"/>
        <n v="6779552"/>
        <n v="6779635"/>
        <n v="6811834"/>
        <n v="6811939"/>
        <n v="6812062"/>
        <n v="6841351"/>
        <n v="6872965"/>
        <n v="6872994"/>
        <n v="6873109"/>
        <n v="6908546"/>
        <n v="6951868"/>
        <n v="7047407"/>
        <m/>
      </sharedItems>
    </cacheField>
    <cacheField name="计划名称" numFmtId="0">
      <sharedItems containsBlank="1" count="229">
        <s v="0519-种草-信息流-筋膜枪赛马测试"/>
        <s v="0519-种草-信息流-体脂秤3"/>
        <s v="0519-种草-信息流-体脂秤3mini赛马测试"/>
        <s v="0526-种草-信息流-爱跳绳粥粥-云麦跳绳心率款"/>
        <s v="0526-种草-搜索-我是铁核桃-云麦体脂秤3"/>
        <s v="0526-郝有金-筋膜枪cc-类目词--首位"/>
        <s v="0601- 圆又圆超爱笑-类目词-筋膜枪cc-前3"/>
        <s v="0526-种草-信息流-热锅上的蚂蚁-筋膜枪cc"/>
        <s v="0526-种草-搜索-pp-体脂秤3mini"/>
        <s v="0526-种草-搜索-大敏敏-体脂秤3mini"/>
        <s v="0526-种草-信息流-七七-体脂秤3mini"/>
        <s v="0527-种草-信息流-pp-体脂秤3mini"/>
        <s v="0527-种草-信息流-Sophia大大-筋膜枪c"/>
        <s v="0530-种草-信息流-我是铁核桃-体脂秤3"/>
        <s v="0602-体脂秤3mini-类目词-首位"/>
        <s v="0530-种草-信息流-大桐yoto-体脂秤3mi"/>
        <s v="0530-种草-信息流-Amy-体脂秤3mini"/>
        <s v="0531-种草-信息流-白白-心率跳绳"/>
        <s v="0606-种草-信息流-小小李-云麦心率跳绳"/>
        <s v="0601-种草-信息流-小菜包-云麦体脂秤3"/>
        <s v="0531-信息流-大桐yoto-体脂秤3mini"/>
        <s v="0601-小雪瑜伽-筋膜枪-类目词-首位"/>
        <s v="0602-种草-信息流-小雪教瑜伽-筋膜枪cc"/>
        <s v="0602-种草-信息流-努力变好的yy-筋膜枪"/>
        <s v="0603-种草-信息流-咕咕猪小短腿-体脂秤3"/>
        <s v="0602-种草-信息流-心率跳绳赛马测试"/>
        <s v="0605-种草-信息流-小雪教瑜伽-筋膜枪cc"/>
        <s v="0605-种草-信息流-白白-心率跳绳"/>
        <s v="0605-种草-信息流-咕咕猪小短腿-体脂秤3"/>
        <s v="0605-种草-信息流-努力变好的yy-筋膜枪cc"/>
        <s v="0606-种草-信息流-威风凛凛小队长-体脂秤3"/>
        <s v="0606-种草-信息流-努力变好的yy-筋膜枪cc"/>
        <s v="0606-小雪瑜伽-类目词-筋膜枪cc-"/>
        <s v="0606- 圆又圆超爱笑-类目词-筋膜枪cc"/>
        <s v="0614-种草-信息流-小方-体脂秤3mini"/>
        <s v="0614-pp-类目词-体脂秤3mini"/>
        <s v="0606-种草-信息流-pp-体脂秤3mini"/>
        <s v="0614-种草-信息流-雪瑜伽-筋膜枪cc"/>
        <s v="0607-种草-信息流-干坐着的小瑶-筋膜枪cc"/>
        <s v="0607-种草-信息流-辣妈含含-体脂秤3"/>
        <s v="0607-种草-信息流-凯琳-心率跳绳"/>
        <s v="0607-种草-信息流-杨大大-心率跳绳"/>
        <s v="0608-种草-信息流-丫丫小姐姐-心率跳绳"/>
        <s v="0614-种草-信息流-六月炎妍-体脂秤3mini"/>
        <s v="0614-种草-信息流- 星星要变瘦-筋膜枪cc"/>
        <s v="0614-种草-信息流- 苏妤Sere-筋膜枪cc"/>
        <s v="0614-种草-信息流-小月月-体脂秤3"/>
        <s v="0614-抢前3-干坐着的小瑶-类目词-筋膜枪cc"/>
        <s v="0615-抢赛道-凯琳-首位-心率跳绳"/>
        <s v="0615-抢前3-炎妍-类目词-体脂秤3mini"/>
        <s v="0615-种草-信息流-马可乐-体脂秤3mini"/>
        <s v="0615-抢前3-苏妤-类目词-筋膜枪cc"/>
        <s v="0615-抢首-郝有金-类目词-筋膜枪cc"/>
        <s v="0615-抢前3-粥粥-类目词-心率跳绳"/>
        <s v="0616-抢前3-马可乐-功效词-体脂秤3mini"/>
        <s v="0616-种草-信息流-茜茜子-体脂秤3mini"/>
        <s v="0616-种草-信息流-丹丹-筋膜枪cc"/>
        <s v="0616-种草-信息流-林菀桃桃-筋膜枪cc"/>
        <s v="0616-种草-信息流-爱撸铁的丁-筋膜枪cc"/>
        <s v="0616-种草-信息流-熊猫叮-筋膜枪cc"/>
        <s v="0617-种草-信息流-生椰黎子-体脂秤3mini"/>
        <s v="0617-种草-信息流-福崽-筋膜枪cc"/>
        <s v="0617-种草-信息流-小胡的张张-筋膜枪cc"/>
        <s v="0620-种草-信息流-小蕾-筋膜枪cc"/>
        <s v="0727-种草-信息流-小翻译美芽酱-点击"/>
        <s v="0802-种草-信息流-曲美腻腻-筋膜枪-互动点击"/>
        <s v="0804-种草-信息流-阿煜-筋膜枪-互动点击"/>
        <s v="0805-种草-信息流-Jeremy 赵-筋膜枪"/>
        <s v="0806-种草-信息流-小恩哥带你练臀-筋膜枪"/>
        <s v="0808-种草-搜素-郝有金-筋膜枪-品牌词-首"/>
        <s v="0808-种草-搜素-苏舒-筋膜枪-品牌词-首"/>
        <s v="0808-种草-搜素-郝有金-筋膜枪-类目词-首"/>
        <s v="0808-种草-搜素-苏舒-筋膜枪-类目词-前三"/>
        <s v="0808-种草-搜素-苏舒-筋膜枪-竞品词-首"/>
        <s v="0808-种草-搜素-pp-体脂秤-品牌词-首"/>
        <s v="0808-种草-搜素-pp-体脂秤-类目词-首"/>
        <s v="0808-种草-搜素-pp-体脂秤-竞品词-首"/>
        <s v="0809-种草-信息流-元气芥末酱-筋膜枪-点击"/>
        <s v="0811-种草-信息流-马可乐-pb-点击"/>
        <s v="0812-种草-信息流-朱俊畅-pb-点击"/>
        <s v="0816-种草-信息流-爱跳绳的粥粥-pb-点击"/>
        <s v="0817-种草-信息流-大红辣辣椒-pb"/>
        <s v="0818-种草-信息流-板野友美-pb"/>
        <s v="0818-种草-搜索-元气芥末酱-pb-类目词"/>
        <s v="0819-种草-信息流-圆圆-pb"/>
        <s v="0820-种草-信息流-板野友美iii-pb"/>
        <s v="0822-种草-信息流-雾霾少女i-pb"/>
        <s v="0822-种草-信息流-小蓝i-pb"/>
        <s v="0823-种草-信息流-桃子酱酱-pb"/>
        <s v="0823-种草-信息流-月亮起床了-pb"/>
        <s v="0829-种草-信息流-爱梨-pb"/>
        <s v="0831-种草-信息流-雪碧要加冰-pb"/>
        <s v="0831-种草-信息流-朱俊畅-pb"/>
        <s v="0831-种草-信息流-小雪教瑜伽-cc"/>
        <s v="0831-种草-搜索-朱俊畅-pb-类目词"/>
        <s v="0831-种草-搜索-小雪教瑜伽-cc-类目词"/>
        <s v="0901-种草-信息流-玩长板的慧慧-pb"/>
        <s v="0901-种草-信息流-Bruce小厮-pb"/>
        <s v="0901-种草-搜索-芥末酱-pb-类目词"/>
        <s v="0902-种草-信息流-木子棋Kiki-pb-点击"/>
        <s v="0902-种草-信息流-包子熟了-pb-点击"/>
        <s v="0902-种草-搜索-马可乐-pb-类目词"/>
        <s v="0905-种草-搜索-包子熟了-pb-类目词"/>
        <s v="0906-种草-信息流-Lucas雨田-pb-点"/>
        <s v="0907-种草-搜索-木子棋Ki-pb-类目词"/>
        <s v="0908-种草-信息流-阿三啊-pb-点"/>
        <s v="0909-种草-搜索-圆圆-pb-类目词"/>
        <s v="0909-种草-信息流-JJJJackson-pb"/>
        <s v="0910-种草-搜索-小厮-pb-类目词"/>
        <s v="0914-种草-信息流-国产收音机X-pb"/>
        <s v="0914-种草-信息流-跑酷莫承烽-pb"/>
        <s v="0916-种草-信息流-小刘爱游泳-pb"/>
        <s v="0917-种草-信息流-朱俊畅-pb-点击-"/>
        <s v="0918-种草-信息流-小乔您了-pb"/>
        <s v="0919-种草-信息流-西米-pb"/>
        <s v="0919-种草-信息流-林然-pb"/>
        <s v="0922-种草-信息流-芥末酱-pb"/>
        <s v="0923-种草-信息流-小羊羔崽子-pb-互动"/>
        <s v="0923-种草-信息流-一颗西兰花fa-pb-互动"/>
        <s v="0924-种草-信息流-小羊羔崽子-点击"/>
        <s v="0924-种草-信息流-一颗西兰花fa-点击"/>
        <s v="0926-种草-信息流-小小柯尔鸭--pb-自定义"/>
        <s v="0928-种草-信息流-西米-pb-点击"/>
        <s v="0928-种草-信息流-高凯元-pb-互动"/>
        <s v="0919-种草-信息流-西米-pb-通投"/>
        <s v="0930-种草-搜索-芥末酱-类目词"/>
        <s v="0930-种草-搜索-pp-3mini-类目词"/>
        <s v="1011-种草-信息流-臃肿大白鹅"/>
        <s v="1011-种草-信息流-芋泥团团茶"/>
        <s v="1013-种草-信息流-板野友美-pb"/>
        <s v="1014-种草-信息流-一颗西兰花fa"/>
        <s v="1014-种草-信息流-郝有金-cc"/>
        <s v="1014-种草-信息流-一颗西兰花fa_pb"/>
        <s v="1018-种草-信息流-蜜桃少女宁小美-cc"/>
        <s v="1018-种草-信息流-thePans.-cc"/>
        <s v="1018-种草-信息流-pp-体脂秤-3mini"/>
        <s v="1018-种草-信息流-pp-体脂秤-点击"/>
        <s v="1018-种草-信息流-一颗西兰花fa_pb"/>
        <s v="1018-种草-信息流-thePans.-cc-"/>
        <s v="1019-种草-信息流-索菲亚-体脂秤-3mini"/>
        <s v="1019-种草-信息流-营养师格格-筋膜枪-cc"/>
        <s v="1019-种草-信息流-咦同学-筋膜枪-cc"/>
        <s v="1020-种草-信息流-thePans-筋膜枪cc"/>
        <s v="1020-信息流-橘子汽水-体脂秤-3mini"/>
        <s v="1021-信息流-诸葛亮晶晶-体脂秤-3mini"/>
        <s v="1021-种草-信息流-一颗西兰花fa_pb_复制"/>
        <s v="1022-种草-信息流-小羊羔崽子-筋膜枪-pb"/>
        <s v="1022-种草-信息流-形体矫正小李-筋膜枪-pb"/>
        <s v="1024-搜索-一颗西兰花fa-品牌词"/>
        <s v="1024-搜索-一颗西兰花fa-品类词"/>
        <s v="1024-信息流-pp-体脂秤-3mini"/>
        <s v="1024-搜索-pp-体脂-3mini-品牌词"/>
        <s v="1024-搜索-pp-体脂秤-3mini-类目词"/>
        <s v="1025-种草-信息流-脆鱼日记-筋膜枪cc"/>
        <s v="1025-种草-信息流- 蜜桃少女宁-筋膜枪cc"/>
        <s v="1026-种草-信息流-西米-筋膜枪-pb"/>
        <s v="1026-搜索-包子-品牌词"/>
        <s v="1026-搜索-包子-品类词"/>
        <s v="1029-种草-信息流-小乔您了-筋膜枪-pb"/>
        <s v="1026-搜索-芥末酱-品类词"/>
        <s v="1031-搜索-郝有金-品类词"/>
        <s v="1031-搜索-小岛-品类词"/>
        <s v="1031-搜索-橘子汽水-品类词"/>
        <s v="1031-搜索-小岛-体脂秤-3mini-类目词"/>
        <s v="1031-种草-信息流-小羊羔崽子-筋膜枪-pb_"/>
        <s v="1031-搜索-橘子汽水-体脂秤-3mini-类目"/>
        <s v="1101-种草-信息流-小甜心-体脂秤-3mini"/>
        <s v="1101-种草-信息流-周周也是倩倩-筋膜枪-pb"/>
        <s v="1101-种草-信息流-Zora张张-筋膜枪-pb"/>
        <s v="1102-种草-信息流-爱健身陈淼淼-筋膜枪-pb"/>
        <s v="1103-种草-信息流-晚一子-点击"/>
        <s v="1104-种草-信息流-爱健身陈淼淼-筋膜枪-pb"/>
        <s v="1105-种草-信息流-Zora張張-筋膜枪-pb"/>
        <s v="1106-种草-信息流-脆鱼日记-筋膜枪cc"/>
        <s v="1107-搜索-西兰花-品类词_"/>
        <s v="1107-种草-信息流-语宸-筋膜枪cc"/>
        <s v="1107-种草-信息流-小糖果-筋膜枪cc"/>
        <s v="1107-种草-信息流-毛豆-体脂秤3mini"/>
        <s v="1107-种草-信息流-趁早早-体脂秤3mini"/>
        <s v="1107-种草-信息流-小羊羔崽子-筋膜枪-pb"/>
        <s v="1108-种草-信息流-方丈-筋膜枪pb"/>
        <s v="1108-种草-信息流-晚一子-体脂秤3mini"/>
        <s v="1108-搜索-小羊羔-品类词"/>
        <s v="1109-种草-信息流-趁早早-体脂秤3mini"/>
        <s v="1109-种草-信息流-小岛-体脂秤3mini"/>
        <s v="1108-搜索-猪脚-跳绳-品类词"/>
        <s v="1110-种草-信息流-野生辣妹-筋膜枪"/>
        <s v="1110-种草-信息流-樱桃小丸子-筋膜枪"/>
        <s v="1110-种草-信息流-秦亲亲-体脂秤3mini"/>
        <s v="1110-种草-信息流-曼玉-跳绳"/>
        <s v="1111-搜索-马可乐-体脂秤-3mini-类目词"/>
        <s v="0823-种草-信息流-小蓝i-pb"/>
        <s v="0824-种草-信息流-小蓝i-pb"/>
        <s v="0825-种草-信息流-小蓝i-pb"/>
        <s v="0826-种草-信息流-小蓝i-pb"/>
        <s v="0827-种草-信息流-小蓝i-pb"/>
        <s v="0828-种草-信息流-小蓝i-pb"/>
        <s v="0829-种草-信息流-小蓝i-pb"/>
        <s v="0830-种草-信息流-小蓝i-pb"/>
        <s v="0831-种草-信息流-小蓝i-pb"/>
        <s v="0832-种草-信息流-小蓝i-pb"/>
        <s v="0833-种草-信息流-小蓝i-pb"/>
        <s v="0834-种草-信息流-小蓝i-pb"/>
        <s v="0835-种草-信息流-小蓝i-pb"/>
        <s v="0836-种草-信息流-小蓝i-pb"/>
        <s v="0837-种草-信息流-小蓝i-pb"/>
        <s v="0838-种草-信息流-小蓝i-pb"/>
        <s v="1201-信息流-蔓玉有点甜-跳绳"/>
        <s v="1201-信息流-miss小宝-筋膜枪pb2"/>
        <s v="1202-信息流-嘎嘎今天不要懒-跳绳2go"/>
        <s v="1203-信息流-小饼-筋膜枪cc"/>
        <s v="1203-信息流-包子熟了-筋膜枪pb2"/>
        <s v="1203-信息流-芒果腻-跳绳2go"/>
        <s v="1204-种草-信息流-一颗西兰花-筋膜枪pb2"/>
        <s v="1204-种草-信息流-zora张张-ccgo"/>
        <s v="1204-种草-信息流-猪脚-跳绳2go"/>
        <s v="1205-种草-信息流-小羊羔崽子-筋膜枪pb2"/>
        <s v="1205-种草-信息流-臃肿大白鹅-筋膜枪pb2"/>
        <s v="1205-种草-信息流-蛋卷er-筋膜枪cc"/>
        <s v="1206-种草-信息流-紫菜-筋膜枪cc"/>
        <s v="1207-抢位-包子-cc-首位"/>
        <s v="1207-抢位-张张-cc-前三"/>
        <s v="1207-种草-信息流-Morii-跳绳2go"/>
        <s v="1207-抢位-包子-cc-首位--短语"/>
        <s v="1207-抢位-张张-cc-前三-短语"/>
        <s v="1208-种草-信息流- 是33崽-筋膜枪cc"/>
        <s v="1209-种草-信息流-马可乐-pb2"/>
        <s v="1212-抢位-马可乐-pb-前三"/>
        <m/>
      </sharedItems>
    </cacheField>
    <cacheField name="计划ID" numFmtId="0">
      <sharedItems containsString="0" containsBlank="1" containsNumber="1" containsInteger="1" minValue="0" maxValue="5814443" count="227">
        <n v="2325045"/>
        <n v="2325078"/>
        <n v="2325093"/>
        <n v="2362546"/>
        <n v="2362558"/>
        <n v="2362567"/>
        <n v="2362578"/>
        <n v="2362586"/>
        <n v="2362592"/>
        <n v="2362601"/>
        <n v="2362615"/>
        <n v="2368633"/>
        <n v="2368658"/>
        <n v="2368701"/>
        <n v="2380738"/>
        <n v="2380750"/>
        <n v="2380758"/>
        <n v="2385895"/>
        <n v="2385921"/>
        <n v="2385975"/>
        <n v="2386169"/>
        <n v="2394430"/>
        <n v="2400711"/>
        <n v="2400733"/>
        <n v="2400767"/>
        <n v="2400796"/>
        <n v="2405816"/>
        <n v="2405905"/>
        <n v="2405908"/>
        <n v="2405911"/>
        <n v="2412594"/>
        <n v="2412606"/>
        <n v="2412630"/>
        <n v="2412642"/>
        <n v="2412653"/>
        <n v="2412665"/>
        <n v="2412680"/>
        <n v="2418288"/>
        <n v="2418330"/>
        <n v="2418405"/>
        <n v="2418438"/>
        <n v="2418459"/>
        <n v="2426112"/>
        <n v="2464957"/>
        <n v="2464972"/>
        <n v="2464984"/>
        <n v="2465008"/>
        <n v="2465715"/>
        <n v="2470597"/>
        <n v="2473013"/>
        <n v="2473124"/>
        <n v="2473298"/>
        <n v="2473348"/>
        <n v="2473395"/>
        <n v="2483361"/>
        <n v="2483370"/>
        <n v="2483385"/>
        <n v="2483391"/>
        <n v="2483401"/>
        <n v="2483404"/>
        <n v="2494227"/>
        <n v="2494725"/>
        <n v="2494738"/>
        <n v="2512637"/>
        <n v="2750426"/>
        <n v="2852359"/>
        <n v="2879595"/>
        <n v="2900401"/>
        <n v="2930179"/>
        <n v="2965300"/>
        <n v="2965320"/>
        <n v="2965351"/>
        <n v="2965381"/>
        <n v="2965480"/>
        <n v="2965570"/>
        <n v="2965681"/>
        <n v="2965724"/>
        <n v="2985865"/>
        <n v="3024741"/>
        <n v="3050231"/>
        <n v="3114670"/>
        <n v="3140313"/>
        <n v="3160901"/>
        <n v="3160965"/>
        <n v="3183731"/>
        <n v="3202963"/>
        <n v="3236249"/>
        <n v="3236289"/>
        <n v="3255602"/>
        <n v="3255634"/>
        <n v="3377376"/>
        <n v="3419519"/>
        <n v="3422446"/>
        <n v="3422478"/>
        <n v="3422548"/>
        <n v="3422670"/>
        <n v="3442545"/>
        <n v="3442591"/>
        <n v="3444458"/>
        <n v="3466445"/>
        <n v="3466674"/>
        <n v="3466751"/>
        <n v="3516487"/>
        <n v="3538615"/>
        <n v="3561099"/>
        <n v="3587795"/>
        <n v="3609684"/>
        <n v="3609716"/>
        <n v="3620137"/>
        <n v="3692242"/>
        <n v="3692290"/>
        <n v="3739182"/>
        <n v="3756475"/>
        <n v="3739155"/>
        <n v="3793911"/>
        <n v="3793941"/>
        <n v="3866054"/>
        <n v="3884107"/>
        <n v="3884156"/>
        <n v="3901246"/>
        <n v="3901276"/>
        <n v="3943057"/>
        <n v="3987468"/>
        <n v="3987559"/>
        <n v="3990162"/>
        <n v="4046764"/>
        <n v="4046938"/>
        <n v="4244083"/>
        <n v="4244220"/>
        <n v="4295042"/>
        <n v="4323752"/>
        <n v="4325923"/>
        <n v="4379647"/>
        <n v="4398989"/>
        <n v="4399042"/>
        <n v="4399094"/>
        <n v="4411839"/>
        <n v="4411964"/>
        <n v="4412508"/>
        <n v="4430183"/>
        <n v="4430653"/>
        <n v="4430734"/>
        <n v="4462683"/>
        <n v="4462859"/>
        <n v="4486849"/>
        <n v="4491537"/>
        <n v="4512630"/>
        <n v="4512653"/>
        <n v="4559088"/>
        <n v="4559489"/>
        <n v="4559759"/>
        <n v="4559792"/>
        <n v="4560362"/>
        <n v="4594476"/>
        <n v="4598049"/>
        <n v="4629783"/>
        <n v="4629845"/>
        <n v="4629891"/>
        <n v="4716427"/>
        <n v="4763185"/>
        <n v="4763278"/>
        <n v="4763397"/>
        <n v="4763457"/>
        <n v="4766957"/>
        <n v="4767576"/>
        <n v="4767631"/>
        <n v="4791791"/>
        <n v="4792636"/>
        <n v="4792733"/>
        <n v="4823658"/>
        <n v="4853063"/>
        <n v="4883982"/>
        <n v="4905165"/>
        <n v="4914610"/>
        <n v="4951199"/>
        <n v="4951269"/>
        <n v="4951295"/>
        <n v="4951320"/>
        <n v="4951348"/>
        <n v="4954714"/>
        <n v="4980556"/>
        <n v="4980726"/>
        <n v="4980814"/>
        <n v="5008601"/>
        <n v="5008634"/>
        <n v="5008695"/>
        <n v="5038322"/>
        <n v="5038355"/>
        <n v="5038453"/>
        <n v="5038547"/>
        <n v="5066383"/>
        <n v="3236290"/>
        <n v="3236291"/>
        <n v="3236292"/>
        <n v="3236293"/>
        <n v="3236294"/>
        <n v="3236295"/>
        <n v="3236296"/>
        <n v="3236297"/>
        <n v="3236298"/>
        <n v="3236299"/>
        <n v="3236300"/>
        <n v="3236301"/>
        <n v="3236302"/>
        <n v="3236303"/>
        <n v="3236304"/>
        <n v="3236305"/>
        <n v="5544655"/>
        <n v="5544687"/>
        <n v="5562274"/>
        <n v="5588587"/>
        <n v="5588631"/>
        <n v="5588665"/>
        <n v="5603469"/>
        <n v="5603494"/>
        <n v="5603554"/>
        <n v="5629385"/>
        <n v="5629470"/>
        <n v="5629576"/>
        <n v="5653063"/>
        <n v="5677972"/>
        <n v="5678058"/>
        <n v="5678142"/>
        <n v="5706379"/>
        <n v="5740102"/>
        <n v="5814443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19067.98" count="918">
        <n v="537.52"/>
        <n v="120.37"/>
        <n v="62.11"/>
        <n v="187.16"/>
        <n v="174.26"/>
        <n v="288.35"/>
        <n v="450.96"/>
        <n v="73.75"/>
        <n v="29.03"/>
        <n v="185.55"/>
        <n v="70.78"/>
        <n v="299.54"/>
        <n v="227.84"/>
        <n v="46.98"/>
        <n v="92.83"/>
        <n v="8.96"/>
        <n v="174.01"/>
        <n v="276.55"/>
        <n v="83.45"/>
        <n v="68.05"/>
        <n v="2.34"/>
        <n v="154.07"/>
        <n v="113.01"/>
        <n v="31.85"/>
        <n v="16.87"/>
        <n v="0.71"/>
        <n v="36.4"/>
        <n v="285.91"/>
        <n v="4.08"/>
        <n v="65.07"/>
        <n v="0"/>
        <n v="112.47"/>
        <n v="189.27"/>
        <n v="60.74"/>
        <n v="5.61"/>
        <n v="188.12"/>
        <n v="293.5"/>
        <n v="56.86"/>
        <n v="107.59"/>
        <n v="0.78"/>
        <n v="5.8"/>
        <n v="187.29"/>
        <n v="470.03"/>
        <n v="282.27"/>
        <n v="277.58"/>
        <n v="402.77"/>
        <n v="510.08"/>
        <n v="106.3"/>
        <n v="184.75"/>
        <n v="462.84"/>
        <n v="276.07"/>
        <n v="275.36"/>
        <n v="404.53"/>
        <n v="502.44"/>
        <n v="137.64"/>
        <n v="182.98"/>
        <n v="459.63"/>
        <n v="276.64"/>
        <n v="191.7"/>
        <n v="407.8"/>
        <n v="135.68"/>
        <n v="218.19"/>
        <n v="581.37"/>
        <n v="35.44"/>
        <n v="270.79"/>
        <n v="276.28"/>
        <n v="291.74"/>
        <n v="16.19"/>
        <n v="512.81"/>
        <n v="716.17"/>
        <n v="1872.02"/>
        <n v="1914.24"/>
        <n v="2.59"/>
        <n v="169.56"/>
        <n v="0.06"/>
        <n v="0.97"/>
        <n v="67.49"/>
        <n v="155.8"/>
        <n v="1249.65"/>
        <n v="192.68"/>
        <n v="85.84"/>
        <n v="26.16"/>
        <n v="314.95"/>
        <n v="286.55"/>
        <n v="1014.98"/>
        <n v="2774.72"/>
        <n v="2972.72"/>
        <n v="19.82"/>
        <n v="764.32"/>
        <n v="0.03"/>
        <n v="2.07"/>
        <n v="219.05"/>
        <n v="0.79"/>
        <n v="0.2"/>
        <n v="671.42"/>
        <n v="556.41"/>
        <n v="1027.22"/>
        <n v="57.14"/>
        <n v="54.84"/>
        <n v="7.31"/>
        <n v="1292.01"/>
        <n v="1514.56"/>
        <n v="2003.34"/>
        <n v="1752.41"/>
        <n v="204.44"/>
        <n v="93.65"/>
        <n v="1978.91"/>
        <n v="192.93"/>
        <n v="149.21"/>
        <n v="231.19"/>
        <n v="376.07"/>
        <n v="1010.62"/>
        <n v="4006.54"/>
        <n v="5.5"/>
        <n v="4028.36"/>
        <n v="2032.25"/>
        <n v="302.11"/>
        <n v="1906.54"/>
        <n v="100.06"/>
        <n v="0.12"/>
        <n v="528.64"/>
        <n v="203.95"/>
        <n v="1016.74"/>
        <n v="8064.3"/>
        <n v="6.47"/>
        <n v="2016.49"/>
        <n v="304.08"/>
        <n v="1011.84"/>
        <n v="8104.35"/>
        <n v="2028.43"/>
        <n v="302.37"/>
        <n v="4022.41"/>
        <n v="464.57"/>
        <n v="960.65"/>
        <n v="1969.24"/>
        <n v="914.29"/>
        <n v="12.67"/>
        <n v="0.22"/>
        <n v="0.48"/>
        <n v="0.63"/>
        <n v="478.23"/>
        <n v="511.24"/>
        <n v="1634.14"/>
        <n v="516.31"/>
        <n v="1008.88"/>
        <n v="303.31"/>
        <n v="1678.43"/>
        <n v="9.34"/>
        <n v="1.9"/>
        <n v="506.98"/>
        <n v="9.99"/>
        <n v="498.9"/>
        <n v="1463.44"/>
        <n v="1980.97"/>
        <n v="463.52"/>
        <n v="504.45"/>
        <n v="465.57"/>
        <n v="466.2"/>
        <n v="1003.96"/>
        <n v="1824.2"/>
        <n v="873.46"/>
        <n v="1410.99"/>
        <n v="740.76"/>
        <n v="703.64"/>
        <n v="0.56"/>
        <n v="410.75"/>
        <n v="85.63"/>
        <n v="496.71"/>
        <n v="860.85"/>
        <n v="725.57"/>
        <n v="443.62"/>
        <n v="7.96"/>
        <n v="392.21"/>
        <n v="325.02"/>
        <n v="0.6"/>
        <n v="502.84"/>
        <n v="710.33"/>
        <n v="917.53"/>
        <n v="6.52"/>
        <n v="257.78"/>
        <n v="73.67"/>
        <n v="953.57"/>
        <n v="944.49"/>
        <n v="684"/>
        <n v="8.67"/>
        <n v="954.09"/>
        <n v="960.03"/>
        <n v="994.85"/>
        <n v="505.43"/>
        <n v="588.13"/>
        <n v="892.62"/>
        <n v="270.5"/>
        <n v="27.07"/>
        <n v="1004.67"/>
        <n v="305.5"/>
        <n v="985.15"/>
        <n v="1508.53"/>
        <n v="500.85"/>
        <n v="72.54"/>
        <n v="1011.38"/>
        <n v="509.03"/>
        <n v="508.28"/>
        <n v="513.7"/>
        <n v="250.96"/>
        <n v="501.14"/>
        <n v="890.73"/>
        <n v="1893.79"/>
        <n v="1355.37"/>
        <n v="0.18"/>
        <n v="503.97"/>
        <n v="1006.41"/>
        <n v="503.09"/>
        <n v="0.43"/>
        <n v="1080.5"/>
        <n v="1016"/>
        <n v="159.75"/>
        <n v="511.9"/>
        <n v="557.38"/>
        <n v="1419.68"/>
        <n v="512.99"/>
        <n v="0.27"/>
        <n v="1009.64"/>
        <n v="843.4"/>
        <n v="1576.27"/>
        <n v="841.48"/>
        <n v="576.96"/>
        <n v="1028.27"/>
        <n v="458.39"/>
        <n v="0.17"/>
        <n v="712.11"/>
        <n v="1545.81"/>
        <n v="534.48"/>
        <n v="505.2"/>
        <n v="505.54"/>
        <n v="504.41"/>
        <n v="509.16"/>
        <n v="506.12"/>
        <n v="913.76"/>
        <n v="482.1"/>
        <n v="24.99"/>
        <n v="1444.74"/>
        <n v="1473.85"/>
        <n v="1012.93"/>
        <n v="236.39"/>
        <n v="1015.18"/>
        <n v="1011.09"/>
        <n v="511.14"/>
        <n v="502.19"/>
        <n v="465.42"/>
        <n v="475.7"/>
        <n v="1.26"/>
        <n v="475.51"/>
        <n v="502.78"/>
        <n v="503.9"/>
        <n v="505.56"/>
        <n v="1245.98"/>
        <n v="4.66"/>
        <n v="7"/>
        <n v="14.09"/>
        <n v="1015.41"/>
        <n v="371.94"/>
        <n v="2543.55"/>
        <n v="2035.81"/>
        <n v="509.74"/>
        <n v="5.95"/>
        <n v="5"/>
        <n v="2.77"/>
        <n v="0.49"/>
        <n v="514.62"/>
        <n v="502.13"/>
        <n v="1006.52"/>
        <n v="1085.66"/>
        <n v="585.34"/>
        <n v="790.16"/>
        <n v="2048.07"/>
        <n v="1016.02"/>
        <n v="506.72"/>
        <n v="504.78"/>
        <n v="889.86"/>
        <n v="757.79"/>
        <n v="1572.01"/>
        <n v="2413.04"/>
        <n v="936.74"/>
        <n v="304.85"/>
        <n v="910.32"/>
        <n v="2029.34"/>
        <n v="393.18"/>
        <n v="791.01"/>
        <n v="503.44"/>
        <n v="76.77"/>
        <n v="1.93"/>
        <n v="9.77"/>
        <n v="24.03"/>
        <n v="49.47"/>
        <n v="3.79"/>
        <n v="1.04"/>
        <n v="4.47"/>
        <n v="7.6"/>
        <n v="3.55"/>
        <n v="104.15"/>
        <n v="2.95"/>
        <n v="117.7"/>
        <n v="482.54"/>
        <n v="73.76"/>
        <n v="243.74"/>
        <n v="327.67"/>
        <n v="70.71"/>
        <n v="301.69"/>
        <n v="600.5"/>
        <n v="4.28"/>
        <n v="1499.04"/>
        <n v="1.24"/>
        <n v="96.12"/>
        <n v="493.43"/>
        <n v="111.26"/>
        <n v="297.59"/>
        <n v="432.2"/>
        <n v="66.38"/>
        <n v="299.7"/>
        <n v="486.35"/>
        <n v="208.98"/>
        <n v="147.1"/>
        <n v="273.91"/>
        <n v="11.8"/>
        <n v="150.28"/>
        <n v="81.33"/>
        <n v="16.67"/>
        <n v="15.9"/>
        <n v="315.37"/>
        <n v="9.14"/>
        <n v="3.4"/>
        <n v="36.09"/>
        <n v="2.8"/>
        <n v="50.76"/>
        <n v="205.95"/>
        <n v="175.43"/>
        <n v="108.02"/>
        <n v="518.95"/>
        <n v="41.92"/>
        <n v="106.98"/>
        <n v="199.16"/>
        <n v="9.41"/>
        <n v="121.84"/>
        <n v="104.85"/>
        <n v="214.6"/>
        <n v="211.17"/>
        <n v="302.83"/>
        <n v="448.72"/>
        <n v="508.5"/>
        <n v="332.89"/>
        <n v="1011.77"/>
        <n v="478.02"/>
        <n v="351.67"/>
        <n v="983.87"/>
        <n v="465.24"/>
        <n v="497.18"/>
        <n v="971.03"/>
        <n v="498.67"/>
        <n v="493.29"/>
        <n v="1419.37"/>
        <n v="471.68"/>
        <n v="496.45"/>
        <n v="1950.34"/>
        <n v="6.64"/>
        <n v="520.73"/>
        <n v="2.85"/>
        <n v="22.46"/>
        <n v="845.49"/>
        <n v="512.45"/>
        <n v="453.34"/>
        <n v="980.5"/>
        <n v="15.11"/>
        <n v="9.08"/>
        <n v="284.36"/>
        <n v="533.46"/>
        <n v="1000.48"/>
        <n v="7.71"/>
        <n v="323.94"/>
        <n v="392.49"/>
        <n v="325.01"/>
        <n v="9.44"/>
        <n v="503.86"/>
        <n v="885.65"/>
        <n v="319.24"/>
        <n v="488.46"/>
        <n v="13.88"/>
        <n v="6.18"/>
        <n v="394.13"/>
        <n v="480.88"/>
        <n v="909.63"/>
        <n v="11.61"/>
        <n v="459.4"/>
        <n v="303.07"/>
        <n v="506.47"/>
        <n v="437.05"/>
        <n v="508.88"/>
        <n v="134.28"/>
        <n v="503.28"/>
        <n v="485.93"/>
        <n v="803.82"/>
        <n v="4.13"/>
        <n v="1.92"/>
        <n v="504.48"/>
        <n v="502.95"/>
        <n v="999.21"/>
        <n v="339.6"/>
        <n v="490.65"/>
        <n v="623.86"/>
        <n v="460.6"/>
        <n v="9.66"/>
        <n v="848.03"/>
        <n v="415.79"/>
        <n v="1014.02"/>
        <n v="750.9"/>
        <n v="516.58"/>
        <n v="8.28"/>
        <n v="2017.98"/>
        <n v="21.34"/>
        <n v="1.18"/>
        <n v="16.91"/>
        <n v="505.71"/>
        <n v="429.48"/>
        <n v="929.84"/>
        <n v="1014.19"/>
        <n v="797.9"/>
        <n v="2.18"/>
        <n v="1016.99"/>
        <n v="0.81"/>
        <n v="24.78"/>
        <n v="769.44"/>
        <n v="1017.91"/>
        <n v="20.1"/>
        <n v="478.07"/>
        <n v="508.55"/>
        <n v="507.61"/>
        <n v="836.45"/>
        <n v="13.05"/>
        <n v="1.09"/>
        <n v="3.28"/>
        <n v="1.69"/>
        <n v="51.13"/>
        <n v="218.84"/>
        <n v="1042.41"/>
        <n v="429.77"/>
        <n v="997.47"/>
        <n v="474.01"/>
        <n v="268.39"/>
        <n v="428.64"/>
        <n v="483.48"/>
        <n v="552.48"/>
        <n v="8.77"/>
        <n v="9.59"/>
        <n v="1.27"/>
        <n v="575.89"/>
        <n v="547.59"/>
        <n v="513.36"/>
        <n v="769.61"/>
        <n v="1023.64"/>
        <n v="0.3"/>
        <n v="1.68"/>
        <n v="525.68"/>
        <n v="1016.77"/>
        <n v="12.05"/>
        <n v="440.95"/>
        <n v="0.59"/>
        <n v="514.27"/>
        <n v="484.58"/>
        <n v="1005.93"/>
        <n v="495.33"/>
        <n v="512.72"/>
        <n v="13.77"/>
        <n v="520.26"/>
        <n v="368.98"/>
        <n v="1010.19"/>
        <n v="483.89"/>
        <n v="503.54"/>
        <n v="1007.29"/>
        <n v="1.51"/>
        <n v="505.67"/>
        <n v="1.36"/>
        <n v="439.66"/>
        <n v="510.47"/>
        <n v="514.29"/>
        <n v="0.1"/>
        <n v="1008.4"/>
        <n v="504.71"/>
        <n v="2.9"/>
        <n v="1007.79"/>
        <n v="508.2"/>
        <n v="499.73"/>
        <n v="504.35"/>
        <n v="774.15"/>
        <n v="503.26"/>
        <n v="868.91"/>
        <n v="511.41"/>
        <n v="16.75"/>
        <n v="503.03"/>
        <n v="646.63"/>
        <n v="391.8"/>
        <n v="502.72"/>
        <n v="262.11"/>
        <n v="511.87"/>
        <n v="510.59"/>
        <n v="507.42"/>
        <n v="716.27"/>
        <n v="673.38"/>
        <n v="497.23"/>
        <n v="2.01"/>
        <n v="383.03"/>
        <n v="2.22"/>
        <n v="958.52"/>
        <n v="477.48"/>
        <n v="5.45"/>
        <n v="325.3"/>
        <n v="429.79"/>
        <n v="12.47"/>
        <n v="7.2"/>
        <n v="4.59"/>
        <n v="11.98"/>
        <n v="11.78"/>
        <n v="1713.99"/>
        <n v="3.41"/>
        <n v="622.91"/>
        <n v="1007.71"/>
        <n v="356.52"/>
        <n v="409.94"/>
        <n v="41.1"/>
        <n v="515.16"/>
        <n v="810.38"/>
        <n v="395.4"/>
        <n v="1441.34"/>
        <n v="826.88"/>
        <n v="1014.13"/>
        <n v="13.84"/>
        <n v="804.96"/>
        <n v="453.17"/>
        <n v="18.17"/>
        <n v="521.38"/>
        <n v="880.73"/>
        <n v="398.12"/>
        <n v="310.16"/>
        <n v="472.53"/>
        <n v="414"/>
        <n v="291.78"/>
        <n v="390.35"/>
        <n v="512.77"/>
        <n v="6.28"/>
        <n v="411.89"/>
        <n v="978.46"/>
        <n v="0.28"/>
        <n v="502.57"/>
        <n v="504.25"/>
        <n v="500.81"/>
        <n v="1007.37"/>
        <n v="158.56"/>
        <n v="193.43"/>
        <n v="301.66"/>
        <n v="300.76"/>
        <n v="504.86"/>
        <n v="2007.9"/>
        <n v="502.59"/>
        <n v="502.04"/>
        <n v="3213.15"/>
        <n v="499.49"/>
        <n v="395.6"/>
        <n v="390.54"/>
        <n v="2003.08"/>
        <n v="281.87"/>
        <n v="402.75"/>
        <n v="15.17"/>
        <n v="635.86"/>
        <n v="430.92"/>
        <n v="3.1"/>
        <n v="212.55"/>
        <n v="200.71"/>
        <n v="348.64"/>
        <n v="1005.9"/>
        <n v="245.1"/>
        <n v="504.06"/>
        <n v="4.97"/>
        <n v="48.83"/>
        <n v="12.78"/>
        <n v="593.78"/>
        <n v="3.93"/>
        <n v="37.46"/>
        <n v="612.24"/>
        <n v="618.93"/>
        <n v="615.27"/>
        <n v="616.05"/>
        <n v="611.37"/>
        <n v="417.31"/>
        <n v="607.4"/>
        <n v="419.14"/>
        <n v="610.88"/>
        <n v="409.5"/>
        <n v="609.04"/>
        <n v="409.34"/>
        <n v="607.67"/>
        <n v="411.5"/>
        <n v="511.86"/>
        <n v="358.26"/>
        <n v="133.43"/>
        <n v="9.32"/>
        <n v="331.02"/>
        <n v="509.38"/>
        <n v="109.59"/>
        <n v="302.23"/>
        <n v="49.54"/>
        <n v="302.07"/>
        <n v="463.23"/>
        <n v="14.67"/>
        <n v="1510.29"/>
        <n v="1504.8"/>
        <n v="520.92"/>
        <n v="1507.7"/>
        <n v="508.8"/>
        <n v="567.01"/>
        <n v="1904.92"/>
        <n v="32.17"/>
        <n v="330.78"/>
        <n v="104.74"/>
        <n v="20.21"/>
        <n v="205.7"/>
        <n v="17.11"/>
        <n v="106.33"/>
        <n v="701.36"/>
        <n v="47.68"/>
        <n v="308.96"/>
        <n v="399.34"/>
        <n v="95.43"/>
        <n v="240"/>
        <n v="523.23"/>
        <n v="600"/>
        <n v="942.55"/>
        <n v="509.01"/>
        <n v="360"/>
        <n v="215.01"/>
        <n v="1346.83"/>
        <n v="20.65"/>
        <n v="1.05"/>
        <n v="4.72"/>
        <n v="471.53"/>
        <n v="15.54"/>
        <n v="2.38"/>
        <n v="1521.26"/>
        <n v="1007.4"/>
        <n v="2010.56"/>
        <n v="501.01"/>
        <n v="255.9"/>
        <n v="1507.4"/>
        <n v="851.07"/>
        <n v="287.99"/>
        <n v="531.69"/>
        <n v="404.6"/>
        <n v="0.15"/>
        <n v="126.27"/>
        <n v="1619.13"/>
        <n v="9.33"/>
        <n v="308.16"/>
        <n v="305.83"/>
        <n v="492.83"/>
        <n v="61.42"/>
        <n v="323.06"/>
        <n v="478.87"/>
        <n v="11.76"/>
        <n v="971.66"/>
        <n v="307.07"/>
        <n v="108.63"/>
        <n v="320.01"/>
        <n v="205.14"/>
        <n v="190.93"/>
        <n v="1015.8"/>
        <n v="303.91"/>
        <n v="10.55"/>
        <n v="1643.98"/>
        <n v="508.16"/>
        <n v="108"/>
        <n v="325.83"/>
        <n v="202.72"/>
        <n v="7.41"/>
        <n v="4.8"/>
        <n v="190.29"/>
        <n v="313.25"/>
        <n v="1297.69"/>
        <n v="6.59"/>
        <n v="83.46"/>
        <n v="468.29"/>
        <n v="35.89"/>
        <n v="504.13"/>
        <n v="17.84"/>
        <n v="302.58"/>
        <n v="33.53"/>
        <n v="313.97"/>
        <n v="491.75"/>
        <n v="107.56"/>
        <n v="406.84"/>
        <n v="135.38"/>
        <n v="51.81"/>
        <n v="105.02"/>
        <n v="311.13"/>
        <n v="502.21"/>
        <n v="303.39"/>
        <n v="203.01"/>
        <n v="1480.36"/>
        <n v="1455.94"/>
        <n v="2020.89"/>
        <n v="14.36"/>
        <n v="119.04"/>
        <n v="2072.94"/>
        <n v="489.09"/>
        <n v="124.4"/>
        <n v="6.12"/>
        <n v="141.22"/>
        <n v="127.72"/>
        <n v="0.41"/>
        <n v="225.14"/>
        <n v="0.76"/>
        <n v="250.61"/>
        <n v="9.68"/>
        <n v="73.41"/>
        <n v="17.57"/>
        <n v="810.87"/>
        <n v="202.04"/>
        <n v="504.92"/>
        <n v="4.38"/>
        <n v="436.94"/>
        <n v="1806.37"/>
        <n v="362.99"/>
        <n v="75"/>
        <n v="353.47"/>
        <n v="105.29"/>
        <n v="430.07"/>
        <n v="0.47"/>
        <n v="303.55"/>
        <n v="309.38"/>
        <n v="302.64"/>
        <n v="1008.02"/>
        <n v="302.62"/>
        <n v="1510.86"/>
        <n v="213.23"/>
        <n v="1008.97"/>
        <n v="279.78"/>
        <n v="54.67"/>
        <n v="406.83"/>
        <n v="0.57"/>
        <n v="90.35"/>
        <n v="304.74"/>
        <n v="0.88"/>
        <n v="508.49"/>
        <n v="1017.25"/>
        <n v="0.86"/>
        <n v="1466.85"/>
        <n v="0.26"/>
        <n v="2"/>
        <n v="1009.12"/>
        <n v="100.84"/>
        <n v="101.38"/>
        <n v="395.47"/>
        <n v="235.79"/>
        <n v="479.93"/>
        <n v="311.46"/>
        <n v="0.4"/>
        <n v="13.45"/>
        <n v="3.06"/>
        <n v="6.63"/>
        <n v="1.6"/>
        <n v="1066.42"/>
        <n v="944.24"/>
        <n v="0.61"/>
        <n v="0.53"/>
        <n v="2031.4"/>
        <n v="2013.83"/>
        <n v="1021.06"/>
        <n v="517.58"/>
        <n v="97.39"/>
        <n v="203.72"/>
        <n v="1.77"/>
        <n v="520.2"/>
        <n v="1124.36"/>
        <n v="388.58"/>
        <n v="505.97"/>
        <n v="424.9"/>
        <n v="1012.78"/>
        <n v="2032.48"/>
        <n v="101.13"/>
        <n v="303.15"/>
        <n v="1429.44"/>
        <n v="118.17"/>
        <n v="195.62"/>
        <n v="126.07"/>
        <n v="28.44"/>
        <n v="512.23"/>
        <n v="333.84"/>
        <n v="522.18"/>
        <n v="973.58"/>
        <n v="3051.56"/>
        <n v="137.25"/>
        <n v="89.06"/>
        <n v="165.13"/>
        <n v="1015.34"/>
        <n v="524.89"/>
        <n v="239.12"/>
        <n v="38.99"/>
        <n v="488.69"/>
        <n v="1004.83"/>
        <n v="2840.13"/>
        <n v="2.09"/>
        <n v="303.03"/>
        <n v="509.85"/>
        <n v="204.03"/>
        <n v="1516.14"/>
        <n v="516.42"/>
        <n v="505.53"/>
        <n v="325.27"/>
        <n v="507.85"/>
        <n v="339.39"/>
        <n v="1012.72"/>
        <n v="3996.82"/>
        <n v="56.78"/>
        <n v="813.63"/>
        <n v="345.69"/>
        <n v="2417.47"/>
        <n v="1029.35"/>
        <n v="5.12"/>
        <n v="2031.23"/>
        <n v="523.47"/>
        <n v="311.58"/>
        <n v="2.05"/>
        <n v="8.27"/>
        <n v="13.58"/>
        <n v="0.21"/>
        <n v="19067.98"/>
        <n v="9206.39"/>
        <n v="6649.95"/>
        <n v="5663.27"/>
        <n v="5611.22"/>
        <n v="5166.56"/>
        <n v="4390.27"/>
        <n v="2849.49"/>
        <n v="1887.46"/>
        <n v="1655.14"/>
        <n v="734.27"/>
        <n v="690.66"/>
        <n v="449.56"/>
        <n v="436.86"/>
        <n v="413.88"/>
        <n v="199.55"/>
        <n v="505.57"/>
        <n v="506.89"/>
        <n v="0.65"/>
        <n v="1311.03"/>
        <n v="505.48"/>
        <n v="1.8"/>
        <n v="502.96"/>
        <n v="508.35"/>
        <n v="1.85"/>
        <n v="984.27"/>
        <n v="505.02"/>
        <n v="515.7"/>
        <n v="477.03"/>
        <n v="507.76"/>
        <n v="1240.59"/>
        <n v="1017.2"/>
        <n v="548.09"/>
        <n v="506.61"/>
        <n v="294.63"/>
        <n v="400.22"/>
        <n v="498.62"/>
        <n v="0.44"/>
        <n v="491.06"/>
        <n v="1011.12"/>
        <n v="1081.1"/>
        <n v="1481.56"/>
        <n v="5.78"/>
        <n v="9.18"/>
        <n v="508.02"/>
        <n v="403.88"/>
        <n v="598.01"/>
        <n v="827.71"/>
        <n v="547.8"/>
        <n v="494.92"/>
        <n v="508.79"/>
        <n v="220.23"/>
        <n v="0.68"/>
        <n v="504.93"/>
        <n v="505.79"/>
        <n v="253.92"/>
        <n v="979.88"/>
        <n v="787.79"/>
        <n v="526.32"/>
        <n v="3.11"/>
        <n v="204.11"/>
        <n v="307.55"/>
        <n v="0.13"/>
        <n v="290.47"/>
        <n v="3.12"/>
        <n v="863.66"/>
        <n v="1010.73"/>
        <n v="316.93"/>
        <n v="203.12"/>
        <n v="4.53"/>
        <n v="303.48"/>
        <n v="1506.84"/>
        <n v="1008.62"/>
        <n v="306.27"/>
        <n v="508.71"/>
        <n v="0.37"/>
        <n v="1489.96"/>
        <n v="1217.46"/>
        <n v="324.24"/>
        <n v="685.94"/>
        <n v="373.62"/>
        <n v="962.63"/>
        <n v="667.78"/>
        <n v="362.25"/>
        <n v="0.5"/>
        <n v="506.5"/>
        <m/>
      </sharedItems>
    </cacheField>
    <cacheField name="展现量" numFmtId="0">
      <sharedItems containsString="0" containsBlank="1" containsNumber="1" containsInteger="1" minValue="0" maxValue="1707999" count="930">
        <n v="56536"/>
        <n v="13237"/>
        <n v="20416"/>
        <n v="12017"/>
        <n v="38207"/>
        <n v="35118"/>
        <n v="69824"/>
        <n v="11731"/>
        <n v="12390"/>
        <n v="14319"/>
        <n v="22799"/>
        <n v="49719"/>
        <n v="49012"/>
        <n v="9110"/>
        <n v="7872"/>
        <n v="1103"/>
        <n v="28089"/>
        <n v="34344"/>
        <n v="10872"/>
        <n v="4108"/>
        <n v="469"/>
        <n v="25905"/>
        <n v="25538"/>
        <n v="6178"/>
        <n v="1360"/>
        <n v="198"/>
        <n v="6341"/>
        <n v="40542"/>
        <n v="328"/>
        <n v="2307"/>
        <n v="4"/>
        <n v="2914"/>
        <n v="22155"/>
        <n v="828"/>
        <n v="577"/>
        <n v="29213"/>
        <n v="43386"/>
        <n v="1641"/>
        <n v="2744"/>
        <n v="91"/>
        <n v="8"/>
        <n v="868"/>
        <n v="32321"/>
        <n v="110046"/>
        <n v="28676"/>
        <n v="45357"/>
        <n v="10718"/>
        <n v="14283"/>
        <n v="11802"/>
        <n v="32382"/>
        <n v="105531"/>
        <n v="33828"/>
        <n v="56289"/>
        <n v="7633"/>
        <n v="13063"/>
        <n v="0"/>
        <n v="13294"/>
        <n v="23788"/>
        <n v="88856"/>
        <n v="41360"/>
        <n v="34061"/>
        <n v="10128"/>
        <n v="4007"/>
        <n v="32"/>
        <n v="44553"/>
        <n v="52558"/>
        <n v="1314"/>
        <n v="14397"/>
        <n v="21229"/>
        <n v="36399"/>
        <n v="1758"/>
        <n v="6272"/>
        <n v="20565"/>
        <n v="185341"/>
        <n v="147665"/>
        <n v="44"/>
        <n v="12815"/>
        <n v="10"/>
        <n v="97"/>
        <n v="1"/>
        <n v="10185"/>
        <n v="23279"/>
        <n v="127547"/>
        <n v="14137"/>
        <n v="9696"/>
        <n v="1534"/>
        <n v="14497"/>
        <n v="32318"/>
        <n v="25447"/>
        <n v="255271"/>
        <n v="214093"/>
        <n v="765"/>
        <n v="76651"/>
        <n v="31"/>
        <n v="403"/>
        <n v="15697"/>
        <n v="79"/>
        <n v="9"/>
        <n v="91270"/>
        <n v="15178"/>
        <n v="22514"/>
        <n v="3214"/>
        <n v="2848"/>
        <n v="867"/>
        <n v="85353"/>
        <n v="74754"/>
        <n v="325865"/>
        <n v="45875"/>
        <n v="4782"/>
        <n v="1846"/>
        <n v="237365"/>
        <n v="31919"/>
        <n v="33339"/>
        <n v="29745"/>
        <n v="52708"/>
        <n v="26991"/>
        <n v="315487"/>
        <n v="354"/>
        <n v="564779"/>
        <n v="51717"/>
        <n v="13749"/>
        <n v="136206"/>
        <n v="15277"/>
        <n v="87"/>
        <n v="103759"/>
        <n v="30860"/>
        <n v="28663"/>
        <n v="604683"/>
        <n v="1354"/>
        <n v="52146"/>
        <n v="5672"/>
        <n v="26672"/>
        <n v="653853"/>
        <n v="54231"/>
        <n v="5626"/>
        <n v="458003"/>
        <n v="73985"/>
        <n v="167940"/>
        <n v="248747"/>
        <n v="81956"/>
        <n v="1657"/>
        <n v="28"/>
        <n v="170"/>
        <n v="227"/>
        <n v="69565"/>
        <n v="66637"/>
        <n v="55833"/>
        <n v="21041"/>
        <n v="79313"/>
        <n v="18496"/>
        <n v="197360"/>
        <n v="636"/>
        <n v="286"/>
        <n v="61606"/>
        <n v="294"/>
        <n v="48047"/>
        <n v="17"/>
        <n v="191662"/>
        <n v="197692"/>
        <n v="82112"/>
        <n v="171451"/>
        <n v="67929"/>
        <n v="102709"/>
        <n v="91441"/>
        <n v="207967"/>
        <n v="104927"/>
        <n v="241633"/>
        <n v="247755"/>
        <n v="105951"/>
        <n v="220"/>
        <n v="48643"/>
        <n v="3492"/>
        <n v="48068"/>
        <n v="122694"/>
        <n v="85243"/>
        <n v="102452"/>
        <n v="2200"/>
        <n v="70204"/>
        <n v="44182"/>
        <n v="19"/>
        <n v="55028"/>
        <n v="84932"/>
        <n v="81656"/>
        <n v="1345"/>
        <n v="22704"/>
        <n v="5088"/>
        <n v="27"/>
        <n v="112516"/>
        <n v="123761"/>
        <n v="43399"/>
        <n v="225"/>
        <n v="128468"/>
        <n v="125522"/>
        <n v="66015"/>
        <n v="46561"/>
        <n v="80283"/>
        <n v="98444"/>
        <n v="24441"/>
        <n v="2157"/>
        <n v="85769"/>
        <n v="6832"/>
        <n v="120865"/>
        <n v="161834"/>
        <n v="40915"/>
        <n v="5318"/>
        <n v="152555"/>
        <n v="54918"/>
        <n v="35262"/>
        <n v="64692"/>
        <n v="19402"/>
        <n v="41858"/>
        <n v="13092"/>
        <n v="162799"/>
        <n v="107864"/>
        <n v="43"/>
        <n v="62984"/>
        <n v="103818"/>
        <n v="47275"/>
        <n v="117"/>
        <n v="39144"/>
        <n v="28219"/>
        <n v="5083"/>
        <n v="87734"/>
        <n v="23397"/>
        <n v="31504"/>
        <n v="22516"/>
        <n v="21"/>
        <n v="13998"/>
        <n v="86475"/>
        <n v="137956"/>
        <n v="91610"/>
        <n v="41097"/>
        <n v="26578"/>
        <n v="23868"/>
        <n v="36"/>
        <n v="18934"/>
        <n v="33600"/>
        <n v="2"/>
        <n v="22494"/>
        <n v="22949"/>
        <n v="71681"/>
        <n v="60090"/>
        <n v="58161"/>
        <n v="89634"/>
        <n v="10753"/>
        <n v="49771"/>
        <n v="2003"/>
        <n v="121866"/>
        <n v="120204"/>
        <n v="28795"/>
        <n v="8136"/>
        <n v="27078"/>
        <n v="11125"/>
        <n v="21187"/>
        <n v="35388"/>
        <n v="80807"/>
        <n v="38034"/>
        <n v="82"/>
        <n v="51836"/>
        <n v="37346"/>
        <n v="86093"/>
        <n v="68416"/>
        <n v="18237"/>
        <n v="337"/>
        <n v="508"/>
        <n v="1251"/>
        <n v="22848"/>
        <n v="11458"/>
        <n v="52193"/>
        <n v="23869"/>
        <n v="22301"/>
        <n v="677"/>
        <n v="254"/>
        <n v="539"/>
        <n v="68"/>
        <n v="200"/>
        <n v="106"/>
        <n v="14659"/>
        <n v="56586"/>
        <n v="113325"/>
        <n v="23668"/>
        <n v="38023"/>
        <n v="17065"/>
        <n v="30563"/>
        <n v="20341"/>
        <n v="110082"/>
        <n v="40485"/>
        <n v="76896"/>
        <n v="14616"/>
        <n v="87951"/>
        <n v="157911"/>
        <n v="248554"/>
        <n v="19617"/>
        <n v="9340"/>
        <n v="23977"/>
        <n v="35160"/>
        <n v="31037"/>
        <n v="51316"/>
        <n v="83947"/>
        <n v="24991"/>
        <n v="993"/>
        <n v="1813"/>
        <n v="4244"/>
        <n v="123"/>
        <n v="57"/>
        <n v="317"/>
        <n v="658"/>
        <n v="692"/>
        <n v="1599"/>
        <n v="71"/>
        <n v="30335"/>
        <n v="84291"/>
        <n v="4470"/>
        <n v="12232"/>
        <n v="15000"/>
        <n v="3378"/>
        <n v="61625"/>
        <n v="215"/>
        <n v="57020"/>
        <n v="913"/>
        <n v="82593"/>
        <n v="281"/>
        <n v="8685"/>
        <n v="38119"/>
        <n v="10014"/>
        <n v="54574"/>
        <n v="37896"/>
        <n v="6754"/>
        <n v="66364"/>
        <n v="92936"/>
        <n v="15980"/>
        <n v="21125"/>
        <n v="47774"/>
        <n v="3"/>
        <n v="526"/>
        <n v="15733"/>
        <n v="12016"/>
        <n v="35"/>
        <n v="579"/>
        <n v="816"/>
        <n v="14223"/>
        <n v="591"/>
        <n v="322"/>
        <n v="1117"/>
        <n v="211"/>
        <n v="1911"/>
        <n v="21842"/>
        <n v="21941"/>
        <n v="3047"/>
        <n v="15044"/>
        <n v="2383"/>
        <n v="4320"/>
        <n v="6396"/>
        <n v="622"/>
        <n v="13594"/>
        <n v="1177"/>
        <n v="5519"/>
        <n v="3253"/>
        <n v="36031"/>
        <n v="47494"/>
        <n v="108888"/>
        <n v="33949"/>
        <n v="113907"/>
        <n v="99750"/>
        <n v="38026"/>
        <n v="62452"/>
        <n v="91049"/>
        <n v="59700"/>
        <n v="71038"/>
        <n v="77297"/>
        <n v="57106"/>
        <n v="103125"/>
        <n v="72295"/>
        <n v="52741"/>
        <n v="126911"/>
        <n v="1396"/>
        <n v="37111"/>
        <n v="304"/>
        <n v="2040"/>
        <n v="62077"/>
        <n v="48426"/>
        <n v="76349"/>
        <n v="71750"/>
        <n v="954"/>
        <n v="1712"/>
        <n v="58082"/>
        <n v="18879"/>
        <n v="60636"/>
        <n v="1231"/>
        <n v="33798"/>
        <n v="41150"/>
        <n v="21739"/>
        <n v="968"/>
        <n v="47753"/>
        <n v="62490"/>
        <n v="19026"/>
        <n v="39050"/>
        <n v="1074"/>
        <n v="255"/>
        <n v="43442"/>
        <n v="41651"/>
        <n v="56784"/>
        <n v="1143"/>
        <n v="48698"/>
        <n v="56879"/>
        <n v="94143"/>
        <n v="31537"/>
        <n v="53670"/>
        <n v="12437"/>
        <n v="66635"/>
        <n v="33015"/>
        <n v="117893"/>
        <n v="271"/>
        <n v="305"/>
        <n v="32550"/>
        <n v="100599"/>
        <n v="69338"/>
        <n v="27922"/>
        <n v="94032"/>
        <n v="46500"/>
        <n v="43067"/>
        <n v="1603"/>
        <n v="65782"/>
        <n v="28309"/>
        <n v="156465"/>
        <n v="55084"/>
        <n v="47578"/>
        <n v="681"/>
        <n v="273125"/>
        <n v="1568"/>
        <n v="158"/>
        <n v="1773"/>
        <n v="35962"/>
        <n v="67223"/>
        <n v="50846"/>
        <n v="130458"/>
        <n v="18363"/>
        <n v="35718"/>
        <n v="110"/>
        <n v="4881"/>
        <n v="47331"/>
        <n v="110601"/>
        <n v="206"/>
        <n v="5120"/>
        <n v="46477"/>
        <n v="44797"/>
        <n v="23290"/>
        <n v="885"/>
        <n v="157"/>
        <n v="6277"/>
        <n v="31643"/>
        <n v="29992"/>
        <n v="46271"/>
        <n v="140024"/>
        <n v="11697"/>
        <n v="20911"/>
        <n v="32816"/>
        <n v="23828"/>
        <n v="12708"/>
        <n v="380"/>
        <n v="510"/>
        <n v="81"/>
        <n v="45337"/>
        <n v="7433"/>
        <n v="89082"/>
        <n v="60146"/>
        <n v="18019"/>
        <n v="74"/>
        <n v="17916"/>
        <n v="44620"/>
        <n v="672"/>
        <n v="17282"/>
        <n v="36727"/>
        <n v="12"/>
        <n v="105395"/>
        <n v="44771"/>
        <n v="72948"/>
        <n v="39077"/>
        <n v="13263"/>
        <n v="57633"/>
        <n v="38410"/>
        <n v="20418"/>
        <n v="38191"/>
        <n v="82661"/>
        <n v="5"/>
        <n v="61722"/>
        <n v="63"/>
        <n v="38095"/>
        <n v="37929"/>
        <n v="32776"/>
        <n v="79339"/>
        <n v="83200"/>
        <n v="149"/>
        <n v="60804"/>
        <n v="33860"/>
        <n v="44920"/>
        <n v="84098"/>
        <n v="62600"/>
        <n v="19260"/>
        <n v="64229"/>
        <n v="48305"/>
        <n v="1247"/>
        <n v="20115"/>
        <n v="49068"/>
        <n v="44885"/>
        <n v="45683"/>
        <n v="13096"/>
        <n v="80530"/>
        <n v="77627"/>
        <n v="19970"/>
        <n v="46981"/>
        <n v="51725"/>
        <n v="38903"/>
        <n v="54"/>
        <n v="31275"/>
        <n v="11"/>
        <n v="134"/>
        <n v="67826"/>
        <n v="39373"/>
        <n v="559"/>
        <n v="20634"/>
        <n v="34341"/>
        <n v="928"/>
        <n v="419"/>
        <n v="483"/>
        <n v="938"/>
        <n v="105162"/>
        <n v="115"/>
        <n v="36994"/>
        <n v="124983"/>
        <n v="18383"/>
        <n v="24310"/>
        <n v="2723"/>
        <n v="40768"/>
        <n v="78470"/>
        <n v="30947"/>
        <n v="84514"/>
        <n v="182928"/>
        <n v="76857"/>
        <n v="67490"/>
        <n v="1165"/>
        <n v="57812"/>
        <n v="18590"/>
        <n v="3636"/>
        <n v="76572"/>
        <n v="58966"/>
        <n v="20199"/>
        <n v="12853"/>
        <n v="33805"/>
        <n v="66229"/>
        <n v="25833"/>
        <n v="11784"/>
        <n v="12743"/>
        <n v="84469"/>
        <n v="194"/>
        <n v="527"/>
        <n v="18194"/>
        <n v="31555"/>
        <n v="78"/>
        <n v="13126"/>
        <n v="10588"/>
        <n v="20843"/>
        <n v="68304"/>
        <n v="5593"/>
        <n v="3903"/>
        <n v="26795"/>
        <n v="24241"/>
        <n v="23823"/>
        <n v="67553"/>
        <n v="58744"/>
        <n v="42675"/>
        <n v="55"/>
        <n v="65626"/>
        <n v="43996"/>
        <n v="32084"/>
        <n v="45299"/>
        <n v="62523"/>
        <n v="19297"/>
        <n v="32688"/>
        <n v="1093"/>
        <n v="16506"/>
        <n v="26219"/>
        <n v="231"/>
        <n v="14730"/>
        <n v="13464"/>
        <n v="29641"/>
        <n v="113474"/>
        <n v="7087"/>
        <n v="30647"/>
        <n v="246"/>
        <n v="2120"/>
        <n v="177"/>
        <n v="14"/>
        <n v="39179"/>
        <n v="262"/>
        <n v="1519"/>
        <n v="35506"/>
        <n v="33141"/>
        <n v="37154"/>
        <n v="33243"/>
        <n v="37404"/>
        <n v="26941"/>
        <n v="36888"/>
        <n v="30234"/>
        <n v="36934"/>
        <n v="26124"/>
        <n v="37755"/>
        <n v="27176"/>
        <n v="39799"/>
        <n v="32791"/>
        <n v="35874"/>
        <n v="8771"/>
        <n v="9788"/>
        <n v="178"/>
        <n v="21182"/>
        <n v="32418"/>
        <n v="8371"/>
        <n v="26646"/>
        <n v="2972"/>
        <n v="30080"/>
        <n v="50579"/>
        <n v="1377"/>
        <n v="101010"/>
        <n v="241"/>
        <n v="136080"/>
        <n v="71695"/>
        <n v="163655"/>
        <n v="40128"/>
        <n v="55578"/>
        <n v="200824"/>
        <n v="2922"/>
        <n v="15247"/>
        <n v="14991"/>
        <n v="1644"/>
        <n v="23591"/>
        <n v="2556"/>
        <n v="153"/>
        <n v="5307"/>
        <n v="49277"/>
        <n v="4279"/>
        <n v="63007"/>
        <n v="24569"/>
        <n v="6706"/>
        <n v="10002"/>
        <n v="29650"/>
        <n v="27124"/>
        <n v="63067"/>
        <n v="35526"/>
        <n v="14209"/>
        <n v="28439"/>
        <n v="27829"/>
        <n v="58592"/>
        <n v="12284"/>
        <n v="478"/>
        <n v="31502"/>
        <n v="212"/>
        <n v="24137"/>
        <n v="26438"/>
        <n v="739"/>
        <n v="17195"/>
        <n v="279"/>
        <n v="137721"/>
        <n v="35073"/>
        <n v="28438"/>
        <n v="161513"/>
        <n v="33801"/>
        <n v="18373"/>
        <n v="111529"/>
        <n v="71451"/>
        <n v="5846"/>
        <n v="11976"/>
        <n v="64212"/>
        <n v="39"/>
        <n v="3614"/>
        <n v="266"/>
        <n v="94150"/>
        <n v="960"/>
        <n v="9742"/>
        <n v="4397"/>
        <n v="49345"/>
        <n v="4906"/>
        <n v="16954"/>
        <n v="34464"/>
        <n v="2822"/>
        <n v="57717"/>
        <n v="24"/>
        <n v="37379"/>
        <n v="9158"/>
        <n v="15052"/>
        <n v="16382"/>
        <n v="11403"/>
        <n v="80157"/>
        <n v="6759"/>
        <n v="718"/>
        <n v="116021"/>
        <n v="54101"/>
        <n v="9736"/>
        <n v="14322"/>
        <n v="20433"/>
        <n v="283"/>
        <n v="467"/>
        <n v="4143"/>
        <n v="3818"/>
        <n v="98851"/>
        <n v="100"/>
        <n v="827"/>
        <n v="1458"/>
        <n v="25898"/>
        <n v="800"/>
        <n v="4645"/>
        <n v="32475"/>
        <n v="12628"/>
        <n v="31797"/>
        <n v="2444"/>
        <n v="3686"/>
        <n v="6600"/>
        <n v="8227"/>
        <n v="6"/>
        <n v="8965"/>
        <n v="25537"/>
        <n v="31962"/>
        <n v="5028"/>
        <n v="5550"/>
        <n v="63034"/>
        <n v="78937"/>
        <n v="84329"/>
        <n v="32640"/>
        <n v="998"/>
        <n v="2677"/>
        <n v="108516"/>
        <n v="6905"/>
        <n v="6559"/>
        <n v="259"/>
        <n v="5453"/>
        <n v="5428"/>
        <n v="6090"/>
        <n v="9141"/>
        <n v="588"/>
        <n v="7110"/>
        <n v="2835"/>
        <n v="45096"/>
        <n v="14742"/>
        <n v="34090"/>
        <n v="85"/>
        <n v="16912"/>
        <n v="102093"/>
        <n v="5966"/>
        <n v="5800"/>
        <n v="18997"/>
        <n v="6218"/>
        <n v="12245"/>
        <n v="28220"/>
        <n v="11858"/>
        <n v="16028"/>
        <n v="64845"/>
        <n v="31790"/>
        <n v="101058"/>
        <n v="4448"/>
        <n v="90767"/>
        <n v="4028"/>
        <n v="3309"/>
        <n v="18120"/>
        <n v="42"/>
        <n v="3442"/>
        <n v="16238"/>
        <n v="60"/>
        <n v="19338"/>
        <n v="77263"/>
        <n v="87805"/>
        <n v="48"/>
        <n v="74474"/>
        <n v="1525"/>
        <n v="5118"/>
        <n v="19077"/>
        <n v="5868"/>
        <n v="29076"/>
        <n v="26786"/>
        <n v="858"/>
        <n v="344"/>
        <n v="174"/>
        <n v="23"/>
        <n v="41965"/>
        <n v="41356"/>
        <n v="118290"/>
        <n v="117265"/>
        <n v="76996"/>
        <n v="20934"/>
        <n v="1636"/>
        <n v="4969"/>
        <n v="277"/>
        <n v="31853"/>
        <n v="35719"/>
        <n v="27815"/>
        <n v="59421"/>
        <n v="35945"/>
        <n v="38717"/>
        <n v="78765"/>
        <n v="152836"/>
        <n v="1907"/>
        <n v="8148"/>
        <n v="67867"/>
        <n v="11015"/>
        <n v="30338"/>
        <n v="12533"/>
        <n v="1708"/>
        <n v="54588"/>
        <n v="39359"/>
        <n v="28881"/>
        <n v="65394"/>
        <n v="159826"/>
        <n v="3860"/>
        <n v="1513"/>
        <n v="3002"/>
        <n v="64525"/>
        <n v="23827"/>
        <n v="13553"/>
        <n v="14771"/>
        <n v="1493"/>
        <n v="5346"/>
        <n v="52446"/>
        <n v="129460"/>
        <n v="5602"/>
        <n v="1485"/>
        <n v="6221"/>
        <n v="3810"/>
        <n v="127057"/>
        <n v="22854"/>
        <n v="20000"/>
        <n v="14718"/>
        <n v="62864"/>
        <n v="2878"/>
        <n v="53638"/>
        <n v="146478"/>
        <n v="932"/>
        <n v="7162"/>
        <n v="3371"/>
        <n v="173369"/>
        <n v="41838"/>
        <n v="166"/>
        <n v="76858"/>
        <n v="30346"/>
        <n v="5050"/>
        <n v="59"/>
        <n v="348"/>
        <n v="41"/>
        <n v="984"/>
        <n v="1707999"/>
        <n v="97285"/>
        <n v="90995"/>
        <n v="72812"/>
        <n v="233298"/>
        <n v="569696"/>
        <n v="655981"/>
        <n v="76007"/>
        <n v="390831"/>
        <n v="170979"/>
        <n v="10328"/>
        <n v="89568"/>
        <n v="205901"/>
        <n v="34334"/>
        <n v="32590"/>
        <n v="20710"/>
        <n v="29805"/>
        <n v="52077"/>
        <n v="51"/>
        <n v="145972"/>
        <n v="40012"/>
        <n v="51875"/>
        <n v="52036"/>
        <n v="69445"/>
        <n v="319"/>
        <n v="63543"/>
        <n v="64069"/>
        <n v="31791"/>
        <n v="39545"/>
        <n v="46454"/>
        <n v="97786"/>
        <n v="121159"/>
        <n v="71689"/>
        <n v="45566"/>
        <n v="16358"/>
        <n v="22613"/>
        <n v="33647"/>
        <n v="20"/>
        <n v="49070"/>
        <n v="105238"/>
        <n v="127559"/>
        <n v="117214"/>
        <n v="404"/>
        <n v="445"/>
        <n v="39547"/>
        <n v="24628"/>
        <n v="40349"/>
        <n v="82701"/>
        <n v="72971"/>
        <n v="54107"/>
        <n v="37525"/>
        <n v="7631"/>
        <n v="17070"/>
        <n v="48392"/>
        <n v="13942"/>
        <n v="64843"/>
        <n v="67544"/>
        <n v="73519"/>
        <n v="355"/>
        <n v="34"/>
        <n v="4077"/>
        <n v="10062"/>
        <n v="45"/>
        <n v="17733"/>
        <n v="46985"/>
        <n v="73280"/>
        <n v="42095"/>
        <n v="3633"/>
        <n v="165"/>
        <n v="12836"/>
        <n v="75988"/>
        <n v="85983"/>
        <n v="43646"/>
        <n v="8309"/>
        <n v="86259"/>
        <n v="116806"/>
        <n v="45212"/>
        <n v="46462"/>
        <n v="7567"/>
        <n v="49519"/>
        <n v="37184"/>
        <n v="5350"/>
        <n v="19164"/>
        <m/>
      </sharedItems>
    </cacheField>
    <cacheField name="点击量" numFmtId="0">
      <sharedItems containsString="0" containsBlank="1" containsNumber="1" containsInteger="1" minValue="0" maxValue="133384" count="775">
        <n v="4162"/>
        <n v="1336"/>
        <n v="557"/>
        <n v="788"/>
        <n v="1519"/>
        <n v="2489"/>
        <n v="6732"/>
        <n v="1418"/>
        <n v="397"/>
        <n v="884"/>
        <n v="971"/>
        <n v="4014"/>
        <n v="4515"/>
        <n v="1008"/>
        <n v="490"/>
        <n v="83"/>
        <n v="2490"/>
        <n v="3433"/>
        <n v="1181"/>
        <n v="272"/>
        <n v="33"/>
        <n v="2347"/>
        <n v="2419"/>
        <n v="722"/>
        <n v="11"/>
        <n v="592"/>
        <n v="3929"/>
        <n v="10"/>
        <n v="141"/>
        <n v="0"/>
        <n v="226"/>
        <n v="2620"/>
        <n v="98"/>
        <n v="2202"/>
        <n v="3942"/>
        <n v="102"/>
        <n v="204"/>
        <n v="9"/>
        <n v="21"/>
        <n v="2133"/>
        <n v="7772"/>
        <n v="3868"/>
        <n v="5064"/>
        <n v="984"/>
        <n v="1160"/>
        <n v="277"/>
        <n v="2398"/>
        <n v="7329"/>
        <n v="4289"/>
        <n v="6315"/>
        <n v="785"/>
        <n v="1003"/>
        <n v="348"/>
        <n v="2299"/>
        <n v="6325"/>
        <n v="4696"/>
        <n v="3582"/>
        <n v="942"/>
        <n v="320"/>
        <n v="3112"/>
        <n v="5903"/>
        <n v="85"/>
        <n v="354"/>
        <n v="5910"/>
        <n v="1781"/>
        <n v="270"/>
        <n v="483"/>
        <n v="1674"/>
        <n v="10984"/>
        <n v="14816"/>
        <n v="4"/>
        <n v="244"/>
        <n v="1"/>
        <n v="3"/>
        <n v="615"/>
        <n v="2278"/>
        <n v="17778"/>
        <n v="689"/>
        <n v="423"/>
        <n v="96"/>
        <n v="713"/>
        <n v="7288"/>
        <n v="2215"/>
        <n v="14074"/>
        <n v="19836"/>
        <n v="23"/>
        <n v="3768"/>
        <n v="41"/>
        <n v="797"/>
        <n v="17437"/>
        <n v="946"/>
        <n v="1934"/>
        <n v="265"/>
        <n v="386"/>
        <n v="13"/>
        <n v="4854"/>
        <n v="3853"/>
        <n v="59882"/>
        <n v="2949"/>
        <n v="454"/>
        <n v="150"/>
        <n v="13680"/>
        <n v="3418"/>
        <n v="1835"/>
        <n v="3283"/>
        <n v="6362"/>
        <n v="1944"/>
        <n v="14880"/>
        <n v="105286"/>
        <n v="3199"/>
        <n v="503"/>
        <n v="9966"/>
        <n v="2090"/>
        <n v="2"/>
        <n v="9098"/>
        <n v="3293"/>
        <n v="2053"/>
        <n v="25292"/>
        <n v="167"/>
        <n v="3270"/>
        <n v="546"/>
        <n v="2051"/>
        <n v="26178"/>
        <n v="3477"/>
        <n v="541"/>
        <n v="31470"/>
        <n v="8052"/>
        <n v="18650"/>
        <n v="27840"/>
        <n v="3822"/>
        <n v="142"/>
        <n v="12"/>
        <n v="15"/>
        <n v="4347"/>
        <n v="7354"/>
        <n v="4000"/>
        <n v="1439"/>
        <n v="6237"/>
        <n v="675"/>
        <n v="13351"/>
        <n v="52"/>
        <n v="5894"/>
        <n v="25"/>
        <n v="3338"/>
        <n v="12130"/>
        <n v="12669"/>
        <n v="3587"/>
        <n v="7542"/>
        <n v="3788"/>
        <n v="6408"/>
        <n v="11958"/>
        <n v="7070"/>
        <n v="8356"/>
        <n v="9020"/>
        <n v="5184"/>
        <n v="2291"/>
        <n v="221"/>
        <n v="3244"/>
        <n v="6904"/>
        <n v="6196"/>
        <n v="4096"/>
        <n v="132"/>
        <n v="3462"/>
        <n v="1957"/>
        <n v="3432"/>
        <n v="4685"/>
        <n v="5822"/>
        <n v="107"/>
        <n v="1580"/>
        <n v="399"/>
        <n v="6085"/>
        <n v="8259"/>
        <n v="3379"/>
        <n v="7243"/>
        <n v="8983"/>
        <n v="4946"/>
        <n v="3486"/>
        <n v="4255"/>
        <n v="7112"/>
        <n v="1796"/>
        <n v="190"/>
        <n v="6687"/>
        <n v="511"/>
        <n v="6235"/>
        <n v="10093"/>
        <n v="3054"/>
        <n v="371"/>
        <n v="10483"/>
        <n v="5926"/>
        <n v="3750"/>
        <n v="5068"/>
        <n v="621"/>
        <n v="3227"/>
        <n v="1442"/>
        <n v="7519"/>
        <n v="6070"/>
        <n v="4852"/>
        <n v="11107"/>
        <n v="4084"/>
        <n v="5"/>
        <n v="1526"/>
        <n v="2440"/>
        <n v="394"/>
        <n v="4627"/>
        <n v="1341"/>
        <n v="1564"/>
        <n v="1465"/>
        <n v="4324"/>
        <n v="7932"/>
        <n v="6994"/>
        <n v="3517"/>
        <n v="1128"/>
        <n v="1092"/>
        <n v="1034"/>
        <n v="1484"/>
        <n v="1967"/>
        <n v="5377"/>
        <n v="3396"/>
        <n v="2542"/>
        <n v="2194"/>
        <n v="3355"/>
        <n v="1258"/>
        <n v="2403"/>
        <n v="178"/>
        <n v="9978"/>
        <n v="11588"/>
        <n v="1180"/>
        <n v="553"/>
        <n v="1440"/>
        <n v="521"/>
        <n v="1914"/>
        <n v="7210"/>
        <n v="3259"/>
        <n v="2021"/>
        <n v="2511"/>
        <n v="2235"/>
        <n v="3191"/>
        <n v="3827"/>
        <n v="1741"/>
        <n v="24"/>
        <n v="71"/>
        <n v="172"/>
        <n v="1072"/>
        <n v="812"/>
        <n v="3282"/>
        <n v="1147"/>
        <n v="1803"/>
        <n v="53"/>
        <n v="26"/>
        <n v="36"/>
        <n v="741"/>
        <n v="4036"/>
        <n v="11827"/>
        <n v="1193"/>
        <n v="1277"/>
        <n v="987"/>
        <n v="1449"/>
        <n v="1935"/>
        <n v="25483"/>
        <n v="3186"/>
        <n v="5284"/>
        <n v="1317"/>
        <n v="4925"/>
        <n v="14619"/>
        <n v="22108"/>
        <n v="961"/>
        <n v="683"/>
        <n v="1323"/>
        <n v="1477"/>
        <n v="2267"/>
        <n v="3922"/>
        <n v="5260"/>
        <n v="237"/>
        <n v="77"/>
        <n v="257"/>
        <n v="550"/>
        <n v="7"/>
        <n v="28"/>
        <n v="51"/>
        <n v="151"/>
        <n v="392"/>
        <n v="1206"/>
        <n v="123"/>
        <n v="554"/>
        <n v="659"/>
        <n v="2305"/>
        <n v="6"/>
        <n v="3961"/>
        <n v="56"/>
        <n v="7364"/>
        <n v="317"/>
        <n v="3521"/>
        <n v="357"/>
        <n v="3540"/>
        <n v="3554"/>
        <n v="194"/>
        <n v="3558"/>
        <n v="5189"/>
        <n v="1529"/>
        <n v="1497"/>
        <n v="2875"/>
        <n v="27"/>
        <n v="1126"/>
        <n v="925"/>
        <n v="37"/>
        <n v="545"/>
        <n v="20"/>
        <n v="76"/>
        <n v="8"/>
        <n v="93"/>
        <n v="1566"/>
        <n v="1726"/>
        <n v="159"/>
        <n v="670"/>
        <n v="70"/>
        <n v="117"/>
        <n v="286"/>
        <n v="628"/>
        <n v="121"/>
        <n v="255"/>
        <n v="328"/>
        <n v="1557"/>
        <n v="2379"/>
        <n v="4700"/>
        <n v="1753"/>
        <n v="7402"/>
        <n v="3142"/>
        <n v="1790"/>
        <n v="4313"/>
        <n v="2390"/>
        <n v="2968"/>
        <n v="4988"/>
        <n v="2666"/>
        <n v="6900"/>
        <n v="2381"/>
        <n v="2317"/>
        <n v="7533"/>
        <n v="3889"/>
        <n v="2611"/>
        <n v="4745"/>
        <n v="1248"/>
        <n v="4661"/>
        <n v="64"/>
        <n v="970"/>
        <n v="700"/>
        <n v="3508"/>
        <n v="996"/>
        <n v="2471"/>
        <n v="754"/>
        <n v="61"/>
        <n v="3030"/>
        <n v="2659"/>
        <n v="870"/>
        <n v="2522"/>
        <n v="81"/>
        <n v="18"/>
        <n v="1622"/>
        <n v="1677"/>
        <n v="3130"/>
        <n v="63"/>
        <n v="966"/>
        <n v="4646"/>
        <n v="1940"/>
        <n v="2642"/>
        <n v="3817"/>
        <n v="2110"/>
        <n v="5788"/>
        <n v="1979"/>
        <n v="4419"/>
        <n v="4006"/>
        <n v="1666"/>
        <n v="4172"/>
        <n v="2740"/>
        <n v="2391"/>
        <n v="89"/>
        <n v="3708"/>
        <n v="1802"/>
        <n v="6191"/>
        <n v="3661"/>
        <n v="2891"/>
        <n v="42"/>
        <n v="10080"/>
        <n v="130"/>
        <n v="80"/>
        <n v="2972"/>
        <n v="1261"/>
        <n v="2736"/>
        <n v="7123"/>
        <n v="674"/>
        <n v="1169"/>
        <n v="2431"/>
        <n v="7456"/>
        <n v="310"/>
        <n v="2340"/>
        <n v="1985"/>
        <n v="939"/>
        <n v="79"/>
        <n v="145"/>
        <n v="772"/>
        <n v="1158"/>
        <n v="3915"/>
        <n v="471"/>
        <n v="568"/>
        <n v="1091"/>
        <n v="1065"/>
        <n v="522"/>
        <n v="17"/>
        <n v="1175"/>
        <n v="410"/>
        <n v="3864"/>
        <n v="1541"/>
        <n v="746"/>
        <n v="456"/>
        <n v="3996"/>
        <n v="917"/>
        <n v="3377"/>
        <n v="2683"/>
        <n v="4248"/>
        <n v="1655"/>
        <n v="3425"/>
        <n v="438"/>
        <n v="1212"/>
        <n v="3887"/>
        <n v="1333"/>
        <n v="1063"/>
        <n v="7249"/>
        <n v="1899"/>
        <n v="1194"/>
        <n v="2606"/>
        <n v="1461"/>
        <n v="6664"/>
        <n v="2502"/>
        <n v="3021"/>
        <n v="1597"/>
        <n v="3491"/>
        <n v="2652"/>
        <n v="2913"/>
        <n v="1958"/>
        <n v="2731"/>
        <n v="3530"/>
        <n v="82"/>
        <n v="2180"/>
        <n v="2083"/>
        <n v="1243"/>
        <n v="3159"/>
        <n v="3323"/>
        <n v="2120"/>
        <n v="2303"/>
        <n v="1401"/>
        <n v="3006"/>
        <n v="1407"/>
        <n v="3013"/>
        <n v="1129"/>
        <n v="45"/>
        <n v="881"/>
        <n v="1609"/>
        <n v="44"/>
        <n v="59"/>
        <n v="5076"/>
        <n v="2074"/>
        <n v="3694"/>
        <n v="1027"/>
        <n v="1106"/>
        <n v="1654"/>
        <n v="1969"/>
        <n v="1315"/>
        <n v="2801"/>
        <n v="2855"/>
        <n v="3160"/>
        <n v="3144"/>
        <n v="2179"/>
        <n v="749"/>
        <n v="3740"/>
        <n v="2745"/>
        <n v="993"/>
        <n v="604"/>
        <n v="1634"/>
        <n v="3165"/>
        <n v="1131"/>
        <n v="2640"/>
        <n v="29"/>
        <n v="589"/>
        <n v="431"/>
        <n v="1029"/>
        <n v="4665"/>
        <n v="295"/>
        <n v="193"/>
        <n v="1583"/>
        <n v="1256"/>
        <n v="999"/>
        <n v="5770"/>
        <n v="3147"/>
        <n v="1933"/>
        <n v="4565"/>
        <n v="2102"/>
        <n v="911"/>
        <n v="4367"/>
        <n v="1087"/>
        <n v="1584"/>
        <n v="1157"/>
        <n v="2078"/>
        <n v="428"/>
        <n v="853"/>
        <n v="835"/>
        <n v="6339"/>
        <n v="463"/>
        <n v="1766"/>
        <n v="87"/>
        <n v="1686"/>
        <n v="114"/>
        <n v="1683"/>
        <n v="949"/>
        <n v="1724"/>
        <n v="928"/>
        <n v="1706"/>
        <n v="794"/>
        <n v="1687"/>
        <n v="819"/>
        <n v="1702"/>
        <n v="814"/>
        <n v="1691"/>
        <n v="787"/>
        <n v="1737"/>
        <n v="874"/>
        <n v="1602"/>
        <n v="412"/>
        <n v="441"/>
        <n v="1096"/>
        <n v="214"/>
        <n v="974"/>
        <n v="1278"/>
        <n v="2256"/>
        <n v="58"/>
        <n v="4605"/>
        <n v="5570"/>
        <n v="3479"/>
        <n v="7214"/>
        <n v="2655"/>
        <n v="6464"/>
        <n v="32"/>
        <n v="276"/>
        <n v="189"/>
        <n v="437"/>
        <n v="60"/>
        <n v="184"/>
        <n v="2132"/>
        <n v="2377"/>
        <n v="1013"/>
        <n v="319"/>
        <n v="838"/>
        <n v="1508"/>
        <n v="2456"/>
        <n v="2724"/>
        <n v="3069"/>
        <n v="740"/>
        <n v="2684"/>
        <n v="977"/>
        <n v="1393"/>
        <n v="2528"/>
        <n v="951"/>
        <n v="31"/>
        <n v="2791"/>
        <n v="3603"/>
        <n v="1295"/>
        <n v="38"/>
        <n v="14"/>
        <n v="7256"/>
        <n v="2695"/>
        <n v="3688"/>
        <n v="8319"/>
        <n v="2787"/>
        <n v="2400"/>
        <n v="4743"/>
        <n v="5018"/>
        <n v="651"/>
        <n v="3243"/>
        <n v="156"/>
        <n v="4345"/>
        <n v="681"/>
        <n v="362"/>
        <n v="2754"/>
        <n v="138"/>
        <n v="361"/>
        <n v="1983"/>
        <n v="3401"/>
        <n v="1961"/>
        <n v="232"/>
        <n v="358"/>
        <n v="1255"/>
        <n v="283"/>
        <n v="5342"/>
        <n v="710"/>
        <n v="9745"/>
        <n v="2778"/>
        <n v="239"/>
        <n v="1375"/>
        <n v="416"/>
        <n v="402"/>
        <n v="7780"/>
        <n v="109"/>
        <n v="1861"/>
        <n v="544"/>
        <n v="1793"/>
        <n v="73"/>
        <n v="359"/>
        <n v="2412"/>
        <n v="269"/>
        <n v="343"/>
        <n v="493"/>
        <n v="206"/>
        <n v="671"/>
        <n v="2323"/>
        <n v="678"/>
        <n v="2356"/>
        <n v="3221"/>
        <n v="4115"/>
        <n v="1489"/>
        <n v="162"/>
        <n v="5662"/>
        <n v="1042"/>
        <n v="349"/>
        <n v="561"/>
        <n v="596"/>
        <n v="380"/>
        <n v="55"/>
        <n v="2343"/>
        <n v="2057"/>
        <n v="1807"/>
        <n v="485"/>
        <n v="5890"/>
        <n v="780"/>
        <n v="890"/>
        <n v="300"/>
        <n v="2758"/>
        <n v="662"/>
        <n v="954"/>
        <n v="2952"/>
        <n v="3799"/>
        <n v="5796"/>
        <n v="248"/>
        <n v="5036"/>
        <n v="609"/>
        <n v="134"/>
        <n v="1009"/>
        <n v="1133"/>
        <n v="3122"/>
        <n v="4923"/>
        <n v="4486"/>
        <n v="223"/>
        <n v="979"/>
        <n v="505"/>
        <n v="1813"/>
        <n v="3089"/>
        <n v="66"/>
        <n v="2442"/>
        <n v="1912"/>
        <n v="7736"/>
        <n v="7850"/>
        <n v="3369"/>
        <n v="1144"/>
        <n v="213"/>
        <n v="297"/>
        <n v="1267"/>
        <n v="4584"/>
        <n v="822"/>
        <n v="1697"/>
        <n v="2118"/>
        <n v="2916"/>
        <n v="7731"/>
        <n v="450"/>
        <n v="8057"/>
        <n v="314"/>
        <n v="795"/>
        <n v="535"/>
        <n v="3696"/>
        <n v="3411"/>
        <n v="1263"/>
        <n v="2704"/>
        <n v="8205"/>
        <n v="153"/>
        <n v="185"/>
        <n v="3655"/>
        <n v="848"/>
        <n v="1716"/>
        <n v="49"/>
        <n v="691"/>
        <n v="2320"/>
        <n v="6827"/>
        <n v="339"/>
        <n v="712"/>
        <n v="6294"/>
        <n v="1130"/>
        <n v="2043"/>
        <n v="672"/>
        <n v="3001"/>
        <n v="378"/>
        <n v="2476"/>
        <n v="7200"/>
        <n v="113"/>
        <n v="347"/>
        <n v="8861"/>
        <n v="2067"/>
        <n v="5603"/>
        <n v="976"/>
        <n v="216"/>
        <n v="57"/>
        <n v="133384"/>
        <n v="9288"/>
        <n v="5253"/>
        <n v="6778"/>
        <n v="13625"/>
        <n v="51244"/>
        <n v="61433"/>
        <n v="4064"/>
        <n v="26648"/>
        <n v="8217"/>
        <n v="919"/>
        <n v="8487"/>
        <n v="26969"/>
        <n v="2597"/>
        <n v="2362"/>
        <n v="2641"/>
        <n v="3273"/>
        <n v="16112"/>
        <n v="5612"/>
        <n v="2313"/>
        <n v="5697"/>
        <n v="4058"/>
        <n v="4071"/>
        <n v="4517"/>
        <n v="1761"/>
        <n v="5900"/>
        <n v="4975"/>
        <n v="7380"/>
        <n v="6971"/>
        <n v="3756"/>
        <n v="1023"/>
        <n v="1748"/>
        <n v="2638"/>
        <n v="7058"/>
        <n v="13233"/>
        <n v="8100"/>
        <n v="1863"/>
        <n v="1040"/>
        <n v="1926"/>
        <n v="6996"/>
        <n v="3468"/>
        <n v="2245"/>
        <n v="372"/>
        <n v="807"/>
        <n v="4755"/>
        <n v="551"/>
        <n v="3238"/>
        <n v="3739"/>
        <n v="6557"/>
        <n v="312"/>
        <n v="465"/>
        <n v="716"/>
        <n v="2509"/>
        <n v="4703"/>
        <n v="451"/>
        <n v="1120"/>
        <n v="3810"/>
        <n v="5563"/>
        <n v="4246"/>
        <n v="1121"/>
        <n v="3969"/>
        <n v="6858"/>
        <n v="4331"/>
        <n v="3067"/>
        <n v="826"/>
        <n v="2258"/>
        <n v="846"/>
        <n v="1100"/>
        <m/>
      </sharedItems>
    </cacheField>
    <cacheField name="点击率" numFmtId="0">
      <sharedItems containsString="0" containsBlank="1" containsNumber="1" minValue="0" maxValue="0.2784" count="606">
        <n v="0.0736"/>
        <n v="0.1009"/>
        <n v="0.0273"/>
        <n v="0.0656"/>
        <n v="0.0398"/>
        <n v="0.0709"/>
        <n v="0.0964"/>
        <n v="0.1209"/>
        <n v="0.032"/>
        <n v="0.0617"/>
        <n v="0.0426"/>
        <n v="0.0807"/>
        <n v="0.0921"/>
        <n v="0.1106"/>
        <n v="0.0622"/>
        <n v="0.0752"/>
        <n v="0.0886"/>
        <n v="0.1"/>
        <n v="0.1086"/>
        <n v="0.0662"/>
        <n v="0.0704"/>
        <n v="0.0906"/>
        <n v="0.0947"/>
        <n v="0.1169"/>
        <n v="0.061"/>
        <n v="0.0556"/>
        <n v="0.0934"/>
        <n v="0.0969"/>
        <n v="0.0305"/>
        <n v="0.0611"/>
        <n v="0"/>
        <n v="0.0776"/>
        <n v="0.1183"/>
        <n v="0.1184"/>
        <n v="0.0173"/>
        <n v="0.0754"/>
        <n v="0.0909"/>
        <n v="0.0743"/>
        <n v="0.0989"/>
        <n v="0.0242"/>
        <n v="0.066"/>
        <n v="0.0706"/>
        <n v="0.1349"/>
        <n v="0.1116"/>
        <n v="0.0918"/>
        <n v="0.0812"/>
        <n v="0.0235"/>
        <n v="0.0741"/>
        <n v="0.0694"/>
        <n v="0.1268"/>
        <n v="0.1122"/>
        <n v="0.1028"/>
        <n v="0.0768"/>
        <n v="0.0262"/>
        <n v="0.0966"/>
        <n v="0.0712"/>
        <n v="0.1135"/>
        <n v="0.1052"/>
        <n v="0.093"/>
        <n v="0.0799"/>
        <n v="0.0698"/>
        <n v="0.1123"/>
        <n v="0.0647"/>
        <n v="0.0246"/>
        <n v="0.2784"/>
        <n v="0.0489"/>
        <n v="0.1536"/>
        <n v="0.077"/>
        <n v="0.0814"/>
        <n v="0.0593"/>
        <n v="0.1003"/>
        <n v="0.019"/>
        <n v="0.0309"/>
        <n v="0.0604"/>
        <n v="0.0979"/>
        <n v="0.1394"/>
        <n v="0.0487"/>
        <n v="0.0436"/>
        <n v="0.0626"/>
        <n v="0.0492"/>
        <n v="0.2255"/>
        <n v="0.087"/>
        <n v="0.0551"/>
        <n v="0.0927"/>
        <n v="0.0301"/>
        <n v="0.0323"/>
        <n v="0.1017"/>
        <n v="0.0508"/>
        <n v="0.0506"/>
        <n v="0.1111"/>
        <n v="0.191"/>
        <n v="0.0623"/>
        <n v="0.0859"/>
        <n v="0.0825"/>
        <n v="0.1355"/>
        <n v="0.015"/>
        <n v="0.0569"/>
        <n v="0.0515"/>
        <n v="0.1838"/>
        <n v="0.0643"/>
        <n v="0.0949"/>
        <n v="0.0813"/>
        <n v="0.0576"/>
        <n v="0.1071"/>
        <n v="0.055"/>
        <n v="0.1104"/>
        <n v="0.1207"/>
        <n v="0.072"/>
        <n v="0.0472"/>
        <n v="0.0367"/>
        <n v="0.1864"/>
        <n v="0.0619"/>
        <n v="0.0366"/>
        <n v="0.0732"/>
        <n v="0.1368"/>
        <n v="0.023"/>
        <n v="0.0877"/>
        <n v="0.1067"/>
        <n v="0.0716"/>
        <n v="0.0418"/>
        <n v="0.1233"/>
        <n v="0.0627"/>
        <n v="0.0963"/>
        <n v="0.0769"/>
        <n v="0.04"/>
        <n v="0.0641"/>
        <n v="0.0962"/>
        <n v="0.0687"/>
        <n v="0.1088"/>
        <n v="0.1119"/>
        <n v="0.0466"/>
        <n v="0.0857"/>
        <n v="0.0714"/>
        <n v="0.0661"/>
        <n v="0.0625"/>
        <n v="0.0684"/>
        <n v="0.0786"/>
        <n v="0.0365"/>
        <n v="0.0676"/>
        <n v="0.0818"/>
        <n v="0.0455"/>
        <n v="0.0957"/>
        <n v="0.085"/>
        <n v="0.0695"/>
        <n v="0.0633"/>
        <n v="0.0437"/>
        <n v="0.044"/>
        <n v="0.0558"/>
        <n v="0.0624"/>
        <n v="0.0692"/>
        <n v="0.0575"/>
        <n v="0.0674"/>
        <n v="0.0346"/>
        <n v="0.0364"/>
        <n v="0.0471"/>
        <n v="0.0675"/>
        <n v="0.0563"/>
        <n v="0.0727"/>
        <n v="0.06"/>
        <n v="0.0493"/>
        <n v="0.0443"/>
        <n v="0.1053"/>
        <n v="0.0552"/>
        <n v="0.0713"/>
        <n v="0.0796"/>
        <n v="0.0696"/>
        <n v="0.0784"/>
        <n v="0.037"/>
        <n v="0.0541"/>
        <n v="0.0667"/>
        <n v="0.0779"/>
        <n v="0.1467"/>
        <n v="0.0564"/>
        <n v="0.0749"/>
        <n v="0.053"/>
        <n v="0.0722"/>
        <n v="0.0735"/>
        <n v="0.0881"/>
        <n v="0.078"/>
        <n v="0.0748"/>
        <n v="0.0516"/>
        <n v="0.0746"/>
        <n v="0.1079"/>
        <n v="0.1063"/>
        <n v="0.0783"/>
        <n v="0.0771"/>
        <n v="0.1101"/>
        <n v="0.0462"/>
        <n v="0.0465"/>
        <n v="0.107"/>
        <n v="0.0864"/>
        <n v="0.0427"/>
        <n v="0.039"/>
        <n v="0.0865"/>
        <n v="0.0775"/>
        <n v="0.0527"/>
        <n v="0.0429"/>
        <n v="0.0476"/>
        <n v="0.1047"/>
        <n v="0.05"/>
        <n v="0.0763"/>
        <n v="0.0856"/>
        <n v="0.0424"/>
        <n v="0.0458"/>
        <n v="0.0546"/>
        <n v="0.0442"/>
        <n v="0.0874"/>
        <n v="0.2343"/>
        <n v="0.0474"/>
        <n v="0.0423"/>
        <n v="0.0377"/>
        <n v="0.0374"/>
        <n v="0.117"/>
        <n v="0.0483"/>
        <n v="0.0889"/>
        <n v="0.0819"/>
        <n v="0.041"/>
        <n v="0.068"/>
        <n v="0.0532"/>
        <n v="0.0468"/>
        <n v="0.0903"/>
        <n v="0.2037"/>
        <n v="0.0403"/>
        <n v="0.0531"/>
        <n v="0.0488"/>
        <n v="0.0484"/>
        <n v="0.0598"/>
        <n v="0.0371"/>
        <n v="0.0559"/>
        <n v="0.0955"/>
        <n v="0.1398"/>
        <n v="0.1375"/>
        <n v="0.0469"/>
        <n v="0.0629"/>
        <n v="0.0481"/>
        <n v="0.0808"/>
        <n v="0.1024"/>
        <n v="0.0668"/>
        <n v="0.0588"/>
        <n v="0.02"/>
        <n v="0.0283"/>
        <n v="0.0505"/>
        <n v="0.1044"/>
        <n v="0.0504"/>
        <n v="0.0336"/>
        <n v="0.0578"/>
        <n v="0.0951"/>
        <n v="0.2315"/>
        <n v="0.0787"/>
        <n v="0.0901"/>
        <n v="0.056"/>
        <n v="0.0926"/>
        <n v="0.049"/>
        <n v="0.0731"/>
        <n v="0.042"/>
        <n v="0.073"/>
        <n v="0.0764"/>
        <n v="0.0095"/>
        <n v="0.1418"/>
        <n v="0.1296"/>
        <n v="0.0175"/>
        <n v="0.0883"/>
        <n v="0.0944"/>
        <n v="0.0129"/>
        <n v="0.0143"/>
        <n v="0.0275"/>
        <n v="0.0453"/>
        <n v="0.0439"/>
        <n v="0.0447"/>
        <n v="0.0279"/>
        <n v="0.0613"/>
        <n v="0.0892"/>
        <n v="0.0534"/>
        <n v="0.0924"/>
        <n v="0.0357"/>
        <n v="0.0649"/>
        <n v="0.0938"/>
        <n v="0.0287"/>
        <n v="0.0536"/>
        <n v="0.0602"/>
        <n v="0.0513"/>
        <n v="0.0639"/>
        <n v="0.0343"/>
        <n v="0.0383"/>
        <n v="0.0338"/>
        <n v="0.0217"/>
        <n v="0.0379"/>
        <n v="0.0717"/>
        <n v="0.0522"/>
        <n v="0.0445"/>
        <n v="0.0294"/>
        <n v="0.0271"/>
        <n v="0.0193"/>
        <n v="0.1008"/>
        <n v="0.0432"/>
        <n v="0.0501"/>
        <n v="0.065"/>
        <n v="0.0315"/>
        <n v="0.0691"/>
        <n v="0.0497"/>
        <n v="0.0702"/>
        <n v="0.0325"/>
        <n v="0.0467"/>
        <n v="0.0669"/>
        <n v="0.0329"/>
        <n v="0.0594"/>
        <n v="0.0372"/>
        <n v="0.1048"/>
        <n v="0.0428"/>
        <n v="0.0421"/>
        <n v="0.098"/>
        <n v="0.0163"/>
        <n v="0.0671"/>
        <n v="0.0216"/>
        <n v="0.0167"/>
        <n v="0.0579"/>
        <n v="0.0211"/>
        <n v="0.0295"/>
        <n v="0.0347"/>
        <n v="0.063"/>
        <n v="0.0635"/>
        <n v="0.0457"/>
        <n v="0.0646"/>
        <n v="0.0373"/>
        <n v="0.0397"/>
        <n v="0.017"/>
        <n v="0.0494"/>
        <n v="0.0615"/>
        <n v="0.0213"/>
        <n v="0.0573"/>
        <n v="0.0491"/>
        <n v="0.0221"/>
        <n v="0.059"/>
        <n v="0.0608"/>
        <n v="0.0597"/>
        <n v="0.0444"/>
        <n v="0.0589"/>
        <n v="0.0555"/>
        <n v="0.0637"/>
        <n v="0.0396"/>
        <n v="0.0665"/>
        <n v="0.0369"/>
        <n v="0.0829"/>
        <n v="0.0316"/>
        <n v="0.0451"/>
        <n v="0.0826"/>
        <n v="0.0188"/>
        <n v="0.0538"/>
        <n v="0.0571"/>
        <n v="0.0327"/>
        <n v="0.0545"/>
        <n v="0.0209"/>
        <n v="0.0514"/>
        <n v="0.0583"/>
        <n v="0.0605"/>
        <n v="0.0503"/>
        <n v="0.0893"/>
        <n v="0.0406"/>
        <n v="0.0231"/>
        <n v="0.0244"/>
        <n v="0.025"/>
        <n v="0.028"/>
        <n v="0.0272"/>
        <n v="0.0332"/>
        <n v="0.0411"/>
        <n v="0.0259"/>
        <n v="0.0434"/>
        <n v="0.0256"/>
        <n v="0.0414"/>
        <n v="0.0247"/>
        <n v="0.0255"/>
        <n v="0.0896"/>
        <n v="0.0417"/>
        <n v="0.0919"/>
        <n v="0.0227"/>
        <n v="0.0876"/>
        <n v="0.0438"/>
        <n v="0.033"/>
        <n v="0.021"/>
        <n v="0.1012"/>
        <n v="0.0653"/>
        <n v="0.0278"/>
        <n v="0.2"/>
        <n v="0.0308"/>
        <n v="0.0313"/>
        <n v="0.0446"/>
        <n v="0.0127"/>
        <n v="0.084"/>
        <n v="0.0537"/>
        <n v="0.0777"/>
        <n v="0.0425"/>
        <n v="0.0658"/>
        <n v="0.1084"/>
        <n v="0.0277"/>
        <n v="0.0512"/>
        <n v="0.0392"/>
        <n v="0.1062"/>
        <n v="0.0773"/>
        <n v="0.045"/>
        <n v="0.097"/>
        <n v="0.0805"/>
        <n v="0.0549"/>
        <n v="0.0345"/>
        <n v="0.0766"/>
        <n v="0.0561"/>
        <n v="0.0296"/>
        <n v="0.0251"/>
        <n v="0.0331"/>
        <n v="0.0156"/>
        <n v="0.0223"/>
        <n v="0.047"/>
        <n v="0.0478"/>
        <n v="0.0361"/>
        <n v="0.0433"/>
        <n v="0.0621"/>
        <n v="0.0449"/>
        <n v="0.0407"/>
        <n v="0.0683"/>
        <n v="0.0591"/>
        <n v="0.0518"/>
        <n v="0.0419"/>
        <n v="0.0854"/>
        <n v="0.0182"/>
        <n v="0.0201"/>
        <n v="0.0485"/>
        <n v="0.0701"/>
        <n v="0.0793"/>
        <n v="0.0291"/>
        <n v="0.0634"/>
        <n v="0.0282"/>
        <n v="0.1186"/>
        <n v="0.043"/>
        <n v="0.075"/>
        <n v="0.0286"/>
        <n v="0.0464"/>
        <n v="0.0456"/>
        <n v="0.0461"/>
        <n v="0.0312"/>
        <n v="0.0448"/>
        <n v="0.029"/>
        <n v="0.0267"/>
        <n v="0.1517"/>
        <n v="0.0208"/>
        <n v="0.0166"/>
        <n v="0.0409"/>
        <n v="0.0441"/>
        <n v="0.0306"/>
        <n v="0.0322"/>
        <n v="0.011"/>
        <n v="0.0181"/>
        <n v="0.0126"/>
        <n v="0.0219"/>
        <n v="0.0185"/>
        <n v="0.0229"/>
        <n v="0.0412"/>
        <n v="0.0838"/>
        <n v="0.0509"/>
        <n v="0.0905"/>
        <n v="0.0521"/>
        <n v="0.0351"/>
        <n v="0.0431"/>
        <n v="0.0774"/>
        <n v="0.0146"/>
        <n v="0.1493"/>
        <n v="0.0502"/>
        <n v="0.1297"/>
        <n v="0.1306"/>
        <n v="0.1114"/>
        <n v="0.0585"/>
        <n v="0.1015"/>
        <n v="0.0823"/>
        <n v="0.0699"/>
        <n v="0.0281"/>
        <n v="0.0525"/>
        <n v="0.0253"/>
        <n v="0.0238"/>
        <n v="0.0248"/>
        <n v="0.0666"/>
        <n v="0.105"/>
        <n v="0.0836"/>
        <n v="0.0245"/>
        <n v="0.0252"/>
        <n v="0.0673"/>
        <n v="0.0353"/>
        <n v="0.0535"/>
        <n v="0.1004"/>
        <n v="0.03"/>
        <n v="0.0719"/>
        <n v="0.1162"/>
        <n v="0.1171"/>
        <n v="0.0284"/>
        <n v="0.0759"/>
        <n v="0.1196"/>
        <n v="0.052"/>
        <n v="0.0599"/>
        <n v="0.1667"/>
        <n v="0.0263"/>
        <n v="0.1348"/>
        <n v="0.0996"/>
        <n v="0.0408"/>
        <n v="0.0311"/>
        <n v="0.1509"/>
        <n v="0.1429"/>
        <n v="0.0652"/>
        <n v="0.0391"/>
        <n v="0.0194"/>
        <n v="0.1395"/>
        <n v="0.1059"/>
        <n v="0.0577"/>
        <n v="0.1307"/>
        <n v="0.0328"/>
        <n v="0.0482"/>
        <n v="0.0977"/>
        <n v="0.0595"/>
        <n v="0.1195"/>
        <n v="0.0574"/>
        <n v="0.1512"/>
        <n v="0.0405"/>
        <n v="0.0557"/>
        <n v="0.0833"/>
        <n v="0.0586"/>
        <n v="0.0404"/>
        <n v="0.25"/>
        <n v="0.1462"/>
        <n v="0.0861"/>
        <n v="0.1153"/>
        <n v="0.0206"/>
        <n v="0.1786"/>
        <n v="0.1739"/>
        <n v="0.0582"/>
        <n v="0.0968"/>
        <n v="0.0654"/>
        <n v="0.0435"/>
        <n v="0.1302"/>
        <n v="0.1283"/>
        <n v="0.0547"/>
        <n v="0.1117"/>
        <n v="0.1187"/>
        <n v="0.0285"/>
        <n v="0.0677"/>
        <n v="0.0867"/>
        <n v="0.0413"/>
        <n v="0.1223"/>
        <n v="0.0566"/>
        <n v="0.1293"/>
        <n v="0.2286"/>
        <n v="0.1609"/>
        <n v="0.1145"/>
        <n v="0.1131"/>
        <n v="0.0495"/>
        <n v="0.1022"/>
        <n v="0.0477"/>
        <n v="0.1313"/>
        <n v="0.1212"/>
        <n v="0.1243"/>
        <n v="0.1029"/>
        <n v="0.0511"/>
        <n v="0.1149"/>
        <n v="0.0729"/>
        <n v="0.0603"/>
        <n v="0.0781"/>
        <n v="0.0931"/>
        <n v="0.0584"/>
        <n v="0.0899"/>
        <n v="0.0937"/>
        <n v="0.0682"/>
        <n v="0.089"/>
        <n v="0.0948"/>
        <n v="0.131"/>
        <n v="0.0756"/>
        <n v="0.0725"/>
        <n v="0.1275"/>
        <n v="0.0689"/>
        <n v="0.0628"/>
        <n v="0.1521"/>
        <n v="0.1082"/>
        <n v="0.082"/>
        <n v="0.1421"/>
        <n v="0.127"/>
        <n v="0.0609"/>
        <n v="0.0972"/>
        <n v="0.0824"/>
        <n v="0.1037"/>
        <n v="0.1146"/>
        <n v="0.0422"/>
        <n v="0.0473"/>
        <n v="0.0959"/>
        <n v="0.027"/>
        <n v="0.0983"/>
        <n v="0.0395"/>
        <n v="0.0499"/>
        <n v="0.0554"/>
        <n v="0.0765"/>
        <n v="0.0642"/>
        <n v="0.1032"/>
        <n v="0.1241"/>
        <n v="0.0606"/>
        <n v="0.0873"/>
        <n v="0.0973"/>
        <n v="0.046"/>
        <n v="0.0587"/>
        <n v="0.0958"/>
        <n v="0.1092"/>
        <n v="0.0607"/>
        <n v="0.1581"/>
        <m/>
      </sharedItems>
    </cacheField>
    <cacheField name="平均点击成本" numFmtId="0">
      <sharedItems containsString="0" containsBlank="1" containsNumber="1" minValue="0" maxValue="1.94" count="114">
        <n v="0.13"/>
        <n v="0.09"/>
        <n v="0.11"/>
        <n v="0.24"/>
        <n v="0.12"/>
        <n v="0.07"/>
        <n v="0.05"/>
        <n v="0.21"/>
        <n v="0.19"/>
        <n v="0.08"/>
        <n v="0.25"/>
        <n v="0.04"/>
        <n v="0.2"/>
        <n v="0.06"/>
        <n v="0.41"/>
        <n v="0.46"/>
        <n v="0"/>
        <n v="0.5"/>
        <n v="0.62"/>
        <n v="0.56"/>
        <n v="0.53"/>
        <n v="0.28"/>
        <n v="0.44"/>
        <n v="0.38"/>
        <n v="0.52"/>
        <n v="0.4"/>
        <n v="0.43"/>
        <n v="0.42"/>
        <n v="0.1"/>
        <n v="0.76"/>
        <n v="0.16"/>
        <n v="1.06"/>
        <n v="0.17"/>
        <n v="0.65"/>
        <n v="0.69"/>
        <n v="0.32"/>
        <n v="0.27"/>
        <n v="0.15"/>
        <n v="0.86"/>
        <n v="0.03"/>
        <n v="0.59"/>
        <n v="0.22"/>
        <n v="0.14"/>
        <n v="0.39"/>
        <n v="0.45"/>
        <n v="0.64"/>
        <n v="0.6"/>
        <n v="0.49"/>
        <n v="0.31"/>
        <n v="0.58"/>
        <n v="0.36"/>
        <n v="0.18"/>
        <n v="0.3"/>
        <n v="0.26"/>
        <n v="0.71"/>
        <n v="0.33"/>
        <n v="0.91"/>
        <n v="1.04"/>
        <n v="0.23"/>
        <n v="0.73"/>
        <n v="0.7"/>
        <n v="1.94"/>
        <n v="0.72"/>
        <n v="0.95"/>
        <n v="0.78"/>
        <n v="1.77"/>
        <n v="0.8"/>
        <n v="1.41"/>
        <n v="0.68"/>
        <n v="0.97"/>
        <n v="1.37"/>
        <n v="0.48"/>
        <n v="0.54"/>
        <n v="0.47"/>
        <n v="0.34"/>
        <n v="0.57"/>
        <n v="0.35"/>
        <n v="0.55"/>
        <n v="0.77"/>
        <n v="0.87"/>
        <n v="0.84"/>
        <n v="0.29"/>
        <n v="0.37"/>
        <n v="0.51"/>
        <n v="1.18"/>
        <n v="1.09"/>
        <n v="1.68"/>
        <n v="1.54"/>
        <n v="0.89"/>
        <n v="1.01"/>
        <n v="1.34"/>
        <n v="1.15"/>
        <n v="1.19"/>
        <n v="1.51"/>
        <n v="0.61"/>
        <n v="0.85"/>
        <n v="1.17"/>
        <n v="1"/>
        <n v="0.66"/>
        <n v="0.75"/>
        <n v="1.2"/>
        <n v="0.67"/>
        <n v="0.79"/>
        <n v="0.81"/>
        <n v="0.9"/>
        <n v="0.74"/>
        <n v="0.93"/>
        <n v="0.92"/>
        <n v="0.63"/>
        <n v="1.44"/>
        <n v="1.27"/>
        <n v="0.99"/>
        <n v="0.02"/>
        <m/>
      </sharedItems>
    </cacheField>
    <cacheField name="平均千次展示费用" numFmtId="0">
      <sharedItems containsString="0" containsBlank="1" containsNumber="1" minValue="0" maxValue="302" count="819">
        <n v="9.51"/>
        <n v="9.09"/>
        <n v="3.04"/>
        <n v="15.57"/>
        <n v="4.56"/>
        <n v="8.21"/>
        <n v="6.46"/>
        <n v="6.29"/>
        <n v="2.34"/>
        <n v="12.96"/>
        <n v="3.1"/>
        <n v="6.02"/>
        <n v="4.65"/>
        <n v="5.16"/>
        <n v="11.79"/>
        <n v="8.12"/>
        <n v="6.19"/>
        <n v="8.05"/>
        <n v="7.68"/>
        <n v="16.57"/>
        <n v="4.99"/>
        <n v="5.95"/>
        <n v="4.43"/>
        <n v="12.4"/>
        <n v="3.59"/>
        <n v="5.74"/>
        <n v="7.05"/>
        <n v="12.44"/>
        <n v="28.21"/>
        <n v="0"/>
        <n v="38.6"/>
        <n v="8.54"/>
        <n v="73.36"/>
        <n v="9.72"/>
        <n v="6.44"/>
        <n v="6.76"/>
        <n v="34.65"/>
        <n v="39.21"/>
        <n v="8.57"/>
        <n v="6.68"/>
        <n v="5.79"/>
        <n v="4.27"/>
        <n v="9.84"/>
        <n v="6.12"/>
        <n v="37.58"/>
        <n v="35.71"/>
        <n v="9.01"/>
        <n v="5.71"/>
        <n v="4.39"/>
        <n v="8.16"/>
        <n v="4.89"/>
        <n v="53"/>
        <n v="38.46"/>
        <n v="10.35"/>
        <n v="7.69"/>
        <n v="5.17"/>
        <n v="6.69"/>
        <n v="5.63"/>
        <n v="40.26"/>
        <n v="33.86"/>
        <n v="4.9"/>
        <n v="11.06"/>
        <n v="26.97"/>
        <n v="18.81"/>
        <n v="13.01"/>
        <n v="8.02"/>
        <n v="9.21"/>
        <n v="81.76"/>
        <n v="34.82"/>
        <n v="10.1"/>
        <n v="58.86"/>
        <n v="13.23"/>
        <n v="6"/>
        <n v="10"/>
        <n v="6.63"/>
        <n v="9.8"/>
        <n v="13.63"/>
        <n v="8.85"/>
        <n v="17.05"/>
        <n v="21.73"/>
        <n v="8.87"/>
        <n v="39.89"/>
        <n v="10.87"/>
        <n v="13.89"/>
        <n v="25.91"/>
        <n v="9.97"/>
        <n v="0.97"/>
        <n v="5.14"/>
        <n v="13.95"/>
        <n v="22.22"/>
        <n v="7.36"/>
        <n v="36.66"/>
        <n v="45.63"/>
        <n v="17.78"/>
        <n v="19.26"/>
        <n v="8.43"/>
        <n v="15.14"/>
        <n v="20.26"/>
        <n v="6.15"/>
        <n v="38.2"/>
        <n v="42.75"/>
        <n v="50.73"/>
        <n v="8.34"/>
        <n v="6.04"/>
        <n v="4.48"/>
        <n v="7.77"/>
        <n v="7.13"/>
        <n v="37.44"/>
        <n v="12.7"/>
        <n v="15.54"/>
        <n v="39.3"/>
        <n v="21.97"/>
        <n v="14"/>
        <n v="6.55"/>
        <n v="1.38"/>
        <n v="5.09"/>
        <n v="6.61"/>
        <n v="35.47"/>
        <n v="13.34"/>
        <n v="4.78"/>
        <n v="38.67"/>
        <n v="53.61"/>
        <n v="37.94"/>
        <n v="12.39"/>
        <n v="37.4"/>
        <n v="53.75"/>
        <n v="8.78"/>
        <n v="6.28"/>
        <n v="5.72"/>
        <n v="7.92"/>
        <n v="11.16"/>
        <n v="7.65"/>
        <n v="7.86"/>
        <n v="2.82"/>
        <n v="2.78"/>
        <n v="6.87"/>
        <n v="7.67"/>
        <n v="29.27"/>
        <n v="24.54"/>
        <n v="12.72"/>
        <n v="16.4"/>
        <n v="8.5"/>
        <n v="14.69"/>
        <n v="6.64"/>
        <n v="8.23"/>
        <n v="33.98"/>
        <n v="10.38"/>
        <n v="7.64"/>
        <n v="10.02"/>
        <n v="5.64"/>
        <n v="2.94"/>
        <n v="6.85"/>
        <n v="4.54"/>
        <n v="10.98"/>
        <n v="8.77"/>
        <n v="8.32"/>
        <n v="5.84"/>
        <n v="2.99"/>
        <n v="2.55"/>
        <n v="8.44"/>
        <n v="24.52"/>
        <n v="10.33"/>
        <n v="7.02"/>
        <n v="8.51"/>
        <n v="4.33"/>
        <n v="3.62"/>
        <n v="5.59"/>
        <n v="31.58"/>
        <n v="9.14"/>
        <n v="8.36"/>
        <n v="11.24"/>
        <n v="4.85"/>
        <n v="11.35"/>
        <n v="14.48"/>
        <n v="4.44"/>
        <n v="8.47"/>
        <n v="7.63"/>
        <n v="15.76"/>
        <n v="38.53"/>
        <n v="7.43"/>
        <n v="15.07"/>
        <n v="10.86"/>
        <n v="7.33"/>
        <n v="9.07"/>
        <n v="11.07"/>
        <n v="12.55"/>
        <n v="11.71"/>
        <n v="44.72"/>
        <n v="8.15"/>
        <n v="9.32"/>
        <n v="12.24"/>
        <n v="13.64"/>
        <n v="9.27"/>
        <n v="14.41"/>
        <n v="7.94"/>
        <n v="12.93"/>
        <n v="11.97"/>
        <n v="68.04"/>
        <n v="11.63"/>
        <n v="12.57"/>
        <n v="4.19"/>
        <n v="8"/>
        <n v="9.69"/>
        <n v="10.64"/>
        <n v="3.68"/>
        <n v="27.6"/>
        <n v="36"/>
        <n v="31.43"/>
        <n v="5.83"/>
        <n v="23.82"/>
        <n v="45.06"/>
        <n v="22.78"/>
        <n v="12.86"/>
        <n v="72.13"/>
        <n v="9.75"/>
        <n v="11.43"/>
        <n v="9.19"/>
        <n v="14.04"/>
        <n v="38.69"/>
        <n v="19.21"/>
        <n v="4.72"/>
        <n v="37.61"/>
        <n v="46.01"/>
        <n v="23.76"/>
        <n v="22.01"/>
        <n v="8.39"/>
        <n v="8.75"/>
        <n v="5.65"/>
        <n v="84.98"/>
        <n v="12.48"/>
        <n v="11.86"/>
        <n v="12.26"/>
        <n v="35.18"/>
        <n v="29.05"/>
        <n v="37.49"/>
        <n v="90.88"/>
        <n v="24.13"/>
        <n v="14.19"/>
        <n v="5.76"/>
        <n v="12.51"/>
        <n v="15.37"/>
        <n v="9.17"/>
        <n v="13.46"/>
        <n v="5.85"/>
        <n v="7.39"/>
        <n v="68.32"/>
        <n v="13.83"/>
        <n v="13.78"/>
        <n v="11.26"/>
        <n v="44.44"/>
        <n v="32.46"/>
        <n v="48.73"/>
        <n v="85.29"/>
        <n v="22.86"/>
        <n v="8.79"/>
        <n v="19.69"/>
        <n v="7.21"/>
        <n v="3.9"/>
        <n v="35.11"/>
        <n v="8.88"/>
        <n v="45.87"/>
        <n v="15.39"/>
        <n v="46.3"/>
        <n v="67.01"/>
        <n v="25.22"/>
        <n v="9.23"/>
        <n v="12.52"/>
        <n v="6.56"/>
        <n v="60.88"/>
        <n v="8.62"/>
        <n v="9.96"/>
        <n v="9.71"/>
        <n v="47.75"/>
        <n v="32.64"/>
        <n v="37.97"/>
        <n v="57.72"/>
        <n v="12.67"/>
        <n v="15.41"/>
        <n v="3.07"/>
        <n v="43.86"/>
        <n v="13.25"/>
        <n v="11.66"/>
        <n v="30.81"/>
        <n v="18.25"/>
        <n v="14.1"/>
        <n v="11.55"/>
        <n v="5.13"/>
        <n v="65.13"/>
        <n v="41.55"/>
        <n v="3.88"/>
        <n v="16.5"/>
        <n v="19.93"/>
        <n v="21.84"/>
        <n v="20.93"/>
        <n v="2.6"/>
        <n v="10.53"/>
        <n v="4.69"/>
        <n v="18.15"/>
        <n v="4.41"/>
        <n v="12.94"/>
        <n v="11.11"/>
        <n v="5.45"/>
        <n v="11.4"/>
        <n v="9.83"/>
        <n v="4.52"/>
        <n v="5.23"/>
        <n v="13.08"/>
        <n v="6.96"/>
        <n v="5.73"/>
        <n v="22.43"/>
        <n v="9.55"/>
        <n v="6.77"/>
        <n v="28.79"/>
        <n v="19.49"/>
        <n v="22.17"/>
        <n v="15.47"/>
        <n v="10.56"/>
        <n v="32.31"/>
        <n v="13.27"/>
        <n v="26.56"/>
        <n v="9.43"/>
        <n v="35.45"/>
        <n v="34.5"/>
        <n v="17.59"/>
        <n v="24.76"/>
        <n v="31.14"/>
        <n v="15.13"/>
        <n v="8.96"/>
        <n v="89.08"/>
        <n v="38.88"/>
        <n v="64.92"/>
        <n v="8.4"/>
        <n v="9.45"/>
        <n v="4.67"/>
        <n v="9.81"/>
        <n v="4.79"/>
        <n v="9.25"/>
        <n v="15.75"/>
        <n v="5.11"/>
        <n v="8.33"/>
        <n v="13.67"/>
        <n v="6.45"/>
        <n v="8.64"/>
        <n v="13.76"/>
        <n v="6.52"/>
        <n v="9.41"/>
        <n v="4.76"/>
        <n v="14.03"/>
        <n v="9.38"/>
        <n v="11.01"/>
        <n v="13.62"/>
        <n v="10.58"/>
        <n v="5.94"/>
        <n v="15.84"/>
        <n v="5.3"/>
        <n v="28.26"/>
        <n v="6.26"/>
        <n v="9.58"/>
        <n v="9.54"/>
        <n v="14.95"/>
        <n v="10.55"/>
        <n v="14.17"/>
        <n v="16.78"/>
        <n v="12.92"/>
        <n v="24.24"/>
        <n v="16.02"/>
        <n v="10.16"/>
        <n v="5.33"/>
        <n v="5.38"/>
        <n v="13.86"/>
        <n v="9.48"/>
        <n v="10.8"/>
        <n v="7.55"/>
        <n v="14.72"/>
        <n v="6.82"/>
        <n v="15.24"/>
        <n v="6.3"/>
        <n v="15.5"/>
        <n v="5"/>
        <n v="12.16"/>
        <n v="5.22"/>
        <n v="13.42"/>
        <n v="10.69"/>
        <n v="6.03"/>
        <n v="12.89"/>
        <n v="6.48"/>
        <n v="13.61"/>
        <n v="7.47"/>
        <n v="14.06"/>
        <n v="6.39"/>
        <n v="18.29"/>
        <n v="43.45"/>
        <n v="62.29"/>
        <n v="28.47"/>
        <n v="5.08"/>
        <n v="16.26"/>
        <n v="9.2"/>
        <n v="97.57"/>
        <n v="93.37"/>
        <n v="10.94"/>
        <n v="11.33"/>
        <n v="35.91"/>
        <n v="14.75"/>
        <n v="6.94"/>
        <n v="12.1"/>
        <n v="8.45"/>
        <n v="6.92"/>
        <n v="34.76"/>
        <n v="9.29"/>
        <n v="7.12"/>
        <n v="40.52"/>
        <n v="12.83"/>
        <n v="13.06"/>
        <n v="20.29"/>
        <n v="43.47"/>
        <n v="23.08"/>
        <n v="18.8"/>
        <n v="15.68"/>
        <n v="73.67"/>
        <n v="12.8"/>
        <n v="56.81"/>
        <n v="3.7"/>
        <n v="22.7"/>
        <n v="29.34"/>
        <n v="22.79"/>
        <n v="17.93"/>
        <n v="25.51"/>
        <n v="59"/>
        <n v="4.6"/>
        <n v="22.47"/>
        <n v="6.79"/>
        <n v="13.12"/>
        <n v="8.61"/>
        <n v="39.23"/>
        <n v="6.4"/>
        <n v="26.3"/>
        <n v="23.7"/>
        <n v="13.18"/>
        <n v="12.19"/>
        <n v="302"/>
        <n v="8.19"/>
        <n v="21.59"/>
        <n v="11.54"/>
        <n v="15.69"/>
        <n v="1.27"/>
        <n v="12.71"/>
        <n v="6.07"/>
        <n v="19.46"/>
        <n v="15.01"/>
        <n v="11.12"/>
        <n v="12.37"/>
        <n v="26.13"/>
        <n v="13.53"/>
        <n v="10.59"/>
        <n v="13.43"/>
        <n v="25.01"/>
        <n v="8.73"/>
        <n v="11"/>
        <n v="20.01"/>
        <n v="6.36"/>
        <n v="6.58"/>
        <n v="25.41"/>
        <n v="15.25"/>
        <n v="13.02"/>
        <n v="12.78"/>
        <n v="37.22"/>
        <n v="12.25"/>
        <n v="14.13"/>
        <n v="12.13"/>
        <n v="15.77"/>
        <n v="13.44"/>
        <n v="17.18"/>
        <n v="7.93"/>
        <n v="24.8"/>
        <n v="12.56"/>
        <n v="16.3"/>
        <n v="29.65"/>
        <n v="16.84"/>
        <n v="8.06"/>
        <n v="19.39"/>
        <n v="16.86"/>
        <n v="15.09"/>
        <n v="12.64"/>
        <n v="6.65"/>
        <n v="15.03"/>
        <n v="11.88"/>
        <n v="13.92"/>
        <n v="24.38"/>
        <n v="6.81"/>
        <n v="14.94"/>
        <n v="19.71"/>
        <n v="13.98"/>
        <n v="15.23"/>
        <n v="16.03"/>
        <n v="30.63"/>
        <n v="10.36"/>
        <n v="11.92"/>
        <n v="22.64"/>
        <n v="31.01"/>
        <n v="38.29"/>
        <n v="47.62"/>
        <n v="24.03"/>
        <n v="28.35"/>
        <n v="49.56"/>
        <n v="12.41"/>
        <n v="21.19"/>
        <n v="29.72"/>
        <n v="8.56"/>
        <n v="11.76"/>
        <n v="3.09"/>
        <n v="48.96"/>
        <n v="12.33"/>
        <n v="32.04"/>
        <n v="14.61"/>
        <n v="12.32"/>
        <n v="13.88"/>
        <n v="38.52"/>
        <n v="16.44"/>
        <n v="14.43"/>
        <n v="14.91"/>
        <n v="8.86"/>
        <n v="34.58"/>
        <n v="16.45"/>
        <n v="20.2"/>
        <n v="23.03"/>
        <n v="72.2"/>
        <n v="15.16"/>
        <n v="15"/>
        <n v="24.66"/>
        <n v="17.24"/>
        <n v="18.68"/>
        <n v="16.56"/>
        <n v="18.53"/>
        <n v="16.35"/>
        <n v="15.49"/>
        <n v="16.47"/>
        <n v="16.54"/>
        <n v="16.13"/>
        <n v="15.06"/>
        <n v="15.27"/>
        <n v="14.27"/>
        <n v="40.85"/>
        <n v="52.36"/>
        <n v="15.63"/>
        <n v="15.71"/>
        <n v="13.09"/>
        <n v="11.34"/>
        <n v="16.67"/>
        <n v="10.04"/>
        <n v="9.16"/>
        <n v="10.65"/>
        <n v="2.32"/>
        <n v="7.27"/>
        <n v="12.68"/>
        <n v="10.2"/>
        <n v="9.49"/>
        <n v="21.69"/>
        <n v="6.99"/>
        <n v="12.29"/>
        <n v="8.72"/>
        <n v="20.04"/>
        <n v="14.23"/>
        <n v="11.14"/>
        <n v="16.25"/>
        <n v="24"/>
        <n v="17.65"/>
        <n v="22.12"/>
        <n v="16.89"/>
        <n v="35.82"/>
        <n v="12.66"/>
        <n v="7.73"/>
        <n v="33.3"/>
        <n v="22.99"/>
        <n v="19.54"/>
        <n v="43.2"/>
        <n v="19.05"/>
        <n v="5.1"/>
        <n v="22.26"/>
        <n v="12.6"/>
        <n v="17.84"/>
        <n v="21.03"/>
        <n v="34.89"/>
        <n v="8.53"/>
        <n v="11.05"/>
        <n v="28.72"/>
        <n v="17.62"/>
        <n v="12.45"/>
        <n v="14.82"/>
        <n v="13.93"/>
        <n v="13.52"/>
        <n v="11.91"/>
        <n v="49.26"/>
        <n v="44.4"/>
        <n v="3.85"/>
        <n v="34.94"/>
        <n v="7.26"/>
        <n v="17.2"/>
        <n v="31.63"/>
        <n v="69.55"/>
        <n v="9.99"/>
        <n v="19.06"/>
        <n v="4.17"/>
        <n v="16.83"/>
        <n v="8.22"/>
        <n v="21.26"/>
        <n v="16.74"/>
        <n v="44.96"/>
        <n v="9.39"/>
        <n v="11.09"/>
        <n v="22.75"/>
        <n v="9.92"/>
        <n v="26.18"/>
        <n v="10.28"/>
        <n v="45.93"/>
        <n v="82.05"/>
        <n v="13.13"/>
        <n v="2.7"/>
        <n v="7.97"/>
        <n v="57.24"/>
        <n v="18.08"/>
        <n v="44.86"/>
        <n v="108.53"/>
        <n v="10.85"/>
        <n v="11.48"/>
        <n v="24.86"/>
        <n v="44.01"/>
        <n v="110.37"/>
        <n v="20.51"/>
        <n v="20"/>
        <n v="12.18"/>
        <n v="60.34"/>
        <n v="36.58"/>
        <n v="23.49"/>
        <n v="18.44"/>
        <n v="23.96"/>
        <n v="15.52"/>
        <n v="14.39"/>
        <n v="44.47"/>
        <n v="19.1"/>
        <n v="70.83"/>
        <n v="18.97"/>
        <n v="23.63"/>
        <n v="25.9"/>
        <n v="23.53"/>
        <n v="17.08"/>
        <n v="36.97"/>
        <n v="54.29"/>
        <n v="27.42"/>
        <n v="16.46"/>
        <n v="10.32"/>
        <n v="6.2"/>
        <n v="17.98"/>
        <n v="13.71"/>
        <n v="14.81"/>
        <n v="51.53"/>
        <n v="25.84"/>
        <n v="17.69"/>
        <n v="60.84"/>
        <n v="18.61"/>
        <n v="16.93"/>
        <n v="35.12"/>
        <n v="24.74"/>
        <n v="10.76"/>
        <n v="26.09"/>
        <n v="18.88"/>
        <n v="15.55"/>
        <n v="9.52"/>
        <n v="14.26"/>
        <n v="47.94"/>
        <n v="69.46"/>
        <n v="16.52"/>
        <n v="22.45"/>
        <n v="13.57"/>
        <n v="26.25"/>
        <n v="18.77"/>
        <n v="14.67"/>
        <n v="26.29"/>
        <n v="13.17"/>
        <n v="13.65"/>
        <n v="16.71"/>
        <n v="65"/>
        <n v="41.67"/>
        <n v="13.55"/>
        <n v="66.12"/>
        <n v="19.81"/>
        <n v="20.73"/>
        <n v="40.18"/>
        <n v="16.51"/>
        <n v="4.12"/>
        <n v="8.9"/>
        <n v="48.57"/>
        <n v="38.1"/>
        <n v="69.57"/>
        <n v="22.83"/>
        <n v="5.75"/>
        <n v="17.1"/>
        <n v="17.17"/>
        <n v="8.7"/>
        <n v="13.26"/>
        <n v="24.72"/>
        <n v="59.53"/>
        <n v="41"/>
        <n v="16.33"/>
        <n v="31.48"/>
        <n v="13.97"/>
        <n v="8.63"/>
        <n v="14.08"/>
        <n v="10.97"/>
        <n v="13.3"/>
        <n v="53.03"/>
        <n v="37.21"/>
        <n v="21.06"/>
        <n v="10.73"/>
        <n v="10.06"/>
        <n v="16.65"/>
        <n v="8.48"/>
        <n v="14.89"/>
        <n v="19.09"/>
        <n v="35.56"/>
        <n v="55.01"/>
        <n v="15.74"/>
        <n v="22.03"/>
        <n v="17.64"/>
        <n v="24.37"/>
        <n v="26.12"/>
        <n v="91.41"/>
        <n v="19.16"/>
        <n v="21.94"/>
        <n v="59.71"/>
        <n v="54.09"/>
        <n v="72.74"/>
        <n v="81.96"/>
        <n v="53.55"/>
        <n v="11.93"/>
        <n v="22.6"/>
        <n v="25.28"/>
        <n v="22.1"/>
        <n v="8.08"/>
        <n v="117.93"/>
        <n v="27.29"/>
        <n v="60.92"/>
        <n v="113.6"/>
        <n v="102.55"/>
        <n v="13.94"/>
        <n v="24.6"/>
        <n v="30.84"/>
        <n v="26.43"/>
        <n v="17.25"/>
        <n v="61.7"/>
        <n v="34.75"/>
        <n v="30.98"/>
        <n v="13.8"/>
        <n v="94.63"/>
        <n v="73.08"/>
        <n v="77.78"/>
        <n v="24.05"/>
        <n v="4.83"/>
        <n v="9.68"/>
        <n v="71.1"/>
        <n v="7.71"/>
        <n v="2.18"/>
        <n v="9.64"/>
        <n v="16.96"/>
        <n v="9.73"/>
        <n v="12.75"/>
        <n v="8.98"/>
        <n v="12.63"/>
        <n v="8.74"/>
        <n v="9.67"/>
        <n v="7.32"/>
        <n v="5.8"/>
        <n v="7.88"/>
        <n v="16.22"/>
        <n v="12.06"/>
        <n v="10.93"/>
        <n v="12.69"/>
        <n v="18.01"/>
        <n v="17.7"/>
        <n v="22"/>
        <n v="10.01"/>
        <n v="9.61"/>
        <n v="14.31"/>
        <n v="20.63"/>
        <n v="12.85"/>
        <n v="7.51"/>
        <n v="9.15"/>
        <n v="13.56"/>
        <n v="28.86"/>
        <n v="29.58"/>
        <n v="10.45"/>
        <n v="18.21"/>
        <n v="15.11"/>
        <n v="7.16"/>
        <n v="8.76"/>
        <n v="50.06"/>
        <n v="30.57"/>
        <n v="2.89"/>
        <n v="16.38"/>
        <n v="18.38"/>
        <n v="13.79"/>
        <n v="7.53"/>
        <n v="55.91"/>
        <n v="27.45"/>
        <n v="23.64"/>
        <n v="19.83"/>
        <n v="11.73"/>
        <n v="61.22"/>
        <n v="18.5"/>
        <n v="17.27"/>
        <n v="10.42"/>
        <n v="7.17"/>
        <n v="14.76"/>
        <n v="49.37"/>
        <n v="19.44"/>
        <n v="3.45"/>
        <n v="17.96"/>
        <n v="67.71"/>
        <n v="125"/>
        <m/>
      </sharedItems>
    </cacheField>
    <cacheField name="点赞" numFmtId="0">
      <sharedItems containsString="0" containsBlank="1" containsNumber="1" containsInteger="1" minValue="-1" maxValue="8283" count="253">
        <n v="137"/>
        <n v="20"/>
        <n v="11"/>
        <n v="36"/>
        <n v="32"/>
        <n v="85"/>
        <n v="164"/>
        <n v="12"/>
        <n v="2"/>
        <n v="29"/>
        <n v="19"/>
        <n v="70"/>
        <n v="105"/>
        <n v="8"/>
        <n v="14"/>
        <n v="0"/>
        <n v="47"/>
        <n v="16"/>
        <n v="1"/>
        <n v="46"/>
        <n v="50"/>
        <n v="7"/>
        <n v="6"/>
        <n v="4"/>
        <n v="83"/>
        <n v="98"/>
        <n v="3"/>
        <n v="74"/>
        <n v="62"/>
        <n v="90"/>
        <n v="41"/>
        <n v="35"/>
        <n v="110"/>
        <n v="71"/>
        <n v="54"/>
        <n v="37"/>
        <n v="28"/>
        <n v="88"/>
        <n v="66"/>
        <n v="89"/>
        <n v="49"/>
        <n v="5"/>
        <n v="99"/>
        <n v="22"/>
        <n v="152"/>
        <n v="407"/>
        <n v="15"/>
        <n v="496"/>
        <n v="30"/>
        <n v="72"/>
        <n v="44"/>
        <n v="163"/>
        <n v="563"/>
        <n v="186"/>
        <n v="21"/>
        <n v="65"/>
        <n v="17"/>
        <n v="256"/>
        <n v="128"/>
        <n v="307"/>
        <n v="76"/>
        <n v="334"/>
        <n v="42"/>
        <n v="13"/>
        <n v="18"/>
        <n v="25"/>
        <n v="34"/>
        <n v="741"/>
        <n v="1235"/>
        <n v="347"/>
        <n v="59"/>
        <n v="23"/>
        <n v="1071"/>
        <n v="825"/>
        <n v="104"/>
        <n v="520"/>
        <n v="51"/>
        <n v="122"/>
        <n v="368"/>
        <n v="113"/>
        <n v="26"/>
        <n v="109"/>
        <n v="226"/>
        <n v="82"/>
        <n v="150"/>
        <n v="449"/>
        <n v="55"/>
        <n v="75"/>
        <n v="97"/>
        <n v="182"/>
        <n v="292"/>
        <n v="413"/>
        <n v="45"/>
        <n v="168"/>
        <n v="63"/>
        <n v="58"/>
        <n v="68"/>
        <n v="173"/>
        <n v="176"/>
        <n v="92"/>
        <n v="61"/>
        <n v="175"/>
        <n v="60"/>
        <n v="118"/>
        <n v="159"/>
        <n v="158"/>
        <n v="52"/>
        <n v="57"/>
        <n v="141"/>
        <n v="106"/>
        <n v="302"/>
        <n v="87"/>
        <n v="39"/>
        <n v="133"/>
        <n v="81"/>
        <n v="185"/>
        <n v="215"/>
        <n v="180"/>
        <n v="67"/>
        <n v="79"/>
        <n v="114"/>
        <n v="95"/>
        <n v="228"/>
        <n v="238"/>
        <n v="252"/>
        <n v="9"/>
        <n v="38"/>
        <n v="84"/>
        <n v="80"/>
        <n v="275"/>
        <n v="289"/>
        <n v="187"/>
        <n v="107"/>
        <n v="165"/>
        <n v="360"/>
        <n v="371"/>
        <n v="303"/>
        <n v="408"/>
        <n v="507"/>
        <n v="56"/>
        <n v="221"/>
        <n v="518"/>
        <n v="234"/>
        <n v="121"/>
        <n v="202"/>
        <n v="151"/>
        <n v="112"/>
        <n v="40"/>
        <n v="27"/>
        <n v="78"/>
        <n v="73"/>
        <n v="273"/>
        <n v="86"/>
        <n v="284"/>
        <n v="397"/>
        <n v="492"/>
        <n v="267"/>
        <n v="243"/>
        <n v="116"/>
        <n v="77"/>
        <n v="160"/>
        <n v="24"/>
        <n v="102"/>
        <n v="244"/>
        <n v="108"/>
        <n v="131"/>
        <n v="130"/>
        <n v="193"/>
        <n v="195"/>
        <n v="123"/>
        <n v="143"/>
        <n v="93"/>
        <n v="48"/>
        <n v="338"/>
        <n v="153"/>
        <n v="166"/>
        <n v="64"/>
        <n v="10"/>
        <n v="237"/>
        <n v="161"/>
        <n v="174"/>
        <n v="196"/>
        <n v="183"/>
        <n v="69"/>
        <n v="119"/>
        <n v="31"/>
        <n v="33"/>
        <n v="101"/>
        <n v="129"/>
        <n v="147"/>
        <n v="421"/>
        <n v="879"/>
        <n v="487"/>
        <n v="223"/>
        <n v="-1"/>
        <n v="115"/>
        <n v="140"/>
        <n v="94"/>
        <n v="278"/>
        <n v="190"/>
        <n v="117"/>
        <n v="192"/>
        <n v="169"/>
        <n v="43"/>
        <n v="389"/>
        <n v="132"/>
        <n v="456"/>
        <n v="96"/>
        <n v="856"/>
        <n v="719"/>
        <n v="111"/>
        <n v="199"/>
        <n v="139"/>
        <n v="136"/>
        <n v="100"/>
        <n v="135"/>
        <n v="315"/>
        <n v="230"/>
        <n v="287"/>
        <n v="125"/>
        <n v="254"/>
        <n v="311"/>
        <n v="191"/>
        <n v="194"/>
        <n v="178"/>
        <n v="481"/>
        <n v="8283"/>
        <n v="198"/>
        <n v="179"/>
        <n v="779"/>
        <n v="1000"/>
        <n v="1285"/>
        <n v="943"/>
        <n v="227"/>
        <n v="154"/>
        <n v="126"/>
        <n v="189"/>
        <n v="148"/>
        <n v="314"/>
        <n v="343"/>
        <n v="224"/>
        <n v="53"/>
        <n v="318"/>
        <n v="384"/>
        <n v="200"/>
        <n v="146"/>
        <n v="220"/>
        <n v="188"/>
        <n v="138"/>
        <n v="249"/>
        <n v="263"/>
        <n v="240"/>
        <m/>
      </sharedItems>
    </cacheField>
    <cacheField name="评论" numFmtId="0">
      <sharedItems containsString="0" containsBlank="1" containsNumber="1" containsInteger="1" minValue="0" maxValue="152" count="28">
        <n v="2"/>
        <n v="1"/>
        <n v="0"/>
        <n v="4"/>
        <n v="8"/>
        <n v="7"/>
        <n v="6"/>
        <n v="3"/>
        <n v="10"/>
        <n v="21"/>
        <n v="5"/>
        <n v="9"/>
        <n v="16"/>
        <n v="22"/>
        <n v="70"/>
        <n v="11"/>
        <n v="31"/>
        <n v="152"/>
        <n v="53"/>
        <n v="12"/>
        <n v="28"/>
        <n v="17"/>
        <n v="20"/>
        <n v="19"/>
        <n v="145"/>
        <n v="43"/>
        <n v="13"/>
        <m/>
      </sharedItems>
    </cacheField>
    <cacheField name="收藏" numFmtId="0">
      <sharedItems containsString="0" containsBlank="1" containsNumber="1" containsInteger="1" minValue="-1" maxValue="4196" count="178">
        <n v="67"/>
        <n v="15"/>
        <n v="10"/>
        <n v="36"/>
        <n v="14"/>
        <n v="42"/>
        <n v="116"/>
        <n v="11"/>
        <n v="6"/>
        <n v="34"/>
        <n v="16"/>
        <n v="76"/>
        <n v="62"/>
        <n v="24"/>
        <n v="0"/>
        <n v="45"/>
        <n v="37"/>
        <n v="19"/>
        <n v="44"/>
        <n v="4"/>
        <n v="5"/>
        <n v="41"/>
        <n v="7"/>
        <n v="18"/>
        <n v="1"/>
        <n v="40"/>
        <n v="43"/>
        <n v="56"/>
        <n v="30"/>
        <n v="33"/>
        <n v="39"/>
        <n v="20"/>
        <n v="53"/>
        <n v="21"/>
        <n v="48"/>
        <n v="47"/>
        <n v="22"/>
        <n v="55"/>
        <n v="28"/>
        <n v="25"/>
        <n v="70"/>
        <n v="121"/>
        <n v="3"/>
        <n v="239"/>
        <n v="224"/>
        <n v="13"/>
        <n v="68"/>
        <n v="366"/>
        <n v="156"/>
        <n v="9"/>
        <n v="2"/>
        <n v="245"/>
        <n v="177"/>
        <n v="46"/>
        <n v="269"/>
        <n v="31"/>
        <n v="689"/>
        <n v="144"/>
        <n v="86"/>
        <n v="206"/>
        <n v="994"/>
        <n v="65"/>
        <n v="833"/>
        <n v="90"/>
        <n v="129"/>
        <n v="80"/>
        <n v="306"/>
        <n v="100"/>
        <n v="63"/>
        <n v="167"/>
        <n v="140"/>
        <n v="60"/>
        <n v="141"/>
        <n v="23"/>
        <n v="168"/>
        <n v="169"/>
        <n v="150"/>
        <n v="201"/>
        <n v="114"/>
        <n v="26"/>
        <n v="231"/>
        <n v="88"/>
        <n v="109"/>
        <n v="133"/>
        <n v="32"/>
        <n v="27"/>
        <n v="119"/>
        <n v="17"/>
        <n v="163"/>
        <n v="29"/>
        <n v="8"/>
        <n v="12"/>
        <n v="35"/>
        <n v="186"/>
        <n v="181"/>
        <n v="75"/>
        <n v="128"/>
        <n v="229"/>
        <n v="331"/>
        <n v="85"/>
        <n v="95"/>
        <n v="428"/>
        <n v="617"/>
        <n v="-1"/>
        <n v="148"/>
        <n v="362"/>
        <n v="166"/>
        <n v="139"/>
        <n v="89"/>
        <n v="176"/>
        <n v="319"/>
        <n v="228"/>
        <n v="204"/>
        <n v="425"/>
        <n v="209"/>
        <n v="242"/>
        <n v="101"/>
        <n v="127"/>
        <n v="202"/>
        <n v="61"/>
        <n v="102"/>
        <n v="83"/>
        <n v="78"/>
        <n v="106"/>
        <n v="104"/>
        <n v="82"/>
        <n v="69"/>
        <n v="118"/>
        <n v="113"/>
        <n v="221"/>
        <n v="123"/>
        <n v="134"/>
        <n v="57"/>
        <n v="51"/>
        <n v="77"/>
        <n v="79"/>
        <n v="54"/>
        <n v="107"/>
        <n v="73"/>
        <n v="117"/>
        <n v="74"/>
        <n v="66"/>
        <n v="58"/>
        <n v="323"/>
        <n v="81"/>
        <n v="257"/>
        <n v="631"/>
        <n v="50"/>
        <n v="1178"/>
        <n v="937"/>
        <n v="94"/>
        <n v="164"/>
        <n v="225"/>
        <n v="195"/>
        <n v="234"/>
        <n v="52"/>
        <n v="38"/>
        <n v="215"/>
        <n v="49"/>
        <n v="92"/>
        <n v="112"/>
        <n v="162"/>
        <n v="4196"/>
        <n v="433"/>
        <n v="192"/>
        <n v="267"/>
        <n v="383"/>
        <n v="460"/>
        <n v="103"/>
        <n v="71"/>
        <n v="64"/>
        <n v="120"/>
        <n v="108"/>
        <n v="125"/>
        <n v="255"/>
        <n v="99"/>
        <n v="84"/>
        <m/>
      </sharedItems>
    </cacheField>
    <cacheField name="关注" numFmtId="0">
      <sharedItems containsString="0" containsBlank="1" containsNumber="1" containsInteger="1" minValue="-1" maxValue="688" count="65">
        <n v="3"/>
        <n v="4"/>
        <n v="19"/>
        <n v="0"/>
        <n v="5"/>
        <n v="1"/>
        <n v="9"/>
        <n v="16"/>
        <n v="12"/>
        <n v="8"/>
        <n v="10"/>
        <n v="2"/>
        <n v="6"/>
        <n v="7"/>
        <n v="14"/>
        <n v="35"/>
        <n v="30"/>
        <n v="13"/>
        <n v="18"/>
        <n v="46"/>
        <n v="25"/>
        <n v="39"/>
        <n v="22"/>
        <n v="70"/>
        <n v="108"/>
        <n v="256"/>
        <n v="24"/>
        <n v="192"/>
        <n v="184"/>
        <n v="44"/>
        <n v="104"/>
        <n v="26"/>
        <n v="15"/>
        <n v="27"/>
        <n v="52"/>
        <n v="17"/>
        <n v="94"/>
        <n v="61"/>
        <n v="91"/>
        <n v="38"/>
        <n v="21"/>
        <n v="64"/>
        <n v="20"/>
        <n v="34"/>
        <n v="28"/>
        <n v="32"/>
        <n v="56"/>
        <n v="31"/>
        <n v="36"/>
        <n v="121"/>
        <n v="41"/>
        <n v="11"/>
        <n v="50"/>
        <n v="48"/>
        <n v="29"/>
        <n v="37"/>
        <n v="-1"/>
        <n v="62"/>
        <n v="58"/>
        <n v="688"/>
        <n v="93"/>
        <n v="255"/>
        <n v="23"/>
        <n v="73"/>
        <m/>
      </sharedItems>
    </cacheField>
    <cacheField name="分享" numFmtId="0">
      <sharedItems containsString="0" containsBlank="1" containsNumber="1" containsInteger="1" minValue="0" maxValue="263" count="45">
        <n v="4"/>
        <n v="2"/>
        <n v="1"/>
        <n v="0"/>
        <n v="3"/>
        <n v="9"/>
        <n v="8"/>
        <n v="7"/>
        <n v="6"/>
        <n v="17"/>
        <n v="43"/>
        <n v="26"/>
        <n v="16"/>
        <n v="10"/>
        <n v="19"/>
        <n v="24"/>
        <n v="46"/>
        <n v="47"/>
        <n v="103"/>
        <n v="87"/>
        <n v="49"/>
        <n v="23"/>
        <n v="22"/>
        <n v="5"/>
        <n v="11"/>
        <n v="21"/>
        <n v="15"/>
        <n v="12"/>
        <n v="20"/>
        <n v="14"/>
        <n v="13"/>
        <n v="48"/>
        <n v="34"/>
        <n v="18"/>
        <n v="66"/>
        <n v="28"/>
        <n v="27"/>
        <n v="45"/>
        <n v="90"/>
        <n v="263"/>
        <n v="36"/>
        <n v="25"/>
        <n v="146"/>
        <n v="30"/>
        <m/>
      </sharedItems>
    </cacheField>
    <cacheField name="互动量" numFmtId="0">
      <sharedItems containsString="0" containsBlank="1" containsNumber="1" containsInteger="1" minValue="-1" maxValue="13575" count="342">
        <n v="213"/>
        <n v="42"/>
        <n v="26"/>
        <n v="94"/>
        <n v="49"/>
        <n v="132"/>
        <n v="288"/>
        <n v="28"/>
        <n v="8"/>
        <n v="73"/>
        <n v="35"/>
        <n v="165"/>
        <n v="172"/>
        <n v="16"/>
        <n v="55"/>
        <n v="0"/>
        <n v="104"/>
        <n v="123"/>
        <n v="37"/>
        <n v="43"/>
        <n v="1"/>
        <n v="98"/>
        <n v="14"/>
        <n v="18"/>
        <n v="30"/>
        <n v="134"/>
        <n v="12"/>
        <n v="2"/>
        <n v="125"/>
        <n v="164"/>
        <n v="11"/>
        <n v="7"/>
        <n v="137"/>
        <n v="106"/>
        <n v="97"/>
        <n v="91"/>
        <n v="59"/>
        <n v="10"/>
        <n v="170"/>
        <n v="119"/>
        <n v="141"/>
        <n v="74"/>
        <n v="50"/>
        <n v="139"/>
        <n v="157"/>
        <n v="82"/>
        <n v="77"/>
        <n v="15"/>
        <n v="40"/>
        <n v="181"/>
        <n v="13"/>
        <n v="24"/>
        <n v="52"/>
        <n v="229"/>
        <n v="211"/>
        <n v="708"/>
        <n v="19"/>
        <n v="44"/>
        <n v="814"/>
        <n v="110"/>
        <n v="76"/>
        <n v="261"/>
        <n v="1017"/>
        <n v="387"/>
        <n v="60"/>
        <n v="118"/>
        <n v="57"/>
        <n v="67"/>
        <n v="9"/>
        <n v="36"/>
        <n v="3"/>
        <n v="569"/>
        <n v="345"/>
        <n v="512"/>
        <n v="160"/>
        <n v="5"/>
        <n v="673"/>
        <n v="58"/>
        <n v="17"/>
        <n v="68"/>
        <n v="1615"/>
        <n v="1834"/>
        <n v="202"/>
        <n v="4"/>
        <n v="593"/>
        <n v="34"/>
        <n v="79"/>
        <n v="39"/>
        <n v="2413"/>
        <n v="169"/>
        <n v="90"/>
        <n v="1941"/>
        <n v="185"/>
        <n v="6"/>
        <n v="1007"/>
        <n v="86"/>
        <n v="156"/>
        <n v="588"/>
        <n v="297"/>
        <n v="100"/>
        <n v="196"/>
        <n v="41"/>
        <n v="148"/>
        <n v="316"/>
        <n v="114"/>
        <n v="121"/>
        <n v="224"/>
        <n v="821"/>
        <n v="240"/>
        <n v="83"/>
        <n v="176"/>
        <n v="267"/>
        <n v="514"/>
        <n v="536"/>
        <n v="65"/>
        <n v="442"/>
        <n v="107"/>
        <n v="105"/>
        <n v="339"/>
        <n v="215"/>
        <n v="259"/>
        <n v="88"/>
        <n v="108"/>
        <n v="359"/>
        <n v="138"/>
        <n v="129"/>
        <n v="385"/>
        <n v="168"/>
        <n v="336"/>
        <n v="489"/>
        <n v="99"/>
        <n v="85"/>
        <n v="281"/>
        <n v="151"/>
        <n v="189"/>
        <n v="572"/>
        <n v="247"/>
        <n v="287"/>
        <n v="66"/>
        <n v="20"/>
        <n v="195"/>
        <n v="326"/>
        <n v="128"/>
        <n v="146"/>
        <n v="166"/>
        <n v="96"/>
        <n v="413"/>
        <n v="327"/>
        <n v="33"/>
        <n v="31"/>
        <n v="89"/>
        <n v="159"/>
        <n v="303"/>
        <n v="178"/>
        <n v="29"/>
        <n v="443"/>
        <n v="54"/>
        <n v="448"/>
        <n v="408"/>
        <n v="192"/>
        <n v="171"/>
        <n v="526"/>
        <n v="655"/>
        <n v="354"/>
        <n v="81"/>
        <n v="25"/>
        <n v="71"/>
        <n v="235"/>
        <n v="124"/>
        <n v="300"/>
        <n v="32"/>
        <n v="93"/>
        <n v="216"/>
        <n v="604"/>
        <n v="858"/>
        <n v="117"/>
        <n v="577"/>
        <n v="761"/>
        <n v="47"/>
        <n v="112"/>
        <n v="142"/>
        <n v="1201"/>
        <n v="102"/>
        <n v="394"/>
        <n v="952"/>
        <n v="425"/>
        <n v="180"/>
        <n v="358"/>
        <n v="161"/>
        <n v="269"/>
        <n v="217"/>
        <n v="48"/>
        <n v="120"/>
        <n v="145"/>
        <n v="456"/>
        <n v="84"/>
        <n v="769"/>
        <n v="122"/>
        <n v="546"/>
        <n v="533"/>
        <n v="95"/>
        <n v="135"/>
        <n v="771"/>
        <n v="109"/>
        <n v="972"/>
        <n v="527"/>
        <n v="242"/>
        <n v="311"/>
        <n v="38"/>
        <n v="183"/>
        <n v="488"/>
        <n v="197"/>
        <n v="177"/>
        <n v="225"/>
        <n v="190"/>
        <n v="279"/>
        <n v="390"/>
        <n v="239"/>
        <n v="222"/>
        <n v="347"/>
        <n v="230"/>
        <n v="234"/>
        <n v="294"/>
        <n v="274"/>
        <n v="228"/>
        <n v="329"/>
        <n v="174"/>
        <n v="75"/>
        <n v="658"/>
        <n v="307"/>
        <n v="173"/>
        <n v="116"/>
        <n v="70"/>
        <n v="251"/>
        <n v="113"/>
        <n v="250"/>
        <n v="298"/>
        <n v="252"/>
        <n v="64"/>
        <n v="127"/>
        <n v="115"/>
        <n v="56"/>
        <n v="163"/>
        <n v="45"/>
        <n v="62"/>
        <n v="101"/>
        <n v="299"/>
        <n v="111"/>
        <n v="103"/>
        <n v="51"/>
        <n v="130"/>
        <n v="143"/>
        <n v="133"/>
        <n v="179"/>
        <n v="517"/>
        <n v="1076"/>
        <n v="589"/>
        <n v="149"/>
        <n v="268"/>
        <n v="-1"/>
        <n v="153"/>
        <n v="53"/>
        <n v="301"/>
        <n v="220"/>
        <n v="409"/>
        <n v="92"/>
        <n v="147"/>
        <n v="188"/>
        <n v="126"/>
        <n v="280"/>
        <n v="254"/>
        <n v="199"/>
        <n v="757"/>
        <n v="1151"/>
        <n v="167"/>
        <n v="22"/>
        <n v="131"/>
        <n v="2142"/>
        <n v="1758"/>
        <n v="175"/>
        <n v="260"/>
        <n v="72"/>
        <n v="63"/>
        <n v="227"/>
        <n v="23"/>
        <n v="21"/>
        <n v="209"/>
        <n v="353"/>
        <n v="321"/>
        <n v="576"/>
        <n v="451"/>
        <n v="382"/>
        <n v="624"/>
        <n v="182"/>
        <n v="310"/>
        <n v="27"/>
        <n v="372"/>
        <n v="289"/>
        <n v="253"/>
        <n v="431"/>
        <n v="162"/>
        <n v="352"/>
        <n v="136"/>
        <n v="69"/>
        <n v="154"/>
        <n v="361"/>
        <n v="237"/>
        <n v="13575"/>
        <n v="974"/>
        <n v="420"/>
        <n v="308"/>
        <n v="1149"/>
        <n v="1507"/>
        <n v="2696"/>
        <n v="1498"/>
        <n v="305"/>
        <n v="272"/>
        <n v="334"/>
        <n v="204"/>
        <n v="207"/>
        <n v="368"/>
        <n v="231"/>
        <n v="370"/>
        <n v="203"/>
        <n v="367"/>
        <n v="469"/>
        <n v="459"/>
        <n v="61"/>
        <n v="78"/>
        <n v="200"/>
        <n v="458"/>
        <n v="679"/>
        <n v="332"/>
        <n v="208"/>
        <n v="312"/>
        <n v="257"/>
        <n v="337"/>
        <n v="187"/>
        <n v="374"/>
        <n v="286"/>
        <n v="333"/>
        <m/>
      </sharedItems>
    </cacheField>
    <cacheField name="平均互动成本" numFmtId="0">
      <sharedItems containsString="0" containsBlank="1" containsNumber="1" minValue="0" maxValue="362.25" count="649">
        <n v="2.52"/>
        <n v="2.87"/>
        <n v="2.39"/>
        <n v="1.99"/>
        <n v="3.56"/>
        <n v="2.18"/>
        <n v="1.57"/>
        <n v="2.63"/>
        <n v="3.63"/>
        <n v="2.54"/>
        <n v="2.02"/>
        <n v="1.82"/>
        <n v="1.32"/>
        <n v="2.94"/>
        <n v="1.69"/>
        <n v="0"/>
        <n v="1.67"/>
        <n v="2.25"/>
        <n v="2.26"/>
        <n v="1.58"/>
        <n v="2.34"/>
        <n v="1.15"/>
        <n v="2.28"/>
        <n v="0.94"/>
        <n v="1.21"/>
        <n v="2.13"/>
        <n v="5.42"/>
        <n v="8.03"/>
        <n v="3.86"/>
        <n v="30.37"/>
        <n v="1.5"/>
        <n v="1.79"/>
        <n v="5.17"/>
        <n v="15.37"/>
        <n v="2.9"/>
        <n v="1.37"/>
        <n v="4.43"/>
        <n v="2.91"/>
        <n v="2.07"/>
        <n v="8.65"/>
        <n v="10.63"/>
        <n v="1.09"/>
        <n v="4.45"/>
        <n v="2.32"/>
        <n v="1.95"/>
        <n v="5.47"/>
        <n v="10.05"/>
        <n v="11.47"/>
        <n v="4.69"/>
        <n v="1.76"/>
        <n v="5.3"/>
        <n v="9.05"/>
        <n v="5.45"/>
        <n v="3.21"/>
        <n v="2.73"/>
        <n v="11.28"/>
        <n v="5.31"/>
        <n v="1.27"/>
        <n v="10.47"/>
        <n v="13.77"/>
        <n v="8.87"/>
        <n v="2.7"/>
        <n v="2.59"/>
        <n v="8.92"/>
        <n v="1.53"/>
        <n v="11.13"/>
        <n v="1.54"/>
        <n v="2.12"/>
        <n v="3.07"/>
        <n v="2.01"/>
        <n v="6.06"/>
        <n v="2.6"/>
        <n v="13.36"/>
        <n v="2.92"/>
        <n v="19.82"/>
        <n v="1.97"/>
        <n v="3.65"/>
        <n v="0.2"/>
        <n v="5.69"/>
        <n v="9.76"/>
        <n v="15.33"/>
        <n v="6.35"/>
        <n v="1.52"/>
        <n v="2.44"/>
        <n v="2.27"/>
        <n v="4.39"/>
        <n v="3.91"/>
        <n v="10.95"/>
        <n v="40.89"/>
        <n v="31.22"/>
        <n v="3.33"/>
        <n v="8.78"/>
        <n v="9.63"/>
        <n v="7.67"/>
        <n v="14.86"/>
        <n v="2.48"/>
        <n v="5.5"/>
        <n v="2.2"/>
        <n v="10.06"/>
        <n v="75.53"/>
        <n v="3.22"/>
        <n v="6.69"/>
        <n v="5.23"/>
        <n v="13.74"/>
        <n v="3.34"/>
        <n v="3.24"/>
        <n v="11.93"/>
        <n v="43.44"/>
        <n v="11.24"/>
        <n v="4.18"/>
        <n v="10.96"/>
        <n v="50.4"/>
        <n v="3.99"/>
        <n v="5.4"/>
        <n v="6.16"/>
        <n v="3.35"/>
        <n v="3.08"/>
        <n v="1.81"/>
        <n v="11.39"/>
        <n v="5.11"/>
        <n v="8.34"/>
        <n v="12.59"/>
        <n v="6.82"/>
        <n v="43.33"/>
        <n v="1.04"/>
        <n v="1.9"/>
        <n v="9.99"/>
        <n v="4.12"/>
        <n v="6.53"/>
        <n v="2.41"/>
        <n v="5.39"/>
        <n v="8.41"/>
        <n v="1.94"/>
        <n v="5.62"/>
        <n v="5.7"/>
        <n v="6.83"/>
        <n v="1.7"/>
        <n v="11.4"/>
        <n v="1.59"/>
        <n v="7.14"/>
        <n v="4.64"/>
        <n v="8.2"/>
        <n v="2.14"/>
        <n v="2.06"/>
        <n v="1.51"/>
        <n v="5.71"/>
        <n v="6.58"/>
        <n v="2.56"/>
        <n v="6.52"/>
        <n v="1.87"/>
        <n v="5.26"/>
        <n v="7.39"/>
        <n v="2.45"/>
        <n v="1.77"/>
        <n v="5.68"/>
        <n v="2.86"/>
        <n v="2.03"/>
        <n v="6.92"/>
        <n v="3.18"/>
        <n v="6.77"/>
        <n v="5.32"/>
        <n v="76.38"/>
        <n v="7.64"/>
        <n v="2.64"/>
        <n v="8.06"/>
        <n v="3.52"/>
        <n v="7.71"/>
        <n v="4.27"/>
        <n v="9.88"/>
        <n v="12.55"/>
        <n v="6.11"/>
        <n v="98.97"/>
        <n v="9.71"/>
        <n v="4.16"/>
        <n v="2.98"/>
        <n v="8.05"/>
        <n v="3.93"/>
        <n v="31.78"/>
        <n v="6.96"/>
        <n v="17.75"/>
        <n v="1.48"/>
        <n v="13.59"/>
        <n v="15.77"/>
        <n v="3.09"/>
        <n v="77.66"/>
        <n v="8.79"/>
        <n v="3.82"/>
        <n v="2.57"/>
        <n v="5.06"/>
        <n v="31.16"/>
        <n v="14.79"/>
        <n v="0.17"/>
        <n v="18.26"/>
        <n v="17.37"/>
        <n v="2.89"/>
        <n v="2.83"/>
        <n v="17.56"/>
        <n v="1.14"/>
        <n v="53.75"/>
        <n v="8.93"/>
        <n v="8.33"/>
        <n v="3.61"/>
        <n v="34.93"/>
        <n v="19.7"/>
        <n v="14.93"/>
        <n v="27.33"/>
        <n v="2.66"/>
        <n v="2.99"/>
        <n v="2.08"/>
        <n v="2.78"/>
        <n v="1.26"/>
        <n v="0.9"/>
        <n v="0.77"/>
        <n v="1.42"/>
        <n v="6.24"/>
        <n v="103.83"/>
        <n v="2.33"/>
        <n v="7"/>
        <n v="35.01"/>
        <n v="14.88"/>
        <n v="23.12"/>
        <n v="28.67"/>
        <n v="2.17"/>
        <n v="1.19"/>
        <n v="2.5"/>
        <n v="0.55"/>
        <n v="0.78"/>
        <n v="64.33"/>
        <n v="4.05"/>
        <n v="3.36"/>
        <n v="38.77"/>
        <n v="11.26"/>
        <n v="24.69"/>
        <n v="22.02"/>
        <n v="2.37"/>
        <n v="1.68"/>
        <n v="0.59"/>
        <n v="4.85"/>
        <n v="46.83"/>
        <n v="6.48"/>
        <n v="2.72"/>
        <n v="3.17"/>
        <n v="55.1"/>
        <n v="11.73"/>
        <n v="19.37"/>
        <n v="18.12"/>
        <n v="2.77"/>
        <n v="0.66"/>
        <n v="4.94"/>
        <n v="2.95"/>
        <n v="1.6"/>
        <n v="0.48"/>
        <n v="1.78"/>
        <n v="104.15"/>
        <n v="10.97"/>
        <n v="4.92"/>
        <n v="8.4"/>
        <n v="10.57"/>
        <n v="6.43"/>
        <n v="1.83"/>
        <n v="4.28"/>
        <n v="1.24"/>
        <n v="6.01"/>
        <n v="1.16"/>
        <n v="6.95"/>
        <n v="1.65"/>
        <n v="13.28"/>
        <n v="1.86"/>
        <n v="0.96"/>
        <n v="1.88"/>
        <n v="2.31"/>
        <n v="15.9"/>
        <n v="12.61"/>
        <n v="18.05"/>
        <n v="12.69"/>
        <n v="54.01"/>
        <n v="14.42"/>
        <n v="20.96"/>
        <n v="66.39"/>
        <n v="3.69"/>
        <n v="104.85"/>
        <n v="23.84"/>
        <n v="52.79"/>
        <n v="1.12"/>
        <n v="3.96"/>
        <n v="3.92"/>
        <n v="3.38"/>
        <n v="1.8"/>
        <n v="4.11"/>
        <n v="5.25"/>
        <n v="1.84"/>
        <n v="5.02"/>
        <n v="4.55"/>
        <n v="3.25"/>
        <n v="2.85"/>
        <n v="1.18"/>
        <n v="7.17"/>
        <n v="7.56"/>
        <n v="1.92"/>
        <n v="9.17"/>
        <n v="22.23"/>
        <n v="5.49"/>
        <n v="1.62"/>
        <n v="5.51"/>
        <n v="7.91"/>
        <n v="16.8"/>
        <n v="1.61"/>
        <n v="13.88"/>
        <n v="6.18"/>
        <n v="10.37"/>
        <n v="10.45"/>
        <n v="16.78"/>
        <n v="2.65"/>
        <n v="1.74"/>
        <n v="4.13"/>
        <n v="2.11"/>
        <n v="2.88"/>
        <n v="2.1"/>
        <n v="3.37"/>
        <n v="4.83"/>
        <n v="3.1"/>
        <n v="4.32"/>
        <n v="6.89"/>
        <n v="2.67"/>
        <n v="4.23"/>
        <n v="5.16"/>
        <n v="13.01"/>
        <n v="7.88"/>
        <n v="3.3"/>
        <n v="44.33"/>
        <n v="16.95"/>
        <n v="8.26"/>
        <n v="7.69"/>
        <n v="36.77"/>
        <n v="6.97"/>
        <n v="4.98"/>
        <n v="76.04"/>
        <n v="13.05"/>
        <n v="8.52"/>
        <n v="6.84"/>
        <n v="12.12"/>
        <n v="6.32"/>
        <n v="5.77"/>
        <n v="13.94"/>
        <n v="5.48"/>
        <n v="4.51"/>
        <n v="9.87"/>
        <n v="69.06"/>
        <n v="8.77"/>
        <n v="4.8"/>
        <n v="6.47"/>
        <n v="136.9"/>
        <n v="6.34"/>
        <n v="6.63"/>
        <n v="127.96"/>
        <n v="43.81"/>
        <n v="3.12"/>
        <n v="9.19"/>
        <n v="4.01"/>
        <n v="4.95"/>
        <n v="4.54"/>
        <n v="4.59"/>
        <n v="57.81"/>
        <n v="6.25"/>
        <n v="4.04"/>
        <n v="14.66"/>
        <n v="6.14"/>
        <n v="4.36"/>
        <n v="17.59"/>
        <n v="5.8"/>
        <n v="16.59"/>
        <n v="4"/>
        <n v="7.89"/>
        <n v="7.52"/>
        <n v="16.39"/>
        <n v="7.1"/>
        <n v="6.73"/>
        <n v="3.54"/>
        <n v="15.52"/>
        <n v="4.87"/>
        <n v="5.58"/>
        <n v="5.03"/>
        <n v="12.44"/>
        <n v="5.29"/>
        <n v="32.76"/>
        <n v="3.14"/>
        <n v="10.64"/>
        <n v="4.41"/>
        <n v="15.92"/>
        <n v="5.91"/>
        <n v="4.35"/>
        <n v="2.22"/>
        <n v="16.53"/>
        <n v="7.02"/>
        <n v="3.13"/>
        <n v="6.93"/>
        <n v="12.47"/>
        <n v="3"/>
        <n v="11.78"/>
        <n v="7.72"/>
        <n v="20.09"/>
        <n v="9.25"/>
        <n v="3.16"/>
        <n v="3.76"/>
        <n v="6.85"/>
        <n v="17.76"/>
        <n v="8.02"/>
        <n v="4.82"/>
        <n v="7.45"/>
        <n v="12.52"/>
        <n v="13.84"/>
        <n v="5.83"/>
        <n v="4.44"/>
        <n v="16.01"/>
        <n v="4.86"/>
        <n v="3.01"/>
        <n v="9.64"/>
        <n v="17.7"/>
        <n v="4.1"/>
        <n v="5.28"/>
        <n v="4.93"/>
        <n v="3.53"/>
        <n v="2.81"/>
        <n v="7.57"/>
        <n v="4.66"/>
        <n v="2.82"/>
        <n v="3.88"/>
        <n v="4.88"/>
        <n v="3.32"/>
        <n v="4.46"/>
        <n v="8.68"/>
        <n v="3.4"/>
        <n v="3.81"/>
        <n v="5.6"/>
        <n v="8.5"/>
        <n v="33.45"/>
        <n v="9.42"/>
        <n v="10.7"/>
        <n v="4.89"/>
        <n v="1.66"/>
        <n v="6.1"/>
        <n v="3.2"/>
        <n v="16.05"/>
        <n v="12.49"/>
        <n v="34.38"/>
        <n v="16.19"/>
        <n v="56"/>
        <n v="14.56"/>
        <n v="27.82"/>
        <n v="15.18"/>
        <n v="52.39"/>
        <n v="20.36"/>
        <n v="45.5"/>
        <n v="16.92"/>
        <n v="34.11"/>
        <n v="15.58"/>
        <n v="51.44"/>
        <n v="14.22"/>
        <n v="22.24"/>
        <n v="9.61"/>
        <n v="9.13"/>
        <n v="10.07"/>
        <n v="16.51"/>
        <n v="16.54"/>
        <n v="7.34"/>
        <n v="4.07"/>
        <n v="16.08"/>
        <n v="26.18"/>
        <n v="18.7"/>
        <n v="106.33"/>
        <n v="4.77"/>
        <n v="19.31"/>
        <n v="6.66"/>
        <n v="5.96"/>
        <n v="5.01"/>
        <n v="5.66"/>
        <n v="4.71"/>
        <n v="17.92"/>
        <n v="4.76"/>
        <n v="4.81"/>
        <n v="3.87"/>
        <n v="3.44"/>
        <n v="2.36"/>
        <n v="7.07"/>
        <n v="7.25"/>
        <n v="7.77"/>
        <n v="3.45"/>
        <n v="1.33"/>
        <n v="7.92"/>
        <n v="0.95"/>
        <n v="1.47"/>
        <n v="9.36"/>
        <n v="0.74"/>
        <n v="96"/>
        <n v="26.58"/>
        <n v="7.78"/>
        <n v="126.27"/>
        <n v="0.49"/>
        <n v="30.82"/>
        <n v="30.58"/>
        <n v="7.58"/>
        <n v="30.71"/>
        <n v="80.76"/>
        <n v="5.88"/>
        <n v="27.16"/>
        <n v="80"/>
        <n v="7.75"/>
        <n v="151.96"/>
        <n v="9.07"/>
        <n v="21.6"/>
        <n v="108.61"/>
        <n v="2.74"/>
        <n v="3.7"/>
        <n v="190.29"/>
        <n v="44.75"/>
        <n v="2.84"/>
        <n v="100.83"/>
        <n v="0.4"/>
        <n v="16.76"/>
        <n v="34.89"/>
        <n v="26.89"/>
        <n v="45.2"/>
        <n v="17.27"/>
        <n v="26.26"/>
        <n v="34.57"/>
        <n v="3.03"/>
        <n v="75.85"/>
        <n v="33.84"/>
        <n v="6.09"/>
        <n v="11.29"/>
        <n v="12.06"/>
        <n v="119.04"/>
        <n v="163.03"/>
        <n v="62.2"/>
        <n v="47.07"/>
        <n v="2.42"/>
        <n v="5.55"/>
        <n v="1.45"/>
        <n v="8.01"/>
        <n v="218.47"/>
        <n v="7.96"/>
        <n v="36.3"/>
        <n v="75"/>
        <n v="2.46"/>
        <n v="10.84"/>
        <n v="6.05"/>
        <n v="5.07"/>
        <n v="1.36"/>
        <n v="7.23"/>
        <n v="71.08"/>
        <n v="9.09"/>
        <n v="69.94"/>
        <n v="54.67"/>
        <n v="16.27"/>
        <n v="0.57"/>
        <n v="1.44"/>
        <n v="0.86"/>
        <n v="25.21"/>
        <n v="20.28"/>
        <n v="12.36"/>
        <n v="2.43"/>
        <n v="13.54"/>
        <n v="6.72"/>
        <n v="1.02"/>
        <n v="1.85"/>
        <n v="2.09"/>
        <n v="3.23"/>
        <n v="5.61"/>
        <n v="5.75"/>
        <n v="16.23"/>
        <n v="67.91"/>
        <n v="8.64"/>
        <n v="15.54"/>
        <n v="15.81"/>
        <n v="15.74"/>
        <n v="6.98"/>
        <n v="11.48"/>
        <n v="50.56"/>
        <n v="37.89"/>
        <n v="3.84"/>
        <n v="21.74"/>
        <n v="9.7"/>
        <n v="9.48"/>
        <n v="8.13"/>
        <n v="20.86"/>
        <n v="18.65"/>
        <n v="6.86"/>
        <n v="10.56"/>
        <n v="34.31"/>
        <n v="29.69"/>
        <n v="82.56"/>
        <n v="32.81"/>
        <n v="0.84"/>
        <n v="38.99"/>
        <n v="28.75"/>
        <n v="6.2"/>
        <n v="10.92"/>
        <n v="63.73"/>
        <n v="3.29"/>
        <n v="4.31"/>
        <n v="23.47"/>
        <n v="3.72"/>
        <n v="7.36"/>
        <n v="15.43"/>
        <n v="11.07"/>
        <n v="28.39"/>
        <n v="116.23"/>
        <n v="8.43"/>
        <n v="24.51"/>
        <n v="8.57"/>
        <n v="1.4"/>
        <n v="9.45"/>
        <n v="15.83"/>
        <n v="18.39"/>
        <n v="3.43"/>
        <n v="1.63"/>
        <n v="33.52"/>
        <n v="12.35"/>
        <n v="34.97"/>
        <n v="1.13"/>
        <n v="2.19"/>
        <n v="3.95"/>
        <n v="2.96"/>
        <n v="2.49"/>
        <n v="1.41"/>
        <n v="4.06"/>
        <n v="1.49"/>
        <n v="6.39"/>
        <n v="0.44"/>
        <n v="2.21"/>
        <n v="9.18"/>
        <n v="7.26"/>
        <n v="7.09"/>
        <n v="55.06"/>
        <n v="20.2"/>
        <n v="3.11"/>
        <n v="102.06"/>
        <n v="51.26"/>
        <n v="33.85"/>
        <n v="4.53"/>
        <n v="4.03"/>
        <n v="63.59"/>
        <n v="4.47"/>
        <n v="3.9"/>
        <n v="4.7"/>
        <n v="62.27"/>
        <n v="362.25"/>
        <n v="8.44"/>
        <m/>
      </sharedItems>
    </cacheField>
    <cacheField name="行动按钮点击量" numFmtId="0">
      <sharedItems containsString="0" containsBlank="1" containsNumber="1" containsInteger="1" minValue="0" maxValue="52" count="42">
        <n v="0"/>
        <n v="2"/>
        <n v="1"/>
        <n v="7"/>
        <n v="10"/>
        <n v="9"/>
        <n v="25"/>
        <n v="37"/>
        <n v="12"/>
        <n v="19"/>
        <n v="26"/>
        <n v="22"/>
        <n v="36"/>
        <n v="3"/>
        <n v="4"/>
        <n v="11"/>
        <n v="6"/>
        <n v="17"/>
        <n v="5"/>
        <n v="28"/>
        <n v="14"/>
        <n v="27"/>
        <n v="31"/>
        <n v="16"/>
        <n v="34"/>
        <n v="18"/>
        <n v="32"/>
        <n v="8"/>
        <n v="35"/>
        <n v="39"/>
        <n v="38"/>
        <n v="23"/>
        <n v="45"/>
        <n v="41"/>
        <n v="52"/>
        <n v="51"/>
        <n v="49"/>
        <n v="29"/>
        <n v="13"/>
        <n v="15"/>
        <n v="21"/>
        <m/>
      </sharedItems>
    </cacheField>
    <cacheField name="行动按钮点击率" numFmtId="0">
      <sharedItems containsString="0" containsBlank="1" containsNumber="1" minValue="0" maxValue="16" count="120">
        <n v="0"/>
        <n v="0.0008"/>
        <n v="0.0002"/>
        <n v="0.0001"/>
        <n v="0.0005"/>
        <n v="0.0071"/>
        <n v="0.0007"/>
        <n v="0.0143"/>
        <n v="0.0161"/>
        <n v="0.0156"/>
        <n v="0.0068"/>
        <n v="0.0106"/>
        <n v="0.0088"/>
        <n v="0.0083"/>
        <n v="0.0095"/>
        <n v="0.0769"/>
        <n v="0.0288"/>
        <n v="0.0811"/>
        <n v="0.0124"/>
        <n v="0.0057"/>
        <n v="0.0385"/>
        <n v="0.011"/>
        <n v="0.008"/>
        <n v="0.0064"/>
        <n v="0.0034"/>
        <n v="0.0025"/>
        <n v="0.0036"/>
        <n v="0.0062"/>
        <n v="0.0045"/>
        <n v="0.0189"/>
        <n v="0.0048"/>
        <n v="0.1667"/>
        <n v="0.0032"/>
        <n v="0.0053"/>
        <n v="0.0044"/>
        <n v="0.0031"/>
        <n v="0.0087"/>
        <n v="0.0098"/>
        <n v="0.017"/>
        <n v="0.0207"/>
        <n v="0.0065"/>
        <n v="0.0104"/>
        <n v="0.0043"/>
        <n v="0.0055"/>
        <n v="0.0077"/>
        <n v="0.0017"/>
        <n v="0.0013"/>
        <n v="0.004"/>
        <n v="0.0066"/>
        <n v="0.0023"/>
        <n v="0.0255"/>
        <n v="0.013"/>
        <n v="0.0113"/>
        <n v="0.0117"/>
        <n v="0.0134"/>
        <n v="0.003"/>
        <n v="0.0152"/>
        <n v="0.0079"/>
        <n v="0.0129"/>
        <n v="0.0183"/>
        <n v="0.0139"/>
        <n v="0.0051"/>
        <n v="0.0121"/>
        <n v="0.0131"/>
        <n v="0.0142"/>
        <n v="0.0155"/>
        <n v="0.0308"/>
        <n v="0.0184"/>
        <n v="0.0209"/>
        <n v="0.0299"/>
        <n v="0.019"/>
        <n v="0.0166"/>
        <n v="0.0219"/>
        <n v="0.0181"/>
        <n v="0.0243"/>
        <n v="0.0099"/>
        <n v="0.012"/>
        <n v="0.005"/>
        <n v="0.0108"/>
        <n v="0.0092"/>
        <n v="0.0037"/>
        <n v="0.0029"/>
        <n v="0.0072"/>
        <n v="0.0126"/>
        <n v="0.0198"/>
        <n v="0.0115"/>
        <n v="0.0211"/>
        <n v="0.0281"/>
        <n v="0.001"/>
        <n v="0.0149"/>
        <n v="0.0377"/>
        <n v="0.009"/>
        <n v="0.0094"/>
        <n v="0.0089"/>
        <n v="0.0054"/>
        <n v="0.0006"/>
        <n v="0.0056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0.0073"/>
        <n v="0.0119"/>
        <n v="0.0067"/>
        <n v="0.0081"/>
        <n v="0.0125"/>
        <n v="0.0097"/>
        <m/>
      </sharedItems>
    </cacheField>
    <cacheField name="截图" numFmtId="0">
      <sharedItems containsString="0" containsBlank="1" containsNumber="1" containsInteger="1" minValue="0" maxValue="105" count="47">
        <n v="11"/>
        <n v="3"/>
        <n v="1"/>
        <n v="8"/>
        <n v="2"/>
        <n v="0"/>
        <n v="20"/>
        <n v="4"/>
        <n v="12"/>
        <n v="9"/>
        <n v="5"/>
        <n v="7"/>
        <n v="6"/>
        <n v="15"/>
        <n v="13"/>
        <n v="43"/>
        <n v="67"/>
        <n v="105"/>
        <n v="17"/>
        <n v="71"/>
        <n v="32"/>
        <n v="23"/>
        <n v="29"/>
        <n v="14"/>
        <n v="16"/>
        <n v="24"/>
        <n v="28"/>
        <n v="27"/>
        <n v="18"/>
        <n v="57"/>
        <n v="83"/>
        <n v="41"/>
        <n v="34"/>
        <n v="60"/>
        <n v="46"/>
        <n v="50"/>
        <n v="25"/>
        <n v="22"/>
        <n v="86"/>
        <n v="10"/>
        <n v="30"/>
        <n v="21"/>
        <n v="19"/>
        <n v="75"/>
        <n v="26"/>
        <n v="35"/>
        <m/>
      </sharedItems>
    </cacheField>
    <cacheField name="保存图片" numFmtId="0">
      <sharedItems containsString="0" containsBlank="1" containsNumber="1" containsInteger="1" minValue="0" maxValue="218" count="48">
        <n v="18"/>
        <n v="8"/>
        <n v="0"/>
        <n v="7"/>
        <n v="30"/>
        <n v="1"/>
        <n v="4"/>
        <n v="28"/>
        <n v="9"/>
        <n v="11"/>
        <n v="5"/>
        <n v="2"/>
        <n v="3"/>
        <n v="6"/>
        <n v="29"/>
        <n v="26"/>
        <n v="22"/>
        <n v="37"/>
        <n v="20"/>
        <n v="117"/>
        <n v="177"/>
        <n v="21"/>
        <n v="108"/>
        <n v="12"/>
        <n v="218"/>
        <n v="15"/>
        <n v="10"/>
        <n v="23"/>
        <n v="14"/>
        <n v="98"/>
        <n v="13"/>
        <n v="16"/>
        <n v="77"/>
        <n v="33"/>
        <n v="70"/>
        <n v="80"/>
        <n v="147"/>
        <n v="17"/>
        <n v="19"/>
        <n v="46"/>
        <n v="25"/>
        <n v="55"/>
        <n v="24"/>
        <n v="27"/>
        <n v="56"/>
        <n v="52"/>
        <n v="34"/>
        <m/>
      </sharedItems>
    </cacheField>
    <cacheField name="达人名称" numFmtId="0">
      <sharedItems containsBlank="1" containsNumber="1" containsInteger="1" containsMixedTypes="1" count="123">
        <s v="圆又圆超爱笑"/>
        <s v="Sophia大大"/>
        <s v="咩咩是杨景然"/>
        <s v="我是铁核桃也是小百合"/>
        <s v="沁儿你好哇"/>
        <s v="大敏敏的蜕变日记"/>
        <s v="爱跳绳的粥粥"/>
        <s v="郝有金"/>
        <s v="热锅上的蚂蚁"/>
        <s v="pp"/>
        <n v="-77"/>
        <s v="大桐yoto"/>
        <s v="爱上健身的Amy"/>
        <s v="白白"/>
        <s v="小小李"/>
        <s v="小菜包超幸运"/>
        <s v="Candy yoga"/>
        <s v="小雪教瑜伽"/>
        <s v="努力变好的yy"/>
        <s v="威风凛凛小队长"/>
        <s v="咕咕猪小短腿"/>
        <s v="小方今天瘦了吗"/>
        <s v="干坐着的小瑶"/>
        <s v="辣妈含含"/>
        <s v="凯琳KatherineW"/>
        <s v="杨大大的预备辣妹日记"/>
        <s v="丫丫小姐姐"/>
        <s v="六月炎妍"/>
        <s v="星星要变瘦"/>
        <s v="爽姐腿特长"/>
        <s v="小月月"/>
        <s v="马可乐cora"/>
        <s v="茜茜子"/>
        <s v="Celine丹丹"/>
        <s v="林菀桃桃"/>
        <s v="爱撸铁的丁"/>
        <s v="熊猫叮"/>
        <s v="生椰黎子yoga"/>
        <s v="福崽"/>
        <s v="小胡的张张"/>
        <s v="Shirley小蕾"/>
        <s v="小翻译美芽酱"/>
        <s v="曲美腻腻"/>
        <s v="阿煜"/>
        <s v="Jeremy 赵"/>
        <s v="小恩哥带你练臀"/>
        <s v="元气芥末酱"/>
        <s v="朱俊畅"/>
        <s v="大红辣辣椒"/>
        <s v="板野友美iii"/>
        <s v="圆圆今天暴富了么"/>
        <s v="雾霾少女i"/>
        <s v="小蓝今天吃了没"/>
        <s v="桃子酱酱"/>
        <s v="月亮起床了"/>
        <s v="爱梨"/>
        <s v="雪碧要加冰-"/>
        <s v="玩长板的慧慧"/>
        <s v="Bruce小厮"/>
        <s v="木子棋Kiki"/>
        <s v="包子熟了"/>
        <s v="Lucas雨田"/>
        <s v="阿三啊"/>
        <s v="JJJJackson"/>
        <s v="国产收音机X"/>
        <s v="跑酷莫承烽"/>
        <s v="小刘爱游泳"/>
        <s v="小乔您了"/>
        <s v="西米是个小可爱"/>
        <s v="林然Tolyn"/>
        <s v="小羊羔崽子"/>
        <s v="一颗西兰花fa"/>
        <s v="小小柯尔鸭"/>
        <s v="高凯元"/>
        <s v="臃肿大白鹅"/>
        <s v="芋泥团团茶"/>
        <s v="蜜桃少女宁小美"/>
        <s v="thePans."/>
        <s v="索菲亚的冻龄秘密"/>
        <s v="健康营养师格格"/>
        <s v="咦同学"/>
        <s v="橘子汽水"/>
        <s v="诸葛亮晶晶"/>
        <s v="形体矫正小李"/>
        <s v="脆鱼日记"/>
        <s v="小岛大瑀"/>
        <s v="小甜心"/>
        <s v="周周也是倩倩"/>
        <s v="Zora張張"/>
        <s v="爱健身的陈淼淼"/>
        <s v="晚一子"/>
        <s v="语宸要做插画师"/>
        <s v="一颗小糖果w"/>
        <s v="来一杯毛豆"/>
        <s v="趁早早呀"/>
        <s v="BD方丈"/>
        <s v="猪脚ivi"/>
        <s v="野生辣妹Stacy"/>
        <s v="樱丸小桃子"/>
        <s v="秦亲亲"/>
        <s v="蔓玉有点甜"/>
        <s v="我是张小胖"/>
        <s v="肖儿"/>
        <s v="冷冷学姐"/>
        <s v="新理小姐"/>
        <s v="是芝芝啊"/>
        <s v="鱼丸逆袭记"/>
        <s v="叫我y老师"/>
        <s v="理疗师雨辰"/>
        <s v="西瓜班陈雯"/>
        <s v="电荷荷荷"/>
        <s v="陈背心"/>
        <s v="陈以柒"/>
        <s v="厨小花的减脂餐"/>
        <s v="Miss小宝"/>
        <s v="嘎嘎今天不要懒_"/>
        <s v="oOO小饼"/>
        <s v="芒果腻"/>
        <s v="蛋卷er"/>
        <s v="一颗紫菜"/>
        <s v="Morii"/>
        <s v="是33崽"/>
        <m/>
      </sharedItems>
    </cacheField>
    <cacheField name="品类" numFmtId="0">
      <sharedItems containsBlank="1" count="4">
        <s v="筋膜枪"/>
        <s v="体脂秤"/>
        <s v="跳绳"/>
        <m/>
      </sharedItems>
    </cacheField>
    <cacheField name="笔记埋词" numFmtId="0">
      <sharedItems containsBlank="1" containsNumber="1" containsInteger="1" containsMixedTypes="1" count="24">
        <s v="云麦筋膜枪cc"/>
        <s v="云麦cc"/>
        <s v="云麦体脂秤3"/>
        <s v="云麦体脂秤3mini"/>
        <s v="云麦3mini"/>
        <s v="云麦跳绳心率款"/>
        <s v="云麦cc筋膜枪"/>
        <s v="云麦心率跳绳"/>
        <s v="云麦3mini（无埋词）"/>
        <s v="云麦3mini体脂秤"/>
        <s v=" 云麦cc"/>
        <s v="云麦智能筋膜枪"/>
        <s v="云麦智能筋膜枪PB2"/>
        <s v="云麦PB2"/>
        <s v="云麦筋膜枪PB2"/>
        <s v="云麦 筋膜枪PB2"/>
        <s v="云麦筋膜枪"/>
        <s v=" 云麦筋膜枪cc"/>
        <s v="云麦体脂秤3mini "/>
        <s v="云麦筋膜枪cc "/>
        <s v="云麦跳绳2go"/>
        <s v="云麦体脂秤"/>
        <n v="0"/>
        <m/>
      </sharedItems>
    </cacheField>
    <cacheField name="产品型号" numFmtId="0">
      <sharedItems containsBlank="1" count="11">
        <s v="云麦筋膜枪cc-蓝色"/>
        <s v="云麦体脂秤3"/>
        <s v="云麦体脂秤3mini"/>
        <s v="云麦心率跳绳"/>
        <s v="云麦筋膜枪cc-爱马仕款"/>
        <s v="云麦筋膜枪pb2"/>
        <s v="云麦筋膜枪ccgo"/>
        <s v="云麦跳绳2go"/>
        <s v="云麦筋膜枪cc-金色"/>
        <s v="云麦筋膜枪cc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  <cacheField name="互动率" numFmtId="0" formula="互动量/点击量" databaseFiel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08.4570486111" refreshedBy="Administrator" recordCount="1418">
  <cacheSource type="worksheet">
    <worksheetSource ref="A1:AF99989" sheet="日报数据源"/>
  </cacheSource>
  <cacheFields count="40">
    <cacheField name="时间" numFmtId="0">
      <sharedItems containsBlank="1" count="171">
        <s v="2022-05-19"/>
        <s v="2022-05-20"/>
        <s v="2022-05-21"/>
        <s v="2022-05-23"/>
        <s v="2022-05-24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9"/>
        <s v="2022-07-02"/>
        <s v="2022-07-03"/>
        <s v="2022-07-04"/>
        <s v="2022-07-06"/>
        <s v="2022-07-09"/>
        <s v="2022-07-10"/>
        <s v="2022-07-12"/>
        <s v="2022-07-13"/>
        <s v="2022-07-14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s v="2022-09-09"/>
        <s v="2022-09-10"/>
        <s v="2022-09-11"/>
        <s v="2022-09-12"/>
        <s v="2022-09-13"/>
        <s v="2022-09-14"/>
        <s v="2022-09-15"/>
        <s v="2022-09-16"/>
        <s v="2022-09-17"/>
        <s v="2022-09-18"/>
        <s v="2022-09-19"/>
        <s v="2022-09-20"/>
        <s v="2022-09-21"/>
        <s v="2022-09-22"/>
        <s v="2022-09-23"/>
        <s v="2022-09-24"/>
        <s v="2022-09-25"/>
        <s v="2022-09-26"/>
        <s v="2022-09-27"/>
        <s v="2022-09-28"/>
        <s v="2022-09-29"/>
        <s v="2022-09-30"/>
        <s v="2022-10-01"/>
        <s v="2022-10-02"/>
        <s v="2022-10-03"/>
        <s v="2022-10-04"/>
        <s v="2022-10-05"/>
        <s v="2022-10-06"/>
        <s v="2022-10-07"/>
        <s v="2022-10-08"/>
        <s v="2022-10-09"/>
        <s v="2022-10-10"/>
        <s v="2022-10-11"/>
        <s v="2022-10-12"/>
        <s v="2022-10-13"/>
        <s v="2022-10-14"/>
        <s v="2022-10-15"/>
        <s v="2022-10-16"/>
        <s v="2022-10-17"/>
        <s v="2022-10-18"/>
        <s v="2022-10-19"/>
        <s v="2022-10-20"/>
        <s v="2022-10-21"/>
        <s v="2022-10-22"/>
        <s v="2022-10-23"/>
        <s v="2022-10-24"/>
        <s v="2022-10-25"/>
        <s v="2022-10-26"/>
        <s v="2022-10-27"/>
        <s v="2022-10-28"/>
        <s v="2022-10-29"/>
        <s v="2022-10-30"/>
        <s v="2022-10-31"/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03-10~2022-05-1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m/>
      </sharedItems>
    </cacheField>
    <cacheField name="创意名称" numFmtId="0">
      <sharedItems containsBlank="1" count="197">
        <s v="圆又圆超爱笑"/>
        <s v="Sophia大大"/>
        <s v="咩咩是杨景然"/>
        <s v="我是铁核桃也是小百合"/>
        <s v="沁儿你好哇"/>
        <s v="大敏敏的蜕变日记"/>
        <s v="爱跳绳的粥粥-跳绳"/>
        <s v="我是铁核桃也是小百合-体脂秤3"/>
        <s v="郝有金-筋膜枪cc"/>
        <s v="郝有金-筋膜枪cc_复制"/>
        <s v="热锅上的蚂蚁-筋膜枪cc"/>
        <s v="pp-体脂秤3mini"/>
        <s v="大敏敏的蜕变日记-体脂秤3mini"/>
        <s v="七七_YiB"/>
        <s v="pp-信息流"/>
        <s v="Sophia大大-信息流"/>
        <s v="我是铁核桃也是小百合-信息流"/>
        <s v="七七_YiBo"/>
        <s v="大桐yoto-体脂秤3mini"/>
        <s v="爱上健身的Amy-体脂秤3mini"/>
        <s v="白白-跳绳"/>
        <s v="小小李-跳绳"/>
        <s v="白白"/>
        <s v="爱跳绳的粥粥"/>
        <s v="小菜包超幸运"/>
        <s v="Candy yoga"/>
        <s v="小雪教瑜伽"/>
        <s v="大桐yoto"/>
        <s v="产品种草_创意_20220602_1"/>
        <s v="产品种草_创意_20220602_2"/>
        <s v="0602-种草-信息流-努力变好的yy-筋膜枪"/>
        <s v=" 威风凛凛小队长"/>
        <s v="咕咕猪小短腿"/>
        <s v="努力变好的yy"/>
        <s v="威风凛凛小队长"/>
        <s v="小雪教瑜伽-搜索"/>
        <s v="圆又圆超爱笑-搜索"/>
        <s v="小方今天瘦了吗"/>
        <s v="pp-搜索"/>
        <s v="pp"/>
        <s v="干坐着的小瑶"/>
        <s v="辣妈含含"/>
        <s v="凯琳KatherineW"/>
        <s v="杨大大的预备辣妹日记"/>
        <s v="丫丫小姐姐"/>
        <s v="六月炎妍"/>
        <s v="星星要变瘦"/>
        <s v="苏妤Serene."/>
        <s v="小月月"/>
        <s v="干坐着的小瑶-搜索"/>
        <s v="凯琳KatherineW-搜索"/>
        <s v="六月炎妍-搜素"/>
        <s v="马可乐cora"/>
        <s v="苏妤Serene.-搜索"/>
        <s v="郝有金-搜索"/>
        <s v="爱跳绳的粥粥-搜索"/>
        <s v="马可乐cora-搜索"/>
        <s v="茜茜子"/>
        <s v="Celine丹丹"/>
        <s v="林菀桃桃"/>
        <s v="爱撸铁的丁"/>
        <s v="熊猫叮"/>
        <s v="生椰黎子yoga"/>
        <s v="福崽"/>
        <s v="小胡的张张"/>
        <s v="Shirley小蕾"/>
        <s v="小翻译美芽酱"/>
        <s v="产品种草_创意_20220802_1"/>
        <s v="产品种草_创意_20220802_1_复制085816"/>
        <s v="产品种草_创意_20220805_1"/>
        <s v="产品种草_创意_20220802_2_复制160803"/>
        <s v="抢占关键词_创意_20220808_1"/>
        <s v="抢占关键词_创意_20220808_1_复制185753"/>
        <s v="抢占关键词_创意_20220808_1_复制185930"/>
        <s v="抢占关键词_创意_20220808_1_复制190437"/>
        <s v="抢占关键词_创意_20220808_1_复制191612"/>
        <s v="抢占关键词_创意_20220808_1_复制191843"/>
        <s v="产品种草_创意_20220809_1"/>
        <s v="产品种草_创意_20220811_1"/>
        <s v="产品种草_创意_20220812_1"/>
        <s v="产品种草_创意_20220816_1"/>
        <s v="产品种草_创意_20220817_1"/>
        <s v="产品种草_创意_20220818_1"/>
        <s v="产品种草_创意_20220819_1"/>
        <s v="产品种草_创意_20220820_1"/>
        <s v="产品种草_创意_20220822_1"/>
        <s v="产品种草_创意_20220823_1"/>
        <s v="产品种草_创意_20220829_1"/>
        <s v="产品种草_创意_20220831_1"/>
        <s v="产品种草_创意_20220831_1_复制195807"/>
        <s v="产品种草_创意_20220901_1"/>
        <s v="产品种草_创意_20220902_1"/>
        <s v="产品种草_创意_20220901_1_复制184510"/>
        <s v="产品种草_创意_20220905_1"/>
        <s v="产品种草_创意_20220906_1"/>
        <s v="产品种草_创意_20220905_1_复制180351"/>
        <s v="产品种草_创意_20220907_1"/>
        <s v="产品种草_创意_20220908_1"/>
        <s v="产品种草_创意_20220909_1"/>
        <s v="产品种草_创意_20220901_1_复制144922"/>
        <s v="产品种草_创意_20220910_1"/>
        <s v="产品种草_创意_20220914_1"/>
        <s v="产品种草_创意_20220916_1"/>
        <s v="产品种草_创意_20220917_1"/>
        <s v="产品种草_创意_20220919_1"/>
        <s v="产品种草_创意_20220922_1"/>
        <s v="产品种草_创意_20220923_1"/>
        <s v="产品种草_创意_20220924_1"/>
        <s v="产品种草_创意_20220926_1"/>
        <s v="产品种草_创意_20220928_1"/>
        <s v="产品种草_创意_20220919_1_复制161035"/>
        <s v="产品种草_创意_20220930_1"/>
        <s v="产品种草_创意_20220930_1_复制184802"/>
        <s v="产品种草_创意_20221011_1"/>
        <s v="产品种草_创意_20221013_1"/>
        <s v="产品种草_创意_20221014_1"/>
        <s v="产品种草_创意_20221014_1_复制174035"/>
        <s v="产品种草_创意_20221018_1"/>
        <s v="产品种草_创意_20221014_1_复制210502"/>
        <s v="产品种草_创意_20221018_1_复制213708"/>
        <s v="产品种草_创意_20221019_1"/>
        <s v="产品种草_创意_20221020_1"/>
        <s v="产品种草_创意_20221021_1"/>
        <s v="产品种草_创意_20221014_1_复制180331"/>
        <s v="产品种草_创意_20221022_1"/>
        <s v="抢占关键词_创意_20221024_1"/>
        <s v="抢占关键词_创意_20221024_1_复制180927"/>
        <s v="产品种草_创意_20221024_1"/>
        <s v="抢占关键词_创意_20221024_1_复制181701"/>
        <s v="抢占关键词_创意_20221024_1_复制182937"/>
        <s v="产品种草_创意_20221025_1"/>
        <s v="产品种草_创意_20221026_1"/>
        <s v="抢占关键词_创意_20221026_1"/>
        <s v="产品种草_创意_20221029_1"/>
        <s v="抢占关键词_创意_20221026_1_复制180124"/>
        <s v="抢占关键词_创意_20221031_1"/>
        <s v="抢占关键词_创意_20221031_1_复制180407"/>
        <s v="抢占关键词_创意_20221026_1_复制180705"/>
        <s v="抢占关键词_创意_20221031_1_复制180813"/>
        <s v="产品种草_创意_20221022_1_复制201824"/>
        <s v="抢占关键词_创意_20221031_1_复制202047"/>
        <s v="产品种草_创意_20221101_1"/>
        <s v="产品种草_创意_20221102_1"/>
        <s v="产品种草_创意_20221103_1"/>
        <s v="产品种草_创意_20221102_1_复制190941"/>
        <s v="产品种草_创意_20221105_1"/>
        <s v="产品种草_创意_20221106_1"/>
        <s v="抢占关键词_创意_20221026_1_复制193653"/>
        <s v="抢占关键词_创意_20221107_1"/>
        <s v="产品种草_创意_20221107_1"/>
        <s v="634d395b000000000602b10a"/>
        <s v="636240b30000000007035fa2"/>
        <s v="产品种草_创意_20221022_1_复制221708"/>
        <s v="产品种草_创意_20221108_1"/>
        <s v="抢占关键词_创意_20221108_1"/>
        <s v="63621e680000000008012eb3"/>
        <s v="产品种草_创意_20221109_1"/>
        <s v="抢占关键词_创意_20221108_1_复制193404"/>
        <s v="抢占关键词_创意_20221109_1"/>
        <s v="产品种草_创意_20221110_1"/>
        <s v="抢占关键词_创意_20221110_1"/>
        <s v="632c10b9000000001200da7e"/>
        <s v="抢占关键词_创意_20221031_1_复制172445"/>
        <s v="62f37bbf0000000012024867"/>
        <s v="产品种草_创意_20220822_2"/>
        <s v="产品种草_创意_20220822_3"/>
        <s v="产品种草_创意_20220822_4"/>
        <s v="产品种草_创意_20220822_5"/>
        <s v="产品种草_创意_20220822_6"/>
        <s v="产品种草_创意_20220822_7"/>
        <s v="产品种草_创意_20220822_8"/>
        <s v="产品种草_创意_20220822_9"/>
        <s v="产品种草_创意_20220822_10"/>
        <s v="产品种草_创意_20220822_11"/>
        <s v="产品种草_创意_20220822_12"/>
        <s v="产品种草_创意_20220822_13"/>
        <s v="产品种草_创意_20220822_14"/>
        <s v="产品种草_创意_20220822_15"/>
        <s v="产品种草_创意_20220822_16"/>
        <s v="产品种草_创意_20220822_17"/>
        <s v="636a29360000000007037622"/>
        <s v="63437a13000000000b0135ee"/>
        <s v="636b36a10000000007034630"/>
        <s v="63104c390000000011035a33"/>
        <s v="6333fbc80000000017017605"/>
        <s v="632a812e0000000011016f09"/>
        <s v="6347ce7d0000000007039781"/>
        <s v="6358a9b6000000001401d37d"/>
        <s v="632acfbb000000000800a017"/>
        <s v="6333db92000000001703f2f8"/>
        <s v="6389bf260000000022035854"/>
        <s v="638d5ea9000000001f00d4d6"/>
        <s v="63104c390000000011035a33_复制185030"/>
        <s v="633115bb0000000018003042"/>
        <s v="6385c23a0000000019022ad3"/>
        <s v="63104c390000000011035a33_复制174313"/>
        <m/>
      </sharedItems>
    </cacheField>
    <cacheField name="创意ID" numFmtId="0">
      <sharedItems containsString="0" containsBlank="1" containsNumber="1" containsInteger="1" minValue="0" maxValue="25677394" count="257">
        <n v="14438625"/>
        <n v="14438656"/>
        <n v="14438657"/>
        <n v="14438876"/>
        <n v="14438997"/>
        <n v="14439020"/>
        <n v="14752018"/>
        <n v="14752172"/>
        <n v="14752300"/>
        <n v="14752488"/>
        <n v="14752576"/>
        <n v="14752715"/>
        <n v="14752831"/>
        <n v="14752924"/>
        <n v="14753100"/>
        <n v="14794680"/>
        <n v="14794969"/>
        <n v="14795201"/>
        <n v="14932478"/>
        <n v="14932581"/>
        <n v="14932668"/>
        <n v="14976457"/>
        <n v="14976642"/>
        <n v="14977271"/>
        <n v="14977272"/>
        <n v="14977367"/>
        <n v="14977409"/>
        <n v="14977423"/>
        <n v="14977748"/>
        <n v="14978184"/>
        <n v="15042179"/>
        <n v="15088586"/>
        <n v="15088587"/>
        <n v="15088839"/>
        <n v="15089043"/>
        <n v="15089317"/>
        <n v="15089398"/>
        <n v="15089589"/>
        <n v="15179597"/>
        <n v="15180518"/>
        <n v="15180603"/>
        <n v="15180653"/>
        <n v="15247437"/>
        <n v="15247613"/>
        <n v="15248000"/>
        <n v="15248117"/>
        <n v="15248253"/>
        <n v="15248439"/>
        <n v="15248486"/>
        <n v="15295967"/>
        <n v="15296197"/>
        <n v="15296796"/>
        <n v="15296992"/>
        <n v="15297115"/>
        <n v="15353127"/>
        <n v="15678633"/>
        <n v="15678822"/>
        <n v="15678883"/>
        <n v="15679270"/>
        <n v="15688208"/>
        <n v="15720852"/>
        <n v="15732722"/>
        <n v="15733280"/>
        <n v="15734437"/>
        <n v="15734941"/>
        <n v="15735260"/>
        <n v="15803975"/>
        <n v="15804098"/>
        <n v="15804284"/>
        <n v="15804340"/>
        <n v="15804452"/>
        <n v="15804507"/>
        <n v="15867913"/>
        <n v="15869520"/>
        <n v="15869599"/>
        <n v="15993169"/>
        <n v="17533208"/>
        <n v="17799451"/>
        <n v="17799473"/>
        <n v="17858272"/>
        <n v="17901185"/>
        <n v="17974319"/>
        <n v="18043262"/>
        <n v="18043311"/>
        <n v="18043343"/>
        <n v="18043411"/>
        <n v="18043601"/>
        <n v="18043872"/>
        <n v="18044011"/>
        <n v="18044115"/>
        <n v="18085273"/>
        <n v="18170615"/>
        <n v="18224197"/>
        <n v="18353517"/>
        <n v="18412322"/>
        <n v="18455742"/>
        <n v="18456034"/>
        <n v="18503974"/>
        <n v="18541581"/>
        <n v="18606896"/>
        <n v="18606961"/>
        <n v="18646400"/>
        <n v="18646457"/>
        <n v="18907506"/>
        <n v="19004470"/>
        <n v="19010467"/>
        <n v="19010569"/>
        <n v="19010961"/>
        <n v="19010992"/>
        <n v="19011007"/>
        <n v="19054447"/>
        <n v="19054497"/>
        <n v="19058466"/>
        <n v="19106392"/>
        <n v="19106863"/>
        <n v="19106999"/>
        <n v="19210765"/>
        <n v="19210822"/>
        <n v="19261230"/>
        <n v="19316723"/>
        <n v="19316774"/>
        <n v="19380003"/>
        <n v="19428780"/>
        <n v="19428860"/>
        <n v="19450181"/>
        <n v="19450191"/>
        <n v="19607601"/>
        <n v="19607721"/>
        <n v="19713110"/>
        <n v="19752470"/>
        <n v="19713077"/>
        <n v="19834935"/>
        <n v="19834982"/>
        <n v="20017048"/>
        <n v="20060143"/>
        <n v="20060178"/>
        <n v="20100228"/>
        <n v="20100261"/>
        <n v="20200905"/>
        <n v="20316817"/>
        <n v="20317349"/>
        <n v="20323358"/>
        <n v="20485013"/>
        <n v="20485042"/>
        <n v="20485369"/>
        <n v="20978448"/>
        <n v="20978571"/>
        <n v="21122736"/>
        <n v="21203504"/>
        <n v="21209031"/>
        <n v="21360243"/>
        <n v="21414957"/>
        <n v="21415048"/>
        <n v="21440220"/>
        <n v="21451628"/>
        <n v="21451929"/>
        <n v="21453398"/>
        <n v="21506599"/>
        <n v="21508062"/>
        <n v="21508319"/>
        <n v="21600313"/>
        <n v="21600849"/>
        <n v="21674555"/>
        <n v="21688273"/>
        <n v="21747929"/>
        <n v="21747992"/>
        <n v="21879174"/>
        <n v="21879909"/>
        <n v="21880743"/>
        <n v="21880771"/>
        <n v="21881635"/>
        <n v="21881978"/>
        <n v="21978813"/>
        <n v="21988099"/>
        <n v="22072602"/>
        <n v="22072814"/>
        <n v="22072908"/>
        <n v="22315363"/>
        <n v="22437894"/>
        <n v="22438055"/>
        <n v="22438145"/>
        <n v="22438197"/>
        <n v="22438463"/>
        <n v="22438538"/>
        <n v="22438584"/>
        <n v="22438657"/>
        <n v="22448358"/>
        <n v="22449871"/>
        <n v="22449984"/>
        <n v="22450115"/>
        <n v="22513708"/>
        <n v="22516134"/>
        <n v="22516377"/>
        <n v="22596197"/>
        <n v="22675609"/>
        <n v="22762574"/>
        <n v="22820705"/>
        <n v="22845628"/>
        <n v="22943656"/>
        <n v="22943729"/>
        <n v="22943828"/>
        <n v="22943914"/>
        <n v="22943955"/>
        <n v="22944060"/>
        <n v="22952348"/>
        <n v="23019540"/>
        <n v="23019923"/>
        <n v="23020109"/>
        <n v="23095610"/>
        <n v="23095722"/>
        <n v="23095824"/>
        <n v="23095921"/>
        <n v="23177814"/>
        <n v="23177925"/>
        <n v="23178157"/>
        <n v="23178271"/>
        <n v="23178412"/>
        <n v="23252885"/>
        <n v="23253296"/>
        <n v="18606962"/>
        <n v="18606963"/>
        <n v="18606964"/>
        <n v="18606965"/>
        <n v="18606966"/>
        <n v="18606967"/>
        <n v="18606968"/>
        <n v="18606969"/>
        <n v="18606970"/>
        <n v="18606971"/>
        <n v="18606972"/>
        <n v="18606973"/>
        <n v="18606974"/>
        <n v="18606975"/>
        <n v="18606976"/>
        <n v="18606977"/>
        <n v="24941624"/>
        <n v="24941722"/>
        <n v="24991923"/>
        <n v="25066640"/>
        <n v="25066769"/>
        <n v="25066825"/>
        <n v="25105925"/>
        <n v="25105983"/>
        <n v="25106098"/>
        <n v="25178456"/>
        <n v="25178656"/>
        <n v="25178876"/>
        <n v="25244107"/>
        <n v="25314758"/>
        <n v="25314842"/>
        <n v="25314916"/>
        <n v="25315073"/>
        <n v="25391742"/>
        <n v="25485889"/>
        <n v="25677301"/>
        <n v="25677394"/>
        <m/>
      </sharedItems>
    </cacheField>
    <cacheField name="广告类型" numFmtId="0">
      <sharedItems containsBlank="1" count="3">
        <s v="信息流广告"/>
        <s v="搜索广告"/>
        <m/>
      </sharedItems>
    </cacheField>
    <cacheField name="笔记ID" numFmtId="0">
      <sharedItems containsBlank="1" count="126">
        <s v="626acb02000000000102c35c"/>
        <s v="627ba9fe0000000021037192"/>
        <s v="627e0bba000000000102fbbb"/>
        <s v="627bb815000000000102a1d9"/>
        <s v="62737915000000002103f16c"/>
        <s v="627e157b000000000102d2c9"/>
        <s v="6286eeb6000000002103d135"/>
        <s v="614c3095000000000102b268"/>
        <s v="6268be6f000000002103575a"/>
        <s v="6255518c000000002103cbe1"/>
        <s v="6284a6120000000021036c2e"/>
        <s v="628c7af500000000010254ad"/>
        <s v="6290703f000000002103d411"/>
        <s v="628f4e490000000001027a43"/>
        <s v="6290482100000000210356f2"/>
        <s v="628da6fb000000000102646e"/>
        <s v="62879826000000000102800f"/>
        <s v="62482509000000000102d31e"/>
        <s v="629417c7000000002103479b"/>
        <s v="62903659000000000102fa9a"/>
        <s v="6290c4360000000021036385"/>
        <s v="629714e6000000000102d6c7"/>
        <s v="629dca29000000000102d19e"/>
        <s v="6299f16c000000000102ddd2"/>
        <s v="6290b2bb0000000021036eee"/>
        <s v="629700ce000000002103529c"/>
        <s v="629434dd0000000021038af3"/>
        <s v="62a045ea000000002103a321"/>
        <s v="629de623000000001d0153c8"/>
        <s v="62a3362f000000002103b738"/>
        <s v="62a461080000000001029226"/>
        <s v="62a6fd32000000001d0141d2"/>
        <s v="62a86da600000000210394c6"/>
        <s v="62a859ca000000001b034829"/>
        <s v="62a8420e000000001b03634d"/>
        <s v="62a72114000000002103631b"/>
        <s v="62a853b8000000002103dca1"/>
        <s v="62a98321000000001401a556"/>
        <s v="62aa9568000000000e021f22"/>
        <s v="62a321f2000000001d032701"/>
        <s v="62aa5b72000000000e01fa80"/>
        <s v="62df60d4000000001b0182ec"/>
        <s v="62e4ce29000000000e02bbd1"/>
        <s v="62e34ecb00000000110133c9"/>
        <s v="62e9103f000000001202c377"/>
        <s v="62e109a2000000001b03e2a0"/>
        <s v="62f0b4f000000000120392e6"/>
        <s v="62f37bbf0000000012024867"/>
        <s v="62f4c9f60000000009006fcb"/>
        <s v="62f7a27a0000000016030b54"/>
        <s v="62fa14a60000000014019759"/>
        <s v="62fc81290000000016037396"/>
        <s v="62fddb6e000000001b01b0e1"/>
        <s v="62fe048b000000001b005d67"/>
        <s v="62fdc897000000001b0063ad"/>
        <s v="630096c8000000001800de5a"/>
        <s v="62ff55630000000019029cc0"/>
        <s v="6308506e000000001702e57f"/>
        <s v="630055e2000000001b007e50"/>
        <s v="630f1fc800000000110355fc"/>
        <s v="630f0f5c0000000008021e9f"/>
        <s v="63108c530000000012038e6f"/>
        <s v="63104c390000000011035a33"/>
        <s v="6315edad00000000110364bd"/>
        <s v="63182f720000000008023b9f"/>
        <s v="6319c330000000000900f191"/>
        <s v="631ff1f10000000009033b64"/>
        <s v="63195acb0000000011011cb5"/>
        <s v="631e1af0000000001801b519"/>
        <s v="6322ac1f000000001200fd50"/>
        <s v="632591a1000000001801796c"/>
        <s v="6322ec9800000000080096e6"/>
        <s v="632acfbb000000000800a017"/>
        <s v="632a812e0000000011016f09"/>
        <s v="632c461f000000000801c166"/>
        <s v="6331a517000000001702438c"/>
        <s v="6333db92000000001703f2f8"/>
        <s v="6333d83500000000170279af"/>
        <s v="6340ef66000000001d014fd0"/>
        <s v="6342abf4000000001c00c1fb"/>
        <s v="63492dd50000000008014d5e"/>
        <s v="63492acb0000000008010b08"/>
        <s v="6343c9ea000000001c02e342"/>
        <s v="6336c064000000001d00f647"/>
        <s v="63437f77000000001d027e1b"/>
        <s v="634e1fe90000000008014572"/>
        <s v="63563e19000000001601ebbf"/>
        <s v="6358b83600000000140344b6"/>
        <s v="635b58ed000000001700c609"/>
        <s v="634fe7d20000000008010532"/>
        <s v="6347ce7d0000000007039781"/>
        <s v="6360d1d5000000000600811c"/>
        <s v="63622157000000000601d5cb"/>
        <s v="635361ae0000000015023541"/>
        <s v="634d395b000000000602b10a"/>
        <s v="636240b30000000007035fa2"/>
        <s v="63621e680000000008012eb3"/>
        <s v="635f8a250000000009000539"/>
        <s v="635f7fd20000000008010ca4"/>
        <s v="6364e9dc0000000009013c84"/>
        <s v="635ca4d0000000001601eee4"/>
        <s v="6368faca000000000901170a"/>
        <s v="6358a9b6000000001401d37d"/>
        <s v="632c10b9000000001200da7e"/>
        <s v="6225c1390000000021034e33"/>
        <s v="612359a60000000001024e1f"/>
        <s v="61765727000000000102dd1a"/>
        <s v="617bc5dd000000000102b409"/>
        <s v="622d8d0d0000000001029c29"/>
        <s v="6135ea0c000000000102fad5"/>
        <s v="621e1314000000000102a9ba"/>
        <s v="6232bdc30000000021034fa7"/>
        <s v="616ab9850000000001028279"/>
        <s v="621df4740000000021039fc3"/>
        <s v="61a75f5a000000000102d798"/>
        <s v="6221f6170000000021034926"/>
        <s v="625529c2000000000102f35c"/>
        <s v="636a29360000000007037622"/>
        <s v="63437a13000000000b0135ee"/>
        <s v="636b36a10000000007034630"/>
        <s v="6333fbc80000000017017605"/>
        <s v="6389bf260000000022035854"/>
        <s v="638d5ea9000000001f00d4d6"/>
        <s v="633115bb0000000018003042"/>
        <s v="6385c23a0000000019022ad3"/>
        <m/>
      </sharedItems>
    </cacheField>
    <cacheField name="单元名称" numFmtId="0">
      <sharedItems containsBlank="1" count="228">
        <s v="0519-种草-信息流-筋膜枪赛马测试"/>
        <s v="0519-种草-信息流-体脂秤3"/>
        <s v="0519-种草-信息流-体脂秤3mini赛马测试"/>
        <s v="0526-种草-信息流-云麦跳绳心率款"/>
        <s v="0526-种草-搜索-我是铁核桃-云麦体脂秤3"/>
        <s v="0526-种草-搜索-郝有金-筋膜枪cc"/>
        <s v="0526-种草-搜索-郝有金-筋膜枪cc_复制"/>
        <s v="0526-种草-搜索-圆又圆超爱笑-筋膜枪cc"/>
        <s v="0526-种草-信息流-热锅上的蚂蚁-筋膜枪cc"/>
        <s v="0526-种草-搜索-pp"/>
        <s v="0526-种草-搜索-大敏敏蜕变日记-体脂秤"/>
        <s v="0526-种草-信息流-七七-体脂秤3mini"/>
        <s v="0527-种草-信息流-pp-体脂秤3mini"/>
        <s v="0527-种草-信息流-Sophia大大-筋膜枪c"/>
        <s v="0527-种草-信息流-我是铁核桃-体脂秤3"/>
        <s v="0530-种草-搜索-七七-体脂秤3mini"/>
        <s v="0530-种草-信息流-大桐yoto-体脂秤3mi"/>
        <s v="0530-种草-信息流-Amy-体脂秤3mini"/>
        <s v="0531-种草-信息流-白白"/>
        <s v="0531-种草-信息流-云麦心率跳绳赛马测试"/>
        <s v="0531-种草-信息流-云麦体脂秤3赛马测试"/>
        <s v="0531-信息流-大桐yoto-体脂秤3mini"/>
        <s v="0601-小雪瑜伽-类目词-首位"/>
        <s v="0602-种草-信息流-小雪教瑜伽"/>
        <s v="0602-种草-信息流-努力变好的yy-筋膜枪"/>
        <s v="0602-种草-信息流-体脂秤3赛马计划"/>
        <s v="0602-种草-信息流-心率跳绳赛马测试"/>
        <s v="0605-种草-信息流-小雪教瑜伽-筋膜枪cc"/>
        <s v="0605-种草-信息流-白白-心率跳绳"/>
        <s v="0605-种草-信息流-咕咕猪小短腿-体脂秤3"/>
        <s v="0605-种草-信息流-努力变好的yy-筋膜枪cc"/>
        <s v="0606-种草-信息流-威风凛凛小队长-体脂秤3"/>
        <s v="0606-种草-信息流-努力变好的yy-筋膜枪cc"/>
        <s v="0606-小雪瑜伽-类目词-筋膜枪cc-"/>
        <s v="0606- 圆又圆超爱笑-类目词-筋膜枪cc"/>
        <s v="0606-小方-类目词-体脂秤3mini"/>
        <s v="0606-pp-类目词-体脂秤3mini"/>
        <s v="0606-种草-信息流-pp-体脂秤3mini"/>
        <s v="0607-种草-信息流-雪瑜伽-筋膜枪cc"/>
        <s v="0607-种草-信息流-干坐着的小瑶-筋膜枪cc"/>
        <s v="0607-种草-信息流-辣妈含含-体脂秤3"/>
        <s v="0607-种草-信息流-凯琳-心率跳绳"/>
        <s v="0607-种草-信息流-杨大大-心率跳绳"/>
        <s v="0608-种草-信息流-丫丫小姐姐-心率跳绳"/>
        <s v="0614-种草-信息流-六月炎妍-体脂秤3mini"/>
        <s v="0614-种草-信息流- 星星要变瘦-筋膜枪cc"/>
        <s v="0614-种草-信息流- 苏妤Sere-筋膜枪cc"/>
        <s v="0614-种草-信息流-小月月-体脂秤3"/>
        <s v="0614-种草-搜索-干坐着的小瑶"/>
        <s v="0615-抢赛道-凯琳-首位-心率跳绳"/>
        <s v="0615-抢赛道-炎妍-类目词-体脂秤3mini"/>
        <s v="0615-种草-信息流-马可乐-体脂秤3mini"/>
        <s v="0615-抢前3-苏妤-类目词-筋膜枪cc"/>
        <s v="0615-抢首-郝有金-类目词-筋膜枪cc"/>
        <s v="0615-抢前3-粥粥-类目词-心率跳绳"/>
        <s v="0616-抢前3-马可乐-功效词-体脂秤3mini"/>
        <s v="0616-种草-信息流-茜茜子-体脂秤3mini"/>
        <s v="0616-种草-信息流-丹丹-筋膜枪cc"/>
        <s v="0616-种草-信息流-林菀桃桃-筋膜枪cc"/>
        <s v="0616-种草-信息流-爱撸铁的丁-筋膜枪cc"/>
        <s v="0616-种草-信息流-熊猫叮-筋膜枪cc"/>
        <s v="0617-种草-信息流-生椰黎子-体脂秤3mini"/>
        <s v="0617-种草-信息流-福崽-筋膜枪cc"/>
        <s v="0617-种草-信息流-小胡的张张-筋膜枪cc"/>
        <s v="0620-种草-信息流-小蕾-筋膜枪cc"/>
        <s v="0727-种草-信息流-小翻译美芽酱-点击"/>
        <s v="0802-种草-信息流-曲美腻腻-互动点击"/>
        <s v="0804-种草-信息流-阿煜-互动点击"/>
        <s v="0805-种草-信息流-Jeremy 赵-筋膜枪"/>
        <s v="0802-种草-信息流-曲美腻腻-互动点击_复制160803"/>
        <s v="0808-种草-搜素-郝有金-筋膜枪-品牌词-首"/>
        <s v="0808-种草-搜素-郝有金-筋膜枪-品牌词-首_复制185616"/>
        <s v="0808-种草-搜素-郝有金-筋膜枪-品牌词-首_复制185753"/>
        <s v="0808-种草-搜素-郝有金-筋膜枪-品牌词-首_复制185930"/>
        <s v="0808-种草-搜素-郝有金-筋膜枪-品牌词-首_复制190437"/>
        <s v="0808-种草-搜素-郝有金-筋膜枪-品牌词-首_复制190957"/>
        <s v="0808-种草-搜素-郝有金-筋膜枪-品牌词-首_复制191612"/>
        <s v="0808-种草-搜素-郝有金-筋膜枪-品牌词-首_复制191843"/>
        <s v="0809-种草-信息流-元气芥末酱-点击"/>
        <s v="0811-种草-信息流-马可乐-筋膜枪-点击"/>
        <s v="0812-种草-信息流-朱俊畅-pb-点击"/>
        <s v="0811-种草-信息流-马可乐-筋膜枪-点击_复制154842"/>
        <s v="0817-种草-信息流-大红辣辣椒-pb"/>
        <s v="0818-种草-信息流-板野友美-pb"/>
        <s v="0818-种草-搜索-元气芥末酱-pb-类目词"/>
        <s v="0819-种草-信息流-圆圆-pb"/>
        <s v="0820-种草-信息流-板野友美iii-pb"/>
        <s v="0822-种草-信息流-雾霾少女i-pb"/>
        <s v="0822-种草-信息流-小蓝i-pb"/>
        <s v="0823-种草-信息流-桃子酱酱-pb"/>
        <s v="0823-种草-信息流-月亮起床了-pb"/>
        <s v="0829-种草-信息流-爱梨-pb"/>
        <s v="0831-种草-信息流-雪碧要加冰-pb"/>
        <s v="0831-种草-信息流-朱俊畅-pb"/>
        <s v="0831-种草-信息流-小雪教瑜伽-cc"/>
        <s v="0831-种草-搜索-朱俊畅-pb-类目词"/>
        <s v="0831-种草-搜索-小雪教瑜伽-cc-类目词"/>
        <s v="0901-种草-信息流-玩长板的慧慧-pb"/>
        <s v="0901-种草-信息流-Bruce小厮-pb"/>
        <s v="0901-种草-搜索-芥末酱-pb-类目词"/>
        <s v="0902-种草-信息流-木子棋Kiki-pb-点击"/>
        <s v="0902-种草-信息流-包子熟了-pb-点击"/>
        <s v="0902-种草-搜索-马可乐-pb-类目词"/>
        <s v="0905-种草-搜索-包子熟了-pb-类目词"/>
        <s v="0906-种草-信息流-Lucas雨田-pb-点"/>
        <s v="0907-种草-搜索-木子棋-pb-类目词"/>
        <s v="0908-种草-搜索-阿三啊-pb-"/>
        <s v="0909-种草-搜索-圆圆-pb-类目词"/>
        <s v="0909-种草-信息流-JJJJackson-pb"/>
        <s v="0910-种草-搜索-小四-pb-类目"/>
        <s v="国产收音机X"/>
        <s v="跑酷莫承烽"/>
        <s v="国产收音机X_复制183035"/>
        <s v="0917-种草-信息流-朱俊畅-pb-点击-"/>
        <s v="国产收音机X_复制182936"/>
        <s v="0919-种草-信息流-西米-pb"/>
        <s v="0919-种草-信息流-林然-pb"/>
        <s v="0922-种草-信息流-芥末酱-pb"/>
        <s v="0923-种草-信息流-小羊羔崽子-pb-互动"/>
        <s v="0923-种草-信息流-一颗西兰花fa-pb-点击"/>
        <s v="0924-种草-信息流-小羊羔崽子-点击"/>
        <s v="0924-种草-信息流-一颗西兰花fa-点击"/>
        <s v="0926-种草-信息流-小小柯尔鸭-自定义标签"/>
        <s v="0928-种草-信息流-西米-点击"/>
        <s v="0928-种草-信息流-高凯元-pb-互动"/>
        <s v="0919-种草-信息流-西米-pb_复制161035"/>
        <s v="0930-种草-搜索-芥末酱-类目词"/>
        <s v="0930-种草-搜索-pp-3mini-类目词"/>
        <s v="1011-种草-信息流-臃肿大白鹅"/>
        <s v="1011-种草-信息流-芋泥团团茶"/>
        <s v="1013-种草-信息流-板野友美-pb"/>
        <s v="1014-种草-信息流-一颗西兰花fa"/>
        <s v="1014-种草-信息流-郝有金-cc"/>
        <s v="1014-种草-信息流-一颗西"/>
        <s v="1018-种草-信息流-蜜桃少女宁小美-cc"/>
        <s v="1018-种草-信息流-thePans.-cc"/>
        <s v="1018-种草-信息流-pp-体脂秤-3mini"/>
        <s v="1018-种草-信息流-pp-体脂秤-点击"/>
        <s v="1014-种草-信息流-一颗西兰花fa_复制210502"/>
        <s v="1018-种草-信息流-thePans.-cc_复制213708"/>
        <s v="1019-种草-信息流-索菲亚-体脂秤-3mini"/>
        <s v="1019-种草-信息流-健康营养师格格"/>
        <s v="1019-种草-信息流-咦同学-筋膜枪-cc"/>
        <s v="1020-种草-信息流-thePans-筋膜枪cc"/>
        <s v="1020-信息流-橘子汽水-体脂秤-3mini"/>
        <s v="1021-信息流-诸葛亮晶晶-体脂秤-3mini"/>
        <s v="1014-种草-信息流-一颗西兰花fa_复制180331"/>
        <s v="1022-种草-信息流-小羊羔崽子-筋膜枪-pb"/>
        <s v="1022-种草-信息流-形体矫正小李-筋膜枪-pb"/>
        <s v="1024-抢位-一颗西兰花fa-筋膜枪-品牌词"/>
        <s v="1024-种草-信息流-一颗西兰花fa-品类词"/>
        <s v="1024-信息流-pp-体脂秤-3mini"/>
        <s v="1024-信息流-pp-体脂-3mini-品牌词"/>
        <s v="1024-信息流-pp-体脂-3mini-品牌词_复制182937"/>
        <s v="1025-种草-信息流-脆鱼日记-筋膜枪cc"/>
        <s v="1025-种草-信息流- 蜜桃少女宁-筋膜枪cc"/>
        <s v="1026-种草-信息流-西米-筋膜枪-pb"/>
        <s v="1026-搜索-包子-品牌词"/>
        <s v="1026-搜索-包子-品类词"/>
        <s v="11029-种草-信息流-小乔您了-筋膜枪-pb"/>
        <s v="1026-搜索-芥末酱-品类词"/>
        <s v="1031-搜索-郝有金-品类词"/>
        <s v="1031-搜索-小岛-品类词"/>
        <s v="1031-搜索-橘子汽水-品类词"/>
        <s v="1031-搜索-小岛-体脂秤-3mini-类目词"/>
        <s v="1022-种草-信息流-小羊羔崽子-筋膜枪-pb_复制201824"/>
        <s v="1031-搜索-小岛-体脂秤-3mini-类目词_"/>
        <s v="1101-种草-信息流-小甜心-体脂秤-3mini"/>
        <s v="1101-种草-信息流-周周也是倩倩-筋膜枪-pb"/>
        <s v="1101-种草-信息流-Zora张张-筋膜枪-pb"/>
        <s v="1102-种草-信息流-爱健身陈淼淼-筋膜枪-pb"/>
        <s v="1103-种草-信息流-晚一子-点击"/>
        <s v="1102-种草-信息流-爱健身陈淼淼-筋膜枪-pb_复制190941"/>
        <s v="1105-种草-信息流-Zora張張-筋膜枪-cc"/>
        <s v="1106-种草-信息流-脆鱼日记-筋膜枪cc"/>
        <s v="1026-搜索-包子-品类词_复制193653"/>
        <s v="1107-种草-信息流-语宸-筋膜枪cc"/>
        <s v="1107-种草-信息流-小糖果-筋膜枪cc"/>
        <s v="1107-种草-信息流-毛豆-体脂秤3mini"/>
        <s v="1107-种草-信息流-趁早早-体脂秤3mini"/>
        <s v="1022-种草-信息流-小羊羔崽子-筋膜枪-pb_复制221708"/>
        <s v="1108-种草-信息流-语宸-筋膜枪cc"/>
        <s v="1108-种草-信息流-晚一子-体脂秤3mini"/>
        <s v="1108-搜索-小羊羔-品类词"/>
        <s v="1109-种草-信息流-趁早早-体脂秤3mini"/>
        <s v="1109-种草-信息流-小岛-体脂秤3mini"/>
        <s v="1108-搜索-小羊羔-品类词_复制193404"/>
        <s v="1110-种草-信息流-野生辣妹-筋膜枪"/>
        <s v="1110-种草-信息流-樱桃小丸子-筋膜枪"/>
        <s v="1110-种草-信息流-秦亲亲-体脂秤3mini"/>
        <s v="1110-种草-信息流-曼玉-跳绳"/>
        <s v="1111-搜索-马可乐-体脂秤-3mini-类目词"/>
        <s v="0823-种草-信息流-小蓝i-pb"/>
        <s v="0824-种草-信息流-小蓝i-pb"/>
        <s v="0825-种草-信息流-小蓝i-pb"/>
        <s v="0826-种草-信息流-小蓝i-pb"/>
        <s v="0827-种草-信息流-小蓝i-pb"/>
        <s v="0828-种草-信息流-小蓝i-pb"/>
        <s v="0829-种草-信息流-小蓝i-pb"/>
        <s v="0830-种草-信息流-小蓝i-pb"/>
        <s v="0831-种草-信息流-小蓝i-pb"/>
        <s v="0832-种草-信息流-小蓝i-pb"/>
        <s v="0833-种草-信息流-小蓝i-pb"/>
        <s v="0834-种草-信息流-小蓝i-pb"/>
        <s v="0835-种草-信息流-小蓝i-pb"/>
        <s v="0836-种草-信息流-小蓝i-pb"/>
        <s v="0837-种草-信息流-小蓝i-pb"/>
        <s v="0838-种草-信息流-小蓝i-pb"/>
        <s v="1201-信息流-蔓玉有点甜-跳绳"/>
        <s v="1201-信息流-miss小宝-筋膜枪pb2"/>
        <s v="1202-信息流-嘎嘎今天不要懒-跳绳2go"/>
        <s v="1203-信息流-小饼-筋膜枪cc"/>
        <s v="1203-信息流-包子熟了-筋膜枪pb2"/>
        <s v="芒果腻"/>
        <s v="1204-种草-信息流-一颗西兰花-筋膜枪pb2"/>
        <s v="1204-种草-信息流-zora张张-ccgo"/>
        <s v="1204-种草-信息流-猪脚-跳绳2go"/>
        <s v="1205-种草-信息流-小羊羔崽子-筋膜枪pb2"/>
        <s v="1205-种草-信息流-臃肿大白鹅-筋膜枪pb2"/>
        <s v="1205-种草-信息流-蛋卷er-筋膜枪cc"/>
        <s v="1206-种草-信息流-紫菜-筋膜枪cc"/>
        <s v="1207-抢位-包子-cc-首位"/>
        <s v="1207-抢位-张张-cc-前三"/>
        <s v="1207-种草-信息流-Morii-跳绳2go"/>
        <s v="1208-种草-信息流- 是33崽-筋膜枪cc"/>
        <s v="1209-种草-信息流-马可乐-pb2"/>
        <s v="1212-抢位-马可乐-pb-前三"/>
        <m/>
      </sharedItems>
    </cacheField>
    <cacheField name="单元ID" numFmtId="0">
      <sharedItems containsString="0" containsBlank="1" containsNumber="1" containsInteger="1" minValue="0" maxValue="7047407" count="228">
        <n v="2918793"/>
        <n v="2918813"/>
        <n v="2918831"/>
        <n v="2959750"/>
        <n v="2959778"/>
        <n v="2959797"/>
        <n v="2959816"/>
        <n v="2959820"/>
        <n v="2959834"/>
        <n v="2959849"/>
        <n v="2959861"/>
        <n v="2959880"/>
        <n v="2966106"/>
        <n v="2966132"/>
        <n v="2966196"/>
        <n v="2978792"/>
        <n v="2978801"/>
        <n v="2978810"/>
        <n v="2984115"/>
        <n v="2984144"/>
        <n v="2984271"/>
        <n v="2984400"/>
        <n v="2993851"/>
        <n v="3001667"/>
        <n v="3001688"/>
        <n v="3001731"/>
        <n v="3001791"/>
        <n v="3007578"/>
        <n v="3007658"/>
        <n v="3007662"/>
        <n v="3007667"/>
        <n v="3014687"/>
        <n v="3014707"/>
        <n v="3014737"/>
        <n v="3014754"/>
        <n v="3014764"/>
        <n v="3014779"/>
        <n v="3014783"/>
        <n v="3020475"/>
        <n v="3020499"/>
        <n v="3020580"/>
        <n v="3020613"/>
        <n v="3020628"/>
        <n v="3028319"/>
        <n v="3067706"/>
        <n v="3067718"/>
        <n v="3067721"/>
        <n v="3067744"/>
        <n v="3068565"/>
        <n v="3074136"/>
        <n v="3076866"/>
        <n v="3076999"/>
        <n v="3077376"/>
        <n v="3077590"/>
        <n v="3077734"/>
        <n v="3087946"/>
        <n v="3087955"/>
        <n v="3087971"/>
        <n v="3087973"/>
        <n v="3087983"/>
        <n v="3087989"/>
        <n v="3099180"/>
        <n v="3099710"/>
        <n v="3099720"/>
        <n v="3118218"/>
        <n v="3362209"/>
        <n v="3466574"/>
        <n v="3493737"/>
        <n v="3514560"/>
        <n v="3544995"/>
        <n v="3580052"/>
        <n v="3580060"/>
        <n v="3580099"/>
        <n v="3580132"/>
        <n v="3580226"/>
        <n v="3580327"/>
        <n v="3580433"/>
        <n v="3580480"/>
        <n v="3600311"/>
        <n v="3639848"/>
        <n v="3665138"/>
        <n v="3729412"/>
        <n v="3755110"/>
        <n v="3775804"/>
        <n v="3775925"/>
        <n v="3798655"/>
        <n v="3817956"/>
        <n v="3851140"/>
        <n v="3851160"/>
        <n v="3870533"/>
        <n v="3870563"/>
        <n v="3992888"/>
        <n v="4036081"/>
        <n v="4039162"/>
        <n v="4039210"/>
        <n v="4039364"/>
        <n v="4039390"/>
        <n v="4059790"/>
        <n v="4059827"/>
        <n v="4061725"/>
        <n v="4083919"/>
        <n v="4084168"/>
        <n v="4084260"/>
        <n v="4133905"/>
        <n v="4155782"/>
        <n v="4178883"/>
        <n v="4206144"/>
        <n v="4228760"/>
        <n v="4228800"/>
        <n v="4239566"/>
        <n v="4314778"/>
        <n v="4314821"/>
        <n v="4365075"/>
        <n v="4384092"/>
        <n v="4365044"/>
        <n v="4425179"/>
        <n v="4425218"/>
        <n v="4507302"/>
        <n v="4528587"/>
        <n v="4528603"/>
        <n v="4551147"/>
        <n v="4551153"/>
        <n v="4605593"/>
        <n v="4664600"/>
        <n v="4664833"/>
        <n v="4667757"/>
        <n v="4743757"/>
        <n v="4743785"/>
        <n v="5010053"/>
        <n v="5010131"/>
        <n v="5077750"/>
        <n v="5116446"/>
        <n v="5119266"/>
        <n v="5192303"/>
        <n v="5218190"/>
        <n v="5218235"/>
        <n v="5218312"/>
        <n v="5234903"/>
        <n v="5235064"/>
        <n v="5235825"/>
        <n v="5258337"/>
        <n v="5258914"/>
        <n v="5259036"/>
        <n v="5300130"/>
        <n v="5300358"/>
        <n v="5332127"/>
        <n v="5338035"/>
        <n v="5366393"/>
        <n v="5366424"/>
        <n v="5428268"/>
        <n v="5428627"/>
        <n v="5428999"/>
        <n v="5429032"/>
        <n v="5429663"/>
        <n v="5474004"/>
        <n v="5479098"/>
        <n v="5521266"/>
        <n v="5521358"/>
        <n v="5521414"/>
        <n v="5634352"/>
        <n v="5694637"/>
        <n v="5694754"/>
        <n v="5694908"/>
        <n v="5694979"/>
        <n v="5699471"/>
        <n v="5700276"/>
        <n v="5700336"/>
        <n v="5731231"/>
        <n v="5732324"/>
        <n v="5732455"/>
        <n v="5771085"/>
        <n v="5809017"/>
        <n v="5851094"/>
        <n v="5880638"/>
        <n v="5893381"/>
        <n v="5942225"/>
        <n v="5942327"/>
        <n v="5942343"/>
        <n v="5942377"/>
        <n v="5942417"/>
        <n v="5946923"/>
        <n v="5980615"/>
        <n v="5980832"/>
        <n v="5980913"/>
        <n v="6017655"/>
        <n v="6017685"/>
        <n v="6017761"/>
        <n v="6056558"/>
        <n v="6056608"/>
        <n v="6056747"/>
        <n v="6056874"/>
        <n v="6095328"/>
        <n v="3851161"/>
        <n v="3851162"/>
        <n v="3851163"/>
        <n v="3851164"/>
        <n v="3851165"/>
        <n v="3851166"/>
        <n v="3851167"/>
        <n v="3851168"/>
        <n v="3851169"/>
        <n v="3851170"/>
        <n v="3851171"/>
        <n v="3851172"/>
        <n v="3851173"/>
        <n v="3851174"/>
        <n v="3851175"/>
        <n v="3851176"/>
        <n v="6702550"/>
        <n v="6702577"/>
        <n v="6725293"/>
        <n v="6759755"/>
        <n v="6759811"/>
        <n v="6759850"/>
        <n v="6779533"/>
        <n v="6779552"/>
        <n v="6779635"/>
        <n v="6811834"/>
        <n v="6811939"/>
        <n v="6812062"/>
        <n v="6841351"/>
        <n v="6872965"/>
        <n v="6872994"/>
        <n v="6873109"/>
        <n v="6908546"/>
        <n v="6951868"/>
        <n v="7047407"/>
        <m/>
      </sharedItems>
    </cacheField>
    <cacheField name="计划名称" numFmtId="0">
      <sharedItems containsBlank="1" count="229">
        <s v="0519-种草-信息流-筋膜枪赛马测试"/>
        <s v="0519-种草-信息流-体脂秤3"/>
        <s v="0519-种草-信息流-体脂秤3mini赛马测试"/>
        <s v="0526-种草-信息流-爱跳绳粥粥-云麦跳绳心率款"/>
        <s v="0526-种草-搜索-我是铁核桃-云麦体脂秤3"/>
        <s v="0526-郝有金-筋膜枪cc-类目词--首位"/>
        <s v="0601- 圆又圆超爱笑-类目词-筋膜枪cc-前3"/>
        <s v="0526-种草-信息流-热锅上的蚂蚁-筋膜枪cc"/>
        <s v="0526-种草-搜索-pp-体脂秤3mini"/>
        <s v="0526-种草-搜索-大敏敏-体脂秤3mini"/>
        <s v="0526-种草-信息流-七七-体脂秤3mini"/>
        <s v="0527-种草-信息流-pp-体脂秤3mini"/>
        <s v="0527-种草-信息流-Sophia大大-筋膜枪c"/>
        <s v="0530-种草-信息流-我是铁核桃-体脂秤3"/>
        <s v="0602-体脂秤3mini-类目词-首位"/>
        <s v="0530-种草-信息流-大桐yoto-体脂秤3mi"/>
        <s v="0530-种草-信息流-Amy-体脂秤3mini"/>
        <s v="0531-种草-信息流-白白-心率跳绳"/>
        <s v="0606-种草-信息流-小小李-云麦心率跳绳"/>
        <s v="0601-种草-信息流-小菜包-云麦体脂秤3"/>
        <s v="0531-信息流-大桐yoto-体脂秤3mini"/>
        <s v="0601-小雪瑜伽-筋膜枪-类目词-首位"/>
        <s v="0602-种草-信息流-小雪教瑜伽-筋膜枪cc"/>
        <s v="0602-种草-信息流-努力变好的yy-筋膜枪"/>
        <s v="0603-种草-信息流-咕咕猪小短腿-体脂秤3"/>
        <s v="0602-种草-信息流-心率跳绳赛马测试"/>
        <s v="0605-种草-信息流-小雪教瑜伽-筋膜枪cc"/>
        <s v="0605-种草-信息流-白白-心率跳绳"/>
        <s v="0605-种草-信息流-咕咕猪小短腿-体脂秤3"/>
        <s v="0605-种草-信息流-努力变好的yy-筋膜枪cc"/>
        <s v="0606-种草-信息流-威风凛凛小队长-体脂秤3"/>
        <s v="0606-种草-信息流-努力变好的yy-筋膜枪cc"/>
        <s v="0606-小雪瑜伽-类目词-筋膜枪cc-"/>
        <s v="0606- 圆又圆超爱笑-类目词-筋膜枪cc"/>
        <s v="0614-种草-信息流-小方-体脂秤3mini"/>
        <s v="0614-pp-类目词-体脂秤3mini"/>
        <s v="0606-种草-信息流-pp-体脂秤3mini"/>
        <s v="0614-种草-信息流-雪瑜伽-筋膜枪cc"/>
        <s v="0607-种草-信息流-干坐着的小瑶-筋膜枪cc"/>
        <s v="0607-种草-信息流-辣妈含含-体脂秤3"/>
        <s v="0607-种草-信息流-凯琳-心率跳绳"/>
        <s v="0607-种草-信息流-杨大大-心率跳绳"/>
        <s v="0608-种草-信息流-丫丫小姐姐-心率跳绳"/>
        <s v="0614-种草-信息流-六月炎妍-体脂秤3mini"/>
        <s v="0614-种草-信息流- 星星要变瘦-筋膜枪cc"/>
        <s v="0614-种草-信息流- 苏妤Sere-筋膜枪cc"/>
        <s v="0614-种草-信息流-小月月-体脂秤3"/>
        <s v="0614-抢前3-干坐着的小瑶-类目词-筋膜枪cc"/>
        <s v="0615-抢赛道-凯琳-首位-心率跳绳"/>
        <s v="0615-抢前3-炎妍-类目词-体脂秤3mini"/>
        <s v="0615-种草-信息流-马可乐-体脂秤3mini"/>
        <s v="0615-抢前3-苏妤-类目词-筋膜枪cc"/>
        <s v="0615-抢首-郝有金-类目词-筋膜枪cc"/>
        <s v="0615-抢前3-粥粥-类目词-心率跳绳"/>
        <s v="0616-抢前3-马可乐-功效词-体脂秤3mini"/>
        <s v="0616-种草-信息流-茜茜子-体脂秤3mini"/>
        <s v="0616-种草-信息流-丹丹-筋膜枪cc"/>
        <s v="0616-种草-信息流-林菀桃桃-筋膜枪cc"/>
        <s v="0616-种草-信息流-爱撸铁的丁-筋膜枪cc"/>
        <s v="0616-种草-信息流-熊猫叮-筋膜枪cc"/>
        <s v="0617-种草-信息流-生椰黎子-体脂秤3mini"/>
        <s v="0617-种草-信息流-福崽-筋膜枪cc"/>
        <s v="0617-种草-信息流-小胡的张张-筋膜枪cc"/>
        <s v="0620-种草-信息流-小蕾-筋膜枪cc"/>
        <s v="0727-种草-信息流-小翻译美芽酱-点击"/>
        <s v="0802-种草-信息流-曲美腻腻-筋膜枪-互动点击"/>
        <s v="0804-种草-信息流-阿煜-筋膜枪-互动点击"/>
        <s v="0805-种草-信息流-Jeremy 赵-筋膜枪"/>
        <s v="0806-种草-信息流-小恩哥带你练臀-筋膜枪"/>
        <s v="0808-种草-搜素-郝有金-筋膜枪-品牌词-首"/>
        <s v="0808-种草-搜素-苏舒-筋膜枪-品牌词-首"/>
        <s v="0808-种草-搜素-郝有金-筋膜枪-类目词-首"/>
        <s v="0808-种草-搜素-苏舒-筋膜枪-类目词-前三"/>
        <s v="0808-种草-搜素-苏舒-筋膜枪-竞品词-首"/>
        <s v="0808-种草-搜素-pp-体脂秤-品牌词-首"/>
        <s v="0808-种草-搜素-pp-体脂秤-类目词-首"/>
        <s v="0808-种草-搜素-pp-体脂秤-竞品词-首"/>
        <s v="0809-种草-信息流-元气芥末酱-筋膜枪-点击"/>
        <s v="0811-种草-信息流-马可乐-pb-点击"/>
        <s v="0812-种草-信息流-朱俊畅-pb-点击"/>
        <s v="0816-种草-信息流-爱跳绳的粥粥-pb-点击"/>
        <s v="0817-种草-信息流-大红辣辣椒-pb"/>
        <s v="0818-种草-信息流-板野友美-pb"/>
        <s v="0818-种草-搜索-元气芥末酱-pb-类目词"/>
        <s v="0819-种草-信息流-圆圆-pb"/>
        <s v="0820-种草-信息流-板野友美iii-pb"/>
        <s v="0822-种草-信息流-雾霾少女i-pb"/>
        <s v="0822-种草-信息流-小蓝i-pb"/>
        <s v="0823-种草-信息流-桃子酱酱-pb"/>
        <s v="0823-种草-信息流-月亮起床了-pb"/>
        <s v="0829-种草-信息流-爱梨-pb"/>
        <s v="0831-种草-信息流-雪碧要加冰-pb"/>
        <s v="0831-种草-信息流-朱俊畅-pb"/>
        <s v="0831-种草-信息流-小雪教瑜伽-cc"/>
        <s v="0831-种草-搜索-朱俊畅-pb-类目词"/>
        <s v="0831-种草-搜索-小雪教瑜伽-cc-类目词"/>
        <s v="0901-种草-信息流-玩长板的慧慧-pb"/>
        <s v="0901-种草-信息流-Bruce小厮-pb"/>
        <s v="0901-种草-搜索-芥末酱-pb-类目词"/>
        <s v="0902-种草-信息流-木子棋Kiki-pb-点击"/>
        <s v="0902-种草-信息流-包子熟了-pb-点击"/>
        <s v="0902-种草-搜索-马可乐-pb-类目词"/>
        <s v="0905-种草-搜索-包子熟了-pb-类目词"/>
        <s v="0906-种草-信息流-Lucas雨田-pb-点"/>
        <s v="0907-种草-搜索-木子棋Ki-pb-类目词"/>
        <s v="0908-种草-信息流-阿三啊-pb-点"/>
        <s v="0909-种草-搜索-圆圆-pb-类目词"/>
        <s v="0909-种草-信息流-JJJJackson-pb"/>
        <s v="0910-种草-搜索-小厮-pb-类目词"/>
        <s v="0914-种草-信息流-国产收音机X-pb"/>
        <s v="0914-种草-信息流-跑酷莫承烽-pb"/>
        <s v="0916-种草-信息流-小刘爱游泳-pb"/>
        <s v="0917-种草-信息流-朱俊畅-pb-点击-"/>
        <s v="0918-种草-信息流-小乔您了-pb"/>
        <s v="0919-种草-信息流-西米-pb"/>
        <s v="0919-种草-信息流-林然-pb"/>
        <s v="0922-种草-信息流-芥末酱-pb"/>
        <s v="0923-种草-信息流-小羊羔崽子-pb-互动"/>
        <s v="0923-种草-信息流-一颗西兰花fa-pb-互动"/>
        <s v="0924-种草-信息流-小羊羔崽子-点击"/>
        <s v="0924-种草-信息流-一颗西兰花fa-点击"/>
        <s v="0926-种草-信息流-小小柯尔鸭--pb-自定义"/>
        <s v="0928-种草-信息流-西米-pb-点击"/>
        <s v="0928-种草-信息流-高凯元-pb-互动"/>
        <s v="0919-种草-信息流-西米-pb-通投"/>
        <s v="0930-种草-搜索-芥末酱-类目词"/>
        <s v="0930-种草-搜索-pp-3mini-类目词"/>
        <s v="1011-种草-信息流-臃肿大白鹅"/>
        <s v="1011-种草-信息流-芋泥团团茶"/>
        <s v="1013-种草-信息流-板野友美-pb"/>
        <s v="1014-种草-信息流-一颗西兰花fa"/>
        <s v="1014-种草-信息流-郝有金-cc"/>
        <s v="1014-种草-信息流-一颗西兰花fa_pb"/>
        <s v="1018-种草-信息流-蜜桃少女宁小美-cc"/>
        <s v="1018-种草-信息流-thePans.-cc"/>
        <s v="1018-种草-信息流-pp-体脂秤-3mini"/>
        <s v="1018-种草-信息流-pp-体脂秤-点击"/>
        <s v="1018-种草-信息流-一颗西兰花fa_pb"/>
        <s v="1018-种草-信息流-thePans.-cc-"/>
        <s v="1019-种草-信息流-索菲亚-体脂秤-3mini"/>
        <s v="1019-种草-信息流-营养师格格-筋膜枪-cc"/>
        <s v="1019-种草-信息流-咦同学-筋膜枪-cc"/>
        <s v="1020-种草-信息流-thePans-筋膜枪cc"/>
        <s v="1020-信息流-橘子汽水-体脂秤-3mini"/>
        <s v="1021-信息流-诸葛亮晶晶-体脂秤-3mini"/>
        <s v="1021-种草-信息流-一颗西兰花fa_pb_复制"/>
        <s v="1022-种草-信息流-小羊羔崽子-筋膜枪-pb"/>
        <s v="1022-种草-信息流-形体矫正小李-筋膜枪-pb"/>
        <s v="1024-搜索-一颗西兰花fa-品牌词"/>
        <s v="1024-搜索-一颗西兰花fa-品类词"/>
        <s v="1024-信息流-pp-体脂秤-3mini"/>
        <s v="1024-搜索-pp-体脂-3mini-品牌词"/>
        <s v="1024-搜索-pp-体脂秤-3mini-类目词"/>
        <s v="1025-种草-信息流-脆鱼日记-筋膜枪cc"/>
        <s v="1025-种草-信息流- 蜜桃少女宁-筋膜枪cc"/>
        <s v="1026-种草-信息流-西米-筋膜枪-pb"/>
        <s v="1026-搜索-包子-品牌词"/>
        <s v="1026-搜索-包子-品类词"/>
        <s v="1029-种草-信息流-小乔您了-筋膜枪-pb"/>
        <s v="1026-搜索-芥末酱-品类词"/>
        <s v="1031-搜索-郝有金-品类词"/>
        <s v="1031-搜索-小岛-品类词"/>
        <s v="1031-搜索-橘子汽水-品类词"/>
        <s v="1031-搜索-小岛-体脂秤-3mini-类目词"/>
        <s v="1031-种草-信息流-小羊羔崽子-筋膜枪-pb_"/>
        <s v="1031-搜索-橘子汽水-体脂秤-3mini-类目"/>
        <s v="1101-种草-信息流-小甜心-体脂秤-3mini"/>
        <s v="1101-种草-信息流-周周也是倩倩-筋膜枪-pb"/>
        <s v="1101-种草-信息流-Zora张张-筋膜枪-pb"/>
        <s v="1102-种草-信息流-爱健身陈淼淼-筋膜枪-pb"/>
        <s v="1103-种草-信息流-晚一子-点击"/>
        <s v="1104-种草-信息流-爱健身陈淼淼-筋膜枪-pb"/>
        <s v="1105-种草-信息流-Zora張張-筋膜枪-pb"/>
        <s v="1106-种草-信息流-脆鱼日记-筋膜枪cc"/>
        <s v="1107-搜索-西兰花-品类词_"/>
        <s v="1107-种草-信息流-语宸-筋膜枪cc"/>
        <s v="1107-种草-信息流-小糖果-筋膜枪cc"/>
        <s v="1107-种草-信息流-毛豆-体脂秤3mini"/>
        <s v="1107-种草-信息流-趁早早-体脂秤3mini"/>
        <s v="1107-种草-信息流-小羊羔崽子-筋膜枪-pb"/>
        <s v="1108-种草-信息流-方丈-筋膜枪pb"/>
        <s v="1108-种草-信息流-晚一子-体脂秤3mini"/>
        <s v="1108-搜索-小羊羔-品类词"/>
        <s v="1109-种草-信息流-趁早早-体脂秤3mini"/>
        <s v="1109-种草-信息流-小岛-体脂秤3mini"/>
        <s v="1108-搜索-猪脚-跳绳-品类词"/>
        <s v="1110-种草-信息流-野生辣妹-筋膜枪"/>
        <s v="1110-种草-信息流-樱桃小丸子-筋膜枪"/>
        <s v="1110-种草-信息流-秦亲亲-体脂秤3mini"/>
        <s v="1110-种草-信息流-曼玉-跳绳"/>
        <s v="1111-搜索-马可乐-体脂秤-3mini-类目词"/>
        <s v="0823-种草-信息流-小蓝i-pb"/>
        <s v="0824-种草-信息流-小蓝i-pb"/>
        <s v="0825-种草-信息流-小蓝i-pb"/>
        <s v="0826-种草-信息流-小蓝i-pb"/>
        <s v="0827-种草-信息流-小蓝i-pb"/>
        <s v="0828-种草-信息流-小蓝i-pb"/>
        <s v="0829-种草-信息流-小蓝i-pb"/>
        <s v="0830-种草-信息流-小蓝i-pb"/>
        <s v="0831-种草-信息流-小蓝i-pb"/>
        <s v="0832-种草-信息流-小蓝i-pb"/>
        <s v="0833-种草-信息流-小蓝i-pb"/>
        <s v="0834-种草-信息流-小蓝i-pb"/>
        <s v="0835-种草-信息流-小蓝i-pb"/>
        <s v="0836-种草-信息流-小蓝i-pb"/>
        <s v="0837-种草-信息流-小蓝i-pb"/>
        <s v="0838-种草-信息流-小蓝i-pb"/>
        <s v="1201-信息流-蔓玉有点甜-跳绳"/>
        <s v="1201-信息流-miss小宝-筋膜枪pb2"/>
        <s v="1202-信息流-嘎嘎今天不要懒-跳绳2go"/>
        <s v="1203-信息流-小饼-筋膜枪cc"/>
        <s v="1203-信息流-包子熟了-筋膜枪pb2"/>
        <s v="1203-信息流-芒果腻-跳绳2go"/>
        <s v="1204-种草-信息流-一颗西兰花-筋膜枪pb2"/>
        <s v="1204-种草-信息流-zora张张-ccgo"/>
        <s v="1204-种草-信息流-猪脚-跳绳2go"/>
        <s v="1205-种草-信息流-小羊羔崽子-筋膜枪pb2"/>
        <s v="1205-种草-信息流-臃肿大白鹅-筋膜枪pb2"/>
        <s v="1205-种草-信息流-蛋卷er-筋膜枪cc"/>
        <s v="1206-种草-信息流-紫菜-筋膜枪cc"/>
        <s v="1207-抢位-包子-cc-首位"/>
        <s v="1207-抢位-张张-cc-前三"/>
        <s v="1207-种草-信息流-Morii-跳绳2go"/>
        <s v="1207-抢位-包子-cc-首位--短语"/>
        <s v="1207-抢位-张张-cc-前三-短语"/>
        <s v="1208-种草-信息流- 是33崽-筋膜枪cc"/>
        <s v="1209-种草-信息流-马可乐-pb2"/>
        <s v="1212-抢位-马可乐-pb-前三"/>
        <m/>
      </sharedItems>
    </cacheField>
    <cacheField name="计划ID" numFmtId="0">
      <sharedItems containsString="0" containsBlank="1" containsNumber="1" containsInteger="1" minValue="0" maxValue="5814443" count="227">
        <n v="2325045"/>
        <n v="2325078"/>
        <n v="2325093"/>
        <n v="2362546"/>
        <n v="2362558"/>
        <n v="2362567"/>
        <n v="2362578"/>
        <n v="2362586"/>
        <n v="2362592"/>
        <n v="2362601"/>
        <n v="2362615"/>
        <n v="2368633"/>
        <n v="2368658"/>
        <n v="2368701"/>
        <n v="2380738"/>
        <n v="2380750"/>
        <n v="2380758"/>
        <n v="2385895"/>
        <n v="2385921"/>
        <n v="2385975"/>
        <n v="2386169"/>
        <n v="2394430"/>
        <n v="2400711"/>
        <n v="2400733"/>
        <n v="2400767"/>
        <n v="2400796"/>
        <n v="2405816"/>
        <n v="2405905"/>
        <n v="2405908"/>
        <n v="2405911"/>
        <n v="2412594"/>
        <n v="2412606"/>
        <n v="2412630"/>
        <n v="2412642"/>
        <n v="2412653"/>
        <n v="2412665"/>
        <n v="2412680"/>
        <n v="2418288"/>
        <n v="2418330"/>
        <n v="2418405"/>
        <n v="2418438"/>
        <n v="2418459"/>
        <n v="2426112"/>
        <n v="2464957"/>
        <n v="2464972"/>
        <n v="2464984"/>
        <n v="2465008"/>
        <n v="2465715"/>
        <n v="2470597"/>
        <n v="2473013"/>
        <n v="2473124"/>
        <n v="2473298"/>
        <n v="2473348"/>
        <n v="2473395"/>
        <n v="2483361"/>
        <n v="2483370"/>
        <n v="2483385"/>
        <n v="2483391"/>
        <n v="2483401"/>
        <n v="2483404"/>
        <n v="2494227"/>
        <n v="2494725"/>
        <n v="2494738"/>
        <n v="2512637"/>
        <n v="2750426"/>
        <n v="2852359"/>
        <n v="2879595"/>
        <n v="2900401"/>
        <n v="2930179"/>
        <n v="2965300"/>
        <n v="2965320"/>
        <n v="2965351"/>
        <n v="2965381"/>
        <n v="2965480"/>
        <n v="2965570"/>
        <n v="2965681"/>
        <n v="2965724"/>
        <n v="2985865"/>
        <n v="3024741"/>
        <n v="3050231"/>
        <n v="3114670"/>
        <n v="3140313"/>
        <n v="3160901"/>
        <n v="3160965"/>
        <n v="3183731"/>
        <n v="3202963"/>
        <n v="3236249"/>
        <n v="3236289"/>
        <n v="3255602"/>
        <n v="3255634"/>
        <n v="3377376"/>
        <n v="3419519"/>
        <n v="3422446"/>
        <n v="3422478"/>
        <n v="3422548"/>
        <n v="3422670"/>
        <n v="3442545"/>
        <n v="3442591"/>
        <n v="3444458"/>
        <n v="3466445"/>
        <n v="3466674"/>
        <n v="3466751"/>
        <n v="3516487"/>
        <n v="3538615"/>
        <n v="3561099"/>
        <n v="3587795"/>
        <n v="3609684"/>
        <n v="3609716"/>
        <n v="3620137"/>
        <n v="3692242"/>
        <n v="3692290"/>
        <n v="3739182"/>
        <n v="3756475"/>
        <n v="3739155"/>
        <n v="3793911"/>
        <n v="3793941"/>
        <n v="3866054"/>
        <n v="3884107"/>
        <n v="3884156"/>
        <n v="3901246"/>
        <n v="3901276"/>
        <n v="3943057"/>
        <n v="3987468"/>
        <n v="3987559"/>
        <n v="3990162"/>
        <n v="4046764"/>
        <n v="4046938"/>
        <n v="4244083"/>
        <n v="4244220"/>
        <n v="4295042"/>
        <n v="4323752"/>
        <n v="4325923"/>
        <n v="4379647"/>
        <n v="4398989"/>
        <n v="4399042"/>
        <n v="4399094"/>
        <n v="4411839"/>
        <n v="4411964"/>
        <n v="4412508"/>
        <n v="4430183"/>
        <n v="4430653"/>
        <n v="4430734"/>
        <n v="4462683"/>
        <n v="4462859"/>
        <n v="4486849"/>
        <n v="4491537"/>
        <n v="4512630"/>
        <n v="4512653"/>
        <n v="4559088"/>
        <n v="4559489"/>
        <n v="4559759"/>
        <n v="4559792"/>
        <n v="4560362"/>
        <n v="4594476"/>
        <n v="4598049"/>
        <n v="4629783"/>
        <n v="4629845"/>
        <n v="4629891"/>
        <n v="4716427"/>
        <n v="4763185"/>
        <n v="4763278"/>
        <n v="4763397"/>
        <n v="4763457"/>
        <n v="4766957"/>
        <n v="4767576"/>
        <n v="4767631"/>
        <n v="4791791"/>
        <n v="4792636"/>
        <n v="4792733"/>
        <n v="4823658"/>
        <n v="4853063"/>
        <n v="4883982"/>
        <n v="4905165"/>
        <n v="4914610"/>
        <n v="4951199"/>
        <n v="4951269"/>
        <n v="4951295"/>
        <n v="4951320"/>
        <n v="4951348"/>
        <n v="4954714"/>
        <n v="4980556"/>
        <n v="4980726"/>
        <n v="4980814"/>
        <n v="5008601"/>
        <n v="5008634"/>
        <n v="5008695"/>
        <n v="5038322"/>
        <n v="5038355"/>
        <n v="5038453"/>
        <n v="5038547"/>
        <n v="5066383"/>
        <n v="3236290"/>
        <n v="3236291"/>
        <n v="3236292"/>
        <n v="3236293"/>
        <n v="3236294"/>
        <n v="3236295"/>
        <n v="3236296"/>
        <n v="3236297"/>
        <n v="3236298"/>
        <n v="3236299"/>
        <n v="3236300"/>
        <n v="3236301"/>
        <n v="3236302"/>
        <n v="3236303"/>
        <n v="3236304"/>
        <n v="3236305"/>
        <n v="5544655"/>
        <n v="5544687"/>
        <n v="5562274"/>
        <n v="5588587"/>
        <n v="5588631"/>
        <n v="5588665"/>
        <n v="5603469"/>
        <n v="5603494"/>
        <n v="5603554"/>
        <n v="5629385"/>
        <n v="5629470"/>
        <n v="5629576"/>
        <n v="5653063"/>
        <n v="5677972"/>
        <n v="5678058"/>
        <n v="5678142"/>
        <n v="5706379"/>
        <n v="5740102"/>
        <n v="5814443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19067.98" count="918">
        <n v="537.52"/>
        <n v="120.37"/>
        <n v="62.11"/>
        <n v="187.16"/>
        <n v="174.26"/>
        <n v="288.35"/>
        <n v="450.96"/>
        <n v="73.75"/>
        <n v="29.03"/>
        <n v="185.55"/>
        <n v="70.78"/>
        <n v="299.54"/>
        <n v="227.84"/>
        <n v="46.98"/>
        <n v="92.83"/>
        <n v="8.96"/>
        <n v="174.01"/>
        <n v="276.55"/>
        <n v="83.45"/>
        <n v="68.05"/>
        <n v="2.34"/>
        <n v="154.07"/>
        <n v="113.01"/>
        <n v="31.85"/>
        <n v="16.87"/>
        <n v="0.71"/>
        <n v="36.4"/>
        <n v="285.91"/>
        <n v="4.08"/>
        <n v="65.07"/>
        <n v="0"/>
        <n v="112.47"/>
        <n v="189.27"/>
        <n v="60.74"/>
        <n v="5.61"/>
        <n v="188.12"/>
        <n v="293.5"/>
        <n v="56.86"/>
        <n v="107.59"/>
        <n v="0.78"/>
        <n v="5.8"/>
        <n v="187.29"/>
        <n v="470.03"/>
        <n v="282.27"/>
        <n v="277.58"/>
        <n v="402.77"/>
        <n v="510.08"/>
        <n v="106.3"/>
        <n v="184.75"/>
        <n v="462.84"/>
        <n v="276.07"/>
        <n v="275.36"/>
        <n v="404.53"/>
        <n v="502.44"/>
        <n v="137.64"/>
        <n v="182.98"/>
        <n v="459.63"/>
        <n v="276.64"/>
        <n v="191.7"/>
        <n v="407.8"/>
        <n v="135.68"/>
        <n v="218.19"/>
        <n v="581.37"/>
        <n v="35.44"/>
        <n v="270.79"/>
        <n v="276.28"/>
        <n v="291.74"/>
        <n v="16.19"/>
        <n v="512.81"/>
        <n v="716.17"/>
        <n v="1872.02"/>
        <n v="1914.24"/>
        <n v="2.59"/>
        <n v="169.56"/>
        <n v="0.06"/>
        <n v="0.97"/>
        <n v="67.49"/>
        <n v="155.8"/>
        <n v="1249.65"/>
        <n v="192.68"/>
        <n v="85.84"/>
        <n v="26.16"/>
        <n v="314.95"/>
        <n v="286.55"/>
        <n v="1014.98"/>
        <n v="2774.72"/>
        <n v="2972.72"/>
        <n v="19.82"/>
        <n v="764.32"/>
        <n v="0.03"/>
        <n v="2.07"/>
        <n v="219.05"/>
        <n v="0.79"/>
        <n v="0.2"/>
        <n v="671.42"/>
        <n v="556.41"/>
        <n v="1027.22"/>
        <n v="57.14"/>
        <n v="54.84"/>
        <n v="7.31"/>
        <n v="1292.01"/>
        <n v="1514.56"/>
        <n v="2003.34"/>
        <n v="1752.41"/>
        <n v="204.44"/>
        <n v="93.65"/>
        <n v="1978.91"/>
        <n v="192.93"/>
        <n v="149.21"/>
        <n v="231.19"/>
        <n v="376.07"/>
        <n v="1010.62"/>
        <n v="4006.54"/>
        <n v="5.5"/>
        <n v="4028.36"/>
        <n v="2032.25"/>
        <n v="302.11"/>
        <n v="1906.54"/>
        <n v="100.06"/>
        <n v="0.12"/>
        <n v="528.64"/>
        <n v="203.95"/>
        <n v="1016.74"/>
        <n v="8064.3"/>
        <n v="6.47"/>
        <n v="2016.49"/>
        <n v="304.08"/>
        <n v="1011.84"/>
        <n v="8104.35"/>
        <n v="2028.43"/>
        <n v="302.37"/>
        <n v="4022.41"/>
        <n v="464.57"/>
        <n v="960.65"/>
        <n v="1969.24"/>
        <n v="914.29"/>
        <n v="12.67"/>
        <n v="0.22"/>
        <n v="0.48"/>
        <n v="0.63"/>
        <n v="478.23"/>
        <n v="511.24"/>
        <n v="1634.14"/>
        <n v="516.31"/>
        <n v="1008.88"/>
        <n v="303.31"/>
        <n v="1678.43"/>
        <n v="9.34"/>
        <n v="1.9"/>
        <n v="506.98"/>
        <n v="9.99"/>
        <n v="498.9"/>
        <n v="1463.44"/>
        <n v="1980.97"/>
        <n v="463.52"/>
        <n v="504.45"/>
        <n v="465.57"/>
        <n v="466.2"/>
        <n v="1003.96"/>
        <n v="1824.2"/>
        <n v="873.46"/>
        <n v="1410.99"/>
        <n v="740.76"/>
        <n v="703.64"/>
        <n v="0.56"/>
        <n v="410.75"/>
        <n v="85.63"/>
        <n v="496.71"/>
        <n v="860.85"/>
        <n v="725.57"/>
        <n v="443.62"/>
        <n v="7.96"/>
        <n v="392.21"/>
        <n v="325.02"/>
        <n v="0.6"/>
        <n v="502.84"/>
        <n v="710.33"/>
        <n v="917.53"/>
        <n v="6.52"/>
        <n v="257.78"/>
        <n v="73.67"/>
        <n v="953.57"/>
        <n v="944.49"/>
        <n v="684"/>
        <n v="8.67"/>
        <n v="954.09"/>
        <n v="960.03"/>
        <n v="994.85"/>
        <n v="505.43"/>
        <n v="588.13"/>
        <n v="892.62"/>
        <n v="270.5"/>
        <n v="27.07"/>
        <n v="1004.67"/>
        <n v="305.5"/>
        <n v="985.15"/>
        <n v="1508.53"/>
        <n v="500.85"/>
        <n v="72.54"/>
        <n v="1011.38"/>
        <n v="509.03"/>
        <n v="508.28"/>
        <n v="513.7"/>
        <n v="250.96"/>
        <n v="501.14"/>
        <n v="890.73"/>
        <n v="1893.79"/>
        <n v="1355.37"/>
        <n v="0.18"/>
        <n v="503.97"/>
        <n v="1006.41"/>
        <n v="503.09"/>
        <n v="0.43"/>
        <n v="1080.5"/>
        <n v="1016"/>
        <n v="159.75"/>
        <n v="511.9"/>
        <n v="557.38"/>
        <n v="1419.68"/>
        <n v="512.99"/>
        <n v="0.27"/>
        <n v="1009.64"/>
        <n v="843.4"/>
        <n v="1576.27"/>
        <n v="841.48"/>
        <n v="576.96"/>
        <n v="1028.27"/>
        <n v="458.39"/>
        <n v="0.17"/>
        <n v="712.11"/>
        <n v="1545.81"/>
        <n v="534.48"/>
        <n v="505.2"/>
        <n v="505.54"/>
        <n v="504.41"/>
        <n v="509.16"/>
        <n v="506.12"/>
        <n v="913.76"/>
        <n v="482.1"/>
        <n v="24.99"/>
        <n v="1444.74"/>
        <n v="1473.85"/>
        <n v="1012.93"/>
        <n v="236.39"/>
        <n v="1015.18"/>
        <n v="1011.09"/>
        <n v="511.14"/>
        <n v="502.19"/>
        <n v="465.42"/>
        <n v="475.7"/>
        <n v="1.26"/>
        <n v="475.51"/>
        <n v="502.78"/>
        <n v="503.9"/>
        <n v="505.56"/>
        <n v="1245.98"/>
        <n v="4.66"/>
        <n v="7"/>
        <n v="14.09"/>
        <n v="1015.41"/>
        <n v="371.94"/>
        <n v="2543.55"/>
        <n v="2035.81"/>
        <n v="509.74"/>
        <n v="5.95"/>
        <n v="5"/>
        <n v="2.77"/>
        <n v="0.49"/>
        <n v="514.62"/>
        <n v="502.13"/>
        <n v="1006.52"/>
        <n v="1085.66"/>
        <n v="585.34"/>
        <n v="790.16"/>
        <n v="2048.07"/>
        <n v="1016.02"/>
        <n v="506.72"/>
        <n v="504.78"/>
        <n v="889.86"/>
        <n v="757.79"/>
        <n v="1572.01"/>
        <n v="2413.04"/>
        <n v="936.74"/>
        <n v="304.85"/>
        <n v="910.32"/>
        <n v="2029.34"/>
        <n v="393.18"/>
        <n v="791.01"/>
        <n v="503.44"/>
        <n v="76.77"/>
        <n v="1.93"/>
        <n v="9.77"/>
        <n v="24.03"/>
        <n v="49.47"/>
        <n v="3.79"/>
        <n v="1.04"/>
        <n v="4.47"/>
        <n v="7.6"/>
        <n v="3.55"/>
        <n v="104.15"/>
        <n v="2.95"/>
        <n v="117.7"/>
        <n v="482.54"/>
        <n v="73.76"/>
        <n v="243.74"/>
        <n v="327.67"/>
        <n v="70.71"/>
        <n v="301.69"/>
        <n v="600.5"/>
        <n v="4.28"/>
        <n v="1499.04"/>
        <n v="1.24"/>
        <n v="96.12"/>
        <n v="493.43"/>
        <n v="111.26"/>
        <n v="297.59"/>
        <n v="432.2"/>
        <n v="66.38"/>
        <n v="299.7"/>
        <n v="486.35"/>
        <n v="208.98"/>
        <n v="147.1"/>
        <n v="273.91"/>
        <n v="11.8"/>
        <n v="150.28"/>
        <n v="81.33"/>
        <n v="16.67"/>
        <n v="15.9"/>
        <n v="315.37"/>
        <n v="9.14"/>
        <n v="3.4"/>
        <n v="36.09"/>
        <n v="2.8"/>
        <n v="50.76"/>
        <n v="205.95"/>
        <n v="175.43"/>
        <n v="108.02"/>
        <n v="518.95"/>
        <n v="41.92"/>
        <n v="106.98"/>
        <n v="199.16"/>
        <n v="9.41"/>
        <n v="121.84"/>
        <n v="104.85"/>
        <n v="214.6"/>
        <n v="211.17"/>
        <n v="302.83"/>
        <n v="448.72"/>
        <n v="508.5"/>
        <n v="332.89"/>
        <n v="1011.77"/>
        <n v="478.02"/>
        <n v="351.67"/>
        <n v="983.87"/>
        <n v="465.24"/>
        <n v="497.18"/>
        <n v="971.03"/>
        <n v="498.67"/>
        <n v="493.29"/>
        <n v="1419.37"/>
        <n v="471.68"/>
        <n v="496.45"/>
        <n v="1950.34"/>
        <n v="6.64"/>
        <n v="520.73"/>
        <n v="2.85"/>
        <n v="22.46"/>
        <n v="845.49"/>
        <n v="512.45"/>
        <n v="453.34"/>
        <n v="980.5"/>
        <n v="15.11"/>
        <n v="9.08"/>
        <n v="284.36"/>
        <n v="533.46"/>
        <n v="1000.48"/>
        <n v="7.71"/>
        <n v="323.94"/>
        <n v="392.49"/>
        <n v="325.01"/>
        <n v="9.44"/>
        <n v="503.86"/>
        <n v="885.65"/>
        <n v="319.24"/>
        <n v="488.46"/>
        <n v="13.88"/>
        <n v="6.18"/>
        <n v="394.13"/>
        <n v="480.88"/>
        <n v="909.63"/>
        <n v="11.61"/>
        <n v="459.4"/>
        <n v="303.07"/>
        <n v="506.47"/>
        <n v="437.05"/>
        <n v="508.88"/>
        <n v="134.28"/>
        <n v="503.28"/>
        <n v="485.93"/>
        <n v="803.82"/>
        <n v="4.13"/>
        <n v="1.92"/>
        <n v="504.48"/>
        <n v="502.95"/>
        <n v="999.21"/>
        <n v="339.6"/>
        <n v="490.65"/>
        <n v="623.86"/>
        <n v="460.6"/>
        <n v="9.66"/>
        <n v="848.03"/>
        <n v="415.79"/>
        <n v="1014.02"/>
        <n v="750.9"/>
        <n v="516.58"/>
        <n v="8.28"/>
        <n v="2017.98"/>
        <n v="21.34"/>
        <n v="1.18"/>
        <n v="16.91"/>
        <n v="505.71"/>
        <n v="429.48"/>
        <n v="929.84"/>
        <n v="1014.19"/>
        <n v="797.9"/>
        <n v="2.18"/>
        <n v="1016.99"/>
        <n v="0.81"/>
        <n v="24.78"/>
        <n v="769.44"/>
        <n v="1017.91"/>
        <n v="20.1"/>
        <n v="478.07"/>
        <n v="508.55"/>
        <n v="507.61"/>
        <n v="836.45"/>
        <n v="13.05"/>
        <n v="1.09"/>
        <n v="3.28"/>
        <n v="1.69"/>
        <n v="51.13"/>
        <n v="218.84"/>
        <n v="1042.41"/>
        <n v="429.77"/>
        <n v="997.47"/>
        <n v="474.01"/>
        <n v="268.39"/>
        <n v="428.64"/>
        <n v="483.48"/>
        <n v="552.48"/>
        <n v="8.77"/>
        <n v="9.59"/>
        <n v="1.27"/>
        <n v="575.89"/>
        <n v="547.59"/>
        <n v="513.36"/>
        <n v="769.61"/>
        <n v="1023.64"/>
        <n v="0.3"/>
        <n v="1.68"/>
        <n v="525.68"/>
        <n v="1016.77"/>
        <n v="12.05"/>
        <n v="440.95"/>
        <n v="0.59"/>
        <n v="514.27"/>
        <n v="484.58"/>
        <n v="1005.93"/>
        <n v="495.33"/>
        <n v="512.72"/>
        <n v="13.77"/>
        <n v="520.26"/>
        <n v="368.98"/>
        <n v="1010.19"/>
        <n v="483.89"/>
        <n v="503.54"/>
        <n v="1007.29"/>
        <n v="1.51"/>
        <n v="505.67"/>
        <n v="1.36"/>
        <n v="439.66"/>
        <n v="510.47"/>
        <n v="514.29"/>
        <n v="0.1"/>
        <n v="1008.4"/>
        <n v="504.71"/>
        <n v="2.9"/>
        <n v="1007.79"/>
        <n v="508.2"/>
        <n v="499.73"/>
        <n v="504.35"/>
        <n v="774.15"/>
        <n v="503.26"/>
        <n v="868.91"/>
        <n v="511.41"/>
        <n v="16.75"/>
        <n v="503.03"/>
        <n v="646.63"/>
        <n v="391.8"/>
        <n v="502.72"/>
        <n v="262.11"/>
        <n v="511.87"/>
        <n v="510.59"/>
        <n v="507.42"/>
        <n v="716.27"/>
        <n v="673.38"/>
        <n v="497.23"/>
        <n v="2.01"/>
        <n v="383.03"/>
        <n v="2.22"/>
        <n v="958.52"/>
        <n v="477.48"/>
        <n v="5.45"/>
        <n v="325.3"/>
        <n v="429.79"/>
        <n v="12.47"/>
        <n v="7.2"/>
        <n v="4.59"/>
        <n v="11.98"/>
        <n v="11.78"/>
        <n v="1713.99"/>
        <n v="3.41"/>
        <n v="622.91"/>
        <n v="1007.71"/>
        <n v="356.52"/>
        <n v="409.94"/>
        <n v="41.1"/>
        <n v="515.16"/>
        <n v="810.38"/>
        <n v="395.4"/>
        <n v="1441.34"/>
        <n v="826.88"/>
        <n v="1014.13"/>
        <n v="13.84"/>
        <n v="804.96"/>
        <n v="453.17"/>
        <n v="18.17"/>
        <n v="521.38"/>
        <n v="880.73"/>
        <n v="398.12"/>
        <n v="310.16"/>
        <n v="472.53"/>
        <n v="414"/>
        <n v="291.78"/>
        <n v="390.35"/>
        <n v="512.77"/>
        <n v="6.28"/>
        <n v="411.89"/>
        <n v="978.46"/>
        <n v="0.28"/>
        <n v="502.57"/>
        <n v="504.25"/>
        <n v="500.81"/>
        <n v="1007.37"/>
        <n v="158.56"/>
        <n v="193.43"/>
        <n v="301.66"/>
        <n v="300.76"/>
        <n v="504.86"/>
        <n v="2007.9"/>
        <n v="502.59"/>
        <n v="502.04"/>
        <n v="3213.15"/>
        <n v="499.49"/>
        <n v="395.6"/>
        <n v="390.54"/>
        <n v="2003.08"/>
        <n v="281.87"/>
        <n v="402.75"/>
        <n v="15.17"/>
        <n v="635.86"/>
        <n v="430.92"/>
        <n v="3.1"/>
        <n v="212.55"/>
        <n v="200.71"/>
        <n v="348.64"/>
        <n v="1005.9"/>
        <n v="245.1"/>
        <n v="504.06"/>
        <n v="4.97"/>
        <n v="48.83"/>
        <n v="12.78"/>
        <n v="593.78"/>
        <n v="3.93"/>
        <n v="37.46"/>
        <n v="612.24"/>
        <n v="618.93"/>
        <n v="615.27"/>
        <n v="616.05"/>
        <n v="611.37"/>
        <n v="417.31"/>
        <n v="607.4"/>
        <n v="419.14"/>
        <n v="610.88"/>
        <n v="409.5"/>
        <n v="609.04"/>
        <n v="409.34"/>
        <n v="607.67"/>
        <n v="411.5"/>
        <n v="511.86"/>
        <n v="358.26"/>
        <n v="133.43"/>
        <n v="9.32"/>
        <n v="331.02"/>
        <n v="509.38"/>
        <n v="109.59"/>
        <n v="302.23"/>
        <n v="49.54"/>
        <n v="302.07"/>
        <n v="463.23"/>
        <n v="14.67"/>
        <n v="1510.29"/>
        <n v="1504.8"/>
        <n v="520.92"/>
        <n v="1507.7"/>
        <n v="508.8"/>
        <n v="567.01"/>
        <n v="1904.92"/>
        <n v="32.17"/>
        <n v="330.78"/>
        <n v="104.74"/>
        <n v="20.21"/>
        <n v="205.7"/>
        <n v="17.11"/>
        <n v="106.33"/>
        <n v="701.36"/>
        <n v="47.68"/>
        <n v="308.96"/>
        <n v="399.34"/>
        <n v="95.43"/>
        <n v="240"/>
        <n v="523.23"/>
        <n v="600"/>
        <n v="942.55"/>
        <n v="509.01"/>
        <n v="360"/>
        <n v="215.01"/>
        <n v="1346.83"/>
        <n v="20.65"/>
        <n v="1.05"/>
        <n v="4.72"/>
        <n v="471.53"/>
        <n v="15.54"/>
        <n v="2.38"/>
        <n v="1521.26"/>
        <n v="1007.4"/>
        <n v="2010.56"/>
        <n v="501.01"/>
        <n v="255.9"/>
        <n v="1507.4"/>
        <n v="851.07"/>
        <n v="287.99"/>
        <n v="531.69"/>
        <n v="404.6"/>
        <n v="0.15"/>
        <n v="126.27"/>
        <n v="1619.13"/>
        <n v="9.33"/>
        <n v="308.16"/>
        <n v="305.83"/>
        <n v="492.83"/>
        <n v="61.42"/>
        <n v="323.06"/>
        <n v="478.87"/>
        <n v="11.76"/>
        <n v="971.66"/>
        <n v="307.07"/>
        <n v="108.63"/>
        <n v="320.01"/>
        <n v="205.14"/>
        <n v="190.93"/>
        <n v="1015.8"/>
        <n v="303.91"/>
        <n v="10.55"/>
        <n v="1643.98"/>
        <n v="508.16"/>
        <n v="108"/>
        <n v="325.83"/>
        <n v="202.72"/>
        <n v="7.41"/>
        <n v="4.8"/>
        <n v="190.29"/>
        <n v="313.25"/>
        <n v="1297.69"/>
        <n v="6.59"/>
        <n v="83.46"/>
        <n v="468.29"/>
        <n v="35.89"/>
        <n v="504.13"/>
        <n v="17.84"/>
        <n v="302.58"/>
        <n v="33.53"/>
        <n v="313.97"/>
        <n v="491.75"/>
        <n v="107.56"/>
        <n v="406.84"/>
        <n v="135.38"/>
        <n v="51.81"/>
        <n v="105.02"/>
        <n v="311.13"/>
        <n v="502.21"/>
        <n v="303.39"/>
        <n v="203.01"/>
        <n v="1480.36"/>
        <n v="1455.94"/>
        <n v="2020.89"/>
        <n v="14.36"/>
        <n v="119.04"/>
        <n v="2072.94"/>
        <n v="489.09"/>
        <n v="124.4"/>
        <n v="6.12"/>
        <n v="141.22"/>
        <n v="127.72"/>
        <n v="0.41"/>
        <n v="225.14"/>
        <n v="0.76"/>
        <n v="250.61"/>
        <n v="9.68"/>
        <n v="73.41"/>
        <n v="17.57"/>
        <n v="810.87"/>
        <n v="202.04"/>
        <n v="504.92"/>
        <n v="4.38"/>
        <n v="436.94"/>
        <n v="1806.37"/>
        <n v="362.99"/>
        <n v="75"/>
        <n v="353.47"/>
        <n v="105.29"/>
        <n v="430.07"/>
        <n v="0.47"/>
        <n v="303.55"/>
        <n v="309.38"/>
        <n v="302.64"/>
        <n v="1008.02"/>
        <n v="302.62"/>
        <n v="1510.86"/>
        <n v="213.23"/>
        <n v="1008.97"/>
        <n v="279.78"/>
        <n v="54.67"/>
        <n v="406.83"/>
        <n v="0.57"/>
        <n v="90.35"/>
        <n v="304.74"/>
        <n v="0.88"/>
        <n v="508.49"/>
        <n v="1017.25"/>
        <n v="0.86"/>
        <n v="1466.85"/>
        <n v="0.26"/>
        <n v="2"/>
        <n v="1009.12"/>
        <n v="100.84"/>
        <n v="101.38"/>
        <n v="395.47"/>
        <n v="235.79"/>
        <n v="479.93"/>
        <n v="311.46"/>
        <n v="0.4"/>
        <n v="13.45"/>
        <n v="3.06"/>
        <n v="6.63"/>
        <n v="1.6"/>
        <n v="1066.42"/>
        <n v="944.24"/>
        <n v="0.61"/>
        <n v="0.53"/>
        <n v="2031.4"/>
        <n v="2013.83"/>
        <n v="1021.06"/>
        <n v="517.58"/>
        <n v="97.39"/>
        <n v="203.72"/>
        <n v="1.77"/>
        <n v="520.2"/>
        <n v="1124.36"/>
        <n v="388.58"/>
        <n v="505.97"/>
        <n v="424.9"/>
        <n v="1012.78"/>
        <n v="2032.48"/>
        <n v="101.13"/>
        <n v="303.15"/>
        <n v="1429.44"/>
        <n v="118.17"/>
        <n v="195.62"/>
        <n v="126.07"/>
        <n v="28.44"/>
        <n v="512.23"/>
        <n v="333.84"/>
        <n v="522.18"/>
        <n v="973.58"/>
        <n v="3051.56"/>
        <n v="137.25"/>
        <n v="89.06"/>
        <n v="165.13"/>
        <n v="1015.34"/>
        <n v="524.89"/>
        <n v="239.12"/>
        <n v="38.99"/>
        <n v="488.69"/>
        <n v="1004.83"/>
        <n v="2840.13"/>
        <n v="2.09"/>
        <n v="303.03"/>
        <n v="509.85"/>
        <n v="204.03"/>
        <n v="1516.14"/>
        <n v="516.42"/>
        <n v="505.53"/>
        <n v="325.27"/>
        <n v="507.85"/>
        <n v="339.39"/>
        <n v="1012.72"/>
        <n v="3996.82"/>
        <n v="56.78"/>
        <n v="813.63"/>
        <n v="345.69"/>
        <n v="2417.47"/>
        <n v="1029.35"/>
        <n v="5.12"/>
        <n v="2031.23"/>
        <n v="523.47"/>
        <n v="311.58"/>
        <n v="2.05"/>
        <n v="8.27"/>
        <n v="13.58"/>
        <n v="0.21"/>
        <n v="19067.98"/>
        <n v="9206.39"/>
        <n v="6649.95"/>
        <n v="5663.27"/>
        <n v="5611.22"/>
        <n v="5166.56"/>
        <n v="4390.27"/>
        <n v="2849.49"/>
        <n v="1887.46"/>
        <n v="1655.14"/>
        <n v="734.27"/>
        <n v="690.66"/>
        <n v="449.56"/>
        <n v="436.86"/>
        <n v="413.88"/>
        <n v="199.55"/>
        <n v="505.57"/>
        <n v="506.89"/>
        <n v="0.65"/>
        <n v="1311.03"/>
        <n v="505.48"/>
        <n v="1.8"/>
        <n v="502.96"/>
        <n v="508.35"/>
        <n v="1.85"/>
        <n v="984.27"/>
        <n v="505.02"/>
        <n v="515.7"/>
        <n v="477.03"/>
        <n v="507.76"/>
        <n v="1240.59"/>
        <n v="1017.2"/>
        <n v="548.09"/>
        <n v="506.61"/>
        <n v="294.63"/>
        <n v="400.22"/>
        <n v="498.62"/>
        <n v="0.44"/>
        <n v="491.06"/>
        <n v="1011.12"/>
        <n v="1081.1"/>
        <n v="1481.56"/>
        <n v="5.78"/>
        <n v="9.18"/>
        <n v="508.02"/>
        <n v="403.88"/>
        <n v="598.01"/>
        <n v="827.71"/>
        <n v="547.8"/>
        <n v="494.92"/>
        <n v="508.79"/>
        <n v="220.23"/>
        <n v="0.68"/>
        <n v="504.93"/>
        <n v="505.79"/>
        <n v="253.92"/>
        <n v="979.88"/>
        <n v="787.79"/>
        <n v="526.32"/>
        <n v="3.11"/>
        <n v="204.11"/>
        <n v="307.55"/>
        <n v="0.13"/>
        <n v="290.47"/>
        <n v="3.12"/>
        <n v="863.66"/>
        <n v="1010.73"/>
        <n v="316.93"/>
        <n v="203.12"/>
        <n v="4.53"/>
        <n v="303.48"/>
        <n v="1506.84"/>
        <n v="1008.62"/>
        <n v="306.27"/>
        <n v="508.71"/>
        <n v="0.37"/>
        <n v="1489.96"/>
        <n v="1217.46"/>
        <n v="324.24"/>
        <n v="685.94"/>
        <n v="373.62"/>
        <n v="962.63"/>
        <n v="667.78"/>
        <n v="362.25"/>
        <n v="0.5"/>
        <n v="506.5"/>
        <m/>
      </sharedItems>
    </cacheField>
    <cacheField name="展现量" numFmtId="0">
      <sharedItems containsString="0" containsBlank="1" containsNumber="1" containsInteger="1" minValue="0" maxValue="1707999" count="930">
        <n v="56536"/>
        <n v="13237"/>
        <n v="20416"/>
        <n v="12017"/>
        <n v="38207"/>
        <n v="35118"/>
        <n v="69824"/>
        <n v="11731"/>
        <n v="12390"/>
        <n v="14319"/>
        <n v="22799"/>
        <n v="49719"/>
        <n v="49012"/>
        <n v="9110"/>
        <n v="7872"/>
        <n v="1103"/>
        <n v="28089"/>
        <n v="34344"/>
        <n v="10872"/>
        <n v="4108"/>
        <n v="469"/>
        <n v="25905"/>
        <n v="25538"/>
        <n v="6178"/>
        <n v="1360"/>
        <n v="198"/>
        <n v="6341"/>
        <n v="40542"/>
        <n v="328"/>
        <n v="2307"/>
        <n v="4"/>
        <n v="2914"/>
        <n v="22155"/>
        <n v="828"/>
        <n v="577"/>
        <n v="29213"/>
        <n v="43386"/>
        <n v="1641"/>
        <n v="2744"/>
        <n v="91"/>
        <n v="8"/>
        <n v="868"/>
        <n v="32321"/>
        <n v="110046"/>
        <n v="28676"/>
        <n v="45357"/>
        <n v="10718"/>
        <n v="14283"/>
        <n v="11802"/>
        <n v="32382"/>
        <n v="105531"/>
        <n v="33828"/>
        <n v="56289"/>
        <n v="7633"/>
        <n v="13063"/>
        <n v="0"/>
        <n v="13294"/>
        <n v="23788"/>
        <n v="88856"/>
        <n v="41360"/>
        <n v="34061"/>
        <n v="10128"/>
        <n v="4007"/>
        <n v="32"/>
        <n v="44553"/>
        <n v="52558"/>
        <n v="1314"/>
        <n v="14397"/>
        <n v="21229"/>
        <n v="36399"/>
        <n v="1758"/>
        <n v="6272"/>
        <n v="20565"/>
        <n v="185341"/>
        <n v="147665"/>
        <n v="44"/>
        <n v="12815"/>
        <n v="10"/>
        <n v="97"/>
        <n v="1"/>
        <n v="10185"/>
        <n v="23279"/>
        <n v="127547"/>
        <n v="14137"/>
        <n v="9696"/>
        <n v="1534"/>
        <n v="14497"/>
        <n v="32318"/>
        <n v="25447"/>
        <n v="255271"/>
        <n v="214093"/>
        <n v="765"/>
        <n v="76651"/>
        <n v="31"/>
        <n v="403"/>
        <n v="15697"/>
        <n v="79"/>
        <n v="9"/>
        <n v="91270"/>
        <n v="15178"/>
        <n v="22514"/>
        <n v="3214"/>
        <n v="2848"/>
        <n v="867"/>
        <n v="85353"/>
        <n v="74754"/>
        <n v="325865"/>
        <n v="45875"/>
        <n v="4782"/>
        <n v="1846"/>
        <n v="237365"/>
        <n v="31919"/>
        <n v="33339"/>
        <n v="29745"/>
        <n v="52708"/>
        <n v="26991"/>
        <n v="315487"/>
        <n v="354"/>
        <n v="564779"/>
        <n v="51717"/>
        <n v="13749"/>
        <n v="136206"/>
        <n v="15277"/>
        <n v="87"/>
        <n v="103759"/>
        <n v="30860"/>
        <n v="28663"/>
        <n v="604683"/>
        <n v="1354"/>
        <n v="52146"/>
        <n v="5672"/>
        <n v="26672"/>
        <n v="653853"/>
        <n v="54231"/>
        <n v="5626"/>
        <n v="458003"/>
        <n v="73985"/>
        <n v="167940"/>
        <n v="248747"/>
        <n v="81956"/>
        <n v="1657"/>
        <n v="28"/>
        <n v="170"/>
        <n v="227"/>
        <n v="69565"/>
        <n v="66637"/>
        <n v="55833"/>
        <n v="21041"/>
        <n v="79313"/>
        <n v="18496"/>
        <n v="197360"/>
        <n v="636"/>
        <n v="286"/>
        <n v="61606"/>
        <n v="294"/>
        <n v="48047"/>
        <n v="17"/>
        <n v="191662"/>
        <n v="197692"/>
        <n v="82112"/>
        <n v="171451"/>
        <n v="67929"/>
        <n v="102709"/>
        <n v="91441"/>
        <n v="207967"/>
        <n v="104927"/>
        <n v="241633"/>
        <n v="247755"/>
        <n v="105951"/>
        <n v="220"/>
        <n v="48643"/>
        <n v="3492"/>
        <n v="48068"/>
        <n v="122694"/>
        <n v="85243"/>
        <n v="102452"/>
        <n v="2200"/>
        <n v="70204"/>
        <n v="44182"/>
        <n v="19"/>
        <n v="55028"/>
        <n v="84932"/>
        <n v="81656"/>
        <n v="1345"/>
        <n v="22704"/>
        <n v="5088"/>
        <n v="27"/>
        <n v="112516"/>
        <n v="123761"/>
        <n v="43399"/>
        <n v="225"/>
        <n v="128468"/>
        <n v="125522"/>
        <n v="66015"/>
        <n v="46561"/>
        <n v="80283"/>
        <n v="98444"/>
        <n v="24441"/>
        <n v="2157"/>
        <n v="85769"/>
        <n v="6832"/>
        <n v="120865"/>
        <n v="161834"/>
        <n v="40915"/>
        <n v="5318"/>
        <n v="152555"/>
        <n v="54918"/>
        <n v="35262"/>
        <n v="64692"/>
        <n v="19402"/>
        <n v="41858"/>
        <n v="13092"/>
        <n v="162799"/>
        <n v="107864"/>
        <n v="43"/>
        <n v="62984"/>
        <n v="103818"/>
        <n v="47275"/>
        <n v="117"/>
        <n v="39144"/>
        <n v="28219"/>
        <n v="5083"/>
        <n v="87734"/>
        <n v="23397"/>
        <n v="31504"/>
        <n v="22516"/>
        <n v="21"/>
        <n v="13998"/>
        <n v="86475"/>
        <n v="137956"/>
        <n v="91610"/>
        <n v="41097"/>
        <n v="26578"/>
        <n v="23868"/>
        <n v="36"/>
        <n v="18934"/>
        <n v="33600"/>
        <n v="2"/>
        <n v="22494"/>
        <n v="22949"/>
        <n v="71681"/>
        <n v="60090"/>
        <n v="58161"/>
        <n v="89634"/>
        <n v="10753"/>
        <n v="49771"/>
        <n v="2003"/>
        <n v="121866"/>
        <n v="120204"/>
        <n v="28795"/>
        <n v="8136"/>
        <n v="27078"/>
        <n v="11125"/>
        <n v="21187"/>
        <n v="35388"/>
        <n v="80807"/>
        <n v="38034"/>
        <n v="82"/>
        <n v="51836"/>
        <n v="37346"/>
        <n v="86093"/>
        <n v="68416"/>
        <n v="18237"/>
        <n v="337"/>
        <n v="508"/>
        <n v="1251"/>
        <n v="22848"/>
        <n v="11458"/>
        <n v="52193"/>
        <n v="23869"/>
        <n v="22301"/>
        <n v="677"/>
        <n v="254"/>
        <n v="539"/>
        <n v="68"/>
        <n v="200"/>
        <n v="106"/>
        <n v="14659"/>
        <n v="56586"/>
        <n v="113325"/>
        <n v="23668"/>
        <n v="38023"/>
        <n v="17065"/>
        <n v="30563"/>
        <n v="20341"/>
        <n v="110082"/>
        <n v="40485"/>
        <n v="76896"/>
        <n v="14616"/>
        <n v="87951"/>
        <n v="157911"/>
        <n v="248554"/>
        <n v="19617"/>
        <n v="9340"/>
        <n v="23977"/>
        <n v="35160"/>
        <n v="31037"/>
        <n v="51316"/>
        <n v="83947"/>
        <n v="24991"/>
        <n v="993"/>
        <n v="1813"/>
        <n v="4244"/>
        <n v="123"/>
        <n v="57"/>
        <n v="317"/>
        <n v="658"/>
        <n v="692"/>
        <n v="1599"/>
        <n v="71"/>
        <n v="30335"/>
        <n v="84291"/>
        <n v="4470"/>
        <n v="12232"/>
        <n v="15000"/>
        <n v="3378"/>
        <n v="61625"/>
        <n v="215"/>
        <n v="57020"/>
        <n v="913"/>
        <n v="82593"/>
        <n v="281"/>
        <n v="8685"/>
        <n v="38119"/>
        <n v="10014"/>
        <n v="54574"/>
        <n v="37896"/>
        <n v="6754"/>
        <n v="66364"/>
        <n v="92936"/>
        <n v="15980"/>
        <n v="21125"/>
        <n v="47774"/>
        <n v="3"/>
        <n v="526"/>
        <n v="15733"/>
        <n v="12016"/>
        <n v="35"/>
        <n v="579"/>
        <n v="816"/>
        <n v="14223"/>
        <n v="591"/>
        <n v="322"/>
        <n v="1117"/>
        <n v="211"/>
        <n v="1911"/>
        <n v="21842"/>
        <n v="21941"/>
        <n v="3047"/>
        <n v="15044"/>
        <n v="2383"/>
        <n v="4320"/>
        <n v="6396"/>
        <n v="622"/>
        <n v="13594"/>
        <n v="1177"/>
        <n v="5519"/>
        <n v="3253"/>
        <n v="36031"/>
        <n v="47494"/>
        <n v="108888"/>
        <n v="33949"/>
        <n v="113907"/>
        <n v="99750"/>
        <n v="38026"/>
        <n v="62452"/>
        <n v="91049"/>
        <n v="59700"/>
        <n v="71038"/>
        <n v="77297"/>
        <n v="57106"/>
        <n v="103125"/>
        <n v="72295"/>
        <n v="52741"/>
        <n v="126911"/>
        <n v="1396"/>
        <n v="37111"/>
        <n v="304"/>
        <n v="2040"/>
        <n v="62077"/>
        <n v="48426"/>
        <n v="76349"/>
        <n v="71750"/>
        <n v="954"/>
        <n v="1712"/>
        <n v="58082"/>
        <n v="18879"/>
        <n v="60636"/>
        <n v="1231"/>
        <n v="33798"/>
        <n v="41150"/>
        <n v="21739"/>
        <n v="968"/>
        <n v="47753"/>
        <n v="62490"/>
        <n v="19026"/>
        <n v="39050"/>
        <n v="1074"/>
        <n v="255"/>
        <n v="43442"/>
        <n v="41651"/>
        <n v="56784"/>
        <n v="1143"/>
        <n v="48698"/>
        <n v="56879"/>
        <n v="94143"/>
        <n v="31537"/>
        <n v="53670"/>
        <n v="12437"/>
        <n v="66635"/>
        <n v="33015"/>
        <n v="117893"/>
        <n v="271"/>
        <n v="305"/>
        <n v="32550"/>
        <n v="100599"/>
        <n v="69338"/>
        <n v="27922"/>
        <n v="94032"/>
        <n v="46500"/>
        <n v="43067"/>
        <n v="1603"/>
        <n v="65782"/>
        <n v="28309"/>
        <n v="156465"/>
        <n v="55084"/>
        <n v="47578"/>
        <n v="681"/>
        <n v="273125"/>
        <n v="1568"/>
        <n v="158"/>
        <n v="1773"/>
        <n v="35962"/>
        <n v="67223"/>
        <n v="50846"/>
        <n v="130458"/>
        <n v="18363"/>
        <n v="35718"/>
        <n v="110"/>
        <n v="4881"/>
        <n v="47331"/>
        <n v="110601"/>
        <n v="206"/>
        <n v="5120"/>
        <n v="46477"/>
        <n v="44797"/>
        <n v="23290"/>
        <n v="885"/>
        <n v="157"/>
        <n v="6277"/>
        <n v="31643"/>
        <n v="29992"/>
        <n v="46271"/>
        <n v="140024"/>
        <n v="11697"/>
        <n v="20911"/>
        <n v="32816"/>
        <n v="23828"/>
        <n v="12708"/>
        <n v="380"/>
        <n v="510"/>
        <n v="81"/>
        <n v="45337"/>
        <n v="7433"/>
        <n v="89082"/>
        <n v="60146"/>
        <n v="18019"/>
        <n v="74"/>
        <n v="17916"/>
        <n v="44620"/>
        <n v="672"/>
        <n v="17282"/>
        <n v="36727"/>
        <n v="12"/>
        <n v="105395"/>
        <n v="44771"/>
        <n v="72948"/>
        <n v="39077"/>
        <n v="13263"/>
        <n v="57633"/>
        <n v="38410"/>
        <n v="20418"/>
        <n v="38191"/>
        <n v="82661"/>
        <n v="5"/>
        <n v="61722"/>
        <n v="63"/>
        <n v="38095"/>
        <n v="37929"/>
        <n v="32776"/>
        <n v="79339"/>
        <n v="83200"/>
        <n v="149"/>
        <n v="60804"/>
        <n v="33860"/>
        <n v="44920"/>
        <n v="84098"/>
        <n v="62600"/>
        <n v="19260"/>
        <n v="64229"/>
        <n v="48305"/>
        <n v="1247"/>
        <n v="20115"/>
        <n v="49068"/>
        <n v="44885"/>
        <n v="45683"/>
        <n v="13096"/>
        <n v="80530"/>
        <n v="77627"/>
        <n v="19970"/>
        <n v="46981"/>
        <n v="51725"/>
        <n v="38903"/>
        <n v="54"/>
        <n v="31275"/>
        <n v="11"/>
        <n v="134"/>
        <n v="67826"/>
        <n v="39373"/>
        <n v="559"/>
        <n v="20634"/>
        <n v="34341"/>
        <n v="928"/>
        <n v="419"/>
        <n v="483"/>
        <n v="938"/>
        <n v="105162"/>
        <n v="115"/>
        <n v="36994"/>
        <n v="124983"/>
        <n v="18383"/>
        <n v="24310"/>
        <n v="2723"/>
        <n v="40768"/>
        <n v="78470"/>
        <n v="30947"/>
        <n v="84514"/>
        <n v="182928"/>
        <n v="76857"/>
        <n v="67490"/>
        <n v="1165"/>
        <n v="57812"/>
        <n v="18590"/>
        <n v="3636"/>
        <n v="76572"/>
        <n v="58966"/>
        <n v="20199"/>
        <n v="12853"/>
        <n v="33805"/>
        <n v="66229"/>
        <n v="25833"/>
        <n v="11784"/>
        <n v="12743"/>
        <n v="84469"/>
        <n v="194"/>
        <n v="527"/>
        <n v="18194"/>
        <n v="31555"/>
        <n v="78"/>
        <n v="13126"/>
        <n v="10588"/>
        <n v="20843"/>
        <n v="68304"/>
        <n v="5593"/>
        <n v="3903"/>
        <n v="26795"/>
        <n v="24241"/>
        <n v="23823"/>
        <n v="67553"/>
        <n v="58744"/>
        <n v="42675"/>
        <n v="55"/>
        <n v="65626"/>
        <n v="43996"/>
        <n v="32084"/>
        <n v="45299"/>
        <n v="62523"/>
        <n v="19297"/>
        <n v="32688"/>
        <n v="1093"/>
        <n v="16506"/>
        <n v="26219"/>
        <n v="231"/>
        <n v="14730"/>
        <n v="13464"/>
        <n v="29641"/>
        <n v="113474"/>
        <n v="7087"/>
        <n v="30647"/>
        <n v="246"/>
        <n v="2120"/>
        <n v="177"/>
        <n v="14"/>
        <n v="39179"/>
        <n v="262"/>
        <n v="1519"/>
        <n v="35506"/>
        <n v="33141"/>
        <n v="37154"/>
        <n v="33243"/>
        <n v="37404"/>
        <n v="26941"/>
        <n v="36888"/>
        <n v="30234"/>
        <n v="36934"/>
        <n v="26124"/>
        <n v="37755"/>
        <n v="27176"/>
        <n v="39799"/>
        <n v="32791"/>
        <n v="35874"/>
        <n v="8771"/>
        <n v="9788"/>
        <n v="178"/>
        <n v="21182"/>
        <n v="32418"/>
        <n v="8371"/>
        <n v="26646"/>
        <n v="2972"/>
        <n v="30080"/>
        <n v="50579"/>
        <n v="1377"/>
        <n v="101010"/>
        <n v="241"/>
        <n v="136080"/>
        <n v="71695"/>
        <n v="163655"/>
        <n v="40128"/>
        <n v="55578"/>
        <n v="200824"/>
        <n v="2922"/>
        <n v="15247"/>
        <n v="14991"/>
        <n v="1644"/>
        <n v="23591"/>
        <n v="2556"/>
        <n v="153"/>
        <n v="5307"/>
        <n v="49277"/>
        <n v="4279"/>
        <n v="63007"/>
        <n v="24569"/>
        <n v="6706"/>
        <n v="10002"/>
        <n v="29650"/>
        <n v="27124"/>
        <n v="63067"/>
        <n v="35526"/>
        <n v="14209"/>
        <n v="28439"/>
        <n v="27829"/>
        <n v="58592"/>
        <n v="12284"/>
        <n v="478"/>
        <n v="31502"/>
        <n v="212"/>
        <n v="24137"/>
        <n v="26438"/>
        <n v="739"/>
        <n v="17195"/>
        <n v="279"/>
        <n v="137721"/>
        <n v="35073"/>
        <n v="28438"/>
        <n v="161513"/>
        <n v="33801"/>
        <n v="18373"/>
        <n v="111529"/>
        <n v="71451"/>
        <n v="5846"/>
        <n v="11976"/>
        <n v="64212"/>
        <n v="39"/>
        <n v="3614"/>
        <n v="266"/>
        <n v="94150"/>
        <n v="960"/>
        <n v="9742"/>
        <n v="4397"/>
        <n v="49345"/>
        <n v="4906"/>
        <n v="16954"/>
        <n v="34464"/>
        <n v="2822"/>
        <n v="57717"/>
        <n v="24"/>
        <n v="37379"/>
        <n v="9158"/>
        <n v="15052"/>
        <n v="16382"/>
        <n v="11403"/>
        <n v="80157"/>
        <n v="6759"/>
        <n v="718"/>
        <n v="116021"/>
        <n v="54101"/>
        <n v="9736"/>
        <n v="14322"/>
        <n v="20433"/>
        <n v="283"/>
        <n v="467"/>
        <n v="4143"/>
        <n v="3818"/>
        <n v="98851"/>
        <n v="100"/>
        <n v="827"/>
        <n v="1458"/>
        <n v="25898"/>
        <n v="800"/>
        <n v="4645"/>
        <n v="32475"/>
        <n v="12628"/>
        <n v="31797"/>
        <n v="2444"/>
        <n v="3686"/>
        <n v="6600"/>
        <n v="8227"/>
        <n v="6"/>
        <n v="8965"/>
        <n v="25537"/>
        <n v="31962"/>
        <n v="5028"/>
        <n v="5550"/>
        <n v="63034"/>
        <n v="78937"/>
        <n v="84329"/>
        <n v="32640"/>
        <n v="998"/>
        <n v="2677"/>
        <n v="108516"/>
        <n v="6905"/>
        <n v="6559"/>
        <n v="259"/>
        <n v="5453"/>
        <n v="5428"/>
        <n v="6090"/>
        <n v="9141"/>
        <n v="588"/>
        <n v="7110"/>
        <n v="2835"/>
        <n v="45096"/>
        <n v="14742"/>
        <n v="34090"/>
        <n v="85"/>
        <n v="16912"/>
        <n v="102093"/>
        <n v="5966"/>
        <n v="5800"/>
        <n v="18997"/>
        <n v="6218"/>
        <n v="12245"/>
        <n v="28220"/>
        <n v="11858"/>
        <n v="16028"/>
        <n v="64845"/>
        <n v="31790"/>
        <n v="101058"/>
        <n v="4448"/>
        <n v="90767"/>
        <n v="4028"/>
        <n v="3309"/>
        <n v="18120"/>
        <n v="42"/>
        <n v="3442"/>
        <n v="16238"/>
        <n v="60"/>
        <n v="19338"/>
        <n v="77263"/>
        <n v="87805"/>
        <n v="48"/>
        <n v="74474"/>
        <n v="1525"/>
        <n v="5118"/>
        <n v="19077"/>
        <n v="5868"/>
        <n v="29076"/>
        <n v="26786"/>
        <n v="858"/>
        <n v="344"/>
        <n v="174"/>
        <n v="23"/>
        <n v="41965"/>
        <n v="41356"/>
        <n v="118290"/>
        <n v="117265"/>
        <n v="76996"/>
        <n v="20934"/>
        <n v="1636"/>
        <n v="4969"/>
        <n v="277"/>
        <n v="31853"/>
        <n v="35719"/>
        <n v="27815"/>
        <n v="59421"/>
        <n v="35945"/>
        <n v="38717"/>
        <n v="78765"/>
        <n v="152836"/>
        <n v="1907"/>
        <n v="8148"/>
        <n v="67867"/>
        <n v="11015"/>
        <n v="30338"/>
        <n v="12533"/>
        <n v="1708"/>
        <n v="54588"/>
        <n v="39359"/>
        <n v="28881"/>
        <n v="65394"/>
        <n v="159826"/>
        <n v="3860"/>
        <n v="1513"/>
        <n v="3002"/>
        <n v="64525"/>
        <n v="23827"/>
        <n v="13553"/>
        <n v="14771"/>
        <n v="1493"/>
        <n v="5346"/>
        <n v="52446"/>
        <n v="129460"/>
        <n v="5602"/>
        <n v="1485"/>
        <n v="6221"/>
        <n v="3810"/>
        <n v="127057"/>
        <n v="22854"/>
        <n v="20000"/>
        <n v="14718"/>
        <n v="62864"/>
        <n v="2878"/>
        <n v="53638"/>
        <n v="146478"/>
        <n v="932"/>
        <n v="7162"/>
        <n v="3371"/>
        <n v="173369"/>
        <n v="41838"/>
        <n v="166"/>
        <n v="76858"/>
        <n v="30346"/>
        <n v="5050"/>
        <n v="59"/>
        <n v="348"/>
        <n v="41"/>
        <n v="984"/>
        <n v="1707999"/>
        <n v="97285"/>
        <n v="90995"/>
        <n v="72812"/>
        <n v="233298"/>
        <n v="569696"/>
        <n v="655981"/>
        <n v="76007"/>
        <n v="390831"/>
        <n v="170979"/>
        <n v="10328"/>
        <n v="89568"/>
        <n v="205901"/>
        <n v="34334"/>
        <n v="32590"/>
        <n v="20710"/>
        <n v="29805"/>
        <n v="52077"/>
        <n v="51"/>
        <n v="145972"/>
        <n v="40012"/>
        <n v="51875"/>
        <n v="52036"/>
        <n v="69445"/>
        <n v="319"/>
        <n v="63543"/>
        <n v="64069"/>
        <n v="31791"/>
        <n v="39545"/>
        <n v="46454"/>
        <n v="97786"/>
        <n v="121159"/>
        <n v="71689"/>
        <n v="45566"/>
        <n v="16358"/>
        <n v="22613"/>
        <n v="33647"/>
        <n v="20"/>
        <n v="49070"/>
        <n v="105238"/>
        <n v="127559"/>
        <n v="117214"/>
        <n v="404"/>
        <n v="445"/>
        <n v="39547"/>
        <n v="24628"/>
        <n v="40349"/>
        <n v="82701"/>
        <n v="72971"/>
        <n v="54107"/>
        <n v="37525"/>
        <n v="7631"/>
        <n v="17070"/>
        <n v="48392"/>
        <n v="13942"/>
        <n v="64843"/>
        <n v="67544"/>
        <n v="73519"/>
        <n v="355"/>
        <n v="34"/>
        <n v="4077"/>
        <n v="10062"/>
        <n v="45"/>
        <n v="17733"/>
        <n v="46985"/>
        <n v="73280"/>
        <n v="42095"/>
        <n v="3633"/>
        <n v="165"/>
        <n v="12836"/>
        <n v="75988"/>
        <n v="85983"/>
        <n v="43646"/>
        <n v="8309"/>
        <n v="86259"/>
        <n v="116806"/>
        <n v="45212"/>
        <n v="46462"/>
        <n v="7567"/>
        <n v="49519"/>
        <n v="37184"/>
        <n v="5350"/>
        <n v="19164"/>
        <m/>
      </sharedItems>
    </cacheField>
    <cacheField name="点击量" numFmtId="0">
      <sharedItems containsString="0" containsBlank="1" containsNumber="1" containsInteger="1" minValue="0" maxValue="133384" count="775">
        <n v="4162"/>
        <n v="1336"/>
        <n v="557"/>
        <n v="788"/>
        <n v="1519"/>
        <n v="2489"/>
        <n v="6732"/>
        <n v="1418"/>
        <n v="397"/>
        <n v="884"/>
        <n v="971"/>
        <n v="4014"/>
        <n v="4515"/>
        <n v="1008"/>
        <n v="490"/>
        <n v="83"/>
        <n v="2490"/>
        <n v="3433"/>
        <n v="1181"/>
        <n v="272"/>
        <n v="33"/>
        <n v="2347"/>
        <n v="2419"/>
        <n v="722"/>
        <n v="11"/>
        <n v="592"/>
        <n v="3929"/>
        <n v="10"/>
        <n v="141"/>
        <n v="0"/>
        <n v="226"/>
        <n v="2620"/>
        <n v="98"/>
        <n v="2202"/>
        <n v="3942"/>
        <n v="102"/>
        <n v="204"/>
        <n v="9"/>
        <n v="21"/>
        <n v="2133"/>
        <n v="7772"/>
        <n v="3868"/>
        <n v="5064"/>
        <n v="984"/>
        <n v="1160"/>
        <n v="277"/>
        <n v="2398"/>
        <n v="7329"/>
        <n v="4289"/>
        <n v="6315"/>
        <n v="785"/>
        <n v="1003"/>
        <n v="348"/>
        <n v="2299"/>
        <n v="6325"/>
        <n v="4696"/>
        <n v="3582"/>
        <n v="942"/>
        <n v="320"/>
        <n v="3112"/>
        <n v="5903"/>
        <n v="85"/>
        <n v="354"/>
        <n v="5910"/>
        <n v="1781"/>
        <n v="270"/>
        <n v="483"/>
        <n v="1674"/>
        <n v="10984"/>
        <n v="14816"/>
        <n v="4"/>
        <n v="244"/>
        <n v="1"/>
        <n v="3"/>
        <n v="615"/>
        <n v="2278"/>
        <n v="17778"/>
        <n v="689"/>
        <n v="423"/>
        <n v="96"/>
        <n v="713"/>
        <n v="7288"/>
        <n v="2215"/>
        <n v="14074"/>
        <n v="19836"/>
        <n v="23"/>
        <n v="3768"/>
        <n v="41"/>
        <n v="797"/>
        <n v="17437"/>
        <n v="946"/>
        <n v="1934"/>
        <n v="265"/>
        <n v="386"/>
        <n v="13"/>
        <n v="4854"/>
        <n v="3853"/>
        <n v="59882"/>
        <n v="2949"/>
        <n v="454"/>
        <n v="150"/>
        <n v="13680"/>
        <n v="3418"/>
        <n v="1835"/>
        <n v="3283"/>
        <n v="6362"/>
        <n v="1944"/>
        <n v="14880"/>
        <n v="105286"/>
        <n v="3199"/>
        <n v="503"/>
        <n v="9966"/>
        <n v="2090"/>
        <n v="2"/>
        <n v="9098"/>
        <n v="3293"/>
        <n v="2053"/>
        <n v="25292"/>
        <n v="167"/>
        <n v="3270"/>
        <n v="546"/>
        <n v="2051"/>
        <n v="26178"/>
        <n v="3477"/>
        <n v="541"/>
        <n v="31470"/>
        <n v="8052"/>
        <n v="18650"/>
        <n v="27840"/>
        <n v="3822"/>
        <n v="142"/>
        <n v="12"/>
        <n v="15"/>
        <n v="4347"/>
        <n v="7354"/>
        <n v="4000"/>
        <n v="1439"/>
        <n v="6237"/>
        <n v="675"/>
        <n v="13351"/>
        <n v="52"/>
        <n v="5894"/>
        <n v="25"/>
        <n v="3338"/>
        <n v="12130"/>
        <n v="12669"/>
        <n v="3587"/>
        <n v="7542"/>
        <n v="3788"/>
        <n v="6408"/>
        <n v="11958"/>
        <n v="7070"/>
        <n v="8356"/>
        <n v="9020"/>
        <n v="5184"/>
        <n v="2291"/>
        <n v="221"/>
        <n v="3244"/>
        <n v="6904"/>
        <n v="6196"/>
        <n v="4096"/>
        <n v="132"/>
        <n v="3462"/>
        <n v="1957"/>
        <n v="3432"/>
        <n v="4685"/>
        <n v="5822"/>
        <n v="107"/>
        <n v="1580"/>
        <n v="399"/>
        <n v="6085"/>
        <n v="8259"/>
        <n v="3379"/>
        <n v="7243"/>
        <n v="8983"/>
        <n v="4946"/>
        <n v="3486"/>
        <n v="4255"/>
        <n v="7112"/>
        <n v="1796"/>
        <n v="190"/>
        <n v="6687"/>
        <n v="511"/>
        <n v="6235"/>
        <n v="10093"/>
        <n v="3054"/>
        <n v="371"/>
        <n v="10483"/>
        <n v="5926"/>
        <n v="3750"/>
        <n v="5068"/>
        <n v="621"/>
        <n v="3227"/>
        <n v="1442"/>
        <n v="7519"/>
        <n v="6070"/>
        <n v="4852"/>
        <n v="11107"/>
        <n v="4084"/>
        <n v="5"/>
        <n v="1526"/>
        <n v="2440"/>
        <n v="394"/>
        <n v="4627"/>
        <n v="1341"/>
        <n v="1564"/>
        <n v="1465"/>
        <n v="4324"/>
        <n v="7932"/>
        <n v="6994"/>
        <n v="3517"/>
        <n v="1128"/>
        <n v="1092"/>
        <n v="1034"/>
        <n v="1484"/>
        <n v="1967"/>
        <n v="5377"/>
        <n v="3396"/>
        <n v="2542"/>
        <n v="2194"/>
        <n v="3355"/>
        <n v="1258"/>
        <n v="2403"/>
        <n v="178"/>
        <n v="9978"/>
        <n v="11588"/>
        <n v="1180"/>
        <n v="553"/>
        <n v="1440"/>
        <n v="521"/>
        <n v="1914"/>
        <n v="7210"/>
        <n v="3259"/>
        <n v="2021"/>
        <n v="2511"/>
        <n v="2235"/>
        <n v="3191"/>
        <n v="3827"/>
        <n v="1741"/>
        <n v="24"/>
        <n v="71"/>
        <n v="172"/>
        <n v="1072"/>
        <n v="812"/>
        <n v="3282"/>
        <n v="1147"/>
        <n v="1803"/>
        <n v="53"/>
        <n v="26"/>
        <n v="36"/>
        <n v="741"/>
        <n v="4036"/>
        <n v="11827"/>
        <n v="1193"/>
        <n v="1277"/>
        <n v="987"/>
        <n v="1449"/>
        <n v="1935"/>
        <n v="25483"/>
        <n v="3186"/>
        <n v="5284"/>
        <n v="1317"/>
        <n v="4925"/>
        <n v="14619"/>
        <n v="22108"/>
        <n v="961"/>
        <n v="683"/>
        <n v="1323"/>
        <n v="1477"/>
        <n v="2267"/>
        <n v="3922"/>
        <n v="5260"/>
        <n v="237"/>
        <n v="77"/>
        <n v="257"/>
        <n v="550"/>
        <n v="7"/>
        <n v="28"/>
        <n v="51"/>
        <n v="151"/>
        <n v="392"/>
        <n v="1206"/>
        <n v="123"/>
        <n v="554"/>
        <n v="659"/>
        <n v="2305"/>
        <n v="6"/>
        <n v="3961"/>
        <n v="56"/>
        <n v="7364"/>
        <n v="317"/>
        <n v="3521"/>
        <n v="357"/>
        <n v="3540"/>
        <n v="3554"/>
        <n v="194"/>
        <n v="3558"/>
        <n v="5189"/>
        <n v="1529"/>
        <n v="1497"/>
        <n v="2875"/>
        <n v="27"/>
        <n v="1126"/>
        <n v="925"/>
        <n v="37"/>
        <n v="545"/>
        <n v="20"/>
        <n v="76"/>
        <n v="8"/>
        <n v="93"/>
        <n v="1566"/>
        <n v="1726"/>
        <n v="159"/>
        <n v="670"/>
        <n v="70"/>
        <n v="117"/>
        <n v="286"/>
        <n v="628"/>
        <n v="121"/>
        <n v="255"/>
        <n v="328"/>
        <n v="1557"/>
        <n v="2379"/>
        <n v="4700"/>
        <n v="1753"/>
        <n v="7402"/>
        <n v="3142"/>
        <n v="1790"/>
        <n v="4313"/>
        <n v="2390"/>
        <n v="2968"/>
        <n v="4988"/>
        <n v="2666"/>
        <n v="6900"/>
        <n v="2381"/>
        <n v="2317"/>
        <n v="7533"/>
        <n v="3889"/>
        <n v="2611"/>
        <n v="4745"/>
        <n v="1248"/>
        <n v="4661"/>
        <n v="64"/>
        <n v="970"/>
        <n v="700"/>
        <n v="3508"/>
        <n v="996"/>
        <n v="2471"/>
        <n v="754"/>
        <n v="61"/>
        <n v="3030"/>
        <n v="2659"/>
        <n v="870"/>
        <n v="2522"/>
        <n v="81"/>
        <n v="18"/>
        <n v="1622"/>
        <n v="1677"/>
        <n v="3130"/>
        <n v="63"/>
        <n v="966"/>
        <n v="4646"/>
        <n v="1940"/>
        <n v="2642"/>
        <n v="3817"/>
        <n v="2110"/>
        <n v="5788"/>
        <n v="1979"/>
        <n v="4419"/>
        <n v="4006"/>
        <n v="1666"/>
        <n v="4172"/>
        <n v="2740"/>
        <n v="2391"/>
        <n v="89"/>
        <n v="3708"/>
        <n v="1802"/>
        <n v="6191"/>
        <n v="3661"/>
        <n v="2891"/>
        <n v="42"/>
        <n v="10080"/>
        <n v="130"/>
        <n v="80"/>
        <n v="2972"/>
        <n v="1261"/>
        <n v="2736"/>
        <n v="7123"/>
        <n v="674"/>
        <n v="1169"/>
        <n v="2431"/>
        <n v="7456"/>
        <n v="310"/>
        <n v="2340"/>
        <n v="1985"/>
        <n v="939"/>
        <n v="79"/>
        <n v="145"/>
        <n v="772"/>
        <n v="1158"/>
        <n v="3915"/>
        <n v="471"/>
        <n v="568"/>
        <n v="1091"/>
        <n v="1065"/>
        <n v="522"/>
        <n v="17"/>
        <n v="1175"/>
        <n v="410"/>
        <n v="3864"/>
        <n v="1541"/>
        <n v="746"/>
        <n v="456"/>
        <n v="3996"/>
        <n v="917"/>
        <n v="3377"/>
        <n v="2683"/>
        <n v="4248"/>
        <n v="1655"/>
        <n v="3425"/>
        <n v="438"/>
        <n v="1212"/>
        <n v="3887"/>
        <n v="1333"/>
        <n v="1063"/>
        <n v="7249"/>
        <n v="1899"/>
        <n v="1194"/>
        <n v="2606"/>
        <n v="1461"/>
        <n v="6664"/>
        <n v="2502"/>
        <n v="3021"/>
        <n v="1597"/>
        <n v="3491"/>
        <n v="2652"/>
        <n v="2913"/>
        <n v="1958"/>
        <n v="2731"/>
        <n v="3530"/>
        <n v="82"/>
        <n v="2180"/>
        <n v="2083"/>
        <n v="1243"/>
        <n v="3159"/>
        <n v="3323"/>
        <n v="2120"/>
        <n v="2303"/>
        <n v="1401"/>
        <n v="3006"/>
        <n v="1407"/>
        <n v="3013"/>
        <n v="1129"/>
        <n v="45"/>
        <n v="881"/>
        <n v="1609"/>
        <n v="44"/>
        <n v="59"/>
        <n v="5076"/>
        <n v="2074"/>
        <n v="3694"/>
        <n v="1027"/>
        <n v="1106"/>
        <n v="1654"/>
        <n v="1969"/>
        <n v="1315"/>
        <n v="2801"/>
        <n v="2855"/>
        <n v="3160"/>
        <n v="3144"/>
        <n v="2179"/>
        <n v="749"/>
        <n v="3740"/>
        <n v="2745"/>
        <n v="993"/>
        <n v="604"/>
        <n v="1634"/>
        <n v="3165"/>
        <n v="1131"/>
        <n v="2640"/>
        <n v="29"/>
        <n v="589"/>
        <n v="431"/>
        <n v="1029"/>
        <n v="4665"/>
        <n v="295"/>
        <n v="193"/>
        <n v="1583"/>
        <n v="1256"/>
        <n v="999"/>
        <n v="5770"/>
        <n v="3147"/>
        <n v="1933"/>
        <n v="4565"/>
        <n v="2102"/>
        <n v="911"/>
        <n v="4367"/>
        <n v="1087"/>
        <n v="1584"/>
        <n v="1157"/>
        <n v="2078"/>
        <n v="428"/>
        <n v="853"/>
        <n v="835"/>
        <n v="6339"/>
        <n v="463"/>
        <n v="1766"/>
        <n v="87"/>
        <n v="1686"/>
        <n v="114"/>
        <n v="1683"/>
        <n v="949"/>
        <n v="1724"/>
        <n v="928"/>
        <n v="1706"/>
        <n v="794"/>
        <n v="1687"/>
        <n v="819"/>
        <n v="1702"/>
        <n v="814"/>
        <n v="1691"/>
        <n v="787"/>
        <n v="1737"/>
        <n v="874"/>
        <n v="1602"/>
        <n v="412"/>
        <n v="441"/>
        <n v="1096"/>
        <n v="214"/>
        <n v="974"/>
        <n v="1278"/>
        <n v="2256"/>
        <n v="58"/>
        <n v="4605"/>
        <n v="5570"/>
        <n v="3479"/>
        <n v="7214"/>
        <n v="2655"/>
        <n v="6464"/>
        <n v="32"/>
        <n v="276"/>
        <n v="189"/>
        <n v="437"/>
        <n v="60"/>
        <n v="184"/>
        <n v="2132"/>
        <n v="2377"/>
        <n v="1013"/>
        <n v="319"/>
        <n v="838"/>
        <n v="1508"/>
        <n v="2456"/>
        <n v="2724"/>
        <n v="3069"/>
        <n v="740"/>
        <n v="2684"/>
        <n v="977"/>
        <n v="1393"/>
        <n v="2528"/>
        <n v="951"/>
        <n v="31"/>
        <n v="2791"/>
        <n v="3603"/>
        <n v="1295"/>
        <n v="38"/>
        <n v="14"/>
        <n v="7256"/>
        <n v="2695"/>
        <n v="3688"/>
        <n v="8319"/>
        <n v="2787"/>
        <n v="2400"/>
        <n v="4743"/>
        <n v="5018"/>
        <n v="651"/>
        <n v="3243"/>
        <n v="156"/>
        <n v="4345"/>
        <n v="681"/>
        <n v="362"/>
        <n v="2754"/>
        <n v="138"/>
        <n v="361"/>
        <n v="1983"/>
        <n v="3401"/>
        <n v="1961"/>
        <n v="232"/>
        <n v="358"/>
        <n v="1255"/>
        <n v="283"/>
        <n v="5342"/>
        <n v="710"/>
        <n v="9745"/>
        <n v="2778"/>
        <n v="239"/>
        <n v="1375"/>
        <n v="416"/>
        <n v="402"/>
        <n v="7780"/>
        <n v="109"/>
        <n v="1861"/>
        <n v="544"/>
        <n v="1793"/>
        <n v="73"/>
        <n v="359"/>
        <n v="2412"/>
        <n v="269"/>
        <n v="343"/>
        <n v="493"/>
        <n v="206"/>
        <n v="671"/>
        <n v="2323"/>
        <n v="678"/>
        <n v="2356"/>
        <n v="3221"/>
        <n v="4115"/>
        <n v="1489"/>
        <n v="162"/>
        <n v="5662"/>
        <n v="1042"/>
        <n v="349"/>
        <n v="561"/>
        <n v="596"/>
        <n v="380"/>
        <n v="55"/>
        <n v="2343"/>
        <n v="2057"/>
        <n v="1807"/>
        <n v="485"/>
        <n v="5890"/>
        <n v="780"/>
        <n v="890"/>
        <n v="300"/>
        <n v="2758"/>
        <n v="662"/>
        <n v="954"/>
        <n v="2952"/>
        <n v="3799"/>
        <n v="5796"/>
        <n v="248"/>
        <n v="5036"/>
        <n v="609"/>
        <n v="134"/>
        <n v="1009"/>
        <n v="1133"/>
        <n v="3122"/>
        <n v="4923"/>
        <n v="4486"/>
        <n v="223"/>
        <n v="979"/>
        <n v="505"/>
        <n v="1813"/>
        <n v="3089"/>
        <n v="66"/>
        <n v="2442"/>
        <n v="1912"/>
        <n v="7736"/>
        <n v="7850"/>
        <n v="3369"/>
        <n v="1144"/>
        <n v="213"/>
        <n v="297"/>
        <n v="1267"/>
        <n v="4584"/>
        <n v="822"/>
        <n v="1697"/>
        <n v="2118"/>
        <n v="2916"/>
        <n v="7731"/>
        <n v="450"/>
        <n v="8057"/>
        <n v="314"/>
        <n v="795"/>
        <n v="535"/>
        <n v="3696"/>
        <n v="3411"/>
        <n v="1263"/>
        <n v="2704"/>
        <n v="8205"/>
        <n v="153"/>
        <n v="185"/>
        <n v="3655"/>
        <n v="848"/>
        <n v="1716"/>
        <n v="49"/>
        <n v="691"/>
        <n v="2320"/>
        <n v="6827"/>
        <n v="339"/>
        <n v="712"/>
        <n v="6294"/>
        <n v="1130"/>
        <n v="2043"/>
        <n v="672"/>
        <n v="3001"/>
        <n v="378"/>
        <n v="2476"/>
        <n v="7200"/>
        <n v="113"/>
        <n v="347"/>
        <n v="8861"/>
        <n v="2067"/>
        <n v="5603"/>
        <n v="976"/>
        <n v="216"/>
        <n v="57"/>
        <n v="133384"/>
        <n v="9288"/>
        <n v="5253"/>
        <n v="6778"/>
        <n v="13625"/>
        <n v="51244"/>
        <n v="61433"/>
        <n v="4064"/>
        <n v="26648"/>
        <n v="8217"/>
        <n v="919"/>
        <n v="8487"/>
        <n v="26969"/>
        <n v="2597"/>
        <n v="2362"/>
        <n v="2641"/>
        <n v="3273"/>
        <n v="16112"/>
        <n v="5612"/>
        <n v="2313"/>
        <n v="5697"/>
        <n v="4058"/>
        <n v="4071"/>
        <n v="4517"/>
        <n v="1761"/>
        <n v="5900"/>
        <n v="4975"/>
        <n v="7380"/>
        <n v="6971"/>
        <n v="3756"/>
        <n v="1023"/>
        <n v="1748"/>
        <n v="2638"/>
        <n v="7058"/>
        <n v="13233"/>
        <n v="8100"/>
        <n v="1863"/>
        <n v="1040"/>
        <n v="1926"/>
        <n v="6996"/>
        <n v="3468"/>
        <n v="2245"/>
        <n v="372"/>
        <n v="807"/>
        <n v="4755"/>
        <n v="551"/>
        <n v="3238"/>
        <n v="3739"/>
        <n v="6557"/>
        <n v="312"/>
        <n v="465"/>
        <n v="716"/>
        <n v="2509"/>
        <n v="4703"/>
        <n v="451"/>
        <n v="1120"/>
        <n v="3810"/>
        <n v="5563"/>
        <n v="4246"/>
        <n v="1121"/>
        <n v="3969"/>
        <n v="6858"/>
        <n v="4331"/>
        <n v="3067"/>
        <n v="826"/>
        <n v="2258"/>
        <n v="846"/>
        <n v="1100"/>
        <m/>
      </sharedItems>
    </cacheField>
    <cacheField name="点击率" numFmtId="0">
      <sharedItems containsString="0" containsBlank="1" containsNumber="1" minValue="0" maxValue="0.2784" count="606">
        <n v="0.0736"/>
        <n v="0.1009"/>
        <n v="0.0273"/>
        <n v="0.0656"/>
        <n v="0.0398"/>
        <n v="0.0709"/>
        <n v="0.0964"/>
        <n v="0.1209"/>
        <n v="0.032"/>
        <n v="0.0617"/>
        <n v="0.0426"/>
        <n v="0.0807"/>
        <n v="0.0921"/>
        <n v="0.1106"/>
        <n v="0.0622"/>
        <n v="0.0752"/>
        <n v="0.0886"/>
        <n v="0.1"/>
        <n v="0.1086"/>
        <n v="0.0662"/>
        <n v="0.0704"/>
        <n v="0.0906"/>
        <n v="0.0947"/>
        <n v="0.1169"/>
        <n v="0.061"/>
        <n v="0.0556"/>
        <n v="0.0934"/>
        <n v="0.0969"/>
        <n v="0.0305"/>
        <n v="0.0611"/>
        <n v="0"/>
        <n v="0.0776"/>
        <n v="0.1183"/>
        <n v="0.1184"/>
        <n v="0.0173"/>
        <n v="0.0754"/>
        <n v="0.0909"/>
        <n v="0.0743"/>
        <n v="0.0989"/>
        <n v="0.0242"/>
        <n v="0.066"/>
        <n v="0.0706"/>
        <n v="0.1349"/>
        <n v="0.1116"/>
        <n v="0.0918"/>
        <n v="0.0812"/>
        <n v="0.0235"/>
        <n v="0.0741"/>
        <n v="0.0694"/>
        <n v="0.1268"/>
        <n v="0.1122"/>
        <n v="0.1028"/>
        <n v="0.0768"/>
        <n v="0.0262"/>
        <n v="0.0966"/>
        <n v="0.0712"/>
        <n v="0.1135"/>
        <n v="0.1052"/>
        <n v="0.093"/>
        <n v="0.0799"/>
        <n v="0.0698"/>
        <n v="0.1123"/>
        <n v="0.0647"/>
        <n v="0.0246"/>
        <n v="0.2784"/>
        <n v="0.0489"/>
        <n v="0.1536"/>
        <n v="0.077"/>
        <n v="0.0814"/>
        <n v="0.0593"/>
        <n v="0.1003"/>
        <n v="0.019"/>
        <n v="0.0309"/>
        <n v="0.0604"/>
        <n v="0.0979"/>
        <n v="0.1394"/>
        <n v="0.0487"/>
        <n v="0.0436"/>
        <n v="0.0626"/>
        <n v="0.0492"/>
        <n v="0.2255"/>
        <n v="0.087"/>
        <n v="0.0551"/>
        <n v="0.0927"/>
        <n v="0.0301"/>
        <n v="0.0323"/>
        <n v="0.1017"/>
        <n v="0.0508"/>
        <n v="0.0506"/>
        <n v="0.1111"/>
        <n v="0.191"/>
        <n v="0.0623"/>
        <n v="0.0859"/>
        <n v="0.0825"/>
        <n v="0.1355"/>
        <n v="0.015"/>
        <n v="0.0569"/>
        <n v="0.0515"/>
        <n v="0.1838"/>
        <n v="0.0643"/>
        <n v="0.0949"/>
        <n v="0.0813"/>
        <n v="0.0576"/>
        <n v="0.1071"/>
        <n v="0.055"/>
        <n v="0.1104"/>
        <n v="0.1207"/>
        <n v="0.072"/>
        <n v="0.0472"/>
        <n v="0.0367"/>
        <n v="0.1864"/>
        <n v="0.0619"/>
        <n v="0.0366"/>
        <n v="0.0732"/>
        <n v="0.1368"/>
        <n v="0.023"/>
        <n v="0.0877"/>
        <n v="0.1067"/>
        <n v="0.0716"/>
        <n v="0.0418"/>
        <n v="0.1233"/>
        <n v="0.0627"/>
        <n v="0.0963"/>
        <n v="0.0769"/>
        <n v="0.04"/>
        <n v="0.0641"/>
        <n v="0.0962"/>
        <n v="0.0687"/>
        <n v="0.1088"/>
        <n v="0.1119"/>
        <n v="0.0466"/>
        <n v="0.0857"/>
        <n v="0.0714"/>
        <n v="0.0661"/>
        <n v="0.0625"/>
        <n v="0.0684"/>
        <n v="0.0786"/>
        <n v="0.0365"/>
        <n v="0.0676"/>
        <n v="0.0818"/>
        <n v="0.0455"/>
        <n v="0.0957"/>
        <n v="0.085"/>
        <n v="0.0695"/>
        <n v="0.0633"/>
        <n v="0.0437"/>
        <n v="0.044"/>
        <n v="0.0558"/>
        <n v="0.0624"/>
        <n v="0.0692"/>
        <n v="0.0575"/>
        <n v="0.0674"/>
        <n v="0.0346"/>
        <n v="0.0364"/>
        <n v="0.0471"/>
        <n v="0.0675"/>
        <n v="0.0563"/>
        <n v="0.0727"/>
        <n v="0.06"/>
        <n v="0.0493"/>
        <n v="0.0443"/>
        <n v="0.1053"/>
        <n v="0.0552"/>
        <n v="0.0713"/>
        <n v="0.0796"/>
        <n v="0.0696"/>
        <n v="0.0784"/>
        <n v="0.037"/>
        <n v="0.0541"/>
        <n v="0.0667"/>
        <n v="0.0779"/>
        <n v="0.1467"/>
        <n v="0.0564"/>
        <n v="0.0749"/>
        <n v="0.053"/>
        <n v="0.0722"/>
        <n v="0.0735"/>
        <n v="0.0881"/>
        <n v="0.078"/>
        <n v="0.0748"/>
        <n v="0.0516"/>
        <n v="0.0746"/>
        <n v="0.1079"/>
        <n v="0.1063"/>
        <n v="0.0783"/>
        <n v="0.0771"/>
        <n v="0.1101"/>
        <n v="0.0462"/>
        <n v="0.0465"/>
        <n v="0.107"/>
        <n v="0.0864"/>
        <n v="0.0427"/>
        <n v="0.039"/>
        <n v="0.0865"/>
        <n v="0.0775"/>
        <n v="0.0527"/>
        <n v="0.0429"/>
        <n v="0.0476"/>
        <n v="0.1047"/>
        <n v="0.05"/>
        <n v="0.0763"/>
        <n v="0.0856"/>
        <n v="0.0424"/>
        <n v="0.0458"/>
        <n v="0.0546"/>
        <n v="0.0442"/>
        <n v="0.0874"/>
        <n v="0.2343"/>
        <n v="0.0474"/>
        <n v="0.0423"/>
        <n v="0.0377"/>
        <n v="0.0374"/>
        <n v="0.117"/>
        <n v="0.0483"/>
        <n v="0.0889"/>
        <n v="0.0819"/>
        <n v="0.041"/>
        <n v="0.068"/>
        <n v="0.0532"/>
        <n v="0.0468"/>
        <n v="0.0903"/>
        <n v="0.2037"/>
        <n v="0.0403"/>
        <n v="0.0531"/>
        <n v="0.0488"/>
        <n v="0.0484"/>
        <n v="0.0598"/>
        <n v="0.0371"/>
        <n v="0.0559"/>
        <n v="0.0955"/>
        <n v="0.1398"/>
        <n v="0.1375"/>
        <n v="0.0469"/>
        <n v="0.0629"/>
        <n v="0.0481"/>
        <n v="0.0808"/>
        <n v="0.1024"/>
        <n v="0.0668"/>
        <n v="0.0588"/>
        <n v="0.02"/>
        <n v="0.0283"/>
        <n v="0.0505"/>
        <n v="0.1044"/>
        <n v="0.0504"/>
        <n v="0.0336"/>
        <n v="0.0578"/>
        <n v="0.0951"/>
        <n v="0.2315"/>
        <n v="0.0787"/>
        <n v="0.0901"/>
        <n v="0.056"/>
        <n v="0.0926"/>
        <n v="0.049"/>
        <n v="0.0731"/>
        <n v="0.042"/>
        <n v="0.073"/>
        <n v="0.0764"/>
        <n v="0.0095"/>
        <n v="0.1418"/>
        <n v="0.1296"/>
        <n v="0.0175"/>
        <n v="0.0883"/>
        <n v="0.0944"/>
        <n v="0.0129"/>
        <n v="0.0143"/>
        <n v="0.0275"/>
        <n v="0.0453"/>
        <n v="0.0439"/>
        <n v="0.0447"/>
        <n v="0.0279"/>
        <n v="0.0613"/>
        <n v="0.0892"/>
        <n v="0.0534"/>
        <n v="0.0924"/>
        <n v="0.0357"/>
        <n v="0.0649"/>
        <n v="0.0938"/>
        <n v="0.0287"/>
        <n v="0.0536"/>
        <n v="0.0602"/>
        <n v="0.0513"/>
        <n v="0.0639"/>
        <n v="0.0343"/>
        <n v="0.0383"/>
        <n v="0.0338"/>
        <n v="0.0217"/>
        <n v="0.0379"/>
        <n v="0.0717"/>
        <n v="0.0522"/>
        <n v="0.0445"/>
        <n v="0.0294"/>
        <n v="0.0271"/>
        <n v="0.0193"/>
        <n v="0.1008"/>
        <n v="0.0432"/>
        <n v="0.0501"/>
        <n v="0.065"/>
        <n v="0.0315"/>
        <n v="0.0691"/>
        <n v="0.0497"/>
        <n v="0.0702"/>
        <n v="0.0325"/>
        <n v="0.0467"/>
        <n v="0.0669"/>
        <n v="0.0329"/>
        <n v="0.0594"/>
        <n v="0.0372"/>
        <n v="0.1048"/>
        <n v="0.0428"/>
        <n v="0.0421"/>
        <n v="0.098"/>
        <n v="0.0163"/>
        <n v="0.0671"/>
        <n v="0.0216"/>
        <n v="0.0167"/>
        <n v="0.0579"/>
        <n v="0.0211"/>
        <n v="0.0295"/>
        <n v="0.0347"/>
        <n v="0.063"/>
        <n v="0.0635"/>
        <n v="0.0457"/>
        <n v="0.0646"/>
        <n v="0.0373"/>
        <n v="0.0397"/>
        <n v="0.017"/>
        <n v="0.0494"/>
        <n v="0.0615"/>
        <n v="0.0213"/>
        <n v="0.0573"/>
        <n v="0.0491"/>
        <n v="0.0221"/>
        <n v="0.059"/>
        <n v="0.0608"/>
        <n v="0.0597"/>
        <n v="0.0444"/>
        <n v="0.0589"/>
        <n v="0.0555"/>
        <n v="0.0637"/>
        <n v="0.0396"/>
        <n v="0.0665"/>
        <n v="0.0369"/>
        <n v="0.0829"/>
        <n v="0.0316"/>
        <n v="0.0451"/>
        <n v="0.0826"/>
        <n v="0.0188"/>
        <n v="0.0538"/>
        <n v="0.0571"/>
        <n v="0.0327"/>
        <n v="0.0545"/>
        <n v="0.0209"/>
        <n v="0.0514"/>
        <n v="0.0583"/>
        <n v="0.0605"/>
        <n v="0.0503"/>
        <n v="0.0893"/>
        <n v="0.0406"/>
        <n v="0.0231"/>
        <n v="0.0244"/>
        <n v="0.025"/>
        <n v="0.028"/>
        <n v="0.0272"/>
        <n v="0.0332"/>
        <n v="0.0411"/>
        <n v="0.0259"/>
        <n v="0.0434"/>
        <n v="0.0256"/>
        <n v="0.0414"/>
        <n v="0.0247"/>
        <n v="0.0255"/>
        <n v="0.0896"/>
        <n v="0.0417"/>
        <n v="0.0919"/>
        <n v="0.0227"/>
        <n v="0.0876"/>
        <n v="0.0438"/>
        <n v="0.033"/>
        <n v="0.021"/>
        <n v="0.1012"/>
        <n v="0.0653"/>
        <n v="0.0278"/>
        <n v="0.2"/>
        <n v="0.0308"/>
        <n v="0.0313"/>
        <n v="0.0446"/>
        <n v="0.0127"/>
        <n v="0.084"/>
        <n v="0.0537"/>
        <n v="0.0777"/>
        <n v="0.0425"/>
        <n v="0.0658"/>
        <n v="0.1084"/>
        <n v="0.0277"/>
        <n v="0.0512"/>
        <n v="0.0392"/>
        <n v="0.1062"/>
        <n v="0.0773"/>
        <n v="0.045"/>
        <n v="0.097"/>
        <n v="0.0805"/>
        <n v="0.0549"/>
        <n v="0.0345"/>
        <n v="0.0766"/>
        <n v="0.0561"/>
        <n v="0.0296"/>
        <n v="0.0251"/>
        <n v="0.0331"/>
        <n v="0.0156"/>
        <n v="0.0223"/>
        <n v="0.047"/>
        <n v="0.0478"/>
        <n v="0.0361"/>
        <n v="0.0433"/>
        <n v="0.0621"/>
        <n v="0.0449"/>
        <n v="0.0407"/>
        <n v="0.0683"/>
        <n v="0.0591"/>
        <n v="0.0518"/>
        <n v="0.0419"/>
        <n v="0.0854"/>
        <n v="0.0182"/>
        <n v="0.0201"/>
        <n v="0.0485"/>
        <n v="0.0701"/>
        <n v="0.0793"/>
        <n v="0.0291"/>
        <n v="0.0634"/>
        <n v="0.0282"/>
        <n v="0.1186"/>
        <n v="0.043"/>
        <n v="0.075"/>
        <n v="0.0286"/>
        <n v="0.0464"/>
        <n v="0.0456"/>
        <n v="0.0461"/>
        <n v="0.0312"/>
        <n v="0.0448"/>
        <n v="0.029"/>
        <n v="0.0267"/>
        <n v="0.1517"/>
        <n v="0.0208"/>
        <n v="0.0166"/>
        <n v="0.0409"/>
        <n v="0.0441"/>
        <n v="0.0306"/>
        <n v="0.0322"/>
        <n v="0.011"/>
        <n v="0.0181"/>
        <n v="0.0126"/>
        <n v="0.0219"/>
        <n v="0.0185"/>
        <n v="0.0229"/>
        <n v="0.0412"/>
        <n v="0.0838"/>
        <n v="0.0509"/>
        <n v="0.0905"/>
        <n v="0.0521"/>
        <n v="0.0351"/>
        <n v="0.0431"/>
        <n v="0.0774"/>
        <n v="0.0146"/>
        <n v="0.1493"/>
        <n v="0.0502"/>
        <n v="0.1297"/>
        <n v="0.1306"/>
        <n v="0.1114"/>
        <n v="0.0585"/>
        <n v="0.1015"/>
        <n v="0.0823"/>
        <n v="0.0699"/>
        <n v="0.0281"/>
        <n v="0.0525"/>
        <n v="0.0253"/>
        <n v="0.0238"/>
        <n v="0.0248"/>
        <n v="0.0666"/>
        <n v="0.105"/>
        <n v="0.0836"/>
        <n v="0.0245"/>
        <n v="0.0252"/>
        <n v="0.0673"/>
        <n v="0.0353"/>
        <n v="0.0535"/>
        <n v="0.1004"/>
        <n v="0.03"/>
        <n v="0.0719"/>
        <n v="0.1162"/>
        <n v="0.1171"/>
        <n v="0.0284"/>
        <n v="0.0759"/>
        <n v="0.1196"/>
        <n v="0.052"/>
        <n v="0.0599"/>
        <n v="0.1667"/>
        <n v="0.0263"/>
        <n v="0.1348"/>
        <n v="0.0996"/>
        <n v="0.0408"/>
        <n v="0.0311"/>
        <n v="0.1509"/>
        <n v="0.1429"/>
        <n v="0.0652"/>
        <n v="0.0391"/>
        <n v="0.0194"/>
        <n v="0.1395"/>
        <n v="0.1059"/>
        <n v="0.0577"/>
        <n v="0.1307"/>
        <n v="0.0328"/>
        <n v="0.0482"/>
        <n v="0.0977"/>
        <n v="0.0595"/>
        <n v="0.1195"/>
        <n v="0.0574"/>
        <n v="0.1512"/>
        <n v="0.0405"/>
        <n v="0.0557"/>
        <n v="0.0833"/>
        <n v="0.0586"/>
        <n v="0.0404"/>
        <n v="0.25"/>
        <n v="0.1462"/>
        <n v="0.0861"/>
        <n v="0.1153"/>
        <n v="0.0206"/>
        <n v="0.1786"/>
        <n v="0.1739"/>
        <n v="0.0582"/>
        <n v="0.0968"/>
        <n v="0.0654"/>
        <n v="0.0435"/>
        <n v="0.1302"/>
        <n v="0.1283"/>
        <n v="0.0547"/>
        <n v="0.1117"/>
        <n v="0.1187"/>
        <n v="0.0285"/>
        <n v="0.0677"/>
        <n v="0.0867"/>
        <n v="0.0413"/>
        <n v="0.1223"/>
        <n v="0.0566"/>
        <n v="0.1293"/>
        <n v="0.2286"/>
        <n v="0.1609"/>
        <n v="0.1145"/>
        <n v="0.1131"/>
        <n v="0.0495"/>
        <n v="0.1022"/>
        <n v="0.0477"/>
        <n v="0.1313"/>
        <n v="0.1212"/>
        <n v="0.1243"/>
        <n v="0.1029"/>
        <n v="0.0511"/>
        <n v="0.1149"/>
        <n v="0.0729"/>
        <n v="0.0603"/>
        <n v="0.0781"/>
        <n v="0.0931"/>
        <n v="0.0584"/>
        <n v="0.0899"/>
        <n v="0.0937"/>
        <n v="0.0682"/>
        <n v="0.089"/>
        <n v="0.0948"/>
        <n v="0.131"/>
        <n v="0.0756"/>
        <n v="0.0725"/>
        <n v="0.1275"/>
        <n v="0.0689"/>
        <n v="0.0628"/>
        <n v="0.1521"/>
        <n v="0.1082"/>
        <n v="0.082"/>
        <n v="0.1421"/>
        <n v="0.127"/>
        <n v="0.0609"/>
        <n v="0.0972"/>
        <n v="0.0824"/>
        <n v="0.1037"/>
        <n v="0.1146"/>
        <n v="0.0422"/>
        <n v="0.0473"/>
        <n v="0.0959"/>
        <n v="0.027"/>
        <n v="0.0983"/>
        <n v="0.0395"/>
        <n v="0.0499"/>
        <n v="0.0554"/>
        <n v="0.0765"/>
        <n v="0.0642"/>
        <n v="0.1032"/>
        <n v="0.1241"/>
        <n v="0.0606"/>
        <n v="0.0873"/>
        <n v="0.0973"/>
        <n v="0.046"/>
        <n v="0.0587"/>
        <n v="0.0958"/>
        <n v="0.1092"/>
        <n v="0.0607"/>
        <n v="0.1581"/>
        <m/>
      </sharedItems>
    </cacheField>
    <cacheField name="平均点击成本" numFmtId="0">
      <sharedItems containsString="0" containsBlank="1" containsNumber="1" minValue="0" maxValue="1.94" count="114">
        <n v="0.13"/>
        <n v="0.09"/>
        <n v="0.11"/>
        <n v="0.24"/>
        <n v="0.12"/>
        <n v="0.07"/>
        <n v="0.05"/>
        <n v="0.21"/>
        <n v="0.19"/>
        <n v="0.08"/>
        <n v="0.25"/>
        <n v="0.04"/>
        <n v="0.2"/>
        <n v="0.06"/>
        <n v="0.41"/>
        <n v="0.46"/>
        <n v="0"/>
        <n v="0.5"/>
        <n v="0.62"/>
        <n v="0.56"/>
        <n v="0.53"/>
        <n v="0.28"/>
        <n v="0.44"/>
        <n v="0.38"/>
        <n v="0.52"/>
        <n v="0.4"/>
        <n v="0.43"/>
        <n v="0.42"/>
        <n v="0.1"/>
        <n v="0.76"/>
        <n v="0.16"/>
        <n v="1.06"/>
        <n v="0.17"/>
        <n v="0.65"/>
        <n v="0.69"/>
        <n v="0.32"/>
        <n v="0.27"/>
        <n v="0.15"/>
        <n v="0.86"/>
        <n v="0.03"/>
        <n v="0.59"/>
        <n v="0.22"/>
        <n v="0.14"/>
        <n v="0.39"/>
        <n v="0.45"/>
        <n v="0.64"/>
        <n v="0.6"/>
        <n v="0.49"/>
        <n v="0.31"/>
        <n v="0.58"/>
        <n v="0.36"/>
        <n v="0.18"/>
        <n v="0.3"/>
        <n v="0.26"/>
        <n v="0.71"/>
        <n v="0.33"/>
        <n v="0.91"/>
        <n v="1.04"/>
        <n v="0.23"/>
        <n v="0.73"/>
        <n v="0.7"/>
        <n v="1.94"/>
        <n v="0.72"/>
        <n v="0.95"/>
        <n v="0.78"/>
        <n v="1.77"/>
        <n v="0.8"/>
        <n v="1.41"/>
        <n v="0.68"/>
        <n v="0.97"/>
        <n v="1.37"/>
        <n v="0.48"/>
        <n v="0.54"/>
        <n v="0.47"/>
        <n v="0.34"/>
        <n v="0.57"/>
        <n v="0.35"/>
        <n v="0.55"/>
        <n v="0.77"/>
        <n v="0.87"/>
        <n v="0.84"/>
        <n v="0.29"/>
        <n v="0.37"/>
        <n v="0.51"/>
        <n v="1.18"/>
        <n v="1.09"/>
        <n v="1.68"/>
        <n v="1.54"/>
        <n v="0.89"/>
        <n v="1.01"/>
        <n v="1.34"/>
        <n v="1.15"/>
        <n v="1.19"/>
        <n v="1.51"/>
        <n v="0.61"/>
        <n v="0.85"/>
        <n v="1.17"/>
        <n v="1"/>
        <n v="0.66"/>
        <n v="0.75"/>
        <n v="1.2"/>
        <n v="0.67"/>
        <n v="0.79"/>
        <n v="0.81"/>
        <n v="0.9"/>
        <n v="0.74"/>
        <n v="0.93"/>
        <n v="0.92"/>
        <n v="0.63"/>
        <n v="1.44"/>
        <n v="1.27"/>
        <n v="0.99"/>
        <n v="0.02"/>
        <m/>
      </sharedItems>
    </cacheField>
    <cacheField name="平均千次展示费用" numFmtId="0">
      <sharedItems containsString="0" containsBlank="1" containsNumber="1" minValue="0" maxValue="302" count="819">
        <n v="9.51"/>
        <n v="9.09"/>
        <n v="3.04"/>
        <n v="15.57"/>
        <n v="4.56"/>
        <n v="8.21"/>
        <n v="6.46"/>
        <n v="6.29"/>
        <n v="2.34"/>
        <n v="12.96"/>
        <n v="3.1"/>
        <n v="6.02"/>
        <n v="4.65"/>
        <n v="5.16"/>
        <n v="11.79"/>
        <n v="8.12"/>
        <n v="6.19"/>
        <n v="8.05"/>
        <n v="7.68"/>
        <n v="16.57"/>
        <n v="4.99"/>
        <n v="5.95"/>
        <n v="4.43"/>
        <n v="12.4"/>
        <n v="3.59"/>
        <n v="5.74"/>
        <n v="7.05"/>
        <n v="12.44"/>
        <n v="28.21"/>
        <n v="0"/>
        <n v="38.6"/>
        <n v="8.54"/>
        <n v="73.36"/>
        <n v="9.72"/>
        <n v="6.44"/>
        <n v="6.76"/>
        <n v="34.65"/>
        <n v="39.21"/>
        <n v="8.57"/>
        <n v="6.68"/>
        <n v="5.79"/>
        <n v="4.27"/>
        <n v="9.84"/>
        <n v="6.12"/>
        <n v="37.58"/>
        <n v="35.71"/>
        <n v="9.01"/>
        <n v="5.71"/>
        <n v="4.39"/>
        <n v="8.16"/>
        <n v="4.89"/>
        <n v="53"/>
        <n v="38.46"/>
        <n v="10.35"/>
        <n v="7.69"/>
        <n v="5.17"/>
        <n v="6.69"/>
        <n v="5.63"/>
        <n v="40.26"/>
        <n v="33.86"/>
        <n v="4.9"/>
        <n v="11.06"/>
        <n v="26.97"/>
        <n v="18.81"/>
        <n v="13.01"/>
        <n v="8.02"/>
        <n v="9.21"/>
        <n v="81.76"/>
        <n v="34.82"/>
        <n v="10.1"/>
        <n v="58.86"/>
        <n v="13.23"/>
        <n v="6"/>
        <n v="10"/>
        <n v="6.63"/>
        <n v="9.8"/>
        <n v="13.63"/>
        <n v="8.85"/>
        <n v="17.05"/>
        <n v="21.73"/>
        <n v="8.87"/>
        <n v="39.89"/>
        <n v="10.87"/>
        <n v="13.89"/>
        <n v="25.91"/>
        <n v="9.97"/>
        <n v="0.97"/>
        <n v="5.14"/>
        <n v="13.95"/>
        <n v="22.22"/>
        <n v="7.36"/>
        <n v="36.66"/>
        <n v="45.63"/>
        <n v="17.78"/>
        <n v="19.26"/>
        <n v="8.43"/>
        <n v="15.14"/>
        <n v="20.26"/>
        <n v="6.15"/>
        <n v="38.2"/>
        <n v="42.75"/>
        <n v="50.73"/>
        <n v="8.34"/>
        <n v="6.04"/>
        <n v="4.48"/>
        <n v="7.77"/>
        <n v="7.13"/>
        <n v="37.44"/>
        <n v="12.7"/>
        <n v="15.54"/>
        <n v="39.3"/>
        <n v="21.97"/>
        <n v="14"/>
        <n v="6.55"/>
        <n v="1.38"/>
        <n v="5.09"/>
        <n v="6.61"/>
        <n v="35.47"/>
        <n v="13.34"/>
        <n v="4.78"/>
        <n v="38.67"/>
        <n v="53.61"/>
        <n v="37.94"/>
        <n v="12.39"/>
        <n v="37.4"/>
        <n v="53.75"/>
        <n v="8.78"/>
        <n v="6.28"/>
        <n v="5.72"/>
        <n v="7.92"/>
        <n v="11.16"/>
        <n v="7.65"/>
        <n v="7.86"/>
        <n v="2.82"/>
        <n v="2.78"/>
        <n v="6.87"/>
        <n v="7.67"/>
        <n v="29.27"/>
        <n v="24.54"/>
        <n v="12.72"/>
        <n v="16.4"/>
        <n v="8.5"/>
        <n v="14.69"/>
        <n v="6.64"/>
        <n v="8.23"/>
        <n v="33.98"/>
        <n v="10.38"/>
        <n v="7.64"/>
        <n v="10.02"/>
        <n v="5.64"/>
        <n v="2.94"/>
        <n v="6.85"/>
        <n v="4.54"/>
        <n v="10.98"/>
        <n v="8.77"/>
        <n v="8.32"/>
        <n v="5.84"/>
        <n v="2.99"/>
        <n v="2.55"/>
        <n v="8.44"/>
        <n v="24.52"/>
        <n v="10.33"/>
        <n v="7.02"/>
        <n v="8.51"/>
        <n v="4.33"/>
        <n v="3.62"/>
        <n v="5.59"/>
        <n v="31.58"/>
        <n v="9.14"/>
        <n v="8.36"/>
        <n v="11.24"/>
        <n v="4.85"/>
        <n v="11.35"/>
        <n v="14.48"/>
        <n v="4.44"/>
        <n v="8.47"/>
        <n v="7.63"/>
        <n v="15.76"/>
        <n v="38.53"/>
        <n v="7.43"/>
        <n v="15.07"/>
        <n v="10.86"/>
        <n v="7.33"/>
        <n v="9.07"/>
        <n v="11.07"/>
        <n v="12.55"/>
        <n v="11.71"/>
        <n v="44.72"/>
        <n v="8.15"/>
        <n v="9.32"/>
        <n v="12.24"/>
        <n v="13.64"/>
        <n v="9.27"/>
        <n v="14.41"/>
        <n v="7.94"/>
        <n v="12.93"/>
        <n v="11.97"/>
        <n v="68.04"/>
        <n v="11.63"/>
        <n v="12.57"/>
        <n v="4.19"/>
        <n v="8"/>
        <n v="9.69"/>
        <n v="10.64"/>
        <n v="3.68"/>
        <n v="27.6"/>
        <n v="36"/>
        <n v="31.43"/>
        <n v="5.83"/>
        <n v="23.82"/>
        <n v="45.06"/>
        <n v="22.78"/>
        <n v="12.86"/>
        <n v="72.13"/>
        <n v="9.75"/>
        <n v="11.43"/>
        <n v="9.19"/>
        <n v="14.04"/>
        <n v="38.69"/>
        <n v="19.21"/>
        <n v="4.72"/>
        <n v="37.61"/>
        <n v="46.01"/>
        <n v="23.76"/>
        <n v="22.01"/>
        <n v="8.39"/>
        <n v="8.75"/>
        <n v="5.65"/>
        <n v="84.98"/>
        <n v="12.48"/>
        <n v="11.86"/>
        <n v="12.26"/>
        <n v="35.18"/>
        <n v="29.05"/>
        <n v="37.49"/>
        <n v="90.88"/>
        <n v="24.13"/>
        <n v="14.19"/>
        <n v="5.76"/>
        <n v="12.51"/>
        <n v="15.37"/>
        <n v="9.17"/>
        <n v="13.46"/>
        <n v="5.85"/>
        <n v="7.39"/>
        <n v="68.32"/>
        <n v="13.83"/>
        <n v="13.78"/>
        <n v="11.26"/>
        <n v="44.44"/>
        <n v="32.46"/>
        <n v="48.73"/>
        <n v="85.29"/>
        <n v="22.86"/>
        <n v="8.79"/>
        <n v="19.69"/>
        <n v="7.21"/>
        <n v="3.9"/>
        <n v="35.11"/>
        <n v="8.88"/>
        <n v="45.87"/>
        <n v="15.39"/>
        <n v="46.3"/>
        <n v="67.01"/>
        <n v="25.22"/>
        <n v="9.23"/>
        <n v="12.52"/>
        <n v="6.56"/>
        <n v="60.88"/>
        <n v="8.62"/>
        <n v="9.96"/>
        <n v="9.71"/>
        <n v="47.75"/>
        <n v="32.64"/>
        <n v="37.97"/>
        <n v="57.72"/>
        <n v="12.67"/>
        <n v="15.41"/>
        <n v="3.07"/>
        <n v="43.86"/>
        <n v="13.25"/>
        <n v="11.66"/>
        <n v="30.81"/>
        <n v="18.25"/>
        <n v="14.1"/>
        <n v="11.55"/>
        <n v="5.13"/>
        <n v="65.13"/>
        <n v="41.55"/>
        <n v="3.88"/>
        <n v="16.5"/>
        <n v="19.93"/>
        <n v="21.84"/>
        <n v="20.93"/>
        <n v="2.6"/>
        <n v="10.53"/>
        <n v="4.69"/>
        <n v="18.15"/>
        <n v="4.41"/>
        <n v="12.94"/>
        <n v="11.11"/>
        <n v="5.45"/>
        <n v="11.4"/>
        <n v="9.83"/>
        <n v="4.52"/>
        <n v="5.23"/>
        <n v="13.08"/>
        <n v="6.96"/>
        <n v="5.73"/>
        <n v="22.43"/>
        <n v="9.55"/>
        <n v="6.77"/>
        <n v="28.79"/>
        <n v="19.49"/>
        <n v="22.17"/>
        <n v="15.47"/>
        <n v="10.56"/>
        <n v="32.31"/>
        <n v="13.27"/>
        <n v="26.56"/>
        <n v="9.43"/>
        <n v="35.45"/>
        <n v="34.5"/>
        <n v="17.59"/>
        <n v="24.76"/>
        <n v="31.14"/>
        <n v="15.13"/>
        <n v="8.96"/>
        <n v="89.08"/>
        <n v="38.88"/>
        <n v="64.92"/>
        <n v="8.4"/>
        <n v="9.45"/>
        <n v="4.67"/>
        <n v="9.81"/>
        <n v="4.79"/>
        <n v="9.25"/>
        <n v="15.75"/>
        <n v="5.11"/>
        <n v="8.33"/>
        <n v="13.67"/>
        <n v="6.45"/>
        <n v="8.64"/>
        <n v="13.76"/>
        <n v="6.52"/>
        <n v="9.41"/>
        <n v="4.76"/>
        <n v="14.03"/>
        <n v="9.38"/>
        <n v="11.01"/>
        <n v="13.62"/>
        <n v="10.58"/>
        <n v="5.94"/>
        <n v="15.84"/>
        <n v="5.3"/>
        <n v="28.26"/>
        <n v="6.26"/>
        <n v="9.58"/>
        <n v="9.54"/>
        <n v="14.95"/>
        <n v="10.55"/>
        <n v="14.17"/>
        <n v="16.78"/>
        <n v="12.92"/>
        <n v="24.24"/>
        <n v="16.02"/>
        <n v="10.16"/>
        <n v="5.33"/>
        <n v="5.38"/>
        <n v="13.86"/>
        <n v="9.48"/>
        <n v="10.8"/>
        <n v="7.55"/>
        <n v="14.72"/>
        <n v="6.82"/>
        <n v="15.24"/>
        <n v="6.3"/>
        <n v="15.5"/>
        <n v="5"/>
        <n v="12.16"/>
        <n v="5.22"/>
        <n v="13.42"/>
        <n v="10.69"/>
        <n v="6.03"/>
        <n v="12.89"/>
        <n v="6.48"/>
        <n v="13.61"/>
        <n v="7.47"/>
        <n v="14.06"/>
        <n v="6.39"/>
        <n v="18.29"/>
        <n v="43.45"/>
        <n v="62.29"/>
        <n v="28.47"/>
        <n v="5.08"/>
        <n v="16.26"/>
        <n v="9.2"/>
        <n v="97.57"/>
        <n v="93.37"/>
        <n v="10.94"/>
        <n v="11.33"/>
        <n v="35.91"/>
        <n v="14.75"/>
        <n v="6.94"/>
        <n v="12.1"/>
        <n v="8.45"/>
        <n v="6.92"/>
        <n v="34.76"/>
        <n v="9.29"/>
        <n v="7.12"/>
        <n v="40.52"/>
        <n v="12.83"/>
        <n v="13.06"/>
        <n v="20.29"/>
        <n v="43.47"/>
        <n v="23.08"/>
        <n v="18.8"/>
        <n v="15.68"/>
        <n v="73.67"/>
        <n v="12.8"/>
        <n v="56.81"/>
        <n v="3.7"/>
        <n v="22.7"/>
        <n v="29.34"/>
        <n v="22.79"/>
        <n v="17.93"/>
        <n v="25.51"/>
        <n v="59"/>
        <n v="4.6"/>
        <n v="22.47"/>
        <n v="6.79"/>
        <n v="13.12"/>
        <n v="8.61"/>
        <n v="39.23"/>
        <n v="6.4"/>
        <n v="26.3"/>
        <n v="23.7"/>
        <n v="13.18"/>
        <n v="12.19"/>
        <n v="302"/>
        <n v="8.19"/>
        <n v="21.59"/>
        <n v="11.54"/>
        <n v="15.69"/>
        <n v="1.27"/>
        <n v="12.71"/>
        <n v="6.07"/>
        <n v="19.46"/>
        <n v="15.01"/>
        <n v="11.12"/>
        <n v="12.37"/>
        <n v="26.13"/>
        <n v="13.53"/>
        <n v="10.59"/>
        <n v="13.43"/>
        <n v="25.01"/>
        <n v="8.73"/>
        <n v="11"/>
        <n v="20.01"/>
        <n v="6.36"/>
        <n v="6.58"/>
        <n v="25.41"/>
        <n v="15.25"/>
        <n v="13.02"/>
        <n v="12.78"/>
        <n v="37.22"/>
        <n v="12.25"/>
        <n v="14.13"/>
        <n v="12.13"/>
        <n v="15.77"/>
        <n v="13.44"/>
        <n v="17.18"/>
        <n v="7.93"/>
        <n v="24.8"/>
        <n v="12.56"/>
        <n v="16.3"/>
        <n v="29.65"/>
        <n v="16.84"/>
        <n v="8.06"/>
        <n v="19.39"/>
        <n v="16.86"/>
        <n v="15.09"/>
        <n v="12.64"/>
        <n v="6.65"/>
        <n v="15.03"/>
        <n v="11.88"/>
        <n v="13.92"/>
        <n v="24.38"/>
        <n v="6.81"/>
        <n v="14.94"/>
        <n v="19.71"/>
        <n v="13.98"/>
        <n v="15.23"/>
        <n v="16.03"/>
        <n v="30.63"/>
        <n v="10.36"/>
        <n v="11.92"/>
        <n v="22.64"/>
        <n v="31.01"/>
        <n v="38.29"/>
        <n v="47.62"/>
        <n v="24.03"/>
        <n v="28.35"/>
        <n v="49.56"/>
        <n v="12.41"/>
        <n v="21.19"/>
        <n v="29.72"/>
        <n v="8.56"/>
        <n v="11.76"/>
        <n v="3.09"/>
        <n v="48.96"/>
        <n v="12.33"/>
        <n v="32.04"/>
        <n v="14.61"/>
        <n v="12.32"/>
        <n v="13.88"/>
        <n v="38.52"/>
        <n v="16.44"/>
        <n v="14.43"/>
        <n v="14.91"/>
        <n v="8.86"/>
        <n v="34.58"/>
        <n v="16.45"/>
        <n v="20.2"/>
        <n v="23.03"/>
        <n v="72.2"/>
        <n v="15.16"/>
        <n v="15"/>
        <n v="24.66"/>
        <n v="17.24"/>
        <n v="18.68"/>
        <n v="16.56"/>
        <n v="18.53"/>
        <n v="16.35"/>
        <n v="15.49"/>
        <n v="16.47"/>
        <n v="16.54"/>
        <n v="16.13"/>
        <n v="15.06"/>
        <n v="15.27"/>
        <n v="14.27"/>
        <n v="40.85"/>
        <n v="52.36"/>
        <n v="15.63"/>
        <n v="15.71"/>
        <n v="13.09"/>
        <n v="11.34"/>
        <n v="16.67"/>
        <n v="10.04"/>
        <n v="9.16"/>
        <n v="10.65"/>
        <n v="2.32"/>
        <n v="7.27"/>
        <n v="12.68"/>
        <n v="10.2"/>
        <n v="9.49"/>
        <n v="21.69"/>
        <n v="6.99"/>
        <n v="12.29"/>
        <n v="8.72"/>
        <n v="20.04"/>
        <n v="14.23"/>
        <n v="11.14"/>
        <n v="16.25"/>
        <n v="24"/>
        <n v="17.65"/>
        <n v="22.12"/>
        <n v="16.89"/>
        <n v="35.82"/>
        <n v="12.66"/>
        <n v="7.73"/>
        <n v="33.3"/>
        <n v="22.99"/>
        <n v="19.54"/>
        <n v="43.2"/>
        <n v="19.05"/>
        <n v="5.1"/>
        <n v="22.26"/>
        <n v="12.6"/>
        <n v="17.84"/>
        <n v="21.03"/>
        <n v="34.89"/>
        <n v="8.53"/>
        <n v="11.05"/>
        <n v="28.72"/>
        <n v="17.62"/>
        <n v="12.45"/>
        <n v="14.82"/>
        <n v="13.93"/>
        <n v="13.52"/>
        <n v="11.91"/>
        <n v="49.26"/>
        <n v="44.4"/>
        <n v="3.85"/>
        <n v="34.94"/>
        <n v="7.26"/>
        <n v="17.2"/>
        <n v="31.63"/>
        <n v="69.55"/>
        <n v="9.99"/>
        <n v="19.06"/>
        <n v="4.17"/>
        <n v="16.83"/>
        <n v="8.22"/>
        <n v="21.26"/>
        <n v="16.74"/>
        <n v="44.96"/>
        <n v="9.39"/>
        <n v="11.09"/>
        <n v="22.75"/>
        <n v="9.92"/>
        <n v="26.18"/>
        <n v="10.28"/>
        <n v="45.93"/>
        <n v="82.05"/>
        <n v="13.13"/>
        <n v="2.7"/>
        <n v="7.97"/>
        <n v="57.24"/>
        <n v="18.08"/>
        <n v="44.86"/>
        <n v="108.53"/>
        <n v="10.85"/>
        <n v="11.48"/>
        <n v="24.86"/>
        <n v="44.01"/>
        <n v="110.37"/>
        <n v="20.51"/>
        <n v="20"/>
        <n v="12.18"/>
        <n v="60.34"/>
        <n v="36.58"/>
        <n v="23.49"/>
        <n v="18.44"/>
        <n v="23.96"/>
        <n v="15.52"/>
        <n v="14.39"/>
        <n v="44.47"/>
        <n v="19.1"/>
        <n v="70.83"/>
        <n v="18.97"/>
        <n v="23.63"/>
        <n v="25.9"/>
        <n v="23.53"/>
        <n v="17.08"/>
        <n v="36.97"/>
        <n v="54.29"/>
        <n v="27.42"/>
        <n v="16.46"/>
        <n v="10.32"/>
        <n v="6.2"/>
        <n v="17.98"/>
        <n v="13.71"/>
        <n v="14.81"/>
        <n v="51.53"/>
        <n v="25.84"/>
        <n v="17.69"/>
        <n v="60.84"/>
        <n v="18.61"/>
        <n v="16.93"/>
        <n v="35.12"/>
        <n v="24.74"/>
        <n v="10.76"/>
        <n v="26.09"/>
        <n v="18.88"/>
        <n v="15.55"/>
        <n v="9.52"/>
        <n v="14.26"/>
        <n v="47.94"/>
        <n v="69.46"/>
        <n v="16.52"/>
        <n v="22.45"/>
        <n v="13.57"/>
        <n v="26.25"/>
        <n v="18.77"/>
        <n v="14.67"/>
        <n v="26.29"/>
        <n v="13.17"/>
        <n v="13.65"/>
        <n v="16.71"/>
        <n v="65"/>
        <n v="41.67"/>
        <n v="13.55"/>
        <n v="66.12"/>
        <n v="19.81"/>
        <n v="20.73"/>
        <n v="40.18"/>
        <n v="16.51"/>
        <n v="4.12"/>
        <n v="8.9"/>
        <n v="48.57"/>
        <n v="38.1"/>
        <n v="69.57"/>
        <n v="22.83"/>
        <n v="5.75"/>
        <n v="17.1"/>
        <n v="17.17"/>
        <n v="8.7"/>
        <n v="13.26"/>
        <n v="24.72"/>
        <n v="59.53"/>
        <n v="41"/>
        <n v="16.33"/>
        <n v="31.48"/>
        <n v="13.97"/>
        <n v="8.63"/>
        <n v="14.08"/>
        <n v="10.97"/>
        <n v="13.3"/>
        <n v="53.03"/>
        <n v="37.21"/>
        <n v="21.06"/>
        <n v="10.73"/>
        <n v="10.06"/>
        <n v="16.65"/>
        <n v="8.48"/>
        <n v="14.89"/>
        <n v="19.09"/>
        <n v="35.56"/>
        <n v="55.01"/>
        <n v="15.74"/>
        <n v="22.03"/>
        <n v="17.64"/>
        <n v="24.37"/>
        <n v="26.12"/>
        <n v="91.41"/>
        <n v="19.16"/>
        <n v="21.94"/>
        <n v="59.71"/>
        <n v="54.09"/>
        <n v="72.74"/>
        <n v="81.96"/>
        <n v="53.55"/>
        <n v="11.93"/>
        <n v="22.6"/>
        <n v="25.28"/>
        <n v="22.1"/>
        <n v="8.08"/>
        <n v="117.93"/>
        <n v="27.29"/>
        <n v="60.92"/>
        <n v="113.6"/>
        <n v="102.55"/>
        <n v="13.94"/>
        <n v="24.6"/>
        <n v="30.84"/>
        <n v="26.43"/>
        <n v="17.25"/>
        <n v="61.7"/>
        <n v="34.75"/>
        <n v="30.98"/>
        <n v="13.8"/>
        <n v="94.63"/>
        <n v="73.08"/>
        <n v="77.78"/>
        <n v="24.05"/>
        <n v="4.83"/>
        <n v="9.68"/>
        <n v="71.1"/>
        <n v="7.71"/>
        <n v="2.18"/>
        <n v="9.64"/>
        <n v="16.96"/>
        <n v="9.73"/>
        <n v="12.75"/>
        <n v="8.98"/>
        <n v="12.63"/>
        <n v="8.74"/>
        <n v="9.67"/>
        <n v="7.32"/>
        <n v="5.8"/>
        <n v="7.88"/>
        <n v="16.22"/>
        <n v="12.06"/>
        <n v="10.93"/>
        <n v="12.69"/>
        <n v="18.01"/>
        <n v="17.7"/>
        <n v="22"/>
        <n v="10.01"/>
        <n v="9.61"/>
        <n v="14.31"/>
        <n v="20.63"/>
        <n v="12.85"/>
        <n v="7.51"/>
        <n v="9.15"/>
        <n v="13.56"/>
        <n v="28.86"/>
        <n v="29.58"/>
        <n v="10.45"/>
        <n v="18.21"/>
        <n v="15.11"/>
        <n v="7.16"/>
        <n v="8.76"/>
        <n v="50.06"/>
        <n v="30.57"/>
        <n v="2.89"/>
        <n v="16.38"/>
        <n v="18.38"/>
        <n v="13.79"/>
        <n v="7.53"/>
        <n v="55.91"/>
        <n v="27.45"/>
        <n v="23.64"/>
        <n v="19.83"/>
        <n v="11.73"/>
        <n v="61.22"/>
        <n v="18.5"/>
        <n v="17.27"/>
        <n v="10.42"/>
        <n v="7.17"/>
        <n v="14.76"/>
        <n v="49.37"/>
        <n v="19.44"/>
        <n v="3.45"/>
        <n v="17.96"/>
        <n v="67.71"/>
        <n v="125"/>
        <m/>
      </sharedItems>
    </cacheField>
    <cacheField name="点赞" numFmtId="0">
      <sharedItems containsString="0" containsBlank="1" containsNumber="1" containsInteger="1" minValue="-1" maxValue="8283" count="253">
        <n v="137"/>
        <n v="20"/>
        <n v="11"/>
        <n v="36"/>
        <n v="32"/>
        <n v="85"/>
        <n v="164"/>
        <n v="12"/>
        <n v="2"/>
        <n v="29"/>
        <n v="19"/>
        <n v="70"/>
        <n v="105"/>
        <n v="8"/>
        <n v="14"/>
        <n v="0"/>
        <n v="47"/>
        <n v="16"/>
        <n v="1"/>
        <n v="46"/>
        <n v="50"/>
        <n v="7"/>
        <n v="6"/>
        <n v="4"/>
        <n v="83"/>
        <n v="98"/>
        <n v="3"/>
        <n v="74"/>
        <n v="62"/>
        <n v="90"/>
        <n v="41"/>
        <n v="35"/>
        <n v="110"/>
        <n v="71"/>
        <n v="54"/>
        <n v="37"/>
        <n v="28"/>
        <n v="88"/>
        <n v="66"/>
        <n v="89"/>
        <n v="49"/>
        <n v="5"/>
        <n v="99"/>
        <n v="22"/>
        <n v="152"/>
        <n v="407"/>
        <n v="15"/>
        <n v="496"/>
        <n v="30"/>
        <n v="72"/>
        <n v="44"/>
        <n v="163"/>
        <n v="563"/>
        <n v="186"/>
        <n v="21"/>
        <n v="65"/>
        <n v="17"/>
        <n v="256"/>
        <n v="128"/>
        <n v="307"/>
        <n v="76"/>
        <n v="334"/>
        <n v="42"/>
        <n v="13"/>
        <n v="18"/>
        <n v="25"/>
        <n v="34"/>
        <n v="741"/>
        <n v="1235"/>
        <n v="347"/>
        <n v="59"/>
        <n v="23"/>
        <n v="1071"/>
        <n v="825"/>
        <n v="104"/>
        <n v="520"/>
        <n v="51"/>
        <n v="122"/>
        <n v="368"/>
        <n v="113"/>
        <n v="26"/>
        <n v="109"/>
        <n v="226"/>
        <n v="82"/>
        <n v="150"/>
        <n v="449"/>
        <n v="55"/>
        <n v="75"/>
        <n v="97"/>
        <n v="182"/>
        <n v="292"/>
        <n v="413"/>
        <n v="45"/>
        <n v="168"/>
        <n v="63"/>
        <n v="58"/>
        <n v="68"/>
        <n v="173"/>
        <n v="176"/>
        <n v="92"/>
        <n v="61"/>
        <n v="175"/>
        <n v="60"/>
        <n v="118"/>
        <n v="159"/>
        <n v="158"/>
        <n v="52"/>
        <n v="57"/>
        <n v="141"/>
        <n v="106"/>
        <n v="302"/>
        <n v="87"/>
        <n v="39"/>
        <n v="133"/>
        <n v="81"/>
        <n v="185"/>
        <n v="215"/>
        <n v="180"/>
        <n v="67"/>
        <n v="79"/>
        <n v="114"/>
        <n v="95"/>
        <n v="228"/>
        <n v="238"/>
        <n v="252"/>
        <n v="9"/>
        <n v="38"/>
        <n v="84"/>
        <n v="80"/>
        <n v="275"/>
        <n v="289"/>
        <n v="187"/>
        <n v="107"/>
        <n v="165"/>
        <n v="360"/>
        <n v="371"/>
        <n v="303"/>
        <n v="408"/>
        <n v="507"/>
        <n v="56"/>
        <n v="221"/>
        <n v="518"/>
        <n v="234"/>
        <n v="121"/>
        <n v="202"/>
        <n v="151"/>
        <n v="112"/>
        <n v="40"/>
        <n v="27"/>
        <n v="78"/>
        <n v="73"/>
        <n v="273"/>
        <n v="86"/>
        <n v="284"/>
        <n v="397"/>
        <n v="492"/>
        <n v="267"/>
        <n v="243"/>
        <n v="116"/>
        <n v="77"/>
        <n v="160"/>
        <n v="24"/>
        <n v="102"/>
        <n v="244"/>
        <n v="108"/>
        <n v="131"/>
        <n v="130"/>
        <n v="193"/>
        <n v="195"/>
        <n v="123"/>
        <n v="143"/>
        <n v="93"/>
        <n v="48"/>
        <n v="338"/>
        <n v="153"/>
        <n v="166"/>
        <n v="64"/>
        <n v="10"/>
        <n v="237"/>
        <n v="161"/>
        <n v="174"/>
        <n v="196"/>
        <n v="183"/>
        <n v="69"/>
        <n v="119"/>
        <n v="31"/>
        <n v="33"/>
        <n v="101"/>
        <n v="129"/>
        <n v="147"/>
        <n v="421"/>
        <n v="879"/>
        <n v="487"/>
        <n v="223"/>
        <n v="-1"/>
        <n v="115"/>
        <n v="140"/>
        <n v="94"/>
        <n v="278"/>
        <n v="190"/>
        <n v="117"/>
        <n v="192"/>
        <n v="169"/>
        <n v="43"/>
        <n v="389"/>
        <n v="132"/>
        <n v="456"/>
        <n v="96"/>
        <n v="856"/>
        <n v="719"/>
        <n v="111"/>
        <n v="199"/>
        <n v="139"/>
        <n v="136"/>
        <n v="100"/>
        <n v="135"/>
        <n v="315"/>
        <n v="230"/>
        <n v="287"/>
        <n v="125"/>
        <n v="254"/>
        <n v="311"/>
        <n v="191"/>
        <n v="194"/>
        <n v="178"/>
        <n v="481"/>
        <n v="8283"/>
        <n v="198"/>
        <n v="179"/>
        <n v="779"/>
        <n v="1000"/>
        <n v="1285"/>
        <n v="943"/>
        <n v="227"/>
        <n v="154"/>
        <n v="126"/>
        <n v="189"/>
        <n v="148"/>
        <n v="314"/>
        <n v="343"/>
        <n v="224"/>
        <n v="53"/>
        <n v="318"/>
        <n v="384"/>
        <n v="200"/>
        <n v="146"/>
        <n v="220"/>
        <n v="188"/>
        <n v="138"/>
        <n v="249"/>
        <n v="263"/>
        <n v="240"/>
        <m/>
      </sharedItems>
    </cacheField>
    <cacheField name="评论" numFmtId="0">
      <sharedItems containsString="0" containsBlank="1" containsNumber="1" containsInteger="1" minValue="0" maxValue="152" count="28">
        <n v="2"/>
        <n v="1"/>
        <n v="0"/>
        <n v="4"/>
        <n v="8"/>
        <n v="7"/>
        <n v="6"/>
        <n v="3"/>
        <n v="10"/>
        <n v="21"/>
        <n v="5"/>
        <n v="9"/>
        <n v="16"/>
        <n v="22"/>
        <n v="70"/>
        <n v="11"/>
        <n v="31"/>
        <n v="152"/>
        <n v="53"/>
        <n v="12"/>
        <n v="28"/>
        <n v="17"/>
        <n v="20"/>
        <n v="19"/>
        <n v="145"/>
        <n v="43"/>
        <n v="13"/>
        <m/>
      </sharedItems>
    </cacheField>
    <cacheField name="收藏" numFmtId="0">
      <sharedItems containsString="0" containsBlank="1" containsNumber="1" containsInteger="1" minValue="-1" maxValue="4196" count="178">
        <n v="67"/>
        <n v="15"/>
        <n v="10"/>
        <n v="36"/>
        <n v="14"/>
        <n v="42"/>
        <n v="116"/>
        <n v="11"/>
        <n v="6"/>
        <n v="34"/>
        <n v="16"/>
        <n v="76"/>
        <n v="62"/>
        <n v="24"/>
        <n v="0"/>
        <n v="45"/>
        <n v="37"/>
        <n v="19"/>
        <n v="44"/>
        <n v="4"/>
        <n v="5"/>
        <n v="41"/>
        <n v="7"/>
        <n v="18"/>
        <n v="1"/>
        <n v="40"/>
        <n v="43"/>
        <n v="56"/>
        <n v="30"/>
        <n v="33"/>
        <n v="39"/>
        <n v="20"/>
        <n v="53"/>
        <n v="21"/>
        <n v="48"/>
        <n v="47"/>
        <n v="22"/>
        <n v="55"/>
        <n v="28"/>
        <n v="25"/>
        <n v="70"/>
        <n v="121"/>
        <n v="3"/>
        <n v="239"/>
        <n v="224"/>
        <n v="13"/>
        <n v="68"/>
        <n v="366"/>
        <n v="156"/>
        <n v="9"/>
        <n v="2"/>
        <n v="245"/>
        <n v="177"/>
        <n v="46"/>
        <n v="269"/>
        <n v="31"/>
        <n v="689"/>
        <n v="144"/>
        <n v="86"/>
        <n v="206"/>
        <n v="994"/>
        <n v="65"/>
        <n v="833"/>
        <n v="90"/>
        <n v="129"/>
        <n v="80"/>
        <n v="306"/>
        <n v="100"/>
        <n v="63"/>
        <n v="167"/>
        <n v="140"/>
        <n v="60"/>
        <n v="141"/>
        <n v="23"/>
        <n v="168"/>
        <n v="169"/>
        <n v="150"/>
        <n v="201"/>
        <n v="114"/>
        <n v="26"/>
        <n v="231"/>
        <n v="88"/>
        <n v="109"/>
        <n v="133"/>
        <n v="32"/>
        <n v="27"/>
        <n v="119"/>
        <n v="17"/>
        <n v="163"/>
        <n v="29"/>
        <n v="8"/>
        <n v="12"/>
        <n v="35"/>
        <n v="186"/>
        <n v="181"/>
        <n v="75"/>
        <n v="128"/>
        <n v="229"/>
        <n v="331"/>
        <n v="85"/>
        <n v="95"/>
        <n v="428"/>
        <n v="617"/>
        <n v="-1"/>
        <n v="148"/>
        <n v="362"/>
        <n v="166"/>
        <n v="139"/>
        <n v="89"/>
        <n v="176"/>
        <n v="319"/>
        <n v="228"/>
        <n v="204"/>
        <n v="425"/>
        <n v="209"/>
        <n v="242"/>
        <n v="101"/>
        <n v="127"/>
        <n v="202"/>
        <n v="61"/>
        <n v="102"/>
        <n v="83"/>
        <n v="78"/>
        <n v="106"/>
        <n v="104"/>
        <n v="82"/>
        <n v="69"/>
        <n v="118"/>
        <n v="113"/>
        <n v="221"/>
        <n v="123"/>
        <n v="134"/>
        <n v="57"/>
        <n v="51"/>
        <n v="77"/>
        <n v="79"/>
        <n v="54"/>
        <n v="107"/>
        <n v="73"/>
        <n v="117"/>
        <n v="74"/>
        <n v="66"/>
        <n v="58"/>
        <n v="323"/>
        <n v="81"/>
        <n v="257"/>
        <n v="631"/>
        <n v="50"/>
        <n v="1178"/>
        <n v="937"/>
        <n v="94"/>
        <n v="164"/>
        <n v="225"/>
        <n v="195"/>
        <n v="234"/>
        <n v="52"/>
        <n v="38"/>
        <n v="215"/>
        <n v="49"/>
        <n v="92"/>
        <n v="112"/>
        <n v="162"/>
        <n v="4196"/>
        <n v="433"/>
        <n v="192"/>
        <n v="267"/>
        <n v="383"/>
        <n v="460"/>
        <n v="103"/>
        <n v="71"/>
        <n v="64"/>
        <n v="120"/>
        <n v="108"/>
        <n v="125"/>
        <n v="255"/>
        <n v="99"/>
        <n v="84"/>
        <m/>
      </sharedItems>
    </cacheField>
    <cacheField name="关注" numFmtId="0">
      <sharedItems containsString="0" containsBlank="1" containsNumber="1" containsInteger="1" minValue="-1" maxValue="688" count="65">
        <n v="3"/>
        <n v="4"/>
        <n v="19"/>
        <n v="0"/>
        <n v="5"/>
        <n v="1"/>
        <n v="9"/>
        <n v="16"/>
        <n v="12"/>
        <n v="8"/>
        <n v="10"/>
        <n v="2"/>
        <n v="6"/>
        <n v="7"/>
        <n v="14"/>
        <n v="35"/>
        <n v="30"/>
        <n v="13"/>
        <n v="18"/>
        <n v="46"/>
        <n v="25"/>
        <n v="39"/>
        <n v="22"/>
        <n v="70"/>
        <n v="108"/>
        <n v="256"/>
        <n v="24"/>
        <n v="192"/>
        <n v="184"/>
        <n v="44"/>
        <n v="104"/>
        <n v="26"/>
        <n v="15"/>
        <n v="27"/>
        <n v="52"/>
        <n v="17"/>
        <n v="94"/>
        <n v="61"/>
        <n v="91"/>
        <n v="38"/>
        <n v="21"/>
        <n v="64"/>
        <n v="20"/>
        <n v="34"/>
        <n v="28"/>
        <n v="32"/>
        <n v="56"/>
        <n v="31"/>
        <n v="36"/>
        <n v="121"/>
        <n v="41"/>
        <n v="11"/>
        <n v="50"/>
        <n v="48"/>
        <n v="29"/>
        <n v="37"/>
        <n v="-1"/>
        <n v="62"/>
        <n v="58"/>
        <n v="688"/>
        <n v="93"/>
        <n v="255"/>
        <n v="23"/>
        <n v="73"/>
        <m/>
      </sharedItems>
    </cacheField>
    <cacheField name="分享" numFmtId="0">
      <sharedItems containsString="0" containsBlank="1" containsNumber="1" containsInteger="1" minValue="0" maxValue="263" count="45">
        <n v="4"/>
        <n v="2"/>
        <n v="1"/>
        <n v="0"/>
        <n v="3"/>
        <n v="9"/>
        <n v="8"/>
        <n v="7"/>
        <n v="6"/>
        <n v="17"/>
        <n v="43"/>
        <n v="26"/>
        <n v="16"/>
        <n v="10"/>
        <n v="19"/>
        <n v="24"/>
        <n v="46"/>
        <n v="47"/>
        <n v="103"/>
        <n v="87"/>
        <n v="49"/>
        <n v="23"/>
        <n v="22"/>
        <n v="5"/>
        <n v="11"/>
        <n v="21"/>
        <n v="15"/>
        <n v="12"/>
        <n v="20"/>
        <n v="14"/>
        <n v="13"/>
        <n v="48"/>
        <n v="34"/>
        <n v="18"/>
        <n v="66"/>
        <n v="28"/>
        <n v="27"/>
        <n v="45"/>
        <n v="90"/>
        <n v="263"/>
        <n v="36"/>
        <n v="25"/>
        <n v="146"/>
        <n v="30"/>
        <m/>
      </sharedItems>
    </cacheField>
    <cacheField name="互动量" numFmtId="0">
      <sharedItems containsString="0" containsBlank="1" containsNumber="1" containsInteger="1" minValue="-1" maxValue="13575" count="342">
        <n v="213"/>
        <n v="42"/>
        <n v="26"/>
        <n v="94"/>
        <n v="49"/>
        <n v="132"/>
        <n v="288"/>
        <n v="28"/>
        <n v="8"/>
        <n v="73"/>
        <n v="35"/>
        <n v="165"/>
        <n v="172"/>
        <n v="16"/>
        <n v="55"/>
        <n v="0"/>
        <n v="104"/>
        <n v="123"/>
        <n v="37"/>
        <n v="43"/>
        <n v="1"/>
        <n v="98"/>
        <n v="14"/>
        <n v="18"/>
        <n v="30"/>
        <n v="134"/>
        <n v="12"/>
        <n v="2"/>
        <n v="125"/>
        <n v="164"/>
        <n v="11"/>
        <n v="7"/>
        <n v="137"/>
        <n v="106"/>
        <n v="97"/>
        <n v="91"/>
        <n v="59"/>
        <n v="10"/>
        <n v="170"/>
        <n v="119"/>
        <n v="141"/>
        <n v="74"/>
        <n v="50"/>
        <n v="139"/>
        <n v="157"/>
        <n v="82"/>
        <n v="77"/>
        <n v="15"/>
        <n v="40"/>
        <n v="181"/>
        <n v="13"/>
        <n v="24"/>
        <n v="52"/>
        <n v="229"/>
        <n v="211"/>
        <n v="708"/>
        <n v="19"/>
        <n v="44"/>
        <n v="814"/>
        <n v="110"/>
        <n v="76"/>
        <n v="261"/>
        <n v="1017"/>
        <n v="387"/>
        <n v="60"/>
        <n v="118"/>
        <n v="57"/>
        <n v="67"/>
        <n v="9"/>
        <n v="36"/>
        <n v="3"/>
        <n v="569"/>
        <n v="345"/>
        <n v="512"/>
        <n v="160"/>
        <n v="5"/>
        <n v="673"/>
        <n v="58"/>
        <n v="17"/>
        <n v="68"/>
        <n v="1615"/>
        <n v="1834"/>
        <n v="202"/>
        <n v="4"/>
        <n v="593"/>
        <n v="34"/>
        <n v="79"/>
        <n v="39"/>
        <n v="2413"/>
        <n v="169"/>
        <n v="90"/>
        <n v="1941"/>
        <n v="185"/>
        <n v="6"/>
        <n v="1007"/>
        <n v="86"/>
        <n v="156"/>
        <n v="588"/>
        <n v="297"/>
        <n v="100"/>
        <n v="196"/>
        <n v="41"/>
        <n v="148"/>
        <n v="316"/>
        <n v="114"/>
        <n v="121"/>
        <n v="224"/>
        <n v="821"/>
        <n v="240"/>
        <n v="83"/>
        <n v="176"/>
        <n v="267"/>
        <n v="514"/>
        <n v="536"/>
        <n v="65"/>
        <n v="442"/>
        <n v="107"/>
        <n v="105"/>
        <n v="339"/>
        <n v="215"/>
        <n v="259"/>
        <n v="88"/>
        <n v="108"/>
        <n v="359"/>
        <n v="138"/>
        <n v="129"/>
        <n v="385"/>
        <n v="168"/>
        <n v="336"/>
        <n v="489"/>
        <n v="99"/>
        <n v="85"/>
        <n v="281"/>
        <n v="151"/>
        <n v="189"/>
        <n v="572"/>
        <n v="247"/>
        <n v="287"/>
        <n v="66"/>
        <n v="20"/>
        <n v="195"/>
        <n v="326"/>
        <n v="128"/>
        <n v="146"/>
        <n v="166"/>
        <n v="96"/>
        <n v="413"/>
        <n v="327"/>
        <n v="33"/>
        <n v="31"/>
        <n v="89"/>
        <n v="159"/>
        <n v="303"/>
        <n v="178"/>
        <n v="29"/>
        <n v="443"/>
        <n v="54"/>
        <n v="448"/>
        <n v="408"/>
        <n v="192"/>
        <n v="171"/>
        <n v="526"/>
        <n v="655"/>
        <n v="354"/>
        <n v="81"/>
        <n v="25"/>
        <n v="71"/>
        <n v="235"/>
        <n v="124"/>
        <n v="300"/>
        <n v="32"/>
        <n v="93"/>
        <n v="216"/>
        <n v="604"/>
        <n v="858"/>
        <n v="117"/>
        <n v="577"/>
        <n v="761"/>
        <n v="47"/>
        <n v="112"/>
        <n v="142"/>
        <n v="1201"/>
        <n v="102"/>
        <n v="394"/>
        <n v="952"/>
        <n v="425"/>
        <n v="180"/>
        <n v="358"/>
        <n v="161"/>
        <n v="269"/>
        <n v="217"/>
        <n v="48"/>
        <n v="120"/>
        <n v="145"/>
        <n v="456"/>
        <n v="84"/>
        <n v="769"/>
        <n v="122"/>
        <n v="546"/>
        <n v="533"/>
        <n v="95"/>
        <n v="135"/>
        <n v="771"/>
        <n v="109"/>
        <n v="972"/>
        <n v="527"/>
        <n v="242"/>
        <n v="311"/>
        <n v="38"/>
        <n v="183"/>
        <n v="488"/>
        <n v="197"/>
        <n v="177"/>
        <n v="225"/>
        <n v="190"/>
        <n v="279"/>
        <n v="390"/>
        <n v="239"/>
        <n v="222"/>
        <n v="347"/>
        <n v="230"/>
        <n v="234"/>
        <n v="294"/>
        <n v="274"/>
        <n v="228"/>
        <n v="329"/>
        <n v="174"/>
        <n v="75"/>
        <n v="658"/>
        <n v="307"/>
        <n v="173"/>
        <n v="116"/>
        <n v="70"/>
        <n v="251"/>
        <n v="113"/>
        <n v="250"/>
        <n v="298"/>
        <n v="252"/>
        <n v="64"/>
        <n v="127"/>
        <n v="115"/>
        <n v="56"/>
        <n v="163"/>
        <n v="45"/>
        <n v="62"/>
        <n v="101"/>
        <n v="299"/>
        <n v="111"/>
        <n v="103"/>
        <n v="51"/>
        <n v="130"/>
        <n v="143"/>
        <n v="133"/>
        <n v="179"/>
        <n v="517"/>
        <n v="1076"/>
        <n v="589"/>
        <n v="149"/>
        <n v="268"/>
        <n v="-1"/>
        <n v="153"/>
        <n v="53"/>
        <n v="301"/>
        <n v="220"/>
        <n v="409"/>
        <n v="92"/>
        <n v="147"/>
        <n v="188"/>
        <n v="126"/>
        <n v="280"/>
        <n v="254"/>
        <n v="199"/>
        <n v="757"/>
        <n v="1151"/>
        <n v="167"/>
        <n v="22"/>
        <n v="131"/>
        <n v="2142"/>
        <n v="1758"/>
        <n v="175"/>
        <n v="260"/>
        <n v="72"/>
        <n v="63"/>
        <n v="227"/>
        <n v="23"/>
        <n v="21"/>
        <n v="209"/>
        <n v="353"/>
        <n v="321"/>
        <n v="576"/>
        <n v="451"/>
        <n v="382"/>
        <n v="624"/>
        <n v="182"/>
        <n v="310"/>
        <n v="27"/>
        <n v="372"/>
        <n v="289"/>
        <n v="253"/>
        <n v="431"/>
        <n v="162"/>
        <n v="352"/>
        <n v="136"/>
        <n v="69"/>
        <n v="154"/>
        <n v="361"/>
        <n v="237"/>
        <n v="13575"/>
        <n v="974"/>
        <n v="420"/>
        <n v="308"/>
        <n v="1149"/>
        <n v="1507"/>
        <n v="2696"/>
        <n v="1498"/>
        <n v="305"/>
        <n v="272"/>
        <n v="334"/>
        <n v="204"/>
        <n v="207"/>
        <n v="368"/>
        <n v="231"/>
        <n v="370"/>
        <n v="203"/>
        <n v="367"/>
        <n v="469"/>
        <n v="459"/>
        <n v="61"/>
        <n v="78"/>
        <n v="200"/>
        <n v="458"/>
        <n v="679"/>
        <n v="332"/>
        <n v="208"/>
        <n v="312"/>
        <n v="257"/>
        <n v="337"/>
        <n v="187"/>
        <n v="374"/>
        <n v="286"/>
        <n v="333"/>
        <m/>
      </sharedItems>
    </cacheField>
    <cacheField name="平均互动成本" numFmtId="0">
      <sharedItems containsString="0" containsBlank="1" containsNumber="1" minValue="0" maxValue="362.25" count="649">
        <n v="2.52"/>
        <n v="2.87"/>
        <n v="2.39"/>
        <n v="1.99"/>
        <n v="3.56"/>
        <n v="2.18"/>
        <n v="1.57"/>
        <n v="2.63"/>
        <n v="3.63"/>
        <n v="2.54"/>
        <n v="2.02"/>
        <n v="1.82"/>
        <n v="1.32"/>
        <n v="2.94"/>
        <n v="1.69"/>
        <n v="0"/>
        <n v="1.67"/>
        <n v="2.25"/>
        <n v="2.26"/>
        <n v="1.58"/>
        <n v="2.34"/>
        <n v="1.15"/>
        <n v="2.28"/>
        <n v="0.94"/>
        <n v="1.21"/>
        <n v="2.13"/>
        <n v="5.42"/>
        <n v="8.03"/>
        <n v="3.86"/>
        <n v="30.37"/>
        <n v="1.5"/>
        <n v="1.79"/>
        <n v="5.17"/>
        <n v="15.37"/>
        <n v="2.9"/>
        <n v="1.37"/>
        <n v="4.43"/>
        <n v="2.91"/>
        <n v="2.07"/>
        <n v="8.65"/>
        <n v="10.63"/>
        <n v="1.09"/>
        <n v="4.45"/>
        <n v="2.32"/>
        <n v="1.95"/>
        <n v="5.47"/>
        <n v="10.05"/>
        <n v="11.47"/>
        <n v="4.69"/>
        <n v="1.76"/>
        <n v="5.3"/>
        <n v="9.05"/>
        <n v="5.45"/>
        <n v="3.21"/>
        <n v="2.73"/>
        <n v="11.28"/>
        <n v="5.31"/>
        <n v="1.27"/>
        <n v="10.47"/>
        <n v="13.77"/>
        <n v="8.87"/>
        <n v="2.7"/>
        <n v="2.59"/>
        <n v="8.92"/>
        <n v="1.53"/>
        <n v="11.13"/>
        <n v="1.54"/>
        <n v="2.12"/>
        <n v="3.07"/>
        <n v="2.01"/>
        <n v="6.06"/>
        <n v="2.6"/>
        <n v="13.36"/>
        <n v="2.92"/>
        <n v="19.82"/>
        <n v="1.97"/>
        <n v="3.65"/>
        <n v="0.2"/>
        <n v="5.69"/>
        <n v="9.76"/>
        <n v="15.33"/>
        <n v="6.35"/>
        <n v="1.52"/>
        <n v="2.44"/>
        <n v="2.27"/>
        <n v="4.39"/>
        <n v="3.91"/>
        <n v="10.95"/>
        <n v="40.89"/>
        <n v="31.22"/>
        <n v="3.33"/>
        <n v="8.78"/>
        <n v="9.63"/>
        <n v="7.67"/>
        <n v="14.86"/>
        <n v="2.48"/>
        <n v="5.5"/>
        <n v="2.2"/>
        <n v="10.06"/>
        <n v="75.53"/>
        <n v="3.22"/>
        <n v="6.69"/>
        <n v="5.23"/>
        <n v="13.74"/>
        <n v="3.34"/>
        <n v="3.24"/>
        <n v="11.93"/>
        <n v="43.44"/>
        <n v="11.24"/>
        <n v="4.18"/>
        <n v="10.96"/>
        <n v="50.4"/>
        <n v="3.99"/>
        <n v="5.4"/>
        <n v="6.16"/>
        <n v="3.35"/>
        <n v="3.08"/>
        <n v="1.81"/>
        <n v="11.39"/>
        <n v="5.11"/>
        <n v="8.34"/>
        <n v="12.59"/>
        <n v="6.82"/>
        <n v="43.33"/>
        <n v="1.04"/>
        <n v="1.9"/>
        <n v="9.99"/>
        <n v="4.12"/>
        <n v="6.53"/>
        <n v="2.41"/>
        <n v="5.39"/>
        <n v="8.41"/>
        <n v="1.94"/>
        <n v="5.62"/>
        <n v="5.7"/>
        <n v="6.83"/>
        <n v="1.7"/>
        <n v="11.4"/>
        <n v="1.59"/>
        <n v="7.14"/>
        <n v="4.64"/>
        <n v="8.2"/>
        <n v="2.14"/>
        <n v="2.06"/>
        <n v="1.51"/>
        <n v="5.71"/>
        <n v="6.58"/>
        <n v="2.56"/>
        <n v="6.52"/>
        <n v="1.87"/>
        <n v="5.26"/>
        <n v="7.39"/>
        <n v="2.45"/>
        <n v="1.77"/>
        <n v="5.68"/>
        <n v="2.86"/>
        <n v="2.03"/>
        <n v="6.92"/>
        <n v="3.18"/>
        <n v="6.77"/>
        <n v="5.32"/>
        <n v="76.38"/>
        <n v="7.64"/>
        <n v="2.64"/>
        <n v="8.06"/>
        <n v="3.52"/>
        <n v="7.71"/>
        <n v="4.27"/>
        <n v="9.88"/>
        <n v="12.55"/>
        <n v="6.11"/>
        <n v="98.97"/>
        <n v="9.71"/>
        <n v="4.16"/>
        <n v="2.98"/>
        <n v="8.05"/>
        <n v="3.93"/>
        <n v="31.78"/>
        <n v="6.96"/>
        <n v="17.75"/>
        <n v="1.48"/>
        <n v="13.59"/>
        <n v="15.77"/>
        <n v="3.09"/>
        <n v="77.66"/>
        <n v="8.79"/>
        <n v="3.82"/>
        <n v="2.57"/>
        <n v="5.06"/>
        <n v="31.16"/>
        <n v="14.79"/>
        <n v="0.17"/>
        <n v="18.26"/>
        <n v="17.37"/>
        <n v="2.89"/>
        <n v="2.83"/>
        <n v="17.56"/>
        <n v="1.14"/>
        <n v="53.75"/>
        <n v="8.93"/>
        <n v="8.33"/>
        <n v="3.61"/>
        <n v="34.93"/>
        <n v="19.7"/>
        <n v="14.93"/>
        <n v="27.33"/>
        <n v="2.66"/>
        <n v="2.99"/>
        <n v="2.08"/>
        <n v="2.78"/>
        <n v="1.26"/>
        <n v="0.9"/>
        <n v="0.77"/>
        <n v="1.42"/>
        <n v="6.24"/>
        <n v="103.83"/>
        <n v="2.33"/>
        <n v="7"/>
        <n v="35.01"/>
        <n v="14.88"/>
        <n v="23.12"/>
        <n v="28.67"/>
        <n v="2.17"/>
        <n v="1.19"/>
        <n v="2.5"/>
        <n v="0.55"/>
        <n v="0.78"/>
        <n v="64.33"/>
        <n v="4.05"/>
        <n v="3.36"/>
        <n v="38.77"/>
        <n v="11.26"/>
        <n v="24.69"/>
        <n v="22.02"/>
        <n v="2.37"/>
        <n v="1.68"/>
        <n v="0.59"/>
        <n v="4.85"/>
        <n v="46.83"/>
        <n v="6.48"/>
        <n v="2.72"/>
        <n v="3.17"/>
        <n v="55.1"/>
        <n v="11.73"/>
        <n v="19.37"/>
        <n v="18.12"/>
        <n v="2.77"/>
        <n v="0.66"/>
        <n v="4.94"/>
        <n v="2.95"/>
        <n v="1.6"/>
        <n v="0.48"/>
        <n v="1.78"/>
        <n v="104.15"/>
        <n v="10.97"/>
        <n v="4.92"/>
        <n v="8.4"/>
        <n v="10.57"/>
        <n v="6.43"/>
        <n v="1.83"/>
        <n v="4.28"/>
        <n v="1.24"/>
        <n v="6.01"/>
        <n v="1.16"/>
        <n v="6.95"/>
        <n v="1.65"/>
        <n v="13.28"/>
        <n v="1.86"/>
        <n v="0.96"/>
        <n v="1.88"/>
        <n v="2.31"/>
        <n v="15.9"/>
        <n v="12.61"/>
        <n v="18.05"/>
        <n v="12.69"/>
        <n v="54.01"/>
        <n v="14.42"/>
        <n v="20.96"/>
        <n v="66.39"/>
        <n v="3.69"/>
        <n v="104.85"/>
        <n v="23.84"/>
        <n v="52.79"/>
        <n v="1.12"/>
        <n v="3.96"/>
        <n v="3.92"/>
        <n v="3.38"/>
        <n v="1.8"/>
        <n v="4.11"/>
        <n v="5.25"/>
        <n v="1.84"/>
        <n v="5.02"/>
        <n v="4.55"/>
        <n v="3.25"/>
        <n v="2.85"/>
        <n v="1.18"/>
        <n v="7.17"/>
        <n v="7.56"/>
        <n v="1.92"/>
        <n v="9.17"/>
        <n v="22.23"/>
        <n v="5.49"/>
        <n v="1.62"/>
        <n v="5.51"/>
        <n v="7.91"/>
        <n v="16.8"/>
        <n v="1.61"/>
        <n v="13.88"/>
        <n v="6.18"/>
        <n v="10.37"/>
        <n v="10.45"/>
        <n v="16.78"/>
        <n v="2.65"/>
        <n v="1.74"/>
        <n v="4.13"/>
        <n v="2.11"/>
        <n v="2.88"/>
        <n v="2.1"/>
        <n v="3.37"/>
        <n v="4.83"/>
        <n v="3.1"/>
        <n v="4.32"/>
        <n v="6.89"/>
        <n v="2.67"/>
        <n v="4.23"/>
        <n v="5.16"/>
        <n v="13.01"/>
        <n v="7.88"/>
        <n v="3.3"/>
        <n v="44.33"/>
        <n v="16.95"/>
        <n v="8.26"/>
        <n v="7.69"/>
        <n v="36.77"/>
        <n v="6.97"/>
        <n v="4.98"/>
        <n v="76.04"/>
        <n v="13.05"/>
        <n v="8.52"/>
        <n v="6.84"/>
        <n v="12.12"/>
        <n v="6.32"/>
        <n v="5.77"/>
        <n v="13.94"/>
        <n v="5.48"/>
        <n v="4.51"/>
        <n v="9.87"/>
        <n v="69.06"/>
        <n v="8.77"/>
        <n v="4.8"/>
        <n v="6.47"/>
        <n v="136.9"/>
        <n v="6.34"/>
        <n v="6.63"/>
        <n v="127.96"/>
        <n v="43.81"/>
        <n v="3.12"/>
        <n v="9.19"/>
        <n v="4.01"/>
        <n v="4.95"/>
        <n v="4.54"/>
        <n v="4.59"/>
        <n v="57.81"/>
        <n v="6.25"/>
        <n v="4.04"/>
        <n v="14.66"/>
        <n v="6.14"/>
        <n v="4.36"/>
        <n v="17.59"/>
        <n v="5.8"/>
        <n v="16.59"/>
        <n v="4"/>
        <n v="7.89"/>
        <n v="7.52"/>
        <n v="16.39"/>
        <n v="7.1"/>
        <n v="6.73"/>
        <n v="3.54"/>
        <n v="15.52"/>
        <n v="4.87"/>
        <n v="5.58"/>
        <n v="5.03"/>
        <n v="12.44"/>
        <n v="5.29"/>
        <n v="32.76"/>
        <n v="3.14"/>
        <n v="10.64"/>
        <n v="4.41"/>
        <n v="15.92"/>
        <n v="5.91"/>
        <n v="4.35"/>
        <n v="2.22"/>
        <n v="16.53"/>
        <n v="7.02"/>
        <n v="3.13"/>
        <n v="6.93"/>
        <n v="12.47"/>
        <n v="3"/>
        <n v="11.78"/>
        <n v="7.72"/>
        <n v="20.09"/>
        <n v="9.25"/>
        <n v="3.16"/>
        <n v="3.76"/>
        <n v="6.85"/>
        <n v="17.76"/>
        <n v="8.02"/>
        <n v="4.82"/>
        <n v="7.45"/>
        <n v="12.52"/>
        <n v="13.84"/>
        <n v="5.83"/>
        <n v="4.44"/>
        <n v="16.01"/>
        <n v="4.86"/>
        <n v="3.01"/>
        <n v="9.64"/>
        <n v="17.7"/>
        <n v="4.1"/>
        <n v="5.28"/>
        <n v="4.93"/>
        <n v="3.53"/>
        <n v="2.81"/>
        <n v="7.57"/>
        <n v="4.66"/>
        <n v="2.82"/>
        <n v="3.88"/>
        <n v="4.88"/>
        <n v="3.32"/>
        <n v="4.46"/>
        <n v="8.68"/>
        <n v="3.4"/>
        <n v="3.81"/>
        <n v="5.6"/>
        <n v="8.5"/>
        <n v="33.45"/>
        <n v="9.42"/>
        <n v="10.7"/>
        <n v="4.89"/>
        <n v="1.66"/>
        <n v="6.1"/>
        <n v="3.2"/>
        <n v="16.05"/>
        <n v="12.49"/>
        <n v="34.38"/>
        <n v="16.19"/>
        <n v="56"/>
        <n v="14.56"/>
        <n v="27.82"/>
        <n v="15.18"/>
        <n v="52.39"/>
        <n v="20.36"/>
        <n v="45.5"/>
        <n v="16.92"/>
        <n v="34.11"/>
        <n v="15.58"/>
        <n v="51.44"/>
        <n v="14.22"/>
        <n v="22.24"/>
        <n v="9.61"/>
        <n v="9.13"/>
        <n v="10.07"/>
        <n v="16.51"/>
        <n v="16.54"/>
        <n v="7.34"/>
        <n v="4.07"/>
        <n v="16.08"/>
        <n v="26.18"/>
        <n v="18.7"/>
        <n v="106.33"/>
        <n v="4.77"/>
        <n v="19.31"/>
        <n v="6.66"/>
        <n v="5.96"/>
        <n v="5.01"/>
        <n v="5.66"/>
        <n v="4.71"/>
        <n v="17.92"/>
        <n v="4.76"/>
        <n v="4.81"/>
        <n v="3.87"/>
        <n v="3.44"/>
        <n v="2.36"/>
        <n v="7.07"/>
        <n v="7.25"/>
        <n v="7.77"/>
        <n v="3.45"/>
        <n v="1.33"/>
        <n v="7.92"/>
        <n v="0.95"/>
        <n v="1.47"/>
        <n v="9.36"/>
        <n v="0.74"/>
        <n v="96"/>
        <n v="26.58"/>
        <n v="7.78"/>
        <n v="126.27"/>
        <n v="0.49"/>
        <n v="30.82"/>
        <n v="30.58"/>
        <n v="7.58"/>
        <n v="30.71"/>
        <n v="80.76"/>
        <n v="5.88"/>
        <n v="27.16"/>
        <n v="80"/>
        <n v="7.75"/>
        <n v="151.96"/>
        <n v="9.07"/>
        <n v="21.6"/>
        <n v="108.61"/>
        <n v="2.74"/>
        <n v="3.7"/>
        <n v="190.29"/>
        <n v="44.75"/>
        <n v="2.84"/>
        <n v="100.83"/>
        <n v="0.4"/>
        <n v="16.76"/>
        <n v="34.89"/>
        <n v="26.89"/>
        <n v="45.2"/>
        <n v="17.27"/>
        <n v="26.26"/>
        <n v="34.57"/>
        <n v="3.03"/>
        <n v="75.85"/>
        <n v="33.84"/>
        <n v="6.09"/>
        <n v="11.29"/>
        <n v="12.06"/>
        <n v="119.04"/>
        <n v="163.03"/>
        <n v="62.2"/>
        <n v="47.07"/>
        <n v="2.42"/>
        <n v="5.55"/>
        <n v="1.45"/>
        <n v="8.01"/>
        <n v="218.47"/>
        <n v="7.96"/>
        <n v="36.3"/>
        <n v="75"/>
        <n v="2.46"/>
        <n v="10.84"/>
        <n v="6.05"/>
        <n v="5.07"/>
        <n v="1.36"/>
        <n v="7.23"/>
        <n v="71.08"/>
        <n v="9.09"/>
        <n v="69.94"/>
        <n v="54.67"/>
        <n v="16.27"/>
        <n v="0.57"/>
        <n v="1.44"/>
        <n v="0.86"/>
        <n v="25.21"/>
        <n v="20.28"/>
        <n v="12.36"/>
        <n v="2.43"/>
        <n v="13.54"/>
        <n v="6.72"/>
        <n v="1.02"/>
        <n v="1.85"/>
        <n v="2.09"/>
        <n v="3.23"/>
        <n v="5.61"/>
        <n v="5.75"/>
        <n v="16.23"/>
        <n v="67.91"/>
        <n v="8.64"/>
        <n v="15.54"/>
        <n v="15.81"/>
        <n v="15.74"/>
        <n v="6.98"/>
        <n v="11.48"/>
        <n v="50.56"/>
        <n v="37.89"/>
        <n v="3.84"/>
        <n v="21.74"/>
        <n v="9.7"/>
        <n v="9.48"/>
        <n v="8.13"/>
        <n v="20.86"/>
        <n v="18.65"/>
        <n v="6.86"/>
        <n v="10.56"/>
        <n v="34.31"/>
        <n v="29.69"/>
        <n v="82.56"/>
        <n v="32.81"/>
        <n v="0.84"/>
        <n v="38.99"/>
        <n v="28.75"/>
        <n v="6.2"/>
        <n v="10.92"/>
        <n v="63.73"/>
        <n v="3.29"/>
        <n v="4.31"/>
        <n v="23.47"/>
        <n v="3.72"/>
        <n v="7.36"/>
        <n v="15.43"/>
        <n v="11.07"/>
        <n v="28.39"/>
        <n v="116.23"/>
        <n v="8.43"/>
        <n v="24.51"/>
        <n v="8.57"/>
        <n v="1.4"/>
        <n v="9.45"/>
        <n v="15.83"/>
        <n v="18.39"/>
        <n v="3.43"/>
        <n v="1.63"/>
        <n v="33.52"/>
        <n v="12.35"/>
        <n v="34.97"/>
        <n v="1.13"/>
        <n v="2.19"/>
        <n v="3.95"/>
        <n v="2.96"/>
        <n v="2.49"/>
        <n v="1.41"/>
        <n v="4.06"/>
        <n v="1.49"/>
        <n v="6.39"/>
        <n v="0.44"/>
        <n v="2.21"/>
        <n v="9.18"/>
        <n v="7.26"/>
        <n v="7.09"/>
        <n v="55.06"/>
        <n v="20.2"/>
        <n v="3.11"/>
        <n v="102.06"/>
        <n v="51.26"/>
        <n v="33.85"/>
        <n v="4.53"/>
        <n v="4.03"/>
        <n v="63.59"/>
        <n v="4.47"/>
        <n v="3.9"/>
        <n v="4.7"/>
        <n v="62.27"/>
        <n v="362.25"/>
        <n v="8.44"/>
        <m/>
      </sharedItems>
    </cacheField>
    <cacheField name="行动按钮点击量" numFmtId="0">
      <sharedItems containsString="0" containsBlank="1" containsNumber="1" containsInteger="1" minValue="0" maxValue="52" count="42">
        <n v="0"/>
        <n v="2"/>
        <n v="1"/>
        <n v="7"/>
        <n v="10"/>
        <n v="9"/>
        <n v="25"/>
        <n v="37"/>
        <n v="12"/>
        <n v="19"/>
        <n v="26"/>
        <n v="22"/>
        <n v="36"/>
        <n v="3"/>
        <n v="4"/>
        <n v="11"/>
        <n v="6"/>
        <n v="17"/>
        <n v="5"/>
        <n v="28"/>
        <n v="14"/>
        <n v="27"/>
        <n v="31"/>
        <n v="16"/>
        <n v="34"/>
        <n v="18"/>
        <n v="32"/>
        <n v="8"/>
        <n v="35"/>
        <n v="39"/>
        <n v="38"/>
        <n v="23"/>
        <n v="45"/>
        <n v="41"/>
        <n v="52"/>
        <n v="51"/>
        <n v="49"/>
        <n v="29"/>
        <n v="13"/>
        <n v="15"/>
        <n v="21"/>
        <m/>
      </sharedItems>
    </cacheField>
    <cacheField name="行动按钮点击率" numFmtId="0">
      <sharedItems containsString="0" containsBlank="1" containsNumber="1" minValue="0" maxValue="16" count="120">
        <n v="0"/>
        <n v="0.0008"/>
        <n v="0.0002"/>
        <n v="0.0001"/>
        <n v="0.0005"/>
        <n v="0.0071"/>
        <n v="0.0007"/>
        <n v="0.0143"/>
        <n v="0.0161"/>
        <n v="0.0156"/>
        <n v="0.0068"/>
        <n v="0.0106"/>
        <n v="0.0088"/>
        <n v="0.0083"/>
        <n v="0.0095"/>
        <n v="0.0769"/>
        <n v="0.0288"/>
        <n v="0.0811"/>
        <n v="0.0124"/>
        <n v="0.0057"/>
        <n v="0.0385"/>
        <n v="0.011"/>
        <n v="0.008"/>
        <n v="0.0064"/>
        <n v="0.0034"/>
        <n v="0.0025"/>
        <n v="0.0036"/>
        <n v="0.0062"/>
        <n v="0.0045"/>
        <n v="0.0189"/>
        <n v="0.0048"/>
        <n v="0.1667"/>
        <n v="0.0032"/>
        <n v="0.0053"/>
        <n v="0.0044"/>
        <n v="0.0031"/>
        <n v="0.0087"/>
        <n v="0.0098"/>
        <n v="0.017"/>
        <n v="0.0207"/>
        <n v="0.0065"/>
        <n v="0.0104"/>
        <n v="0.0043"/>
        <n v="0.0055"/>
        <n v="0.0077"/>
        <n v="0.0017"/>
        <n v="0.0013"/>
        <n v="0.004"/>
        <n v="0.0066"/>
        <n v="0.0023"/>
        <n v="0.0255"/>
        <n v="0.013"/>
        <n v="0.0113"/>
        <n v="0.0117"/>
        <n v="0.0134"/>
        <n v="0.003"/>
        <n v="0.0152"/>
        <n v="0.0079"/>
        <n v="0.0129"/>
        <n v="0.0183"/>
        <n v="0.0139"/>
        <n v="0.0051"/>
        <n v="0.0121"/>
        <n v="0.0131"/>
        <n v="0.0142"/>
        <n v="0.0155"/>
        <n v="0.0308"/>
        <n v="0.0184"/>
        <n v="0.0209"/>
        <n v="0.0299"/>
        <n v="0.019"/>
        <n v="0.0166"/>
        <n v="0.0219"/>
        <n v="0.0181"/>
        <n v="0.0243"/>
        <n v="0.0099"/>
        <n v="0.012"/>
        <n v="0.005"/>
        <n v="0.0108"/>
        <n v="0.0092"/>
        <n v="0.0037"/>
        <n v="0.0029"/>
        <n v="0.0072"/>
        <n v="0.0126"/>
        <n v="0.0198"/>
        <n v="0.0115"/>
        <n v="0.0211"/>
        <n v="0.0281"/>
        <n v="0.001"/>
        <n v="0.0149"/>
        <n v="0.0377"/>
        <n v="0.009"/>
        <n v="0.0094"/>
        <n v="0.0089"/>
        <n v="0.0054"/>
        <n v="0.0006"/>
        <n v="0.0056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0.0073"/>
        <n v="0.0119"/>
        <n v="0.0067"/>
        <n v="0.0081"/>
        <n v="0.0125"/>
        <n v="0.0097"/>
        <m/>
      </sharedItems>
    </cacheField>
    <cacheField name="截图" numFmtId="0">
      <sharedItems containsString="0" containsBlank="1" containsNumber="1" containsInteger="1" minValue="0" maxValue="105" count="47">
        <n v="11"/>
        <n v="3"/>
        <n v="1"/>
        <n v="8"/>
        <n v="2"/>
        <n v="0"/>
        <n v="20"/>
        <n v="4"/>
        <n v="12"/>
        <n v="9"/>
        <n v="5"/>
        <n v="7"/>
        <n v="6"/>
        <n v="15"/>
        <n v="13"/>
        <n v="43"/>
        <n v="67"/>
        <n v="105"/>
        <n v="17"/>
        <n v="71"/>
        <n v="32"/>
        <n v="23"/>
        <n v="29"/>
        <n v="14"/>
        <n v="16"/>
        <n v="24"/>
        <n v="28"/>
        <n v="27"/>
        <n v="18"/>
        <n v="57"/>
        <n v="83"/>
        <n v="41"/>
        <n v="34"/>
        <n v="60"/>
        <n v="46"/>
        <n v="50"/>
        <n v="25"/>
        <n v="22"/>
        <n v="86"/>
        <n v="10"/>
        <n v="30"/>
        <n v="21"/>
        <n v="19"/>
        <n v="75"/>
        <n v="26"/>
        <n v="35"/>
        <m/>
      </sharedItems>
    </cacheField>
    <cacheField name="保存图片" numFmtId="0">
      <sharedItems containsString="0" containsBlank="1" containsNumber="1" containsInteger="1" minValue="0" maxValue="218" count="48">
        <n v="18"/>
        <n v="8"/>
        <n v="0"/>
        <n v="7"/>
        <n v="30"/>
        <n v="1"/>
        <n v="4"/>
        <n v="28"/>
        <n v="9"/>
        <n v="11"/>
        <n v="5"/>
        <n v="2"/>
        <n v="3"/>
        <n v="6"/>
        <n v="29"/>
        <n v="26"/>
        <n v="22"/>
        <n v="37"/>
        <n v="20"/>
        <n v="117"/>
        <n v="177"/>
        <n v="21"/>
        <n v="108"/>
        <n v="12"/>
        <n v="218"/>
        <n v="15"/>
        <n v="10"/>
        <n v="23"/>
        <n v="14"/>
        <n v="98"/>
        <n v="13"/>
        <n v="16"/>
        <n v="77"/>
        <n v="33"/>
        <n v="70"/>
        <n v="80"/>
        <n v="147"/>
        <n v="17"/>
        <n v="19"/>
        <n v="46"/>
        <n v="25"/>
        <n v="55"/>
        <n v="24"/>
        <n v="27"/>
        <n v="56"/>
        <n v="52"/>
        <n v="34"/>
        <m/>
      </sharedItems>
    </cacheField>
    <cacheField name="达人名称" numFmtId="0">
      <sharedItems containsBlank="1" containsNumber="1" containsInteger="1" containsMixedTypes="1" count="123">
        <s v="圆又圆超爱笑"/>
        <s v="Sophia大大"/>
        <s v="咩咩是杨景然"/>
        <s v="我是铁核桃也是小百合"/>
        <s v="沁儿你好哇"/>
        <s v="大敏敏的蜕变日记"/>
        <s v="爱跳绳的粥粥"/>
        <s v="郝有金"/>
        <s v="热锅上的蚂蚁"/>
        <s v="pp"/>
        <n v="-77"/>
        <s v="大桐yoto"/>
        <s v="爱上健身的Amy"/>
        <s v="白白"/>
        <s v="小小李"/>
        <s v="小菜包超幸运"/>
        <s v="Candy yoga"/>
        <s v="小雪教瑜伽"/>
        <s v="努力变好的yy"/>
        <s v="威风凛凛小队长"/>
        <s v="咕咕猪小短腿"/>
        <s v="小方今天瘦了吗"/>
        <s v="干坐着的小瑶"/>
        <s v="辣妈含含"/>
        <s v="凯琳KatherineW"/>
        <s v="杨大大的预备辣妹日记"/>
        <s v="丫丫小姐姐"/>
        <s v="六月炎妍"/>
        <s v="星星要变瘦"/>
        <s v="爽姐腿特长"/>
        <s v="小月月"/>
        <s v="马可乐cora"/>
        <s v="茜茜子"/>
        <s v="Celine丹丹"/>
        <s v="林菀桃桃"/>
        <s v="爱撸铁的丁"/>
        <s v="熊猫叮"/>
        <s v="生椰黎子yoga"/>
        <s v="福崽"/>
        <s v="小胡的张张"/>
        <s v="Shirley小蕾"/>
        <s v="小翻译美芽酱"/>
        <s v="曲美腻腻"/>
        <s v="阿煜"/>
        <s v="Jeremy 赵"/>
        <s v="小恩哥带你练臀"/>
        <s v="元气芥末酱"/>
        <s v="朱俊畅"/>
        <s v="大红辣辣椒"/>
        <s v="板野友美iii"/>
        <s v="圆圆今天暴富了么"/>
        <s v="雾霾少女i"/>
        <s v="小蓝今天吃了没"/>
        <s v="桃子酱酱"/>
        <s v="月亮起床了"/>
        <s v="爱梨"/>
        <s v="雪碧要加冰-"/>
        <s v="玩长板的慧慧"/>
        <s v="Bruce小厮"/>
        <s v="木子棋Kiki"/>
        <s v="包子熟了"/>
        <s v="Lucas雨田"/>
        <s v="阿三啊"/>
        <s v="JJJJackson"/>
        <s v="国产收音机X"/>
        <s v="跑酷莫承烽"/>
        <s v="小刘爱游泳"/>
        <s v="小乔您了"/>
        <s v="西米是个小可爱"/>
        <s v="林然Tolyn"/>
        <s v="小羊羔崽子"/>
        <s v="一颗西兰花fa"/>
        <s v="小小柯尔鸭"/>
        <s v="高凯元"/>
        <s v="臃肿大白鹅"/>
        <s v="芋泥团团茶"/>
        <s v="蜜桃少女宁小美"/>
        <s v="thePans."/>
        <s v="索菲亚的冻龄秘密"/>
        <s v="健康营养师格格"/>
        <s v="咦同学"/>
        <s v="橘子汽水"/>
        <s v="诸葛亮晶晶"/>
        <s v="形体矫正小李"/>
        <s v="脆鱼日记"/>
        <s v="小岛大瑀"/>
        <s v="小甜心"/>
        <s v="周周也是倩倩"/>
        <s v="Zora張張"/>
        <s v="爱健身的陈淼淼"/>
        <s v="晚一子"/>
        <s v="语宸要做插画师"/>
        <s v="一颗小糖果w"/>
        <s v="来一杯毛豆"/>
        <s v="趁早早呀"/>
        <s v="BD方丈"/>
        <s v="猪脚ivi"/>
        <s v="野生辣妹Stacy"/>
        <s v="樱丸小桃子"/>
        <s v="秦亲亲"/>
        <s v="蔓玉有点甜"/>
        <s v="我是张小胖"/>
        <s v="肖儿"/>
        <s v="冷冷学姐"/>
        <s v="新理小姐"/>
        <s v="是芝芝啊"/>
        <s v="鱼丸逆袭记"/>
        <s v="叫我y老师"/>
        <s v="理疗师雨辰"/>
        <s v="西瓜班陈雯"/>
        <s v="电荷荷荷"/>
        <s v="陈背心"/>
        <s v="陈以柒"/>
        <s v="厨小花的减脂餐"/>
        <s v="Miss小宝"/>
        <s v="嘎嘎今天不要懒_"/>
        <s v="oOO小饼"/>
        <s v="芒果腻"/>
        <s v="蛋卷er"/>
        <s v="一颗紫菜"/>
        <s v="Morii"/>
        <s v="是33崽"/>
        <m/>
      </sharedItems>
    </cacheField>
    <cacheField name="品类" numFmtId="0">
      <sharedItems containsBlank="1" count="5">
        <s v="筋膜枪"/>
        <s v="体脂秤"/>
        <s v="跳绳"/>
        <m/>
        <e v="#N/A" u="1"/>
      </sharedItems>
    </cacheField>
    <cacheField name="笔记埋词" numFmtId="0">
      <sharedItems containsBlank="1" containsNumber="1" containsInteger="1" containsMixedTypes="1" count="24">
        <s v="云麦筋膜枪cc"/>
        <s v="云麦cc"/>
        <s v="云麦体脂秤3"/>
        <s v="云麦体脂秤3mini"/>
        <s v="云麦3mini"/>
        <s v="云麦跳绳心率款"/>
        <s v="云麦cc筋膜枪"/>
        <s v="云麦心率跳绳"/>
        <s v="云麦3mini（无埋词）"/>
        <s v="云麦3mini体脂秤"/>
        <s v=" 云麦cc"/>
        <s v="云麦智能筋膜枪"/>
        <s v="云麦智能筋膜枪PB2"/>
        <s v="云麦PB2"/>
        <s v="云麦筋膜枪PB2"/>
        <s v="云麦 筋膜枪PB2"/>
        <s v="云麦筋膜枪"/>
        <s v=" 云麦筋膜枪cc"/>
        <s v="云麦体脂秤3mini "/>
        <s v="云麦筋膜枪cc "/>
        <s v="云麦跳绳2go"/>
        <s v="云麦体脂秤"/>
        <n v="0"/>
        <m/>
      </sharedItems>
    </cacheField>
    <cacheField name="产品型号" numFmtId="0">
      <sharedItems containsBlank="1" count="12">
        <s v="云麦筋膜枪cc-蓝色"/>
        <s v="云麦体脂秤3"/>
        <s v="云麦体脂秤3mini"/>
        <s v="云麦心率跳绳"/>
        <s v="云麦筋膜枪cc-爱马仕款"/>
        <s v="云麦筋膜枪pb2"/>
        <s v="云麦筋膜枪ccgo"/>
        <s v="云麦跳绳2go"/>
        <s v="云麦筋膜枪cc-金色"/>
        <s v="云麦筋膜枪cc"/>
        <m/>
        <e v="#N/A" u="1"/>
      </sharedItems>
    </cacheField>
    <cacheField name="笔记标题" numFmtId="0">
      <sharedItems containsBlank="1" count="127">
        <s v="大二女生梨形粗腿逆袭✨这3步带你优化腿型"/>
        <s v="162 46|我悟了！翘臀不粗腿的训练方法!"/>
        <s v="减重8.5斤‼️跳绳后拉伸&amp;筋膜枪按摩不粗腿"/>
        <s v="产后5大阶段恢复必做事‼️错过多花3年补‼️"/>
        <s v="居家瘦肚子｜燃烧腹部脂肪紧致腰线get马甲线"/>
        <s v="刘畊宏女孩的21天虐腹计划‼谁练谁瘦💪"/>
        <s v="坚持跳绳瘦24斤这个高效跳绳组合你一定要跳"/>
        <s v="别用错❗️筋膜枪正确使用方法，不同肌肉部位放松大全"/>
        <s v="暴汗燃脂毽子操|拉伸放松与筋膜枪按摩"/>
        <s v="110到88 一些减肥小建议｜如何正确运动"/>
        <s v="睡前8min瘦大腿内外侧"/>
        <s v="减肥就是要饿｜饮食和运动的完整计划在这里"/>
        <s v="玛丽姐6分钟快速瘦肚子🔥腰围已瘦8cm"/>
        <s v="大腿围42 | 瘦腿还得要跳绳！"/>
        <s v="4分钟跳绳TABATA | 居家高效燃脂瘦全身"/>
        <s v="超全产后修复攻略✅三个阶段恢复少女身材"/>
        <s v="根源性告别妈妈臀‼️/12种臀部训练解析"/>
        <s v="瘦肌肉腿必备&amp;筋膜枪按摩跟练教程"/>
        <s v="筋膜枪➕泡沫轴｜运动后全套放松动作分享！！"/>
        <s v="被你们形容的“肥美多脂”气哭了"/>
        <s v="笑死！一到称重就心虚到没耳朵"/>
        <s v="大基数无运动节食减45斤 （饮食习惯/食谱‼️）"/>
        <s v="筋膜枪🆚泡沫轴🆚筋膜球，怎么选❓哪个好❓"/>
        <s v="辣妈养成|产后重回少女身材～"/>
        <s v="无绳卡点暴汗230卡跟练 ｜小基数瘦腿瘦全身"/>
        <s v="130-110斤跳绳不复胖‼️间歇性跳绳减脂快"/>
        <s v="产后辣妈恢复秘诀 | 学会这样跳不瘦都不行"/>
        <s v="体脂秤监测|瘦了23斤的经验无保留分享"/>
        <s v="瘦腿真的不难！成功瘦腿之后才知道的！（2）"/>
        <s v="筋膜枪有效放松|顽固肌肉腿有救了🦵"/>
        <s v="体重秤上的数字告诉我：你是个失败者"/>
        <s v="‼️真心劝你们想成功瘦下来这6件事别再做了"/>
        <s v="我真的很会瘦肚子❗️"/>
        <s v="不服不行,练完手臂抖到根本停不下来‼️"/>
        <s v="vlog饱满蜜桃+提高臀线+筋膜枪放松胫骨前肌"/>
        <s v="身高165 体重52 翘臀不粗腿🦵我悟了！！"/>
        <s v="瘦小腿训练🔥消除肌肉腿脂包肌‼️筋膜枪放松"/>
        <s v="超🔥极速瘦肚子！太有用了‼️6分钟紧致腰腹"/>
        <s v="脂包肌的消除逻辑｜瘦小腿❌盲目"/>
        <s v="筋膜枪正确使用指南️⚠️千万别乱用！"/>
        <s v="1分钟写完期末学生评语🔥放松好物筋膜枪"/>
        <s v="办公按摩神器！职场打工人の高颜值筋膜枪！"/>
        <s v="学会这3个动作！轻松在家瘦全身！不是梦！简单"/>
        <s v="📱手机控制筋膜枪？云麦智能筋膜枪PB2测评"/>
        <s v="如何解决难以忍受的肌肉酸痛，筋膜枪帮你！"/>
        <s v="翘臀别只练臀，骨盆端正更重要｜筋膜枪放松"/>
        <s v="小腿粗的姐妹信我！肌肉腿就要这样按！"/>
        <s v="跳操的姐妹听我的用筋膜枪放松下肢真的有用"/>
        <s v="打球完容易肌肉酸痛，筋膜枪放松更有效！"/>
        <s v="如何利用跳绳高效瘦腿记得用筋膜枪放松哦！"/>
        <s v="打工人久坐党肩颈自救！筋膜枪按摩超舒服"/>
        <s v="这小东西真的可以拯救肩颈酸痛！后悔用晚了！"/>
        <s v="云麦的筋膜枪我真的是服了…."/>
        <s v="千万不要乱用！初学者必看筋膜枪正确用法"/>
        <s v="筋膜枪正确用法！刘耕宏女孩永不认输"/>
        <s v="爱运动的姐妹！筋膜枪放松法get一下！"/>
        <s v="超强瘦🦵绝招，记得用筋膜枪放松"/>
        <s v="打完羽毛球后肌肉酸痛？筋膜枪按摩有效放松"/>
        <s v="提前给男友准备的生日🎁他开心的合不拢嘴"/>
        <s v="滑板5年|分享我的滑板后筋膜枪放松小经验"/>
        <s v="女生练球后如何拉伸按摩，筋膜枪放松！！"/>
        <s v="筋膜枪要怎么选❓3款不同类型筋膜枪测评‼️"/>
        <s v="筋膜枪测评|健身小白如何挑选筋膜枪？"/>
        <s v="2个游泳后的放松技巧⭐️自主拉伸、筋膜枪按摩"/>
        <s v="筋膜枪我的新装备|运动酷盖就该这样"/>
        <s v="健身好物｜筋膜枪真的是放松神器！"/>
        <s v="别再怕爬山 / 徒步后放松教程"/>
        <s v="职业跑酷运动员|自用筋膜枪推荐"/>
        <s v="游泳后全身酸痛怎么办？拉伸&amp;筋膜枪按摩"/>
        <s v="🆘哭了！筋膜枪细【脂包肌】小腿被我悟明白了！"/>
        <s v="筋膜枪千万不能乱用！正确肩颈使用方法"/>
        <s v="分享一下我健身后肌肉放松方法&amp;自用筋膜枪"/>
        <s v="用了多年泡沫轴，才知道筋膜枪是真的香！！！"/>
        <s v="有没有姐妹跟我一样被肌肉腿困扰了好久！"/>
        <s v="小腿粗的姐妹进！这筋膜枪真能改善肌肉腿啊"/>
        <s v="筋膜枪推荐｜明星都在用的健身好物"/>
        <s v="姐妹们都给我用这个筋膜枪！改善小粗腿绝了！"/>
        <s v="每天几分钟！可以和肌肉说拜拜！"/>
        <s v="全款拿下2022宅家按摩神器🔥奶呼呼的巨可爱"/>
        <s v="送闺蜜diy礼物💕要被这筋膜枪可爱晕啦!!~✨"/>
        <s v="甩6斤纯脂肪我做了这四件事‼｜体脂29到22"/>
        <s v="四个动作拉伸瘦腿❗️筋膜枪按摩大腿小腿"/>
        <s v="塌屁股姐妹一定要练上臀！翘臀不粗腿拿捏了！"/>
        <s v="请一定要相信帕梅拉虐腹，效果是真的🉑❗"/>
        <s v="175 90斤|五年模特三餐真实分享"/>
        <s v="大腿内侧赘肉消失术‼️练出细长漫画腿全靠它"/>
        <s v="每天坚持这4个动作🔥瘦脂包肌小腿‼️已瘦4cm"/>
        <s v="这个燃脂舞真的太❗️太❗️太简单了🔥停不下来"/>
        <s v="宿舍健身‼️美背翘臀这样练⏳真的好绝"/>
        <s v="姐妹们学会这三招，斜方肌想变“厚”都难！！！"/>
        <s v="宿舍姐妹花人手一个！这筋膜枪有点东西🧐"/>
        <s v="真的有用‼️小腿外翻改善了，一定要试试❗"/>
        <s v="120瘦到78斤｜小基数减脂心得分享"/>
        <s v="挑战在筋膜枪上画画"/>
        <s v="少女心爆棚！粉色甜心筋膜枪也太嫩了吧"/>
        <s v="对不起！我不能接受这个宝藏体脂秤百元就能拿下"/>
        <s v="不到百元get我的私人身材管理师|这波稳赚‼️"/>
        <s v="翘臀不难？！筋膜枪使用敲重点"/>
        <s v="拜托!!跳绳真的不粗腿‼️跳绳yyds！"/>
        <s v="辣妹瘦腿bi看！这玩意是真好使！"/>
        <s v="建议小腿粗的美少女人手一个的mini筋膜枪！"/>
        <s v="减脂期用什么体脂秤？跟着减脂博主买就对了！"/>
        <s v="跳绳全部流程‼️做好这些 腿想粗都难"/>
        <s v="保姆级教程㊙手把手教你低成本轻松变美"/>
        <s v="跳绳的先后顺序➕筋膜枪的放松按摩❤️"/>
        <s v="每天3分钟消灭斜方肌(筋膜枪使用教程)"/>
        <s v="筋膜枪｜怎么选不踩坑❌如何正确使用❓"/>
        <s v="5个小习惯养成易瘦体质✨懒人身材管理法"/>
        <s v="降体脂干货|为什么你的腹肌一直出不来？可能是体脂率太高了"/>
        <s v="28天虐腹计划！瘦肚子就看这篇 ！巨有效"/>
        <s v="体脂秤测16%|侧腰肉多 别再练侧腰！"/>
        <s v="斜方肌厚？圆肩驼背？筋膜枪帮你解决"/>
        <s v="体脂秤|️120到80斤/养成易瘦体减体脂✅"/>
        <s v="筋膜枪放松|圆肩驼背姐妹给我练！"/>
        <s v="120斤到100斤 小基数减脂 跑步不粗腿方法"/>
        <s v="久坐久站肌肉腿❓4⃣个动作get“漫画腿”"/>
        <s v="减脂餐7️⃣9️⃣天✨上班｜带饭人｜便当🍱"/>
        <s v="如何正确跑步不粗腿！正确跑步全攻略"/>
        <s v="115到95｜女大学生在校减脂vlog"/>
        <s v="直腿❗️你可以永远相信它❗️"/>
        <s v="5天腰围小了2cm‼️空腹有氧试试跳绳间歇法"/>
        <s v="筋膜枪测评！手把手教你正确选择筋膜枪！！"/>
        <s v="改善粗腿肌肉腿！宅家按摩神器轻松全款拿下！"/>
        <s v="跳出马甲线！一根无绳跳绳就够了"/>
        <s v="9命！介么可爱的筋膜枪！送到心坎上的礼物"/>
        <m/>
        <e v="#N/A" u="1"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  <cacheField name="互动率" numFmtId="0" formula="互动量/点击量" databaseField="0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10.5764814815" refreshedBy="Administrator" recordCount="1418">
  <cacheSource type="worksheet">
    <worksheetSource ref="A1:AF100000" sheet="日报数据源"/>
  </cacheSource>
  <cacheFields count="40">
    <cacheField name="时间" numFmtId="0">
      <sharedItems containsBlank="1" count="171">
        <s v="2022-05-19"/>
        <s v="2022-05-20"/>
        <s v="2022-05-21"/>
        <s v="2022-05-23"/>
        <s v="2022-05-24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9"/>
        <s v="2022-07-02"/>
        <s v="2022-07-03"/>
        <s v="2022-07-04"/>
        <s v="2022-07-06"/>
        <s v="2022-07-09"/>
        <s v="2022-07-10"/>
        <s v="2022-07-12"/>
        <s v="2022-07-13"/>
        <s v="2022-07-14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s v="2022-09-09"/>
        <s v="2022-09-10"/>
        <s v="2022-09-11"/>
        <s v="2022-09-12"/>
        <s v="2022-09-13"/>
        <s v="2022-09-14"/>
        <s v="2022-09-15"/>
        <s v="2022-09-16"/>
        <s v="2022-09-17"/>
        <s v="2022-09-18"/>
        <s v="2022-09-19"/>
        <s v="2022-09-20"/>
        <s v="2022-09-21"/>
        <s v="2022-09-22"/>
        <s v="2022-09-23"/>
        <s v="2022-09-24"/>
        <s v="2022-09-25"/>
        <s v="2022-09-26"/>
        <s v="2022-09-27"/>
        <s v="2022-09-28"/>
        <s v="2022-09-29"/>
        <s v="2022-09-30"/>
        <s v="2022-10-01"/>
        <s v="2022-10-02"/>
        <s v="2022-10-03"/>
        <s v="2022-10-04"/>
        <s v="2022-10-05"/>
        <s v="2022-10-06"/>
        <s v="2022-10-07"/>
        <s v="2022-10-08"/>
        <s v="2022-10-09"/>
        <s v="2022-10-10"/>
        <s v="2022-10-11"/>
        <s v="2022-10-12"/>
        <s v="2022-10-13"/>
        <s v="2022-10-14"/>
        <s v="2022-10-15"/>
        <s v="2022-10-16"/>
        <s v="2022-10-17"/>
        <s v="2022-10-18"/>
        <s v="2022-10-19"/>
        <s v="2022-10-20"/>
        <s v="2022-10-21"/>
        <s v="2022-10-22"/>
        <s v="2022-10-23"/>
        <s v="2022-10-24"/>
        <s v="2022-10-25"/>
        <s v="2022-10-26"/>
        <s v="2022-10-27"/>
        <s v="2022-10-28"/>
        <s v="2022-10-29"/>
        <s v="2022-10-30"/>
        <s v="2022-10-31"/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03-10~2022-05-1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m/>
      </sharedItems>
    </cacheField>
    <cacheField name="创意名称" numFmtId="0">
      <sharedItems containsBlank="1" count="197">
        <s v="圆又圆超爱笑"/>
        <s v="Sophia大大"/>
        <s v="咩咩是杨景然"/>
        <s v="我是铁核桃也是小百合"/>
        <s v="沁儿你好哇"/>
        <s v="大敏敏的蜕变日记"/>
        <s v="爱跳绳的粥粥-跳绳"/>
        <s v="我是铁核桃也是小百合-体脂秤3"/>
        <s v="郝有金-筋膜枪cc"/>
        <s v="郝有金-筋膜枪cc_复制"/>
        <s v="热锅上的蚂蚁-筋膜枪cc"/>
        <s v="pp-体脂秤3mini"/>
        <s v="大敏敏的蜕变日记-体脂秤3mini"/>
        <s v="七七_YiB"/>
        <s v="pp-信息流"/>
        <s v="Sophia大大-信息流"/>
        <s v="我是铁核桃也是小百合-信息流"/>
        <s v="七七_YiBo"/>
        <s v="大桐yoto-体脂秤3mini"/>
        <s v="爱上健身的Amy-体脂秤3mini"/>
        <s v="白白-跳绳"/>
        <s v="小小李-跳绳"/>
        <s v="白白"/>
        <s v="爱跳绳的粥粥"/>
        <s v="小菜包超幸运"/>
        <s v="Candy yoga"/>
        <s v="小雪教瑜伽"/>
        <s v="大桐yoto"/>
        <s v="产品种草_创意_20220602_1"/>
        <s v="产品种草_创意_20220602_2"/>
        <s v="0602-种草-信息流-努力变好的yy-筋膜枪"/>
        <s v=" 威风凛凛小队长"/>
        <s v="咕咕猪小短腿"/>
        <s v="努力变好的yy"/>
        <s v="威风凛凛小队长"/>
        <s v="小雪教瑜伽-搜索"/>
        <s v="圆又圆超爱笑-搜索"/>
        <s v="小方今天瘦了吗"/>
        <s v="pp-搜索"/>
        <s v="pp"/>
        <s v="干坐着的小瑶"/>
        <s v="辣妈含含"/>
        <s v="凯琳KatherineW"/>
        <s v="杨大大的预备辣妹日记"/>
        <s v="丫丫小姐姐"/>
        <s v="六月炎妍"/>
        <s v="星星要变瘦"/>
        <s v="苏妤Serene."/>
        <s v="小月月"/>
        <s v="干坐着的小瑶-搜索"/>
        <s v="凯琳KatherineW-搜索"/>
        <s v="六月炎妍-搜素"/>
        <s v="马可乐cora"/>
        <s v="苏妤Serene.-搜索"/>
        <s v="郝有金-搜索"/>
        <s v="爱跳绳的粥粥-搜索"/>
        <s v="马可乐cora-搜索"/>
        <s v="茜茜子"/>
        <s v="Celine丹丹"/>
        <s v="林菀桃桃"/>
        <s v="爱撸铁的丁"/>
        <s v="熊猫叮"/>
        <s v="生椰黎子yoga"/>
        <s v="福崽"/>
        <s v="小胡的张张"/>
        <s v="Shirley小蕾"/>
        <s v="小翻译美芽酱"/>
        <s v="产品种草_创意_20220802_1"/>
        <s v="产品种草_创意_20220802_1_复制085816"/>
        <s v="产品种草_创意_20220805_1"/>
        <s v="产品种草_创意_20220802_2_复制160803"/>
        <s v="抢占关键词_创意_20220808_1"/>
        <s v="抢占关键词_创意_20220808_1_复制185753"/>
        <s v="抢占关键词_创意_20220808_1_复制185930"/>
        <s v="抢占关键词_创意_20220808_1_复制190437"/>
        <s v="抢占关键词_创意_20220808_1_复制191612"/>
        <s v="抢占关键词_创意_20220808_1_复制191843"/>
        <s v="产品种草_创意_20220809_1"/>
        <s v="产品种草_创意_20220811_1"/>
        <s v="产品种草_创意_20220812_1"/>
        <s v="产品种草_创意_20220816_1"/>
        <s v="产品种草_创意_20220817_1"/>
        <s v="产品种草_创意_20220818_1"/>
        <s v="产品种草_创意_20220819_1"/>
        <s v="产品种草_创意_20220820_1"/>
        <s v="产品种草_创意_20220822_1"/>
        <s v="产品种草_创意_20220823_1"/>
        <s v="产品种草_创意_20220829_1"/>
        <s v="产品种草_创意_20220831_1"/>
        <s v="产品种草_创意_20220831_1_复制195807"/>
        <s v="产品种草_创意_20220901_1"/>
        <s v="产品种草_创意_20220902_1"/>
        <s v="产品种草_创意_20220901_1_复制184510"/>
        <s v="产品种草_创意_20220905_1"/>
        <s v="产品种草_创意_20220906_1"/>
        <s v="产品种草_创意_20220905_1_复制180351"/>
        <s v="产品种草_创意_20220907_1"/>
        <s v="产品种草_创意_20220908_1"/>
        <s v="产品种草_创意_20220909_1"/>
        <s v="产品种草_创意_20220901_1_复制144922"/>
        <s v="产品种草_创意_20220910_1"/>
        <s v="产品种草_创意_20220914_1"/>
        <s v="产品种草_创意_20220916_1"/>
        <s v="产品种草_创意_20220917_1"/>
        <s v="产品种草_创意_20220919_1"/>
        <s v="产品种草_创意_20220922_1"/>
        <s v="产品种草_创意_20220923_1"/>
        <s v="产品种草_创意_20220924_1"/>
        <s v="产品种草_创意_20220926_1"/>
        <s v="产品种草_创意_20220928_1"/>
        <s v="产品种草_创意_20220919_1_复制161035"/>
        <s v="产品种草_创意_20220930_1"/>
        <s v="产品种草_创意_20220930_1_复制184802"/>
        <s v="产品种草_创意_20221011_1"/>
        <s v="产品种草_创意_20221013_1"/>
        <s v="产品种草_创意_20221014_1"/>
        <s v="产品种草_创意_20221014_1_复制174035"/>
        <s v="产品种草_创意_20221018_1"/>
        <s v="产品种草_创意_20221014_1_复制210502"/>
        <s v="产品种草_创意_20221018_1_复制213708"/>
        <s v="产品种草_创意_20221019_1"/>
        <s v="产品种草_创意_20221020_1"/>
        <s v="产品种草_创意_20221021_1"/>
        <s v="产品种草_创意_20221014_1_复制180331"/>
        <s v="产品种草_创意_20221022_1"/>
        <s v="抢占关键词_创意_20221024_1"/>
        <s v="抢占关键词_创意_20221024_1_复制180927"/>
        <s v="产品种草_创意_20221024_1"/>
        <s v="抢占关键词_创意_20221024_1_复制181701"/>
        <s v="抢占关键词_创意_20221024_1_复制182937"/>
        <s v="产品种草_创意_20221025_1"/>
        <s v="产品种草_创意_20221026_1"/>
        <s v="抢占关键词_创意_20221026_1"/>
        <s v="产品种草_创意_20221029_1"/>
        <s v="抢占关键词_创意_20221026_1_复制180124"/>
        <s v="抢占关键词_创意_20221031_1"/>
        <s v="抢占关键词_创意_20221031_1_复制180407"/>
        <s v="抢占关键词_创意_20221026_1_复制180705"/>
        <s v="抢占关键词_创意_20221031_1_复制180813"/>
        <s v="产品种草_创意_20221022_1_复制201824"/>
        <s v="抢占关键词_创意_20221031_1_复制202047"/>
        <s v="产品种草_创意_20221101_1"/>
        <s v="产品种草_创意_20221102_1"/>
        <s v="产品种草_创意_20221103_1"/>
        <s v="产品种草_创意_20221102_1_复制190941"/>
        <s v="产品种草_创意_20221105_1"/>
        <s v="产品种草_创意_20221106_1"/>
        <s v="抢占关键词_创意_20221026_1_复制193653"/>
        <s v="抢占关键词_创意_20221107_1"/>
        <s v="产品种草_创意_20221107_1"/>
        <s v="634d395b000000000602b10a"/>
        <s v="636240b30000000007035fa2"/>
        <s v="产品种草_创意_20221022_1_复制221708"/>
        <s v="产品种草_创意_20221108_1"/>
        <s v="抢占关键词_创意_20221108_1"/>
        <s v="63621e680000000008012eb3"/>
        <s v="产品种草_创意_20221109_1"/>
        <s v="抢占关键词_创意_20221108_1_复制193404"/>
        <s v="抢占关键词_创意_20221109_1"/>
        <s v="产品种草_创意_20221110_1"/>
        <s v="抢占关键词_创意_20221110_1"/>
        <s v="632c10b9000000001200da7e"/>
        <s v="抢占关键词_创意_20221031_1_复制172445"/>
        <s v="62f37bbf0000000012024867"/>
        <s v="产品种草_创意_20220822_2"/>
        <s v="产品种草_创意_20220822_3"/>
        <s v="产品种草_创意_20220822_4"/>
        <s v="产品种草_创意_20220822_5"/>
        <s v="产品种草_创意_20220822_6"/>
        <s v="产品种草_创意_20220822_7"/>
        <s v="产品种草_创意_20220822_8"/>
        <s v="产品种草_创意_20220822_9"/>
        <s v="产品种草_创意_20220822_10"/>
        <s v="产品种草_创意_20220822_11"/>
        <s v="产品种草_创意_20220822_12"/>
        <s v="产品种草_创意_20220822_13"/>
        <s v="产品种草_创意_20220822_14"/>
        <s v="产品种草_创意_20220822_15"/>
        <s v="产品种草_创意_20220822_16"/>
        <s v="产品种草_创意_20220822_17"/>
        <s v="636a29360000000007037622"/>
        <s v="63437a13000000000b0135ee"/>
        <s v="636b36a10000000007034630"/>
        <s v="63104c390000000011035a33"/>
        <s v="6333fbc80000000017017605"/>
        <s v="632a812e0000000011016f09"/>
        <s v="6347ce7d0000000007039781"/>
        <s v="6358a9b6000000001401d37d"/>
        <s v="632acfbb000000000800a017"/>
        <s v="6333db92000000001703f2f8"/>
        <s v="6389bf260000000022035854"/>
        <s v="638d5ea9000000001f00d4d6"/>
        <s v="63104c390000000011035a33_复制185030"/>
        <s v="633115bb0000000018003042"/>
        <s v="6385c23a0000000019022ad3"/>
        <s v="63104c390000000011035a33_复制174313"/>
        <m/>
      </sharedItems>
    </cacheField>
    <cacheField name="创意ID" numFmtId="0">
      <sharedItems containsString="0" containsBlank="1" containsNumber="1" containsInteger="1" minValue="14438625" maxValue="25677394" count="257">
        <n v="14438625"/>
        <n v="14438656"/>
        <n v="14438657"/>
        <n v="14438876"/>
        <n v="14438997"/>
        <n v="14439020"/>
        <n v="14752018"/>
        <n v="14752172"/>
        <n v="14752300"/>
        <n v="14752488"/>
        <n v="14752576"/>
        <n v="14752715"/>
        <n v="14752831"/>
        <n v="14752924"/>
        <n v="14753100"/>
        <n v="14794680"/>
        <n v="14794969"/>
        <n v="14795201"/>
        <n v="14932478"/>
        <n v="14932581"/>
        <n v="14932668"/>
        <n v="14976457"/>
        <n v="14976642"/>
        <n v="14977271"/>
        <n v="14977272"/>
        <n v="14977367"/>
        <n v="14977409"/>
        <n v="14977423"/>
        <n v="14977748"/>
        <n v="14978184"/>
        <n v="15042179"/>
        <n v="15088586"/>
        <n v="15088587"/>
        <n v="15088839"/>
        <n v="15089043"/>
        <n v="15089317"/>
        <n v="15089398"/>
        <n v="15089589"/>
        <n v="15179597"/>
        <n v="15180518"/>
        <n v="15180603"/>
        <n v="15180653"/>
        <n v="15247437"/>
        <n v="15247613"/>
        <n v="15248000"/>
        <n v="15248117"/>
        <n v="15248253"/>
        <n v="15248439"/>
        <n v="15248486"/>
        <n v="15295967"/>
        <n v="15296197"/>
        <n v="15296796"/>
        <n v="15296992"/>
        <n v="15297115"/>
        <n v="15353127"/>
        <n v="15678633"/>
        <n v="15678822"/>
        <n v="15678883"/>
        <n v="15679270"/>
        <n v="15688208"/>
        <n v="15720852"/>
        <n v="15732722"/>
        <n v="15733280"/>
        <n v="15734437"/>
        <n v="15734941"/>
        <n v="15735260"/>
        <n v="15803975"/>
        <n v="15804098"/>
        <n v="15804284"/>
        <n v="15804340"/>
        <n v="15804452"/>
        <n v="15804507"/>
        <n v="15867913"/>
        <n v="15869520"/>
        <n v="15869599"/>
        <n v="15993169"/>
        <n v="17533208"/>
        <n v="17799451"/>
        <n v="17799473"/>
        <n v="17858272"/>
        <n v="17901185"/>
        <n v="17974319"/>
        <n v="18043262"/>
        <n v="18043311"/>
        <n v="18043343"/>
        <n v="18043411"/>
        <n v="18043601"/>
        <n v="18043872"/>
        <n v="18044011"/>
        <n v="18044115"/>
        <n v="18085273"/>
        <n v="18170615"/>
        <n v="18224197"/>
        <n v="18353517"/>
        <n v="18412322"/>
        <n v="18455742"/>
        <n v="18456034"/>
        <n v="18503974"/>
        <n v="18541581"/>
        <n v="18606896"/>
        <n v="18606961"/>
        <n v="18646400"/>
        <n v="18646457"/>
        <n v="18907506"/>
        <n v="19004470"/>
        <n v="19010467"/>
        <n v="19010569"/>
        <n v="19010961"/>
        <n v="19010992"/>
        <n v="19011007"/>
        <n v="19054447"/>
        <n v="19054497"/>
        <n v="19058466"/>
        <n v="19106392"/>
        <n v="19106863"/>
        <n v="19106999"/>
        <n v="19210765"/>
        <n v="19210822"/>
        <n v="19261230"/>
        <n v="19316723"/>
        <n v="19316774"/>
        <n v="19380003"/>
        <n v="19428780"/>
        <n v="19428860"/>
        <n v="19450181"/>
        <n v="19450191"/>
        <n v="19607601"/>
        <n v="19607721"/>
        <n v="19713110"/>
        <n v="19752470"/>
        <n v="19713077"/>
        <n v="19834935"/>
        <n v="19834982"/>
        <n v="20017048"/>
        <n v="20060143"/>
        <n v="20060178"/>
        <n v="20100228"/>
        <n v="20100261"/>
        <n v="20200905"/>
        <n v="20316817"/>
        <n v="20317349"/>
        <n v="20323358"/>
        <n v="20485013"/>
        <n v="20485042"/>
        <n v="20485369"/>
        <n v="20978448"/>
        <n v="20978571"/>
        <n v="21122736"/>
        <n v="21203504"/>
        <n v="21209031"/>
        <n v="21360243"/>
        <n v="21414957"/>
        <n v="21415048"/>
        <n v="21440220"/>
        <n v="21451628"/>
        <n v="21451929"/>
        <n v="21453398"/>
        <n v="21506599"/>
        <n v="21508062"/>
        <n v="21508319"/>
        <n v="21600313"/>
        <n v="21600849"/>
        <n v="21674555"/>
        <n v="21688273"/>
        <n v="21747929"/>
        <n v="21747992"/>
        <n v="21879174"/>
        <n v="21879909"/>
        <n v="21880743"/>
        <n v="21880771"/>
        <n v="21881635"/>
        <n v="21881978"/>
        <n v="21978813"/>
        <n v="21988099"/>
        <n v="22072602"/>
        <n v="22072814"/>
        <n v="22072908"/>
        <n v="22315363"/>
        <n v="22437894"/>
        <n v="22438055"/>
        <n v="22438145"/>
        <n v="22438197"/>
        <n v="22438463"/>
        <n v="22438538"/>
        <n v="22438584"/>
        <n v="22438657"/>
        <n v="22448358"/>
        <n v="22449871"/>
        <n v="22449984"/>
        <n v="22450115"/>
        <n v="22513708"/>
        <n v="22516134"/>
        <n v="22516377"/>
        <n v="22596197"/>
        <n v="22675609"/>
        <n v="22762574"/>
        <n v="22820705"/>
        <n v="22845628"/>
        <n v="22943656"/>
        <n v="22943729"/>
        <n v="22943828"/>
        <n v="22943914"/>
        <n v="22943955"/>
        <n v="22944060"/>
        <n v="22952348"/>
        <n v="23019540"/>
        <n v="23019923"/>
        <n v="23020109"/>
        <n v="23095610"/>
        <n v="23095722"/>
        <n v="23095824"/>
        <n v="23095921"/>
        <n v="23177814"/>
        <n v="23177925"/>
        <n v="23178157"/>
        <n v="23178271"/>
        <n v="23178412"/>
        <n v="23252885"/>
        <n v="23253296"/>
        <n v="18606962"/>
        <n v="18606963"/>
        <n v="18606964"/>
        <n v="18606965"/>
        <n v="18606966"/>
        <n v="18606967"/>
        <n v="18606968"/>
        <n v="18606969"/>
        <n v="18606970"/>
        <n v="18606971"/>
        <n v="18606972"/>
        <n v="18606973"/>
        <n v="18606974"/>
        <n v="18606975"/>
        <n v="18606976"/>
        <n v="18606977"/>
        <n v="24941624"/>
        <n v="24941722"/>
        <n v="24991923"/>
        <n v="25066640"/>
        <n v="25066769"/>
        <n v="25066825"/>
        <n v="25105925"/>
        <n v="25105983"/>
        <n v="25106098"/>
        <n v="25178456"/>
        <n v="25178656"/>
        <n v="25178876"/>
        <n v="25244107"/>
        <n v="25314758"/>
        <n v="25314842"/>
        <n v="25314916"/>
        <n v="25315073"/>
        <n v="25391742"/>
        <n v="25485889"/>
        <n v="25677301"/>
        <n v="25677394"/>
        <m/>
      </sharedItems>
    </cacheField>
    <cacheField name="广告类型" numFmtId="0">
      <sharedItems containsBlank="1" count="3">
        <s v="信息流广告"/>
        <s v="搜索广告"/>
        <m/>
      </sharedItems>
    </cacheField>
    <cacheField name="笔记ID" numFmtId="0">
      <sharedItems containsBlank="1" count="126">
        <s v="626acb02000000000102c35c"/>
        <s v="627ba9fe0000000021037192"/>
        <s v="627e0bba000000000102fbbb"/>
        <s v="627bb815000000000102a1d9"/>
        <s v="62737915000000002103f16c"/>
        <s v="627e157b000000000102d2c9"/>
        <s v="6286eeb6000000002103d135"/>
        <s v="614c3095000000000102b268"/>
        <s v="6268be6f000000002103575a"/>
        <s v="6255518c000000002103cbe1"/>
        <s v="6284a6120000000021036c2e"/>
        <s v="628c7af500000000010254ad"/>
        <s v="6290703f000000002103d411"/>
        <s v="628f4e490000000001027a43"/>
        <s v="6290482100000000210356f2"/>
        <s v="628da6fb000000000102646e"/>
        <s v="62879826000000000102800f"/>
        <s v="62482509000000000102d31e"/>
        <s v="629417c7000000002103479b"/>
        <s v="62903659000000000102fa9a"/>
        <s v="6290c4360000000021036385"/>
        <s v="629714e6000000000102d6c7"/>
        <s v="629dca29000000000102d19e"/>
        <s v="6299f16c000000000102ddd2"/>
        <s v="6290b2bb0000000021036eee"/>
        <s v="629700ce000000002103529c"/>
        <s v="629434dd0000000021038af3"/>
        <s v="62a045ea000000002103a321"/>
        <s v="629de623000000001d0153c8"/>
        <s v="62a3362f000000002103b738"/>
        <s v="62a461080000000001029226"/>
        <s v="62a6fd32000000001d0141d2"/>
        <s v="62a86da600000000210394c6"/>
        <s v="62a859ca000000001b034829"/>
        <s v="62a8420e000000001b03634d"/>
        <s v="62a72114000000002103631b"/>
        <s v="62a853b8000000002103dca1"/>
        <s v="62a98321000000001401a556"/>
        <s v="62aa9568000000000e021f22"/>
        <s v="62a321f2000000001d032701"/>
        <s v="62aa5b72000000000e01fa80"/>
        <s v="62df60d4000000001b0182ec"/>
        <s v="62e4ce29000000000e02bbd1"/>
        <s v="62e34ecb00000000110133c9"/>
        <s v="62e9103f000000001202c377"/>
        <s v="62e109a2000000001b03e2a0"/>
        <s v="62f0b4f000000000120392e6"/>
        <s v="62f37bbf0000000012024867"/>
        <s v="62f4c9f60000000009006fcb"/>
        <s v="62f7a27a0000000016030b54"/>
        <s v="62fa14a60000000014019759"/>
        <s v="62fc81290000000016037396"/>
        <s v="62fddb6e000000001b01b0e1"/>
        <s v="62fe048b000000001b005d67"/>
        <s v="62fdc897000000001b0063ad"/>
        <s v="630096c8000000001800de5a"/>
        <s v="62ff55630000000019029cc0"/>
        <s v="6308506e000000001702e57f"/>
        <s v="630055e2000000001b007e50"/>
        <s v="630f1fc800000000110355fc"/>
        <s v="630f0f5c0000000008021e9f"/>
        <s v="63108c530000000012038e6f"/>
        <s v="63104c390000000011035a33"/>
        <s v="6315edad00000000110364bd"/>
        <s v="63182f720000000008023b9f"/>
        <s v="6319c330000000000900f191"/>
        <s v="631ff1f10000000009033b64"/>
        <s v="63195acb0000000011011cb5"/>
        <s v="631e1af0000000001801b519"/>
        <s v="6322ac1f000000001200fd50"/>
        <s v="632591a1000000001801796c"/>
        <s v="6322ec9800000000080096e6"/>
        <s v="632acfbb000000000800a017"/>
        <s v="632a812e0000000011016f09"/>
        <s v="632c461f000000000801c166"/>
        <s v="6331a517000000001702438c"/>
        <s v="6333db92000000001703f2f8"/>
        <s v="6333d83500000000170279af"/>
        <s v="6340ef66000000001d014fd0"/>
        <s v="6342abf4000000001c00c1fb"/>
        <s v="63492dd50000000008014d5e"/>
        <s v="63492acb0000000008010b08"/>
        <s v="6343c9ea000000001c02e342"/>
        <s v="6336c064000000001d00f647"/>
        <s v="63437f77000000001d027e1b"/>
        <s v="634e1fe90000000008014572"/>
        <s v="63563e19000000001601ebbf"/>
        <s v="6358b83600000000140344b6"/>
        <s v="635b58ed000000001700c609"/>
        <s v="634fe7d20000000008010532"/>
        <s v="6347ce7d0000000007039781"/>
        <s v="6360d1d5000000000600811c"/>
        <s v="63622157000000000601d5cb"/>
        <s v="635361ae0000000015023541"/>
        <s v="634d395b000000000602b10a"/>
        <s v="636240b30000000007035fa2"/>
        <s v="63621e680000000008012eb3"/>
        <s v="635f8a250000000009000539"/>
        <s v="635f7fd20000000008010ca4"/>
        <s v="6364e9dc0000000009013c84"/>
        <s v="635ca4d0000000001601eee4"/>
        <s v="6368faca000000000901170a"/>
        <s v="6358a9b6000000001401d37d"/>
        <s v="632c10b9000000001200da7e"/>
        <s v="6225c1390000000021034e33"/>
        <s v="612359a60000000001024e1f"/>
        <s v="61765727000000000102dd1a"/>
        <s v="617bc5dd000000000102b409"/>
        <s v="622d8d0d0000000001029c29"/>
        <s v="6135ea0c000000000102fad5"/>
        <s v="621e1314000000000102a9ba"/>
        <s v="6232bdc30000000021034fa7"/>
        <s v="616ab9850000000001028279"/>
        <s v="621df4740000000021039fc3"/>
        <s v="61a75f5a000000000102d798"/>
        <s v="6221f6170000000021034926"/>
        <s v="625529c2000000000102f35c"/>
        <s v="636a29360000000007037622"/>
        <s v="63437a13000000000b0135ee"/>
        <s v="636b36a10000000007034630"/>
        <s v="6333fbc80000000017017605"/>
        <s v="6389bf260000000022035854"/>
        <s v="638d5ea9000000001f00d4d6"/>
        <s v="633115bb0000000018003042"/>
        <s v="6385c23a0000000019022ad3"/>
        <m/>
      </sharedItems>
    </cacheField>
    <cacheField name="单元名称" numFmtId="0">
      <sharedItems containsBlank="1" count="228">
        <s v="0519-种草-信息流-筋膜枪赛马测试"/>
        <s v="0519-种草-信息流-体脂秤3"/>
        <s v="0519-种草-信息流-体脂秤3mini赛马测试"/>
        <s v="0526-种草-信息流-云麦跳绳心率款"/>
        <s v="0526-种草-搜索-我是铁核桃-云麦体脂秤3"/>
        <s v="0526-种草-搜索-郝有金-筋膜枪cc"/>
        <s v="0526-种草-搜索-郝有金-筋膜枪cc_复制"/>
        <s v="0526-种草-搜索-圆又圆超爱笑-筋膜枪cc"/>
        <s v="0526-种草-信息流-热锅上的蚂蚁-筋膜枪cc"/>
        <s v="0526-种草-搜索-pp"/>
        <s v="0526-种草-搜索-大敏敏蜕变日记-体脂秤"/>
        <s v="0526-种草-信息流-七七-体脂秤3mini"/>
        <s v="0527-种草-信息流-pp-体脂秤3mini"/>
        <s v="0527-种草-信息流-Sophia大大-筋膜枪c"/>
        <s v="0527-种草-信息流-我是铁核桃-体脂秤3"/>
        <s v="0530-种草-搜索-七七-体脂秤3mini"/>
        <s v="0530-种草-信息流-大桐yoto-体脂秤3mi"/>
        <s v="0530-种草-信息流-Amy-体脂秤3mini"/>
        <s v="0531-种草-信息流-白白"/>
        <s v="0531-种草-信息流-云麦心率跳绳赛马测试"/>
        <s v="0531-种草-信息流-云麦体脂秤3赛马测试"/>
        <s v="0531-信息流-大桐yoto-体脂秤3mini"/>
        <s v="0601-小雪瑜伽-类目词-首位"/>
        <s v="0602-种草-信息流-小雪教瑜伽"/>
        <s v="0602-种草-信息流-努力变好的yy-筋膜枪"/>
        <s v="0602-种草-信息流-体脂秤3赛马计划"/>
        <s v="0602-种草-信息流-心率跳绳赛马测试"/>
        <s v="0605-种草-信息流-小雪教瑜伽-筋膜枪cc"/>
        <s v="0605-种草-信息流-白白-心率跳绳"/>
        <s v="0605-种草-信息流-咕咕猪小短腿-体脂秤3"/>
        <s v="0605-种草-信息流-努力变好的yy-筋膜枪cc"/>
        <s v="0606-种草-信息流-威风凛凛小队长-体脂秤3"/>
        <s v="0606-种草-信息流-努力变好的yy-筋膜枪cc"/>
        <s v="0606-小雪瑜伽-类目词-筋膜枪cc-"/>
        <s v="0606- 圆又圆超爱笑-类目词-筋膜枪cc"/>
        <s v="0606-小方-类目词-体脂秤3mini"/>
        <s v="0606-pp-类目词-体脂秤3mini"/>
        <s v="0606-种草-信息流-pp-体脂秤3mini"/>
        <s v="0607-种草-信息流-雪瑜伽-筋膜枪cc"/>
        <s v="0607-种草-信息流-干坐着的小瑶-筋膜枪cc"/>
        <s v="0607-种草-信息流-辣妈含含-体脂秤3"/>
        <s v="0607-种草-信息流-凯琳-心率跳绳"/>
        <s v="0607-种草-信息流-杨大大-心率跳绳"/>
        <s v="0608-种草-信息流-丫丫小姐姐-心率跳绳"/>
        <s v="0614-种草-信息流-六月炎妍-体脂秤3mini"/>
        <s v="0614-种草-信息流- 星星要变瘦-筋膜枪cc"/>
        <s v="0614-种草-信息流- 苏妤Sere-筋膜枪cc"/>
        <s v="0614-种草-信息流-小月月-体脂秤3"/>
        <s v="0614-种草-搜索-干坐着的小瑶"/>
        <s v="0615-抢赛道-凯琳-首位-心率跳绳"/>
        <s v="0615-抢赛道-炎妍-类目词-体脂秤3mini"/>
        <s v="0615-种草-信息流-马可乐-体脂秤3mini"/>
        <s v="0615-抢前3-苏妤-类目词-筋膜枪cc"/>
        <s v="0615-抢首-郝有金-类目词-筋膜枪cc"/>
        <s v="0615-抢前3-粥粥-类目词-心率跳绳"/>
        <s v="0616-抢前3-马可乐-功效词-体脂秤3mini"/>
        <s v="0616-种草-信息流-茜茜子-体脂秤3mini"/>
        <s v="0616-种草-信息流-丹丹-筋膜枪cc"/>
        <s v="0616-种草-信息流-林菀桃桃-筋膜枪cc"/>
        <s v="0616-种草-信息流-爱撸铁的丁-筋膜枪cc"/>
        <s v="0616-种草-信息流-熊猫叮-筋膜枪cc"/>
        <s v="0617-种草-信息流-生椰黎子-体脂秤3mini"/>
        <s v="0617-种草-信息流-福崽-筋膜枪cc"/>
        <s v="0617-种草-信息流-小胡的张张-筋膜枪cc"/>
        <s v="0620-种草-信息流-小蕾-筋膜枪cc"/>
        <s v="0727-种草-信息流-小翻译美芽酱-点击"/>
        <s v="0802-种草-信息流-曲美腻腻-互动点击"/>
        <s v="0804-种草-信息流-阿煜-互动点击"/>
        <s v="0805-种草-信息流-Jeremy 赵-筋膜枪"/>
        <s v="0802-种草-信息流-曲美腻腻-互动点击_复制160803"/>
        <s v="0808-种草-搜素-郝有金-筋膜枪-品牌词-首"/>
        <s v="0808-种草-搜素-郝有金-筋膜枪-品牌词-首_复制185616"/>
        <s v="0808-种草-搜素-郝有金-筋膜枪-品牌词-首_复制185753"/>
        <s v="0808-种草-搜素-郝有金-筋膜枪-品牌词-首_复制185930"/>
        <s v="0808-种草-搜素-郝有金-筋膜枪-品牌词-首_复制190437"/>
        <s v="0808-种草-搜素-郝有金-筋膜枪-品牌词-首_复制190957"/>
        <s v="0808-种草-搜素-郝有金-筋膜枪-品牌词-首_复制191612"/>
        <s v="0808-种草-搜素-郝有金-筋膜枪-品牌词-首_复制191843"/>
        <s v="0809-种草-信息流-元气芥末酱-点击"/>
        <s v="0811-种草-信息流-马可乐-筋膜枪-点击"/>
        <s v="0812-种草-信息流-朱俊畅-pb-点击"/>
        <s v="0811-种草-信息流-马可乐-筋膜枪-点击_复制154842"/>
        <s v="0817-种草-信息流-大红辣辣椒-pb"/>
        <s v="0818-种草-信息流-板野友美-pb"/>
        <s v="0818-种草-搜索-元气芥末酱-pb-类目词"/>
        <s v="0819-种草-信息流-圆圆-pb"/>
        <s v="0820-种草-信息流-板野友美iii-pb"/>
        <s v="0822-种草-信息流-雾霾少女i-pb"/>
        <s v="0822-种草-信息流-小蓝i-pb"/>
        <s v="0823-种草-信息流-桃子酱酱-pb"/>
        <s v="0823-种草-信息流-月亮起床了-pb"/>
        <s v="0829-种草-信息流-爱梨-pb"/>
        <s v="0831-种草-信息流-雪碧要加冰-pb"/>
        <s v="0831-种草-信息流-朱俊畅-pb"/>
        <s v="0831-种草-信息流-小雪教瑜伽-cc"/>
        <s v="0831-种草-搜索-朱俊畅-pb-类目词"/>
        <s v="0831-种草-搜索-小雪教瑜伽-cc-类目词"/>
        <s v="0901-种草-信息流-玩长板的慧慧-pb"/>
        <s v="0901-种草-信息流-Bruce小厮-pb"/>
        <s v="0901-种草-搜索-芥末酱-pb-类目词"/>
        <s v="0902-种草-信息流-木子棋Kiki-pb-点击"/>
        <s v="0902-种草-信息流-包子熟了-pb-点击"/>
        <s v="0902-种草-搜索-马可乐-pb-类目词"/>
        <s v="0905-种草-搜索-包子熟了-pb-类目词"/>
        <s v="0906-种草-信息流-Lucas雨田-pb-点"/>
        <s v="0907-种草-搜索-木子棋-pb-类目词"/>
        <s v="0908-种草-搜索-阿三啊-pb-"/>
        <s v="0909-种草-搜索-圆圆-pb-类目词"/>
        <s v="0909-种草-信息流-JJJJackson-pb"/>
        <s v="0910-种草-搜索-小四-pb-类目"/>
        <s v="国产收音机X"/>
        <s v="跑酷莫承烽"/>
        <s v="国产收音机X_复制183035"/>
        <s v="0917-种草-信息流-朱俊畅-pb-点击-"/>
        <s v="国产收音机X_复制182936"/>
        <s v="0919-种草-信息流-西米-pb"/>
        <s v="0919-种草-信息流-林然-pb"/>
        <s v="0922-种草-信息流-芥末酱-pb"/>
        <s v="0923-种草-信息流-小羊羔崽子-pb-互动"/>
        <s v="0923-种草-信息流-一颗西兰花fa-pb-点击"/>
        <s v="0924-种草-信息流-小羊羔崽子-点击"/>
        <s v="0924-种草-信息流-一颗西兰花fa-点击"/>
        <s v="0926-种草-信息流-小小柯尔鸭-自定义标签"/>
        <s v="0928-种草-信息流-西米-点击"/>
        <s v="0928-种草-信息流-高凯元-pb-互动"/>
        <s v="0919-种草-信息流-西米-pb_复制161035"/>
        <s v="0930-种草-搜索-芥末酱-类目词"/>
        <s v="0930-种草-搜索-pp-3mini-类目词"/>
        <s v="1011-种草-信息流-臃肿大白鹅"/>
        <s v="1011-种草-信息流-芋泥团团茶"/>
        <s v="1013-种草-信息流-板野友美-pb"/>
        <s v="1014-种草-信息流-一颗西兰花fa"/>
        <s v="1014-种草-信息流-郝有金-cc"/>
        <s v="1014-种草-信息流-一颗西"/>
        <s v="1018-种草-信息流-蜜桃少女宁小美-cc"/>
        <s v="1018-种草-信息流-thePans.-cc"/>
        <s v="1018-种草-信息流-pp-体脂秤-3mini"/>
        <s v="1018-种草-信息流-pp-体脂秤-点击"/>
        <s v="1014-种草-信息流-一颗西兰花fa_复制210502"/>
        <s v="1018-种草-信息流-thePans.-cc_复制213708"/>
        <s v="1019-种草-信息流-索菲亚-体脂秤-3mini"/>
        <s v="1019-种草-信息流-健康营养师格格"/>
        <s v="1019-种草-信息流-咦同学-筋膜枪-cc"/>
        <s v="1020-种草-信息流-thePans-筋膜枪cc"/>
        <s v="1020-信息流-橘子汽水-体脂秤-3mini"/>
        <s v="1021-信息流-诸葛亮晶晶-体脂秤-3mini"/>
        <s v="1014-种草-信息流-一颗西兰花fa_复制180331"/>
        <s v="1022-种草-信息流-小羊羔崽子-筋膜枪-pb"/>
        <s v="1022-种草-信息流-形体矫正小李-筋膜枪-pb"/>
        <s v="1024-抢位-一颗西兰花fa-筋膜枪-品牌词"/>
        <s v="1024-种草-信息流-一颗西兰花fa-品类词"/>
        <s v="1024-信息流-pp-体脂秤-3mini"/>
        <s v="1024-信息流-pp-体脂-3mini-品牌词"/>
        <s v="1024-信息流-pp-体脂-3mini-品牌词_复制182937"/>
        <s v="1025-种草-信息流-脆鱼日记-筋膜枪cc"/>
        <s v="1025-种草-信息流- 蜜桃少女宁-筋膜枪cc"/>
        <s v="1026-种草-信息流-西米-筋膜枪-pb"/>
        <s v="1026-搜索-包子-品牌词"/>
        <s v="1026-搜索-包子-品类词"/>
        <s v="11029-种草-信息流-小乔您了-筋膜枪-pb"/>
        <s v="1026-搜索-芥末酱-品类词"/>
        <s v="1031-搜索-郝有金-品类词"/>
        <s v="1031-搜索-小岛-品类词"/>
        <s v="1031-搜索-橘子汽水-品类词"/>
        <s v="1031-搜索-小岛-体脂秤-3mini-类目词"/>
        <s v="1022-种草-信息流-小羊羔崽子-筋膜枪-pb_复制201824"/>
        <s v="1031-搜索-小岛-体脂秤-3mini-类目词_"/>
        <s v="1101-种草-信息流-小甜心-体脂秤-3mini"/>
        <s v="1101-种草-信息流-周周也是倩倩-筋膜枪-pb"/>
        <s v="1101-种草-信息流-Zora张张-筋膜枪-pb"/>
        <s v="1102-种草-信息流-爱健身陈淼淼-筋膜枪-pb"/>
        <s v="1103-种草-信息流-晚一子-点击"/>
        <s v="1102-种草-信息流-爱健身陈淼淼-筋膜枪-pb_复制190941"/>
        <s v="1105-种草-信息流-Zora張張-筋膜枪-cc"/>
        <s v="1106-种草-信息流-脆鱼日记-筋膜枪cc"/>
        <s v="1026-搜索-包子-品类词_复制193653"/>
        <s v="1107-种草-信息流-语宸-筋膜枪cc"/>
        <s v="1107-种草-信息流-小糖果-筋膜枪cc"/>
        <s v="1107-种草-信息流-毛豆-体脂秤3mini"/>
        <s v="1107-种草-信息流-趁早早-体脂秤3mini"/>
        <s v="1022-种草-信息流-小羊羔崽子-筋膜枪-pb_复制221708"/>
        <s v="1108-种草-信息流-语宸-筋膜枪cc"/>
        <s v="1108-种草-信息流-晚一子-体脂秤3mini"/>
        <s v="1108-搜索-小羊羔-品类词"/>
        <s v="1109-种草-信息流-趁早早-体脂秤3mini"/>
        <s v="1109-种草-信息流-小岛-体脂秤3mini"/>
        <s v="1108-搜索-小羊羔-品类词_复制193404"/>
        <s v="1110-种草-信息流-野生辣妹-筋膜枪"/>
        <s v="1110-种草-信息流-樱桃小丸子-筋膜枪"/>
        <s v="1110-种草-信息流-秦亲亲-体脂秤3mini"/>
        <s v="1110-种草-信息流-曼玉-跳绳"/>
        <s v="1111-搜索-马可乐-体脂秤-3mini-类目词"/>
        <s v="0823-种草-信息流-小蓝i-pb"/>
        <s v="0824-种草-信息流-小蓝i-pb"/>
        <s v="0825-种草-信息流-小蓝i-pb"/>
        <s v="0826-种草-信息流-小蓝i-pb"/>
        <s v="0827-种草-信息流-小蓝i-pb"/>
        <s v="0828-种草-信息流-小蓝i-pb"/>
        <s v="0829-种草-信息流-小蓝i-pb"/>
        <s v="0830-种草-信息流-小蓝i-pb"/>
        <s v="0831-种草-信息流-小蓝i-pb"/>
        <s v="0832-种草-信息流-小蓝i-pb"/>
        <s v="0833-种草-信息流-小蓝i-pb"/>
        <s v="0834-种草-信息流-小蓝i-pb"/>
        <s v="0835-种草-信息流-小蓝i-pb"/>
        <s v="0836-种草-信息流-小蓝i-pb"/>
        <s v="0837-种草-信息流-小蓝i-pb"/>
        <s v="0838-种草-信息流-小蓝i-pb"/>
        <s v="1201-信息流-蔓玉有点甜-跳绳"/>
        <s v="1201-信息流-miss小宝-筋膜枪pb2"/>
        <s v="1202-信息流-嘎嘎今天不要懒-跳绳2go"/>
        <s v="1203-信息流-小饼-筋膜枪cc"/>
        <s v="1203-信息流-包子熟了-筋膜枪pb2"/>
        <s v="芒果腻"/>
        <s v="1204-种草-信息流-一颗西兰花-筋膜枪pb2"/>
        <s v="1204-种草-信息流-zora张张-ccgo"/>
        <s v="1204-种草-信息流-猪脚-跳绳2go"/>
        <s v="1205-种草-信息流-小羊羔崽子-筋膜枪pb2"/>
        <s v="1205-种草-信息流-臃肿大白鹅-筋膜枪pb2"/>
        <s v="1205-种草-信息流-蛋卷er-筋膜枪cc"/>
        <s v="1206-种草-信息流-紫菜-筋膜枪cc"/>
        <s v="1207-抢位-包子-cc-首位"/>
        <s v="1207-抢位-张张-cc-前三"/>
        <s v="1207-种草-信息流-Morii-跳绳2go"/>
        <s v="1208-种草-信息流- 是33崽-筋膜枪cc"/>
        <s v="1209-种草-信息流-马可乐-pb2"/>
        <s v="1212-抢位-马可乐-pb-前三"/>
        <m/>
      </sharedItems>
    </cacheField>
    <cacheField name="单元ID" numFmtId="0">
      <sharedItems containsString="0" containsBlank="1" containsNumber="1" containsInteger="1" minValue="2918793" maxValue="7047407" count="228">
        <n v="2918793"/>
        <n v="2918813"/>
        <n v="2918831"/>
        <n v="2959750"/>
        <n v="2959778"/>
        <n v="2959797"/>
        <n v="2959816"/>
        <n v="2959820"/>
        <n v="2959834"/>
        <n v="2959849"/>
        <n v="2959861"/>
        <n v="2959880"/>
        <n v="2966106"/>
        <n v="2966132"/>
        <n v="2966196"/>
        <n v="2978792"/>
        <n v="2978801"/>
        <n v="2978810"/>
        <n v="2984115"/>
        <n v="2984144"/>
        <n v="2984271"/>
        <n v="2984400"/>
        <n v="2993851"/>
        <n v="3001667"/>
        <n v="3001688"/>
        <n v="3001731"/>
        <n v="3001791"/>
        <n v="3007578"/>
        <n v="3007658"/>
        <n v="3007662"/>
        <n v="3007667"/>
        <n v="3014687"/>
        <n v="3014707"/>
        <n v="3014737"/>
        <n v="3014754"/>
        <n v="3014764"/>
        <n v="3014779"/>
        <n v="3014783"/>
        <n v="3020475"/>
        <n v="3020499"/>
        <n v="3020580"/>
        <n v="3020613"/>
        <n v="3020628"/>
        <n v="3028319"/>
        <n v="3067706"/>
        <n v="3067718"/>
        <n v="3067721"/>
        <n v="3067744"/>
        <n v="3068565"/>
        <n v="3074136"/>
        <n v="3076866"/>
        <n v="3076999"/>
        <n v="3077376"/>
        <n v="3077590"/>
        <n v="3077734"/>
        <n v="3087946"/>
        <n v="3087955"/>
        <n v="3087971"/>
        <n v="3087973"/>
        <n v="3087983"/>
        <n v="3087989"/>
        <n v="3099180"/>
        <n v="3099710"/>
        <n v="3099720"/>
        <n v="3118218"/>
        <n v="3362209"/>
        <n v="3466574"/>
        <n v="3493737"/>
        <n v="3514560"/>
        <n v="3544995"/>
        <n v="3580052"/>
        <n v="3580060"/>
        <n v="3580099"/>
        <n v="3580132"/>
        <n v="3580226"/>
        <n v="3580327"/>
        <n v="3580433"/>
        <n v="3580480"/>
        <n v="3600311"/>
        <n v="3639848"/>
        <n v="3665138"/>
        <n v="3729412"/>
        <n v="3755110"/>
        <n v="3775804"/>
        <n v="3775925"/>
        <n v="3798655"/>
        <n v="3817956"/>
        <n v="3851140"/>
        <n v="3851160"/>
        <n v="3870533"/>
        <n v="3870563"/>
        <n v="3992888"/>
        <n v="4036081"/>
        <n v="4039162"/>
        <n v="4039210"/>
        <n v="4039364"/>
        <n v="4039390"/>
        <n v="4059790"/>
        <n v="4059827"/>
        <n v="4061725"/>
        <n v="4083919"/>
        <n v="4084168"/>
        <n v="4084260"/>
        <n v="4133905"/>
        <n v="4155782"/>
        <n v="4178883"/>
        <n v="4206144"/>
        <n v="4228760"/>
        <n v="4228800"/>
        <n v="4239566"/>
        <n v="4314778"/>
        <n v="4314821"/>
        <n v="4365075"/>
        <n v="4384092"/>
        <n v="4365044"/>
        <n v="4425179"/>
        <n v="4425218"/>
        <n v="4507302"/>
        <n v="4528587"/>
        <n v="4528603"/>
        <n v="4551147"/>
        <n v="4551153"/>
        <n v="4605593"/>
        <n v="4664600"/>
        <n v="4664833"/>
        <n v="4667757"/>
        <n v="4743757"/>
        <n v="4743785"/>
        <n v="5010053"/>
        <n v="5010131"/>
        <n v="5077750"/>
        <n v="5116446"/>
        <n v="5119266"/>
        <n v="5192303"/>
        <n v="5218190"/>
        <n v="5218235"/>
        <n v="5218312"/>
        <n v="5234903"/>
        <n v="5235064"/>
        <n v="5235825"/>
        <n v="5258337"/>
        <n v="5258914"/>
        <n v="5259036"/>
        <n v="5300130"/>
        <n v="5300358"/>
        <n v="5332127"/>
        <n v="5338035"/>
        <n v="5366393"/>
        <n v="5366424"/>
        <n v="5428268"/>
        <n v="5428627"/>
        <n v="5428999"/>
        <n v="5429032"/>
        <n v="5429663"/>
        <n v="5474004"/>
        <n v="5479098"/>
        <n v="5521266"/>
        <n v="5521358"/>
        <n v="5521414"/>
        <n v="5634352"/>
        <n v="5694637"/>
        <n v="5694754"/>
        <n v="5694908"/>
        <n v="5694979"/>
        <n v="5699471"/>
        <n v="5700276"/>
        <n v="5700336"/>
        <n v="5731231"/>
        <n v="5732324"/>
        <n v="5732455"/>
        <n v="5771085"/>
        <n v="5809017"/>
        <n v="5851094"/>
        <n v="5880638"/>
        <n v="5893381"/>
        <n v="5942225"/>
        <n v="5942327"/>
        <n v="5942343"/>
        <n v="5942377"/>
        <n v="5942417"/>
        <n v="5946923"/>
        <n v="5980615"/>
        <n v="5980832"/>
        <n v="5980913"/>
        <n v="6017655"/>
        <n v="6017685"/>
        <n v="6017761"/>
        <n v="6056558"/>
        <n v="6056608"/>
        <n v="6056747"/>
        <n v="6056874"/>
        <n v="6095328"/>
        <n v="3851161"/>
        <n v="3851162"/>
        <n v="3851163"/>
        <n v="3851164"/>
        <n v="3851165"/>
        <n v="3851166"/>
        <n v="3851167"/>
        <n v="3851168"/>
        <n v="3851169"/>
        <n v="3851170"/>
        <n v="3851171"/>
        <n v="3851172"/>
        <n v="3851173"/>
        <n v="3851174"/>
        <n v="3851175"/>
        <n v="3851176"/>
        <n v="6702550"/>
        <n v="6702577"/>
        <n v="6725293"/>
        <n v="6759755"/>
        <n v="6759811"/>
        <n v="6759850"/>
        <n v="6779533"/>
        <n v="6779552"/>
        <n v="6779635"/>
        <n v="6811834"/>
        <n v="6811939"/>
        <n v="6812062"/>
        <n v="6841351"/>
        <n v="6872965"/>
        <n v="6872994"/>
        <n v="6873109"/>
        <n v="6908546"/>
        <n v="6951868"/>
        <n v="7047407"/>
        <m/>
      </sharedItems>
    </cacheField>
    <cacheField name="计划名称" numFmtId="0">
      <sharedItems containsBlank="1" count="229">
        <s v="0519-种草-信息流-筋膜枪赛马测试"/>
        <s v="0519-种草-信息流-体脂秤3"/>
        <s v="0519-种草-信息流-体脂秤3mini赛马测试"/>
        <s v="0526-种草-信息流-爱跳绳粥粥-云麦跳绳心率款"/>
        <s v="0526-种草-搜索-我是铁核桃-云麦体脂秤3"/>
        <s v="0526-郝有金-筋膜枪cc-类目词--首位"/>
        <s v="0601- 圆又圆超爱笑-类目词-筋膜枪cc-前3"/>
        <s v="0526-种草-信息流-热锅上的蚂蚁-筋膜枪cc"/>
        <s v="0526-种草-搜索-pp-体脂秤3mini"/>
        <s v="0526-种草-搜索-大敏敏-体脂秤3mini"/>
        <s v="0526-种草-信息流-七七-体脂秤3mini"/>
        <s v="0527-种草-信息流-pp-体脂秤3mini"/>
        <s v="0527-种草-信息流-Sophia大大-筋膜枪c"/>
        <s v="0530-种草-信息流-我是铁核桃-体脂秤3"/>
        <s v="0602-体脂秤3mini-类目词-首位"/>
        <s v="0530-种草-信息流-大桐yoto-体脂秤3mi"/>
        <s v="0530-种草-信息流-Amy-体脂秤3mini"/>
        <s v="0531-种草-信息流-白白-心率跳绳"/>
        <s v="0606-种草-信息流-小小李-云麦心率跳绳"/>
        <s v="0601-种草-信息流-小菜包-云麦体脂秤3"/>
        <s v="0531-信息流-大桐yoto-体脂秤3mini"/>
        <s v="0601-小雪瑜伽-筋膜枪-类目词-首位"/>
        <s v="0602-种草-信息流-小雪教瑜伽-筋膜枪cc"/>
        <s v="0602-种草-信息流-努力变好的yy-筋膜枪"/>
        <s v="0603-种草-信息流-咕咕猪小短腿-体脂秤3"/>
        <s v="0602-种草-信息流-心率跳绳赛马测试"/>
        <s v="0605-种草-信息流-小雪教瑜伽-筋膜枪cc"/>
        <s v="0605-种草-信息流-白白-心率跳绳"/>
        <s v="0605-种草-信息流-咕咕猪小短腿-体脂秤3"/>
        <s v="0605-种草-信息流-努力变好的yy-筋膜枪cc"/>
        <s v="0606-种草-信息流-威风凛凛小队长-体脂秤3"/>
        <s v="0606-种草-信息流-努力变好的yy-筋膜枪cc"/>
        <s v="0606-小雪瑜伽-类目词-筋膜枪cc-"/>
        <s v="0606- 圆又圆超爱笑-类目词-筋膜枪cc"/>
        <s v="0614-种草-信息流-小方-体脂秤3mini"/>
        <s v="0614-pp-类目词-体脂秤3mini"/>
        <s v="0606-种草-信息流-pp-体脂秤3mini"/>
        <s v="0614-种草-信息流-雪瑜伽-筋膜枪cc"/>
        <s v="0607-种草-信息流-干坐着的小瑶-筋膜枪cc"/>
        <s v="0607-种草-信息流-辣妈含含-体脂秤3"/>
        <s v="0607-种草-信息流-凯琳-心率跳绳"/>
        <s v="0607-种草-信息流-杨大大-心率跳绳"/>
        <s v="0608-种草-信息流-丫丫小姐姐-心率跳绳"/>
        <s v="0614-种草-信息流-六月炎妍-体脂秤3mini"/>
        <s v="0614-种草-信息流- 星星要变瘦-筋膜枪cc"/>
        <s v="0614-种草-信息流- 苏妤Sere-筋膜枪cc"/>
        <s v="0614-种草-信息流-小月月-体脂秤3"/>
        <s v="0614-抢前3-干坐着的小瑶-类目词-筋膜枪cc"/>
        <s v="0615-抢赛道-凯琳-首位-心率跳绳"/>
        <s v="0615-抢前3-炎妍-类目词-体脂秤3mini"/>
        <s v="0615-种草-信息流-马可乐-体脂秤3mini"/>
        <s v="0615-抢前3-苏妤-类目词-筋膜枪cc"/>
        <s v="0615-抢首-郝有金-类目词-筋膜枪cc"/>
        <s v="0615-抢前3-粥粥-类目词-心率跳绳"/>
        <s v="0616-抢前3-马可乐-功效词-体脂秤3mini"/>
        <s v="0616-种草-信息流-茜茜子-体脂秤3mini"/>
        <s v="0616-种草-信息流-丹丹-筋膜枪cc"/>
        <s v="0616-种草-信息流-林菀桃桃-筋膜枪cc"/>
        <s v="0616-种草-信息流-爱撸铁的丁-筋膜枪cc"/>
        <s v="0616-种草-信息流-熊猫叮-筋膜枪cc"/>
        <s v="0617-种草-信息流-生椰黎子-体脂秤3mini"/>
        <s v="0617-种草-信息流-福崽-筋膜枪cc"/>
        <s v="0617-种草-信息流-小胡的张张-筋膜枪cc"/>
        <s v="0620-种草-信息流-小蕾-筋膜枪cc"/>
        <s v="0727-种草-信息流-小翻译美芽酱-点击"/>
        <s v="0802-种草-信息流-曲美腻腻-筋膜枪-互动点击"/>
        <s v="0804-种草-信息流-阿煜-筋膜枪-互动点击"/>
        <s v="0805-种草-信息流-Jeremy 赵-筋膜枪"/>
        <s v="0806-种草-信息流-小恩哥带你练臀-筋膜枪"/>
        <s v="0808-种草-搜素-郝有金-筋膜枪-品牌词-首"/>
        <s v="0808-种草-搜素-苏舒-筋膜枪-品牌词-首"/>
        <s v="0808-种草-搜素-郝有金-筋膜枪-类目词-首"/>
        <s v="0808-种草-搜素-苏舒-筋膜枪-类目词-前三"/>
        <s v="0808-种草-搜素-苏舒-筋膜枪-竞品词-首"/>
        <s v="0808-种草-搜素-pp-体脂秤-品牌词-首"/>
        <s v="0808-种草-搜素-pp-体脂秤-类目词-首"/>
        <s v="0808-种草-搜素-pp-体脂秤-竞品词-首"/>
        <s v="0809-种草-信息流-元气芥末酱-筋膜枪-点击"/>
        <s v="0811-种草-信息流-马可乐-pb-点击"/>
        <s v="0812-种草-信息流-朱俊畅-pb-点击"/>
        <s v="0816-种草-信息流-爱跳绳的粥粥-pb-点击"/>
        <s v="0817-种草-信息流-大红辣辣椒-pb"/>
        <s v="0818-种草-信息流-板野友美-pb"/>
        <s v="0818-种草-搜索-元气芥末酱-pb-类目词"/>
        <s v="0819-种草-信息流-圆圆-pb"/>
        <s v="0820-种草-信息流-板野友美iii-pb"/>
        <s v="0822-种草-信息流-雾霾少女i-pb"/>
        <s v="0822-种草-信息流-小蓝i-pb"/>
        <s v="0823-种草-信息流-桃子酱酱-pb"/>
        <s v="0823-种草-信息流-月亮起床了-pb"/>
        <s v="0829-种草-信息流-爱梨-pb"/>
        <s v="0831-种草-信息流-雪碧要加冰-pb"/>
        <s v="0831-种草-信息流-朱俊畅-pb"/>
        <s v="0831-种草-信息流-小雪教瑜伽-cc"/>
        <s v="0831-种草-搜索-朱俊畅-pb-类目词"/>
        <s v="0831-种草-搜索-小雪教瑜伽-cc-类目词"/>
        <s v="0901-种草-信息流-玩长板的慧慧-pb"/>
        <s v="0901-种草-信息流-Bruce小厮-pb"/>
        <s v="0901-种草-搜索-芥末酱-pb-类目词"/>
        <s v="0902-种草-信息流-木子棋Kiki-pb-点击"/>
        <s v="0902-种草-信息流-包子熟了-pb-点击"/>
        <s v="0902-种草-搜索-马可乐-pb-类目词"/>
        <s v="0905-种草-搜索-包子熟了-pb-类目词"/>
        <s v="0906-种草-信息流-Lucas雨田-pb-点"/>
        <s v="0907-种草-搜索-木子棋Ki-pb-类目词"/>
        <s v="0908-种草-信息流-阿三啊-pb-点"/>
        <s v="0909-种草-搜索-圆圆-pb-类目词"/>
        <s v="0909-种草-信息流-JJJJackson-pb"/>
        <s v="0910-种草-搜索-小厮-pb-类目词"/>
        <s v="0914-种草-信息流-国产收音机X-pb"/>
        <s v="0914-种草-信息流-跑酷莫承烽-pb"/>
        <s v="0916-种草-信息流-小刘爱游泳-pb"/>
        <s v="0917-种草-信息流-朱俊畅-pb-点击-"/>
        <s v="0918-种草-信息流-小乔您了-pb"/>
        <s v="0919-种草-信息流-西米-pb"/>
        <s v="0919-种草-信息流-林然-pb"/>
        <s v="0922-种草-信息流-芥末酱-pb"/>
        <s v="0923-种草-信息流-小羊羔崽子-pb-互动"/>
        <s v="0923-种草-信息流-一颗西兰花fa-pb-互动"/>
        <s v="0924-种草-信息流-小羊羔崽子-点击"/>
        <s v="0924-种草-信息流-一颗西兰花fa-点击"/>
        <s v="0926-种草-信息流-小小柯尔鸭--pb-自定义"/>
        <s v="0928-种草-信息流-西米-pb-点击"/>
        <s v="0928-种草-信息流-高凯元-pb-互动"/>
        <s v="0919-种草-信息流-西米-pb-通投"/>
        <s v="0930-种草-搜索-芥末酱-类目词"/>
        <s v="0930-种草-搜索-pp-3mini-类目词"/>
        <s v="1011-种草-信息流-臃肿大白鹅"/>
        <s v="1011-种草-信息流-芋泥团团茶"/>
        <s v="1013-种草-信息流-板野友美-pb"/>
        <s v="1014-种草-信息流-一颗西兰花fa"/>
        <s v="1014-种草-信息流-郝有金-cc"/>
        <s v="1014-种草-信息流-一颗西兰花fa_pb"/>
        <s v="1018-种草-信息流-蜜桃少女宁小美-cc"/>
        <s v="1018-种草-信息流-thePans.-cc"/>
        <s v="1018-种草-信息流-pp-体脂秤-3mini"/>
        <s v="1018-种草-信息流-pp-体脂秤-点击"/>
        <s v="1018-种草-信息流-一颗西兰花fa_pb"/>
        <s v="1018-种草-信息流-thePans.-cc-"/>
        <s v="1019-种草-信息流-索菲亚-体脂秤-3mini"/>
        <s v="1019-种草-信息流-营养师格格-筋膜枪-cc"/>
        <s v="1019-种草-信息流-咦同学-筋膜枪-cc"/>
        <s v="1020-种草-信息流-thePans-筋膜枪cc"/>
        <s v="1020-信息流-橘子汽水-体脂秤-3mini"/>
        <s v="1021-信息流-诸葛亮晶晶-体脂秤-3mini"/>
        <s v="1021-种草-信息流-一颗西兰花fa_pb_复制"/>
        <s v="1022-种草-信息流-小羊羔崽子-筋膜枪-pb"/>
        <s v="1022-种草-信息流-形体矫正小李-筋膜枪-pb"/>
        <s v="1024-搜索-一颗西兰花fa-品牌词"/>
        <s v="1024-搜索-一颗西兰花fa-品类词"/>
        <s v="1024-信息流-pp-体脂秤-3mini"/>
        <s v="1024-搜索-pp-体脂-3mini-品牌词"/>
        <s v="1024-搜索-pp-体脂秤-3mini-类目词"/>
        <s v="1025-种草-信息流-脆鱼日记-筋膜枪cc"/>
        <s v="1025-种草-信息流- 蜜桃少女宁-筋膜枪cc"/>
        <s v="1026-种草-信息流-西米-筋膜枪-pb"/>
        <s v="1026-搜索-包子-品牌词"/>
        <s v="1026-搜索-包子-品类词"/>
        <s v="1029-种草-信息流-小乔您了-筋膜枪-pb"/>
        <s v="1026-搜索-芥末酱-品类词"/>
        <s v="1031-搜索-郝有金-品类词"/>
        <s v="1031-搜索-小岛-品类词"/>
        <s v="1031-搜索-橘子汽水-品类词"/>
        <s v="1031-搜索-小岛-体脂秤-3mini-类目词"/>
        <s v="1031-种草-信息流-小羊羔崽子-筋膜枪-pb_"/>
        <s v="1031-搜索-橘子汽水-体脂秤-3mini-类目"/>
        <s v="1101-种草-信息流-小甜心-体脂秤-3mini"/>
        <s v="1101-种草-信息流-周周也是倩倩-筋膜枪-pb"/>
        <s v="1101-种草-信息流-Zora张张-筋膜枪-pb"/>
        <s v="1102-种草-信息流-爱健身陈淼淼-筋膜枪-pb"/>
        <s v="1103-种草-信息流-晚一子-点击"/>
        <s v="1104-种草-信息流-爱健身陈淼淼-筋膜枪-pb"/>
        <s v="1105-种草-信息流-Zora張張-筋膜枪-pb"/>
        <s v="1106-种草-信息流-脆鱼日记-筋膜枪cc"/>
        <s v="1107-搜索-西兰花-品类词_"/>
        <s v="1107-种草-信息流-语宸-筋膜枪cc"/>
        <s v="1107-种草-信息流-小糖果-筋膜枪cc"/>
        <s v="1107-种草-信息流-毛豆-体脂秤3mini"/>
        <s v="1107-种草-信息流-趁早早-体脂秤3mini"/>
        <s v="1107-种草-信息流-小羊羔崽子-筋膜枪-pb"/>
        <s v="1108-种草-信息流-方丈-筋膜枪pb"/>
        <s v="1108-种草-信息流-晚一子-体脂秤3mini"/>
        <s v="1108-搜索-小羊羔-品类词"/>
        <s v="1109-种草-信息流-趁早早-体脂秤3mini"/>
        <s v="1109-种草-信息流-小岛-体脂秤3mini"/>
        <s v="1108-搜索-猪脚-跳绳-品类词"/>
        <s v="1110-种草-信息流-野生辣妹-筋膜枪"/>
        <s v="1110-种草-信息流-樱桃小丸子-筋膜枪"/>
        <s v="1110-种草-信息流-秦亲亲-体脂秤3mini"/>
        <s v="1110-种草-信息流-曼玉-跳绳"/>
        <s v="1111-搜索-马可乐-体脂秤-3mini-类目词"/>
        <s v="0823-种草-信息流-小蓝i-pb"/>
        <s v="0824-种草-信息流-小蓝i-pb"/>
        <s v="0825-种草-信息流-小蓝i-pb"/>
        <s v="0826-种草-信息流-小蓝i-pb"/>
        <s v="0827-种草-信息流-小蓝i-pb"/>
        <s v="0828-种草-信息流-小蓝i-pb"/>
        <s v="0829-种草-信息流-小蓝i-pb"/>
        <s v="0830-种草-信息流-小蓝i-pb"/>
        <s v="0831-种草-信息流-小蓝i-pb"/>
        <s v="0832-种草-信息流-小蓝i-pb"/>
        <s v="0833-种草-信息流-小蓝i-pb"/>
        <s v="0834-种草-信息流-小蓝i-pb"/>
        <s v="0835-种草-信息流-小蓝i-pb"/>
        <s v="0836-种草-信息流-小蓝i-pb"/>
        <s v="0837-种草-信息流-小蓝i-pb"/>
        <s v="0838-种草-信息流-小蓝i-pb"/>
        <s v="1201-信息流-蔓玉有点甜-跳绳"/>
        <s v="1201-信息流-miss小宝-筋膜枪pb2"/>
        <s v="1202-信息流-嘎嘎今天不要懒-跳绳2go"/>
        <s v="1203-信息流-小饼-筋膜枪cc"/>
        <s v="1203-信息流-包子熟了-筋膜枪pb2"/>
        <s v="1203-信息流-芒果腻-跳绳2go"/>
        <s v="1204-种草-信息流-一颗西兰花-筋膜枪pb2"/>
        <s v="1204-种草-信息流-zora张张-ccgo"/>
        <s v="1204-种草-信息流-猪脚-跳绳2go"/>
        <s v="1205-种草-信息流-小羊羔崽子-筋膜枪pb2"/>
        <s v="1205-种草-信息流-臃肿大白鹅-筋膜枪pb2"/>
        <s v="1205-种草-信息流-蛋卷er-筋膜枪cc"/>
        <s v="1206-种草-信息流-紫菜-筋膜枪cc"/>
        <s v="1207-抢位-包子-cc-首位"/>
        <s v="1207-抢位-张张-cc-前三"/>
        <s v="1207-种草-信息流-Morii-跳绳2go"/>
        <s v="1207-抢位-包子-cc-首位--短语"/>
        <s v="1207-抢位-张张-cc-前三-短语"/>
        <s v="1208-种草-信息流- 是33崽-筋膜枪cc"/>
        <s v="1209-种草-信息流-马可乐-pb2"/>
        <s v="1212-抢位-马可乐-pb-前三"/>
        <m/>
      </sharedItems>
    </cacheField>
    <cacheField name="计划ID" numFmtId="0">
      <sharedItems containsString="0" containsBlank="1" containsNumber="1" containsInteger="1" minValue="2325045" maxValue="5814443" count="227">
        <n v="2325045"/>
        <n v="2325078"/>
        <n v="2325093"/>
        <n v="2362546"/>
        <n v="2362558"/>
        <n v="2362567"/>
        <n v="2362578"/>
        <n v="2362586"/>
        <n v="2362592"/>
        <n v="2362601"/>
        <n v="2362615"/>
        <n v="2368633"/>
        <n v="2368658"/>
        <n v="2368701"/>
        <n v="2380738"/>
        <n v="2380750"/>
        <n v="2380758"/>
        <n v="2385895"/>
        <n v="2385921"/>
        <n v="2385975"/>
        <n v="2386169"/>
        <n v="2394430"/>
        <n v="2400711"/>
        <n v="2400733"/>
        <n v="2400767"/>
        <n v="2400796"/>
        <n v="2405816"/>
        <n v="2405905"/>
        <n v="2405908"/>
        <n v="2405911"/>
        <n v="2412594"/>
        <n v="2412606"/>
        <n v="2412630"/>
        <n v="2412642"/>
        <n v="2412653"/>
        <n v="2412665"/>
        <n v="2412680"/>
        <n v="2418288"/>
        <n v="2418330"/>
        <n v="2418405"/>
        <n v="2418438"/>
        <n v="2418459"/>
        <n v="2426112"/>
        <n v="2464957"/>
        <n v="2464972"/>
        <n v="2464984"/>
        <n v="2465008"/>
        <n v="2465715"/>
        <n v="2470597"/>
        <n v="2473013"/>
        <n v="2473124"/>
        <n v="2473298"/>
        <n v="2473348"/>
        <n v="2473395"/>
        <n v="2483361"/>
        <n v="2483370"/>
        <n v="2483385"/>
        <n v="2483391"/>
        <n v="2483401"/>
        <n v="2483404"/>
        <n v="2494227"/>
        <n v="2494725"/>
        <n v="2494738"/>
        <n v="2512637"/>
        <n v="2750426"/>
        <n v="2852359"/>
        <n v="2879595"/>
        <n v="2900401"/>
        <n v="2930179"/>
        <n v="2965300"/>
        <n v="2965320"/>
        <n v="2965351"/>
        <n v="2965381"/>
        <n v="2965480"/>
        <n v="2965570"/>
        <n v="2965681"/>
        <n v="2965724"/>
        <n v="2985865"/>
        <n v="3024741"/>
        <n v="3050231"/>
        <n v="3114670"/>
        <n v="3140313"/>
        <n v="3160901"/>
        <n v="3160965"/>
        <n v="3183731"/>
        <n v="3202963"/>
        <n v="3236249"/>
        <n v="3236289"/>
        <n v="3255602"/>
        <n v="3255634"/>
        <n v="3377376"/>
        <n v="3419519"/>
        <n v="3422446"/>
        <n v="3422478"/>
        <n v="3422548"/>
        <n v="3422670"/>
        <n v="3442545"/>
        <n v="3442591"/>
        <n v="3444458"/>
        <n v="3466445"/>
        <n v="3466674"/>
        <n v="3466751"/>
        <n v="3516487"/>
        <n v="3538615"/>
        <n v="3561099"/>
        <n v="3587795"/>
        <n v="3609684"/>
        <n v="3609716"/>
        <n v="3620137"/>
        <n v="3692242"/>
        <n v="3692290"/>
        <n v="3739182"/>
        <n v="3756475"/>
        <n v="3739155"/>
        <n v="3793911"/>
        <n v="3793941"/>
        <n v="3866054"/>
        <n v="3884107"/>
        <n v="3884156"/>
        <n v="3901246"/>
        <n v="3901276"/>
        <n v="3943057"/>
        <n v="3987468"/>
        <n v="3987559"/>
        <n v="3990162"/>
        <n v="4046764"/>
        <n v="4046938"/>
        <n v="4244083"/>
        <n v="4244220"/>
        <n v="4295042"/>
        <n v="4323752"/>
        <n v="4325923"/>
        <n v="4379647"/>
        <n v="4398989"/>
        <n v="4399042"/>
        <n v="4399094"/>
        <n v="4411839"/>
        <n v="4411964"/>
        <n v="4412508"/>
        <n v="4430183"/>
        <n v="4430653"/>
        <n v="4430734"/>
        <n v="4462683"/>
        <n v="4462859"/>
        <n v="4486849"/>
        <n v="4491537"/>
        <n v="4512630"/>
        <n v="4512653"/>
        <n v="4559088"/>
        <n v="4559489"/>
        <n v="4559759"/>
        <n v="4559792"/>
        <n v="4560362"/>
        <n v="4594476"/>
        <n v="4598049"/>
        <n v="4629783"/>
        <n v="4629845"/>
        <n v="4629891"/>
        <n v="4716427"/>
        <n v="4763185"/>
        <n v="4763278"/>
        <n v="4763397"/>
        <n v="4763457"/>
        <n v="4766957"/>
        <n v="4767576"/>
        <n v="4767631"/>
        <n v="4791791"/>
        <n v="4792636"/>
        <n v="4792733"/>
        <n v="4823658"/>
        <n v="4853063"/>
        <n v="4883982"/>
        <n v="4905165"/>
        <n v="4914610"/>
        <n v="4951199"/>
        <n v="4951269"/>
        <n v="4951295"/>
        <n v="4951320"/>
        <n v="4951348"/>
        <n v="4954714"/>
        <n v="4980556"/>
        <n v="4980726"/>
        <n v="4980814"/>
        <n v="5008601"/>
        <n v="5008634"/>
        <n v="5008695"/>
        <n v="5038322"/>
        <n v="5038355"/>
        <n v="5038453"/>
        <n v="5038547"/>
        <n v="5066383"/>
        <n v="3236290"/>
        <n v="3236291"/>
        <n v="3236292"/>
        <n v="3236293"/>
        <n v="3236294"/>
        <n v="3236295"/>
        <n v="3236296"/>
        <n v="3236297"/>
        <n v="3236298"/>
        <n v="3236299"/>
        <n v="3236300"/>
        <n v="3236301"/>
        <n v="3236302"/>
        <n v="3236303"/>
        <n v="3236304"/>
        <n v="3236305"/>
        <n v="5544655"/>
        <n v="5544687"/>
        <n v="5562274"/>
        <n v="5588587"/>
        <n v="5588631"/>
        <n v="5588665"/>
        <n v="5603469"/>
        <n v="5603494"/>
        <n v="5603554"/>
        <n v="5629385"/>
        <n v="5629470"/>
        <n v="5629576"/>
        <n v="5653063"/>
        <n v="5677972"/>
        <n v="5678058"/>
        <n v="5678142"/>
        <n v="5706379"/>
        <n v="5740102"/>
        <n v="5814443"/>
        <m/>
      </sharedItems>
    </cacheField>
    <cacheField name="创意组合方式" numFmtId="0">
      <sharedItems containsBlank="1" count="2">
        <s v="自定义创意"/>
        <m/>
      </sharedItems>
    </cacheField>
    <cacheField name="消费" numFmtId="0">
      <sharedItems containsString="0" containsBlank="1" containsNumber="1" minValue="0" maxValue="19067.98" count="918">
        <n v="537.52"/>
        <n v="120.37"/>
        <n v="62.11"/>
        <n v="187.16"/>
        <n v="174.26"/>
        <n v="288.35"/>
        <n v="450.96"/>
        <n v="73.75"/>
        <n v="29.03"/>
        <n v="185.55"/>
        <n v="70.78"/>
        <n v="299.54"/>
        <n v="227.84"/>
        <n v="46.98"/>
        <n v="92.83"/>
        <n v="8.96"/>
        <n v="174.01"/>
        <n v="276.55"/>
        <n v="83.45"/>
        <n v="68.05"/>
        <n v="2.34"/>
        <n v="154.07"/>
        <n v="113.01"/>
        <n v="31.85"/>
        <n v="16.87"/>
        <n v="0.71"/>
        <n v="36.4"/>
        <n v="285.91"/>
        <n v="4.08"/>
        <n v="65.07"/>
        <n v="0"/>
        <n v="112.47"/>
        <n v="189.27"/>
        <n v="60.74"/>
        <n v="5.61"/>
        <n v="188.12"/>
        <n v="293.5"/>
        <n v="56.86"/>
        <n v="107.59"/>
        <n v="0.78"/>
        <n v="5.8"/>
        <n v="187.29"/>
        <n v="470.03"/>
        <n v="282.27"/>
        <n v="277.58"/>
        <n v="402.77"/>
        <n v="510.08"/>
        <n v="106.3"/>
        <n v="184.75"/>
        <n v="462.84"/>
        <n v="276.07"/>
        <n v="275.36"/>
        <n v="404.53"/>
        <n v="502.44"/>
        <n v="137.64"/>
        <n v="182.98"/>
        <n v="459.63"/>
        <n v="276.64"/>
        <n v="191.7"/>
        <n v="407.8"/>
        <n v="135.68"/>
        <n v="218.19"/>
        <n v="581.37"/>
        <n v="35.44"/>
        <n v="270.79"/>
        <n v="276.28"/>
        <n v="291.74"/>
        <n v="16.19"/>
        <n v="512.81"/>
        <n v="716.17"/>
        <n v="1872.02"/>
        <n v="1914.24"/>
        <n v="2.59"/>
        <n v="169.56"/>
        <n v="0.06"/>
        <n v="0.97"/>
        <n v="67.49"/>
        <n v="155.8"/>
        <n v="1249.65"/>
        <n v="192.68"/>
        <n v="85.84"/>
        <n v="26.16"/>
        <n v="314.95"/>
        <n v="286.55"/>
        <n v="1014.98"/>
        <n v="2774.72"/>
        <n v="2972.72"/>
        <n v="19.82"/>
        <n v="764.32"/>
        <n v="0.03"/>
        <n v="2.07"/>
        <n v="219.05"/>
        <n v="0.79"/>
        <n v="0.2"/>
        <n v="671.42"/>
        <n v="556.41"/>
        <n v="1027.22"/>
        <n v="57.14"/>
        <n v="54.84"/>
        <n v="7.31"/>
        <n v="1292.01"/>
        <n v="1514.56"/>
        <n v="2003.34"/>
        <n v="1752.41"/>
        <n v="204.44"/>
        <n v="93.65"/>
        <n v="1978.91"/>
        <n v="192.93"/>
        <n v="149.21"/>
        <n v="231.19"/>
        <n v="376.07"/>
        <n v="1010.62"/>
        <n v="4006.54"/>
        <n v="5.5"/>
        <n v="4028.36"/>
        <n v="2032.25"/>
        <n v="302.11"/>
        <n v="1906.54"/>
        <n v="100.06"/>
        <n v="0.12"/>
        <n v="528.64"/>
        <n v="203.95"/>
        <n v="1016.74"/>
        <n v="8064.3"/>
        <n v="6.47"/>
        <n v="2016.49"/>
        <n v="304.08"/>
        <n v="1011.84"/>
        <n v="8104.35"/>
        <n v="2028.43"/>
        <n v="302.37"/>
        <n v="4022.41"/>
        <n v="464.57"/>
        <n v="960.65"/>
        <n v="1969.24"/>
        <n v="914.29"/>
        <n v="12.67"/>
        <n v="0.22"/>
        <n v="0.48"/>
        <n v="0.63"/>
        <n v="478.23"/>
        <n v="511.24"/>
        <n v="1634.14"/>
        <n v="516.31"/>
        <n v="1008.88"/>
        <n v="303.31"/>
        <n v="1678.43"/>
        <n v="9.34"/>
        <n v="1.9"/>
        <n v="506.98"/>
        <n v="9.99"/>
        <n v="498.9"/>
        <n v="1463.44"/>
        <n v="1980.97"/>
        <n v="463.52"/>
        <n v="504.45"/>
        <n v="465.57"/>
        <n v="466.2"/>
        <n v="1003.96"/>
        <n v="1824.2"/>
        <n v="873.46"/>
        <n v="1410.99"/>
        <n v="740.76"/>
        <n v="703.64"/>
        <n v="0.56"/>
        <n v="410.75"/>
        <n v="85.63"/>
        <n v="496.71"/>
        <n v="860.85"/>
        <n v="725.57"/>
        <n v="443.62"/>
        <n v="7.96"/>
        <n v="392.21"/>
        <n v="325.02"/>
        <n v="0.6"/>
        <n v="502.84"/>
        <n v="710.33"/>
        <n v="917.53"/>
        <n v="6.52"/>
        <n v="257.78"/>
        <n v="73.67"/>
        <n v="953.57"/>
        <n v="944.49"/>
        <n v="684"/>
        <n v="8.67"/>
        <n v="954.09"/>
        <n v="960.03"/>
        <n v="994.85"/>
        <n v="505.43"/>
        <n v="588.13"/>
        <n v="892.62"/>
        <n v="270.5"/>
        <n v="27.07"/>
        <n v="1004.67"/>
        <n v="305.5"/>
        <n v="985.15"/>
        <n v="1508.53"/>
        <n v="500.85"/>
        <n v="72.54"/>
        <n v="1011.38"/>
        <n v="509.03"/>
        <n v="508.28"/>
        <n v="513.7"/>
        <n v="250.96"/>
        <n v="501.14"/>
        <n v="890.73"/>
        <n v="1893.79"/>
        <n v="1355.37"/>
        <n v="0.18"/>
        <n v="503.97"/>
        <n v="1006.41"/>
        <n v="503.09"/>
        <n v="0.43"/>
        <n v="1080.5"/>
        <n v="1016"/>
        <n v="159.75"/>
        <n v="511.9"/>
        <n v="557.38"/>
        <n v="1419.68"/>
        <n v="512.99"/>
        <n v="0.27"/>
        <n v="1009.64"/>
        <n v="843.4"/>
        <n v="1576.27"/>
        <n v="841.48"/>
        <n v="576.96"/>
        <n v="1028.27"/>
        <n v="458.39"/>
        <n v="0.17"/>
        <n v="712.11"/>
        <n v="1545.81"/>
        <n v="534.48"/>
        <n v="505.2"/>
        <n v="505.54"/>
        <n v="504.41"/>
        <n v="509.16"/>
        <n v="506.12"/>
        <n v="913.76"/>
        <n v="482.1"/>
        <n v="24.99"/>
        <n v="1444.74"/>
        <n v="1473.85"/>
        <n v="1012.93"/>
        <n v="236.39"/>
        <n v="1015.18"/>
        <n v="1011.09"/>
        <n v="511.14"/>
        <n v="502.19"/>
        <n v="465.42"/>
        <n v="475.7"/>
        <n v="1.26"/>
        <n v="475.51"/>
        <n v="502.78"/>
        <n v="503.9"/>
        <n v="505.56"/>
        <n v="1245.98"/>
        <n v="4.66"/>
        <n v="7"/>
        <n v="14.09"/>
        <n v="1015.41"/>
        <n v="371.94"/>
        <n v="2543.55"/>
        <n v="2035.81"/>
        <n v="509.74"/>
        <n v="5.95"/>
        <n v="5"/>
        <n v="2.77"/>
        <n v="0.49"/>
        <n v="514.62"/>
        <n v="502.13"/>
        <n v="1006.52"/>
        <n v="1085.66"/>
        <n v="585.34"/>
        <n v="790.16"/>
        <n v="2048.07"/>
        <n v="1016.02"/>
        <n v="506.72"/>
        <n v="504.78"/>
        <n v="889.86"/>
        <n v="757.79"/>
        <n v="1572.01"/>
        <n v="2413.04"/>
        <n v="936.74"/>
        <n v="304.85"/>
        <n v="910.32"/>
        <n v="2029.34"/>
        <n v="393.18"/>
        <n v="791.01"/>
        <n v="503.44"/>
        <n v="76.77"/>
        <n v="1.93"/>
        <n v="9.77"/>
        <n v="24.03"/>
        <n v="49.47"/>
        <n v="3.79"/>
        <n v="1.04"/>
        <n v="4.47"/>
        <n v="7.6"/>
        <n v="3.55"/>
        <n v="104.15"/>
        <n v="2.95"/>
        <n v="117.7"/>
        <n v="482.54"/>
        <n v="73.76"/>
        <n v="243.74"/>
        <n v="327.67"/>
        <n v="70.71"/>
        <n v="301.69"/>
        <n v="600.5"/>
        <n v="4.28"/>
        <n v="1499.04"/>
        <n v="1.24"/>
        <n v="96.12"/>
        <n v="493.43"/>
        <n v="111.26"/>
        <n v="297.59"/>
        <n v="432.2"/>
        <n v="66.38"/>
        <n v="299.7"/>
        <n v="486.35"/>
        <n v="208.98"/>
        <n v="147.1"/>
        <n v="273.91"/>
        <n v="11.8"/>
        <n v="150.28"/>
        <n v="81.33"/>
        <n v="16.67"/>
        <n v="15.9"/>
        <n v="315.37"/>
        <n v="9.14"/>
        <n v="3.4"/>
        <n v="36.09"/>
        <n v="2.8"/>
        <n v="50.76"/>
        <n v="205.95"/>
        <n v="175.43"/>
        <n v="108.02"/>
        <n v="518.95"/>
        <n v="41.92"/>
        <n v="106.98"/>
        <n v="199.16"/>
        <n v="9.41"/>
        <n v="121.84"/>
        <n v="104.85"/>
        <n v="214.6"/>
        <n v="211.17"/>
        <n v="302.83"/>
        <n v="448.72"/>
        <n v="508.5"/>
        <n v="332.89"/>
        <n v="1011.77"/>
        <n v="478.02"/>
        <n v="351.67"/>
        <n v="983.87"/>
        <n v="465.24"/>
        <n v="497.18"/>
        <n v="971.03"/>
        <n v="498.67"/>
        <n v="493.29"/>
        <n v="1419.37"/>
        <n v="471.68"/>
        <n v="496.45"/>
        <n v="1950.34"/>
        <n v="6.64"/>
        <n v="520.73"/>
        <n v="2.85"/>
        <n v="22.46"/>
        <n v="845.49"/>
        <n v="512.45"/>
        <n v="453.34"/>
        <n v="980.5"/>
        <n v="15.11"/>
        <n v="9.08"/>
        <n v="284.36"/>
        <n v="533.46"/>
        <n v="1000.48"/>
        <n v="7.71"/>
        <n v="323.94"/>
        <n v="392.49"/>
        <n v="325.01"/>
        <n v="9.44"/>
        <n v="503.86"/>
        <n v="885.65"/>
        <n v="319.24"/>
        <n v="488.46"/>
        <n v="13.88"/>
        <n v="6.18"/>
        <n v="394.13"/>
        <n v="480.88"/>
        <n v="909.63"/>
        <n v="11.61"/>
        <n v="459.4"/>
        <n v="303.07"/>
        <n v="506.47"/>
        <n v="437.05"/>
        <n v="508.88"/>
        <n v="134.28"/>
        <n v="503.28"/>
        <n v="485.93"/>
        <n v="803.82"/>
        <n v="4.13"/>
        <n v="1.92"/>
        <n v="504.48"/>
        <n v="502.95"/>
        <n v="999.21"/>
        <n v="339.6"/>
        <n v="490.65"/>
        <n v="623.86"/>
        <n v="460.6"/>
        <n v="9.66"/>
        <n v="848.03"/>
        <n v="415.79"/>
        <n v="1014.02"/>
        <n v="750.9"/>
        <n v="516.58"/>
        <n v="8.28"/>
        <n v="2017.98"/>
        <n v="21.34"/>
        <n v="1.18"/>
        <n v="16.91"/>
        <n v="505.71"/>
        <n v="429.48"/>
        <n v="929.84"/>
        <n v="1014.19"/>
        <n v="797.9"/>
        <n v="2.18"/>
        <n v="1016.99"/>
        <n v="0.81"/>
        <n v="24.78"/>
        <n v="769.44"/>
        <n v="1017.91"/>
        <n v="20.1"/>
        <n v="478.07"/>
        <n v="508.55"/>
        <n v="507.61"/>
        <n v="836.45"/>
        <n v="13.05"/>
        <n v="1.09"/>
        <n v="3.28"/>
        <n v="1.69"/>
        <n v="51.13"/>
        <n v="218.84"/>
        <n v="1042.41"/>
        <n v="429.77"/>
        <n v="997.47"/>
        <n v="474.01"/>
        <n v="268.39"/>
        <n v="428.64"/>
        <n v="483.48"/>
        <n v="552.48"/>
        <n v="8.77"/>
        <n v="9.59"/>
        <n v="1.27"/>
        <n v="575.89"/>
        <n v="547.59"/>
        <n v="513.36"/>
        <n v="769.61"/>
        <n v="1023.64"/>
        <n v="0.3"/>
        <n v="1.68"/>
        <n v="525.68"/>
        <n v="1016.77"/>
        <n v="12.05"/>
        <n v="440.95"/>
        <n v="0.59"/>
        <n v="514.27"/>
        <n v="484.58"/>
        <n v="1005.93"/>
        <n v="495.33"/>
        <n v="512.72"/>
        <n v="13.77"/>
        <n v="520.26"/>
        <n v="368.98"/>
        <n v="1010.19"/>
        <n v="483.89"/>
        <n v="503.54"/>
        <n v="1007.29"/>
        <n v="1.51"/>
        <n v="505.67"/>
        <n v="1.36"/>
        <n v="439.66"/>
        <n v="510.47"/>
        <n v="514.29"/>
        <n v="0.1"/>
        <n v="1008.4"/>
        <n v="504.71"/>
        <n v="2.9"/>
        <n v="1007.79"/>
        <n v="508.2"/>
        <n v="499.73"/>
        <n v="504.35"/>
        <n v="774.15"/>
        <n v="503.26"/>
        <n v="868.91"/>
        <n v="511.41"/>
        <n v="16.75"/>
        <n v="503.03"/>
        <n v="646.63"/>
        <n v="391.8"/>
        <n v="502.72"/>
        <n v="262.11"/>
        <n v="511.87"/>
        <n v="510.59"/>
        <n v="507.42"/>
        <n v="716.27"/>
        <n v="673.38"/>
        <n v="497.23"/>
        <n v="2.01"/>
        <n v="383.03"/>
        <n v="2.22"/>
        <n v="958.52"/>
        <n v="477.48"/>
        <n v="5.45"/>
        <n v="325.3"/>
        <n v="429.79"/>
        <n v="12.47"/>
        <n v="7.2"/>
        <n v="4.59"/>
        <n v="11.98"/>
        <n v="11.78"/>
        <n v="1713.99"/>
        <n v="3.41"/>
        <n v="622.91"/>
        <n v="1007.71"/>
        <n v="356.52"/>
        <n v="409.94"/>
        <n v="41.1"/>
        <n v="515.16"/>
        <n v="810.38"/>
        <n v="395.4"/>
        <n v="1441.34"/>
        <n v="826.88"/>
        <n v="1014.13"/>
        <n v="13.84"/>
        <n v="804.96"/>
        <n v="453.17"/>
        <n v="18.17"/>
        <n v="521.38"/>
        <n v="880.73"/>
        <n v="398.12"/>
        <n v="310.16"/>
        <n v="472.53"/>
        <n v="414"/>
        <n v="291.78"/>
        <n v="390.35"/>
        <n v="512.77"/>
        <n v="6.28"/>
        <n v="411.89"/>
        <n v="978.46"/>
        <n v="0.28"/>
        <n v="502.57"/>
        <n v="504.25"/>
        <n v="500.81"/>
        <n v="1007.37"/>
        <n v="158.56"/>
        <n v="193.43"/>
        <n v="301.66"/>
        <n v="300.76"/>
        <n v="504.86"/>
        <n v="2007.9"/>
        <n v="502.59"/>
        <n v="502.04"/>
        <n v="3213.15"/>
        <n v="499.49"/>
        <n v="395.6"/>
        <n v="390.54"/>
        <n v="2003.08"/>
        <n v="281.87"/>
        <n v="402.75"/>
        <n v="15.17"/>
        <n v="635.86"/>
        <n v="430.92"/>
        <n v="3.1"/>
        <n v="212.55"/>
        <n v="200.71"/>
        <n v="348.64"/>
        <n v="1005.9"/>
        <n v="245.1"/>
        <n v="504.06"/>
        <n v="4.97"/>
        <n v="48.83"/>
        <n v="12.78"/>
        <n v="593.78"/>
        <n v="3.93"/>
        <n v="37.46"/>
        <n v="612.24"/>
        <n v="618.93"/>
        <n v="615.27"/>
        <n v="616.05"/>
        <n v="611.37"/>
        <n v="417.31"/>
        <n v="607.4"/>
        <n v="419.14"/>
        <n v="610.88"/>
        <n v="409.5"/>
        <n v="609.04"/>
        <n v="409.34"/>
        <n v="607.67"/>
        <n v="411.5"/>
        <n v="511.86"/>
        <n v="358.26"/>
        <n v="133.43"/>
        <n v="9.32"/>
        <n v="331.02"/>
        <n v="509.38"/>
        <n v="109.59"/>
        <n v="302.23"/>
        <n v="49.54"/>
        <n v="302.07"/>
        <n v="463.23"/>
        <n v="14.67"/>
        <n v="1510.29"/>
        <n v="1504.8"/>
        <n v="520.92"/>
        <n v="1507.7"/>
        <n v="508.8"/>
        <n v="567.01"/>
        <n v="1904.92"/>
        <n v="32.17"/>
        <n v="330.78"/>
        <n v="104.74"/>
        <n v="20.21"/>
        <n v="205.7"/>
        <n v="17.11"/>
        <n v="106.33"/>
        <n v="701.36"/>
        <n v="47.68"/>
        <n v="308.96"/>
        <n v="399.34"/>
        <n v="95.43"/>
        <n v="240"/>
        <n v="523.23"/>
        <n v="600"/>
        <n v="942.55"/>
        <n v="509.01"/>
        <n v="360"/>
        <n v="215.01"/>
        <n v="1346.83"/>
        <n v="20.65"/>
        <n v="1.05"/>
        <n v="4.72"/>
        <n v="471.53"/>
        <n v="15.54"/>
        <n v="2.38"/>
        <n v="1521.26"/>
        <n v="1007.4"/>
        <n v="2010.56"/>
        <n v="501.01"/>
        <n v="255.9"/>
        <n v="1507.4"/>
        <n v="851.07"/>
        <n v="287.99"/>
        <n v="531.69"/>
        <n v="404.6"/>
        <n v="0.15"/>
        <n v="126.27"/>
        <n v="1619.13"/>
        <n v="9.33"/>
        <n v="308.16"/>
        <n v="305.83"/>
        <n v="492.83"/>
        <n v="61.42"/>
        <n v="323.06"/>
        <n v="478.87"/>
        <n v="11.76"/>
        <n v="971.66"/>
        <n v="307.07"/>
        <n v="108.63"/>
        <n v="320.01"/>
        <n v="205.14"/>
        <n v="190.93"/>
        <n v="1015.8"/>
        <n v="303.91"/>
        <n v="10.55"/>
        <n v="1643.98"/>
        <n v="508.16"/>
        <n v="108"/>
        <n v="325.83"/>
        <n v="202.72"/>
        <n v="7.41"/>
        <n v="4.8"/>
        <n v="190.29"/>
        <n v="313.25"/>
        <n v="1297.69"/>
        <n v="6.59"/>
        <n v="83.46"/>
        <n v="468.29"/>
        <n v="35.89"/>
        <n v="504.13"/>
        <n v="17.84"/>
        <n v="302.58"/>
        <n v="33.53"/>
        <n v="313.97"/>
        <n v="491.75"/>
        <n v="107.56"/>
        <n v="406.84"/>
        <n v="135.38"/>
        <n v="51.81"/>
        <n v="105.02"/>
        <n v="311.13"/>
        <n v="502.21"/>
        <n v="303.39"/>
        <n v="203.01"/>
        <n v="1480.36"/>
        <n v="1455.94"/>
        <n v="2020.89"/>
        <n v="14.36"/>
        <n v="119.04"/>
        <n v="2072.94"/>
        <n v="489.09"/>
        <n v="124.4"/>
        <n v="6.12"/>
        <n v="141.22"/>
        <n v="127.72"/>
        <n v="0.41"/>
        <n v="225.14"/>
        <n v="0.76"/>
        <n v="250.61"/>
        <n v="9.68"/>
        <n v="73.41"/>
        <n v="17.57"/>
        <n v="810.87"/>
        <n v="202.04"/>
        <n v="504.92"/>
        <n v="4.38"/>
        <n v="436.94"/>
        <n v="1806.37"/>
        <n v="362.99"/>
        <n v="75"/>
        <n v="353.47"/>
        <n v="105.29"/>
        <n v="430.07"/>
        <n v="0.47"/>
        <n v="303.55"/>
        <n v="309.38"/>
        <n v="302.64"/>
        <n v="1008.02"/>
        <n v="302.62"/>
        <n v="1510.86"/>
        <n v="213.23"/>
        <n v="1008.97"/>
        <n v="279.78"/>
        <n v="54.67"/>
        <n v="406.83"/>
        <n v="0.57"/>
        <n v="90.35"/>
        <n v="304.74"/>
        <n v="0.88"/>
        <n v="508.49"/>
        <n v="1017.25"/>
        <n v="0.86"/>
        <n v="1466.85"/>
        <n v="0.26"/>
        <n v="2"/>
        <n v="1009.12"/>
        <n v="100.84"/>
        <n v="101.38"/>
        <n v="395.47"/>
        <n v="235.79"/>
        <n v="479.93"/>
        <n v="311.46"/>
        <n v="0.4"/>
        <n v="13.45"/>
        <n v="3.06"/>
        <n v="6.63"/>
        <n v="1.6"/>
        <n v="1066.42"/>
        <n v="944.24"/>
        <n v="0.61"/>
        <n v="0.53"/>
        <n v="2031.4"/>
        <n v="2013.83"/>
        <n v="1021.06"/>
        <n v="517.58"/>
        <n v="97.39"/>
        <n v="203.72"/>
        <n v="1.77"/>
        <n v="520.2"/>
        <n v="1124.36"/>
        <n v="388.58"/>
        <n v="505.97"/>
        <n v="424.9"/>
        <n v="1012.78"/>
        <n v="2032.48"/>
        <n v="101.13"/>
        <n v="303.15"/>
        <n v="1429.44"/>
        <n v="118.17"/>
        <n v="195.62"/>
        <n v="126.07"/>
        <n v="28.44"/>
        <n v="512.23"/>
        <n v="333.84"/>
        <n v="522.18"/>
        <n v="973.58"/>
        <n v="3051.56"/>
        <n v="137.25"/>
        <n v="89.06"/>
        <n v="165.13"/>
        <n v="1015.34"/>
        <n v="524.89"/>
        <n v="239.12"/>
        <n v="38.99"/>
        <n v="488.69"/>
        <n v="1004.83"/>
        <n v="2840.13"/>
        <n v="2.09"/>
        <n v="303.03"/>
        <n v="509.85"/>
        <n v="204.03"/>
        <n v="1516.14"/>
        <n v="516.42"/>
        <n v="505.53"/>
        <n v="325.27"/>
        <n v="507.85"/>
        <n v="339.39"/>
        <n v="1012.72"/>
        <n v="3996.82"/>
        <n v="56.78"/>
        <n v="813.63"/>
        <n v="345.69"/>
        <n v="2417.47"/>
        <n v="1029.35"/>
        <n v="5.12"/>
        <n v="2031.23"/>
        <n v="523.47"/>
        <n v="311.58"/>
        <n v="2.05"/>
        <n v="8.27"/>
        <n v="13.58"/>
        <n v="0.21"/>
        <n v="19067.98"/>
        <n v="9206.39"/>
        <n v="6649.95"/>
        <n v="5663.27"/>
        <n v="5611.22"/>
        <n v="5166.56"/>
        <n v="4390.27"/>
        <n v="2849.49"/>
        <n v="1887.46"/>
        <n v="1655.14"/>
        <n v="734.27"/>
        <n v="690.66"/>
        <n v="449.56"/>
        <n v="436.86"/>
        <n v="413.88"/>
        <n v="199.55"/>
        <n v="505.57"/>
        <n v="506.89"/>
        <n v="0.65"/>
        <n v="1311.03"/>
        <n v="505.48"/>
        <n v="1.8"/>
        <n v="502.96"/>
        <n v="508.35"/>
        <n v="1.85"/>
        <n v="984.27"/>
        <n v="505.02"/>
        <n v="515.7"/>
        <n v="477.03"/>
        <n v="507.76"/>
        <n v="1240.59"/>
        <n v="1017.2"/>
        <n v="548.09"/>
        <n v="506.61"/>
        <n v="294.63"/>
        <n v="400.22"/>
        <n v="498.62"/>
        <n v="0.44"/>
        <n v="491.06"/>
        <n v="1011.12"/>
        <n v="1081.1"/>
        <n v="1481.56"/>
        <n v="5.78"/>
        <n v="9.18"/>
        <n v="508.02"/>
        <n v="403.88"/>
        <n v="598.01"/>
        <n v="827.71"/>
        <n v="547.8"/>
        <n v="494.92"/>
        <n v="508.79"/>
        <n v="220.23"/>
        <n v="0.68"/>
        <n v="504.93"/>
        <n v="505.79"/>
        <n v="253.92"/>
        <n v="979.88"/>
        <n v="787.79"/>
        <n v="526.32"/>
        <n v="3.11"/>
        <n v="204.11"/>
        <n v="307.55"/>
        <n v="0.13"/>
        <n v="290.47"/>
        <n v="3.12"/>
        <n v="863.66"/>
        <n v="1010.73"/>
        <n v="316.93"/>
        <n v="203.12"/>
        <n v="4.53"/>
        <n v="303.48"/>
        <n v="1506.84"/>
        <n v="1008.62"/>
        <n v="306.27"/>
        <n v="508.71"/>
        <n v="0.37"/>
        <n v="1489.96"/>
        <n v="1217.46"/>
        <n v="324.24"/>
        <n v="685.94"/>
        <n v="373.62"/>
        <n v="962.63"/>
        <n v="667.78"/>
        <n v="362.25"/>
        <n v="0.5"/>
        <n v="506.5"/>
        <m/>
      </sharedItems>
    </cacheField>
    <cacheField name="展现量" numFmtId="0">
      <sharedItems containsString="0" containsBlank="1" containsNumber="1" containsInteger="1" minValue="0" maxValue="1707999" count="930">
        <n v="56536"/>
        <n v="13237"/>
        <n v="20416"/>
        <n v="12017"/>
        <n v="38207"/>
        <n v="35118"/>
        <n v="69824"/>
        <n v="11731"/>
        <n v="12390"/>
        <n v="14319"/>
        <n v="22799"/>
        <n v="49719"/>
        <n v="49012"/>
        <n v="9110"/>
        <n v="7872"/>
        <n v="1103"/>
        <n v="28089"/>
        <n v="34344"/>
        <n v="10872"/>
        <n v="4108"/>
        <n v="469"/>
        <n v="25905"/>
        <n v="25538"/>
        <n v="6178"/>
        <n v="1360"/>
        <n v="198"/>
        <n v="6341"/>
        <n v="40542"/>
        <n v="328"/>
        <n v="2307"/>
        <n v="4"/>
        <n v="2914"/>
        <n v="22155"/>
        <n v="828"/>
        <n v="577"/>
        <n v="29213"/>
        <n v="43386"/>
        <n v="1641"/>
        <n v="2744"/>
        <n v="91"/>
        <n v="8"/>
        <n v="868"/>
        <n v="32321"/>
        <n v="110046"/>
        <n v="28676"/>
        <n v="45357"/>
        <n v="10718"/>
        <n v="14283"/>
        <n v="11802"/>
        <n v="32382"/>
        <n v="105531"/>
        <n v="33828"/>
        <n v="56289"/>
        <n v="7633"/>
        <n v="13063"/>
        <n v="0"/>
        <n v="13294"/>
        <n v="23788"/>
        <n v="88856"/>
        <n v="41360"/>
        <n v="34061"/>
        <n v="10128"/>
        <n v="4007"/>
        <n v="32"/>
        <n v="44553"/>
        <n v="52558"/>
        <n v="1314"/>
        <n v="14397"/>
        <n v="21229"/>
        <n v="36399"/>
        <n v="1758"/>
        <n v="6272"/>
        <n v="20565"/>
        <n v="185341"/>
        <n v="147665"/>
        <n v="44"/>
        <n v="12815"/>
        <n v="10"/>
        <n v="97"/>
        <n v="1"/>
        <n v="10185"/>
        <n v="23279"/>
        <n v="127547"/>
        <n v="14137"/>
        <n v="9696"/>
        <n v="1534"/>
        <n v="14497"/>
        <n v="32318"/>
        <n v="25447"/>
        <n v="255271"/>
        <n v="214093"/>
        <n v="765"/>
        <n v="76651"/>
        <n v="31"/>
        <n v="403"/>
        <n v="15697"/>
        <n v="79"/>
        <n v="9"/>
        <n v="91270"/>
        <n v="15178"/>
        <n v="22514"/>
        <n v="3214"/>
        <n v="2848"/>
        <n v="867"/>
        <n v="85353"/>
        <n v="74754"/>
        <n v="325865"/>
        <n v="45875"/>
        <n v="4782"/>
        <n v="1846"/>
        <n v="237365"/>
        <n v="31919"/>
        <n v="33339"/>
        <n v="29745"/>
        <n v="52708"/>
        <n v="26991"/>
        <n v="315487"/>
        <n v="354"/>
        <n v="564779"/>
        <n v="51717"/>
        <n v="13749"/>
        <n v="136206"/>
        <n v="15277"/>
        <n v="87"/>
        <n v="103759"/>
        <n v="30860"/>
        <n v="28663"/>
        <n v="604683"/>
        <n v="1354"/>
        <n v="52146"/>
        <n v="5672"/>
        <n v="26672"/>
        <n v="653853"/>
        <n v="54231"/>
        <n v="5626"/>
        <n v="458003"/>
        <n v="73985"/>
        <n v="167940"/>
        <n v="248747"/>
        <n v="81956"/>
        <n v="1657"/>
        <n v="28"/>
        <n v="170"/>
        <n v="227"/>
        <n v="69565"/>
        <n v="66637"/>
        <n v="55833"/>
        <n v="21041"/>
        <n v="79313"/>
        <n v="18496"/>
        <n v="197360"/>
        <n v="636"/>
        <n v="286"/>
        <n v="61606"/>
        <n v="294"/>
        <n v="48047"/>
        <n v="17"/>
        <n v="191662"/>
        <n v="197692"/>
        <n v="82112"/>
        <n v="171451"/>
        <n v="67929"/>
        <n v="102709"/>
        <n v="91441"/>
        <n v="207967"/>
        <n v="104927"/>
        <n v="241633"/>
        <n v="247755"/>
        <n v="105951"/>
        <n v="220"/>
        <n v="48643"/>
        <n v="3492"/>
        <n v="48068"/>
        <n v="122694"/>
        <n v="85243"/>
        <n v="102452"/>
        <n v="2200"/>
        <n v="70204"/>
        <n v="44182"/>
        <n v="19"/>
        <n v="55028"/>
        <n v="84932"/>
        <n v="81656"/>
        <n v="1345"/>
        <n v="22704"/>
        <n v="5088"/>
        <n v="27"/>
        <n v="112516"/>
        <n v="123761"/>
        <n v="43399"/>
        <n v="225"/>
        <n v="128468"/>
        <n v="125522"/>
        <n v="66015"/>
        <n v="46561"/>
        <n v="80283"/>
        <n v="98444"/>
        <n v="24441"/>
        <n v="2157"/>
        <n v="85769"/>
        <n v="6832"/>
        <n v="120865"/>
        <n v="161834"/>
        <n v="40915"/>
        <n v="5318"/>
        <n v="152555"/>
        <n v="54918"/>
        <n v="35262"/>
        <n v="64692"/>
        <n v="19402"/>
        <n v="41858"/>
        <n v="13092"/>
        <n v="162799"/>
        <n v="107864"/>
        <n v="43"/>
        <n v="62984"/>
        <n v="103818"/>
        <n v="47275"/>
        <n v="117"/>
        <n v="39144"/>
        <n v="28219"/>
        <n v="5083"/>
        <n v="87734"/>
        <n v="23397"/>
        <n v="31504"/>
        <n v="22516"/>
        <n v="21"/>
        <n v="13998"/>
        <n v="86475"/>
        <n v="137956"/>
        <n v="91610"/>
        <n v="41097"/>
        <n v="26578"/>
        <n v="23868"/>
        <n v="36"/>
        <n v="18934"/>
        <n v="33600"/>
        <n v="2"/>
        <n v="22494"/>
        <n v="22949"/>
        <n v="71681"/>
        <n v="60090"/>
        <n v="58161"/>
        <n v="89634"/>
        <n v="10753"/>
        <n v="49771"/>
        <n v="2003"/>
        <n v="121866"/>
        <n v="120204"/>
        <n v="28795"/>
        <n v="8136"/>
        <n v="27078"/>
        <n v="11125"/>
        <n v="21187"/>
        <n v="35388"/>
        <n v="80807"/>
        <n v="38034"/>
        <n v="82"/>
        <n v="51836"/>
        <n v="37346"/>
        <n v="86093"/>
        <n v="68416"/>
        <n v="18237"/>
        <n v="337"/>
        <n v="508"/>
        <n v="1251"/>
        <n v="22848"/>
        <n v="11458"/>
        <n v="52193"/>
        <n v="23869"/>
        <n v="22301"/>
        <n v="677"/>
        <n v="254"/>
        <n v="539"/>
        <n v="68"/>
        <n v="200"/>
        <n v="106"/>
        <n v="14659"/>
        <n v="56586"/>
        <n v="113325"/>
        <n v="23668"/>
        <n v="38023"/>
        <n v="17065"/>
        <n v="30563"/>
        <n v="20341"/>
        <n v="110082"/>
        <n v="40485"/>
        <n v="76896"/>
        <n v="14616"/>
        <n v="87951"/>
        <n v="157911"/>
        <n v="248554"/>
        <n v="19617"/>
        <n v="9340"/>
        <n v="23977"/>
        <n v="35160"/>
        <n v="31037"/>
        <n v="51316"/>
        <n v="83947"/>
        <n v="24991"/>
        <n v="993"/>
        <n v="1813"/>
        <n v="4244"/>
        <n v="123"/>
        <n v="57"/>
        <n v="317"/>
        <n v="658"/>
        <n v="692"/>
        <n v="1599"/>
        <n v="71"/>
        <n v="30335"/>
        <n v="84291"/>
        <n v="4470"/>
        <n v="12232"/>
        <n v="15000"/>
        <n v="3378"/>
        <n v="61625"/>
        <n v="215"/>
        <n v="57020"/>
        <n v="913"/>
        <n v="82593"/>
        <n v="281"/>
        <n v="8685"/>
        <n v="38119"/>
        <n v="10014"/>
        <n v="54574"/>
        <n v="37896"/>
        <n v="6754"/>
        <n v="66364"/>
        <n v="92936"/>
        <n v="15980"/>
        <n v="21125"/>
        <n v="47774"/>
        <n v="3"/>
        <n v="526"/>
        <n v="15733"/>
        <n v="12016"/>
        <n v="35"/>
        <n v="579"/>
        <n v="816"/>
        <n v="14223"/>
        <n v="591"/>
        <n v="322"/>
        <n v="1117"/>
        <n v="211"/>
        <n v="1911"/>
        <n v="21842"/>
        <n v="21941"/>
        <n v="3047"/>
        <n v="15044"/>
        <n v="2383"/>
        <n v="4320"/>
        <n v="6396"/>
        <n v="622"/>
        <n v="13594"/>
        <n v="1177"/>
        <n v="5519"/>
        <n v="3253"/>
        <n v="36031"/>
        <n v="47494"/>
        <n v="108888"/>
        <n v="33949"/>
        <n v="113907"/>
        <n v="99750"/>
        <n v="38026"/>
        <n v="62452"/>
        <n v="91049"/>
        <n v="59700"/>
        <n v="71038"/>
        <n v="77297"/>
        <n v="57106"/>
        <n v="103125"/>
        <n v="72295"/>
        <n v="52741"/>
        <n v="126911"/>
        <n v="1396"/>
        <n v="37111"/>
        <n v="304"/>
        <n v="2040"/>
        <n v="62077"/>
        <n v="48426"/>
        <n v="76349"/>
        <n v="71750"/>
        <n v="954"/>
        <n v="1712"/>
        <n v="58082"/>
        <n v="18879"/>
        <n v="60636"/>
        <n v="1231"/>
        <n v="33798"/>
        <n v="41150"/>
        <n v="21739"/>
        <n v="968"/>
        <n v="47753"/>
        <n v="62490"/>
        <n v="19026"/>
        <n v="39050"/>
        <n v="1074"/>
        <n v="255"/>
        <n v="43442"/>
        <n v="41651"/>
        <n v="56784"/>
        <n v="1143"/>
        <n v="48698"/>
        <n v="56879"/>
        <n v="94143"/>
        <n v="31537"/>
        <n v="53670"/>
        <n v="12437"/>
        <n v="66635"/>
        <n v="33015"/>
        <n v="117893"/>
        <n v="271"/>
        <n v="305"/>
        <n v="32550"/>
        <n v="100599"/>
        <n v="69338"/>
        <n v="27922"/>
        <n v="94032"/>
        <n v="46500"/>
        <n v="43067"/>
        <n v="1603"/>
        <n v="65782"/>
        <n v="28309"/>
        <n v="156465"/>
        <n v="55084"/>
        <n v="47578"/>
        <n v="681"/>
        <n v="273125"/>
        <n v="1568"/>
        <n v="158"/>
        <n v="1773"/>
        <n v="35962"/>
        <n v="67223"/>
        <n v="50846"/>
        <n v="130458"/>
        <n v="18363"/>
        <n v="35718"/>
        <n v="110"/>
        <n v="4881"/>
        <n v="47331"/>
        <n v="110601"/>
        <n v="206"/>
        <n v="5120"/>
        <n v="46477"/>
        <n v="44797"/>
        <n v="23290"/>
        <n v="885"/>
        <n v="157"/>
        <n v="6277"/>
        <n v="31643"/>
        <n v="29992"/>
        <n v="46271"/>
        <n v="140024"/>
        <n v="11697"/>
        <n v="20911"/>
        <n v="32816"/>
        <n v="23828"/>
        <n v="12708"/>
        <n v="380"/>
        <n v="510"/>
        <n v="81"/>
        <n v="45337"/>
        <n v="7433"/>
        <n v="89082"/>
        <n v="60146"/>
        <n v="18019"/>
        <n v="74"/>
        <n v="17916"/>
        <n v="44620"/>
        <n v="672"/>
        <n v="17282"/>
        <n v="36727"/>
        <n v="12"/>
        <n v="105395"/>
        <n v="44771"/>
        <n v="72948"/>
        <n v="39077"/>
        <n v="13263"/>
        <n v="57633"/>
        <n v="38410"/>
        <n v="20418"/>
        <n v="38191"/>
        <n v="82661"/>
        <n v="5"/>
        <n v="61722"/>
        <n v="63"/>
        <n v="38095"/>
        <n v="37929"/>
        <n v="32776"/>
        <n v="79339"/>
        <n v="83200"/>
        <n v="149"/>
        <n v="60804"/>
        <n v="33860"/>
        <n v="44920"/>
        <n v="84098"/>
        <n v="62600"/>
        <n v="19260"/>
        <n v="64229"/>
        <n v="48305"/>
        <n v="1247"/>
        <n v="20115"/>
        <n v="49068"/>
        <n v="44885"/>
        <n v="45683"/>
        <n v="13096"/>
        <n v="80530"/>
        <n v="77627"/>
        <n v="19970"/>
        <n v="46981"/>
        <n v="51725"/>
        <n v="38903"/>
        <n v="54"/>
        <n v="31275"/>
        <n v="11"/>
        <n v="134"/>
        <n v="67826"/>
        <n v="39373"/>
        <n v="559"/>
        <n v="20634"/>
        <n v="34341"/>
        <n v="928"/>
        <n v="419"/>
        <n v="483"/>
        <n v="938"/>
        <n v="105162"/>
        <n v="115"/>
        <n v="36994"/>
        <n v="124983"/>
        <n v="18383"/>
        <n v="24310"/>
        <n v="2723"/>
        <n v="40768"/>
        <n v="78470"/>
        <n v="30947"/>
        <n v="84514"/>
        <n v="182928"/>
        <n v="76857"/>
        <n v="67490"/>
        <n v="1165"/>
        <n v="57812"/>
        <n v="18590"/>
        <n v="3636"/>
        <n v="76572"/>
        <n v="58966"/>
        <n v="20199"/>
        <n v="12853"/>
        <n v="33805"/>
        <n v="66229"/>
        <n v="25833"/>
        <n v="11784"/>
        <n v="12743"/>
        <n v="84469"/>
        <n v="194"/>
        <n v="527"/>
        <n v="18194"/>
        <n v="31555"/>
        <n v="78"/>
        <n v="13126"/>
        <n v="10588"/>
        <n v="20843"/>
        <n v="68304"/>
        <n v="5593"/>
        <n v="3903"/>
        <n v="26795"/>
        <n v="24241"/>
        <n v="23823"/>
        <n v="67553"/>
        <n v="58744"/>
        <n v="42675"/>
        <n v="55"/>
        <n v="65626"/>
        <n v="43996"/>
        <n v="32084"/>
        <n v="45299"/>
        <n v="62523"/>
        <n v="19297"/>
        <n v="32688"/>
        <n v="1093"/>
        <n v="16506"/>
        <n v="26219"/>
        <n v="231"/>
        <n v="14730"/>
        <n v="13464"/>
        <n v="29641"/>
        <n v="113474"/>
        <n v="7087"/>
        <n v="30647"/>
        <n v="246"/>
        <n v="2120"/>
        <n v="177"/>
        <n v="14"/>
        <n v="39179"/>
        <n v="262"/>
        <n v="1519"/>
        <n v="35506"/>
        <n v="33141"/>
        <n v="37154"/>
        <n v="33243"/>
        <n v="37404"/>
        <n v="26941"/>
        <n v="36888"/>
        <n v="30234"/>
        <n v="36934"/>
        <n v="26124"/>
        <n v="37755"/>
        <n v="27176"/>
        <n v="39799"/>
        <n v="32791"/>
        <n v="35874"/>
        <n v="8771"/>
        <n v="9788"/>
        <n v="178"/>
        <n v="21182"/>
        <n v="32418"/>
        <n v="8371"/>
        <n v="26646"/>
        <n v="2972"/>
        <n v="30080"/>
        <n v="50579"/>
        <n v="1377"/>
        <n v="101010"/>
        <n v="241"/>
        <n v="136080"/>
        <n v="71695"/>
        <n v="163655"/>
        <n v="40128"/>
        <n v="55578"/>
        <n v="200824"/>
        <n v="2922"/>
        <n v="15247"/>
        <n v="14991"/>
        <n v="1644"/>
        <n v="23591"/>
        <n v="2556"/>
        <n v="153"/>
        <n v="5307"/>
        <n v="49277"/>
        <n v="4279"/>
        <n v="63007"/>
        <n v="24569"/>
        <n v="6706"/>
        <n v="10002"/>
        <n v="29650"/>
        <n v="27124"/>
        <n v="63067"/>
        <n v="35526"/>
        <n v="14209"/>
        <n v="28439"/>
        <n v="27829"/>
        <n v="58592"/>
        <n v="12284"/>
        <n v="478"/>
        <n v="31502"/>
        <n v="212"/>
        <n v="24137"/>
        <n v="26438"/>
        <n v="739"/>
        <n v="17195"/>
        <n v="279"/>
        <n v="137721"/>
        <n v="35073"/>
        <n v="28438"/>
        <n v="161513"/>
        <n v="33801"/>
        <n v="18373"/>
        <n v="111529"/>
        <n v="71451"/>
        <n v="5846"/>
        <n v="11976"/>
        <n v="64212"/>
        <n v="39"/>
        <n v="3614"/>
        <n v="266"/>
        <n v="94150"/>
        <n v="960"/>
        <n v="9742"/>
        <n v="4397"/>
        <n v="49345"/>
        <n v="4906"/>
        <n v="16954"/>
        <n v="34464"/>
        <n v="2822"/>
        <n v="57717"/>
        <n v="24"/>
        <n v="37379"/>
        <n v="9158"/>
        <n v="15052"/>
        <n v="16382"/>
        <n v="11403"/>
        <n v="80157"/>
        <n v="6759"/>
        <n v="718"/>
        <n v="116021"/>
        <n v="54101"/>
        <n v="9736"/>
        <n v="14322"/>
        <n v="20433"/>
        <n v="283"/>
        <n v="467"/>
        <n v="4143"/>
        <n v="3818"/>
        <n v="98851"/>
        <n v="100"/>
        <n v="827"/>
        <n v="1458"/>
        <n v="25898"/>
        <n v="800"/>
        <n v="4645"/>
        <n v="32475"/>
        <n v="12628"/>
        <n v="31797"/>
        <n v="2444"/>
        <n v="3686"/>
        <n v="6600"/>
        <n v="8227"/>
        <n v="6"/>
        <n v="8965"/>
        <n v="25537"/>
        <n v="31962"/>
        <n v="5028"/>
        <n v="5550"/>
        <n v="63034"/>
        <n v="78937"/>
        <n v="84329"/>
        <n v="32640"/>
        <n v="998"/>
        <n v="2677"/>
        <n v="108516"/>
        <n v="6905"/>
        <n v="6559"/>
        <n v="259"/>
        <n v="5453"/>
        <n v="5428"/>
        <n v="6090"/>
        <n v="9141"/>
        <n v="588"/>
        <n v="7110"/>
        <n v="2835"/>
        <n v="45096"/>
        <n v="14742"/>
        <n v="34090"/>
        <n v="85"/>
        <n v="16912"/>
        <n v="102093"/>
        <n v="5966"/>
        <n v="5800"/>
        <n v="18997"/>
        <n v="6218"/>
        <n v="12245"/>
        <n v="28220"/>
        <n v="11858"/>
        <n v="16028"/>
        <n v="64845"/>
        <n v="31790"/>
        <n v="101058"/>
        <n v="4448"/>
        <n v="90767"/>
        <n v="4028"/>
        <n v="3309"/>
        <n v="18120"/>
        <n v="42"/>
        <n v="3442"/>
        <n v="16238"/>
        <n v="60"/>
        <n v="19338"/>
        <n v="77263"/>
        <n v="87805"/>
        <n v="48"/>
        <n v="74474"/>
        <n v="1525"/>
        <n v="5118"/>
        <n v="19077"/>
        <n v="5868"/>
        <n v="29076"/>
        <n v="26786"/>
        <n v="858"/>
        <n v="344"/>
        <n v="174"/>
        <n v="23"/>
        <n v="41965"/>
        <n v="41356"/>
        <n v="118290"/>
        <n v="117265"/>
        <n v="76996"/>
        <n v="20934"/>
        <n v="1636"/>
        <n v="4969"/>
        <n v="277"/>
        <n v="31853"/>
        <n v="35719"/>
        <n v="27815"/>
        <n v="59421"/>
        <n v="35945"/>
        <n v="38717"/>
        <n v="78765"/>
        <n v="152836"/>
        <n v="1907"/>
        <n v="8148"/>
        <n v="67867"/>
        <n v="11015"/>
        <n v="30338"/>
        <n v="12533"/>
        <n v="1708"/>
        <n v="54588"/>
        <n v="39359"/>
        <n v="28881"/>
        <n v="65394"/>
        <n v="159826"/>
        <n v="3860"/>
        <n v="1513"/>
        <n v="3002"/>
        <n v="64525"/>
        <n v="23827"/>
        <n v="13553"/>
        <n v="14771"/>
        <n v="1493"/>
        <n v="5346"/>
        <n v="52446"/>
        <n v="129460"/>
        <n v="5602"/>
        <n v="1485"/>
        <n v="6221"/>
        <n v="3810"/>
        <n v="127057"/>
        <n v="22854"/>
        <n v="20000"/>
        <n v="14718"/>
        <n v="62864"/>
        <n v="2878"/>
        <n v="53638"/>
        <n v="146478"/>
        <n v="932"/>
        <n v="7162"/>
        <n v="3371"/>
        <n v="173369"/>
        <n v="41838"/>
        <n v="166"/>
        <n v="76858"/>
        <n v="30346"/>
        <n v="5050"/>
        <n v="59"/>
        <n v="348"/>
        <n v="41"/>
        <n v="984"/>
        <n v="1707999"/>
        <n v="97285"/>
        <n v="90995"/>
        <n v="72812"/>
        <n v="233298"/>
        <n v="569696"/>
        <n v="655981"/>
        <n v="76007"/>
        <n v="390831"/>
        <n v="170979"/>
        <n v="10328"/>
        <n v="89568"/>
        <n v="205901"/>
        <n v="34334"/>
        <n v="32590"/>
        <n v="20710"/>
        <n v="29805"/>
        <n v="52077"/>
        <n v="51"/>
        <n v="145972"/>
        <n v="40012"/>
        <n v="51875"/>
        <n v="52036"/>
        <n v="69445"/>
        <n v="319"/>
        <n v="63543"/>
        <n v="64069"/>
        <n v="31791"/>
        <n v="39545"/>
        <n v="46454"/>
        <n v="97786"/>
        <n v="121159"/>
        <n v="71689"/>
        <n v="45566"/>
        <n v="16358"/>
        <n v="22613"/>
        <n v="33647"/>
        <n v="20"/>
        <n v="49070"/>
        <n v="105238"/>
        <n v="127559"/>
        <n v="117214"/>
        <n v="404"/>
        <n v="445"/>
        <n v="39547"/>
        <n v="24628"/>
        <n v="40349"/>
        <n v="82701"/>
        <n v="72971"/>
        <n v="54107"/>
        <n v="37525"/>
        <n v="7631"/>
        <n v="17070"/>
        <n v="48392"/>
        <n v="13942"/>
        <n v="64843"/>
        <n v="67544"/>
        <n v="73519"/>
        <n v="355"/>
        <n v="34"/>
        <n v="4077"/>
        <n v="10062"/>
        <n v="45"/>
        <n v="17733"/>
        <n v="46985"/>
        <n v="73280"/>
        <n v="42095"/>
        <n v="3633"/>
        <n v="165"/>
        <n v="12836"/>
        <n v="75988"/>
        <n v="85983"/>
        <n v="43646"/>
        <n v="8309"/>
        <n v="86259"/>
        <n v="116806"/>
        <n v="45212"/>
        <n v="46462"/>
        <n v="7567"/>
        <n v="49519"/>
        <n v="37184"/>
        <n v="5350"/>
        <n v="19164"/>
        <m/>
      </sharedItems>
    </cacheField>
    <cacheField name="点击量" numFmtId="0">
      <sharedItems containsString="0" containsBlank="1" containsNumber="1" containsInteger="1" minValue="0" maxValue="133384" count="775">
        <n v="4162"/>
        <n v="1336"/>
        <n v="557"/>
        <n v="788"/>
        <n v="1519"/>
        <n v="2489"/>
        <n v="6732"/>
        <n v="1418"/>
        <n v="397"/>
        <n v="884"/>
        <n v="971"/>
        <n v="4014"/>
        <n v="4515"/>
        <n v="1008"/>
        <n v="490"/>
        <n v="83"/>
        <n v="2490"/>
        <n v="3433"/>
        <n v="1181"/>
        <n v="272"/>
        <n v="33"/>
        <n v="2347"/>
        <n v="2419"/>
        <n v="722"/>
        <n v="11"/>
        <n v="592"/>
        <n v="3929"/>
        <n v="10"/>
        <n v="141"/>
        <n v="0"/>
        <n v="226"/>
        <n v="2620"/>
        <n v="98"/>
        <n v="2202"/>
        <n v="3942"/>
        <n v="102"/>
        <n v="204"/>
        <n v="9"/>
        <n v="21"/>
        <n v="2133"/>
        <n v="7772"/>
        <n v="3868"/>
        <n v="5064"/>
        <n v="984"/>
        <n v="1160"/>
        <n v="277"/>
        <n v="2398"/>
        <n v="7329"/>
        <n v="4289"/>
        <n v="6315"/>
        <n v="785"/>
        <n v="1003"/>
        <n v="348"/>
        <n v="2299"/>
        <n v="6325"/>
        <n v="4696"/>
        <n v="3582"/>
        <n v="942"/>
        <n v="320"/>
        <n v="3112"/>
        <n v="5903"/>
        <n v="85"/>
        <n v="354"/>
        <n v="5910"/>
        <n v="1781"/>
        <n v="270"/>
        <n v="483"/>
        <n v="1674"/>
        <n v="10984"/>
        <n v="14816"/>
        <n v="4"/>
        <n v="244"/>
        <n v="1"/>
        <n v="3"/>
        <n v="615"/>
        <n v="2278"/>
        <n v="17778"/>
        <n v="689"/>
        <n v="423"/>
        <n v="96"/>
        <n v="713"/>
        <n v="7288"/>
        <n v="2215"/>
        <n v="14074"/>
        <n v="19836"/>
        <n v="23"/>
        <n v="3768"/>
        <n v="41"/>
        <n v="797"/>
        <n v="17437"/>
        <n v="946"/>
        <n v="1934"/>
        <n v="265"/>
        <n v="386"/>
        <n v="13"/>
        <n v="4854"/>
        <n v="3853"/>
        <n v="59882"/>
        <n v="2949"/>
        <n v="454"/>
        <n v="150"/>
        <n v="13680"/>
        <n v="3418"/>
        <n v="1835"/>
        <n v="3283"/>
        <n v="6362"/>
        <n v="1944"/>
        <n v="14880"/>
        <n v="105286"/>
        <n v="3199"/>
        <n v="503"/>
        <n v="9966"/>
        <n v="2090"/>
        <n v="2"/>
        <n v="9098"/>
        <n v="3293"/>
        <n v="2053"/>
        <n v="25292"/>
        <n v="167"/>
        <n v="3270"/>
        <n v="546"/>
        <n v="2051"/>
        <n v="26178"/>
        <n v="3477"/>
        <n v="541"/>
        <n v="31470"/>
        <n v="8052"/>
        <n v="18650"/>
        <n v="27840"/>
        <n v="3822"/>
        <n v="142"/>
        <n v="12"/>
        <n v="15"/>
        <n v="4347"/>
        <n v="7354"/>
        <n v="4000"/>
        <n v="1439"/>
        <n v="6237"/>
        <n v="675"/>
        <n v="13351"/>
        <n v="52"/>
        <n v="5894"/>
        <n v="25"/>
        <n v="3338"/>
        <n v="12130"/>
        <n v="12669"/>
        <n v="3587"/>
        <n v="7542"/>
        <n v="3788"/>
        <n v="6408"/>
        <n v="11958"/>
        <n v="7070"/>
        <n v="8356"/>
        <n v="9020"/>
        <n v="5184"/>
        <n v="2291"/>
        <n v="221"/>
        <n v="3244"/>
        <n v="6904"/>
        <n v="6196"/>
        <n v="4096"/>
        <n v="132"/>
        <n v="3462"/>
        <n v="1957"/>
        <n v="3432"/>
        <n v="4685"/>
        <n v="5822"/>
        <n v="107"/>
        <n v="1580"/>
        <n v="399"/>
        <n v="6085"/>
        <n v="8259"/>
        <n v="3379"/>
        <n v="7243"/>
        <n v="8983"/>
        <n v="4946"/>
        <n v="3486"/>
        <n v="4255"/>
        <n v="7112"/>
        <n v="1796"/>
        <n v="190"/>
        <n v="6687"/>
        <n v="511"/>
        <n v="6235"/>
        <n v="10093"/>
        <n v="3054"/>
        <n v="371"/>
        <n v="10483"/>
        <n v="5926"/>
        <n v="3750"/>
        <n v="5068"/>
        <n v="621"/>
        <n v="3227"/>
        <n v="1442"/>
        <n v="7519"/>
        <n v="6070"/>
        <n v="4852"/>
        <n v="11107"/>
        <n v="4084"/>
        <n v="5"/>
        <n v="1526"/>
        <n v="2440"/>
        <n v="394"/>
        <n v="4627"/>
        <n v="1341"/>
        <n v="1564"/>
        <n v="1465"/>
        <n v="4324"/>
        <n v="7932"/>
        <n v="6994"/>
        <n v="3517"/>
        <n v="1128"/>
        <n v="1092"/>
        <n v="1034"/>
        <n v="1484"/>
        <n v="1967"/>
        <n v="5377"/>
        <n v="3396"/>
        <n v="2542"/>
        <n v="2194"/>
        <n v="3355"/>
        <n v="1258"/>
        <n v="2403"/>
        <n v="178"/>
        <n v="9978"/>
        <n v="11588"/>
        <n v="1180"/>
        <n v="553"/>
        <n v="1440"/>
        <n v="521"/>
        <n v="1914"/>
        <n v="7210"/>
        <n v="3259"/>
        <n v="2021"/>
        <n v="2511"/>
        <n v="2235"/>
        <n v="3191"/>
        <n v="3827"/>
        <n v="1741"/>
        <n v="24"/>
        <n v="71"/>
        <n v="172"/>
        <n v="1072"/>
        <n v="812"/>
        <n v="3282"/>
        <n v="1147"/>
        <n v="1803"/>
        <n v="53"/>
        <n v="26"/>
        <n v="36"/>
        <n v="741"/>
        <n v="4036"/>
        <n v="11827"/>
        <n v="1193"/>
        <n v="1277"/>
        <n v="987"/>
        <n v="1449"/>
        <n v="1935"/>
        <n v="25483"/>
        <n v="3186"/>
        <n v="5284"/>
        <n v="1317"/>
        <n v="4925"/>
        <n v="14619"/>
        <n v="22108"/>
        <n v="961"/>
        <n v="683"/>
        <n v="1323"/>
        <n v="1477"/>
        <n v="2267"/>
        <n v="3922"/>
        <n v="5260"/>
        <n v="237"/>
        <n v="77"/>
        <n v="257"/>
        <n v="550"/>
        <n v="7"/>
        <n v="28"/>
        <n v="51"/>
        <n v="151"/>
        <n v="392"/>
        <n v="1206"/>
        <n v="123"/>
        <n v="554"/>
        <n v="659"/>
        <n v="2305"/>
        <n v="6"/>
        <n v="3961"/>
        <n v="56"/>
        <n v="7364"/>
        <n v="317"/>
        <n v="3521"/>
        <n v="357"/>
        <n v="3540"/>
        <n v="3554"/>
        <n v="194"/>
        <n v="3558"/>
        <n v="5189"/>
        <n v="1529"/>
        <n v="1497"/>
        <n v="2875"/>
        <n v="27"/>
        <n v="1126"/>
        <n v="925"/>
        <n v="37"/>
        <n v="545"/>
        <n v="20"/>
        <n v="76"/>
        <n v="8"/>
        <n v="93"/>
        <n v="1566"/>
        <n v="1726"/>
        <n v="159"/>
        <n v="670"/>
        <n v="70"/>
        <n v="117"/>
        <n v="286"/>
        <n v="628"/>
        <n v="121"/>
        <n v="255"/>
        <n v="328"/>
        <n v="1557"/>
        <n v="2379"/>
        <n v="4700"/>
        <n v="1753"/>
        <n v="7402"/>
        <n v="3142"/>
        <n v="1790"/>
        <n v="4313"/>
        <n v="2390"/>
        <n v="2968"/>
        <n v="4988"/>
        <n v="2666"/>
        <n v="6900"/>
        <n v="2381"/>
        <n v="2317"/>
        <n v="7533"/>
        <n v="3889"/>
        <n v="2611"/>
        <n v="4745"/>
        <n v="1248"/>
        <n v="4661"/>
        <n v="64"/>
        <n v="970"/>
        <n v="700"/>
        <n v="3508"/>
        <n v="996"/>
        <n v="2471"/>
        <n v="754"/>
        <n v="61"/>
        <n v="3030"/>
        <n v="2659"/>
        <n v="870"/>
        <n v="2522"/>
        <n v="81"/>
        <n v="18"/>
        <n v="1622"/>
        <n v="1677"/>
        <n v="3130"/>
        <n v="63"/>
        <n v="966"/>
        <n v="4646"/>
        <n v="1940"/>
        <n v="2642"/>
        <n v="3817"/>
        <n v="2110"/>
        <n v="5788"/>
        <n v="1979"/>
        <n v="4419"/>
        <n v="4006"/>
        <n v="1666"/>
        <n v="4172"/>
        <n v="2740"/>
        <n v="2391"/>
        <n v="89"/>
        <n v="3708"/>
        <n v="1802"/>
        <n v="6191"/>
        <n v="3661"/>
        <n v="2891"/>
        <n v="42"/>
        <n v="10080"/>
        <n v="130"/>
        <n v="80"/>
        <n v="2972"/>
        <n v="1261"/>
        <n v="2736"/>
        <n v="7123"/>
        <n v="674"/>
        <n v="1169"/>
        <n v="2431"/>
        <n v="7456"/>
        <n v="310"/>
        <n v="2340"/>
        <n v="1985"/>
        <n v="939"/>
        <n v="79"/>
        <n v="145"/>
        <n v="772"/>
        <n v="1158"/>
        <n v="3915"/>
        <n v="471"/>
        <n v="568"/>
        <n v="1091"/>
        <n v="1065"/>
        <n v="522"/>
        <n v="17"/>
        <n v="1175"/>
        <n v="410"/>
        <n v="3864"/>
        <n v="1541"/>
        <n v="746"/>
        <n v="456"/>
        <n v="3996"/>
        <n v="917"/>
        <n v="3377"/>
        <n v="2683"/>
        <n v="4248"/>
        <n v="1655"/>
        <n v="3425"/>
        <n v="438"/>
        <n v="1212"/>
        <n v="3887"/>
        <n v="1333"/>
        <n v="1063"/>
        <n v="7249"/>
        <n v="1899"/>
        <n v="1194"/>
        <n v="2606"/>
        <n v="1461"/>
        <n v="6664"/>
        <n v="2502"/>
        <n v="3021"/>
        <n v="1597"/>
        <n v="3491"/>
        <n v="2652"/>
        <n v="2913"/>
        <n v="1958"/>
        <n v="2731"/>
        <n v="3530"/>
        <n v="82"/>
        <n v="2180"/>
        <n v="2083"/>
        <n v="1243"/>
        <n v="3159"/>
        <n v="3323"/>
        <n v="2120"/>
        <n v="2303"/>
        <n v="1401"/>
        <n v="3006"/>
        <n v="1407"/>
        <n v="3013"/>
        <n v="1129"/>
        <n v="45"/>
        <n v="881"/>
        <n v="1609"/>
        <n v="44"/>
        <n v="59"/>
        <n v="5076"/>
        <n v="2074"/>
        <n v="3694"/>
        <n v="1027"/>
        <n v="1106"/>
        <n v="1654"/>
        <n v="1969"/>
        <n v="1315"/>
        <n v="2801"/>
        <n v="2855"/>
        <n v="3160"/>
        <n v="3144"/>
        <n v="2179"/>
        <n v="749"/>
        <n v="3740"/>
        <n v="2745"/>
        <n v="993"/>
        <n v="604"/>
        <n v="1634"/>
        <n v="3165"/>
        <n v="1131"/>
        <n v="2640"/>
        <n v="29"/>
        <n v="589"/>
        <n v="431"/>
        <n v="1029"/>
        <n v="4665"/>
        <n v="295"/>
        <n v="193"/>
        <n v="1583"/>
        <n v="1256"/>
        <n v="999"/>
        <n v="5770"/>
        <n v="3147"/>
        <n v="1933"/>
        <n v="4565"/>
        <n v="2102"/>
        <n v="911"/>
        <n v="4367"/>
        <n v="1087"/>
        <n v="1584"/>
        <n v="1157"/>
        <n v="2078"/>
        <n v="428"/>
        <n v="853"/>
        <n v="835"/>
        <n v="6339"/>
        <n v="463"/>
        <n v="1766"/>
        <n v="87"/>
        <n v="1686"/>
        <n v="114"/>
        <n v="1683"/>
        <n v="949"/>
        <n v="1724"/>
        <n v="928"/>
        <n v="1706"/>
        <n v="794"/>
        <n v="1687"/>
        <n v="819"/>
        <n v="1702"/>
        <n v="814"/>
        <n v="1691"/>
        <n v="787"/>
        <n v="1737"/>
        <n v="874"/>
        <n v="1602"/>
        <n v="412"/>
        <n v="441"/>
        <n v="1096"/>
        <n v="214"/>
        <n v="974"/>
        <n v="1278"/>
        <n v="2256"/>
        <n v="58"/>
        <n v="4605"/>
        <n v="5570"/>
        <n v="3479"/>
        <n v="7214"/>
        <n v="2655"/>
        <n v="6464"/>
        <n v="32"/>
        <n v="276"/>
        <n v="189"/>
        <n v="437"/>
        <n v="60"/>
        <n v="184"/>
        <n v="2132"/>
        <n v="2377"/>
        <n v="1013"/>
        <n v="319"/>
        <n v="838"/>
        <n v="1508"/>
        <n v="2456"/>
        <n v="2724"/>
        <n v="3069"/>
        <n v="740"/>
        <n v="2684"/>
        <n v="977"/>
        <n v="1393"/>
        <n v="2528"/>
        <n v="951"/>
        <n v="31"/>
        <n v="2791"/>
        <n v="3603"/>
        <n v="1295"/>
        <n v="38"/>
        <n v="14"/>
        <n v="7256"/>
        <n v="2695"/>
        <n v="3688"/>
        <n v="8319"/>
        <n v="2787"/>
        <n v="2400"/>
        <n v="4743"/>
        <n v="5018"/>
        <n v="651"/>
        <n v="3243"/>
        <n v="156"/>
        <n v="4345"/>
        <n v="681"/>
        <n v="362"/>
        <n v="2754"/>
        <n v="138"/>
        <n v="361"/>
        <n v="1983"/>
        <n v="3401"/>
        <n v="1961"/>
        <n v="232"/>
        <n v="358"/>
        <n v="1255"/>
        <n v="283"/>
        <n v="5342"/>
        <n v="710"/>
        <n v="9745"/>
        <n v="2778"/>
        <n v="239"/>
        <n v="1375"/>
        <n v="416"/>
        <n v="402"/>
        <n v="7780"/>
        <n v="109"/>
        <n v="1861"/>
        <n v="544"/>
        <n v="1793"/>
        <n v="73"/>
        <n v="359"/>
        <n v="2412"/>
        <n v="269"/>
        <n v="343"/>
        <n v="493"/>
        <n v="206"/>
        <n v="671"/>
        <n v="2323"/>
        <n v="678"/>
        <n v="2356"/>
        <n v="3221"/>
        <n v="4115"/>
        <n v="1489"/>
        <n v="162"/>
        <n v="5662"/>
        <n v="1042"/>
        <n v="349"/>
        <n v="561"/>
        <n v="596"/>
        <n v="380"/>
        <n v="55"/>
        <n v="2343"/>
        <n v="2057"/>
        <n v="1807"/>
        <n v="485"/>
        <n v="5890"/>
        <n v="780"/>
        <n v="890"/>
        <n v="300"/>
        <n v="2758"/>
        <n v="662"/>
        <n v="954"/>
        <n v="2952"/>
        <n v="3799"/>
        <n v="5796"/>
        <n v="248"/>
        <n v="5036"/>
        <n v="609"/>
        <n v="134"/>
        <n v="1009"/>
        <n v="1133"/>
        <n v="3122"/>
        <n v="4923"/>
        <n v="4486"/>
        <n v="223"/>
        <n v="979"/>
        <n v="505"/>
        <n v="1813"/>
        <n v="3089"/>
        <n v="66"/>
        <n v="2442"/>
        <n v="1912"/>
        <n v="7736"/>
        <n v="7850"/>
        <n v="3369"/>
        <n v="1144"/>
        <n v="213"/>
        <n v="297"/>
        <n v="1267"/>
        <n v="4584"/>
        <n v="822"/>
        <n v="1697"/>
        <n v="2118"/>
        <n v="2916"/>
        <n v="7731"/>
        <n v="450"/>
        <n v="8057"/>
        <n v="314"/>
        <n v="795"/>
        <n v="535"/>
        <n v="3696"/>
        <n v="3411"/>
        <n v="1263"/>
        <n v="2704"/>
        <n v="8205"/>
        <n v="153"/>
        <n v="185"/>
        <n v="3655"/>
        <n v="848"/>
        <n v="1716"/>
        <n v="49"/>
        <n v="691"/>
        <n v="2320"/>
        <n v="6827"/>
        <n v="339"/>
        <n v="712"/>
        <n v="6294"/>
        <n v="1130"/>
        <n v="2043"/>
        <n v="672"/>
        <n v="3001"/>
        <n v="378"/>
        <n v="2476"/>
        <n v="7200"/>
        <n v="113"/>
        <n v="347"/>
        <n v="8861"/>
        <n v="2067"/>
        <n v="5603"/>
        <n v="976"/>
        <n v="216"/>
        <n v="57"/>
        <n v="133384"/>
        <n v="9288"/>
        <n v="5253"/>
        <n v="6778"/>
        <n v="13625"/>
        <n v="51244"/>
        <n v="61433"/>
        <n v="4064"/>
        <n v="26648"/>
        <n v="8217"/>
        <n v="919"/>
        <n v="8487"/>
        <n v="26969"/>
        <n v="2597"/>
        <n v="2362"/>
        <n v="2641"/>
        <n v="3273"/>
        <n v="16112"/>
        <n v="5612"/>
        <n v="2313"/>
        <n v="5697"/>
        <n v="4058"/>
        <n v="4071"/>
        <n v="4517"/>
        <n v="1761"/>
        <n v="5900"/>
        <n v="4975"/>
        <n v="7380"/>
        <n v="6971"/>
        <n v="3756"/>
        <n v="1023"/>
        <n v="1748"/>
        <n v="2638"/>
        <n v="7058"/>
        <n v="13233"/>
        <n v="8100"/>
        <n v="1863"/>
        <n v="1040"/>
        <n v="1926"/>
        <n v="6996"/>
        <n v="3468"/>
        <n v="2245"/>
        <n v="372"/>
        <n v="807"/>
        <n v="4755"/>
        <n v="551"/>
        <n v="3238"/>
        <n v="3739"/>
        <n v="6557"/>
        <n v="312"/>
        <n v="465"/>
        <n v="716"/>
        <n v="2509"/>
        <n v="4703"/>
        <n v="451"/>
        <n v="1120"/>
        <n v="3810"/>
        <n v="5563"/>
        <n v="4246"/>
        <n v="1121"/>
        <n v="3969"/>
        <n v="6858"/>
        <n v="4331"/>
        <n v="3067"/>
        <n v="826"/>
        <n v="2258"/>
        <n v="846"/>
        <n v="1100"/>
        <m/>
      </sharedItems>
    </cacheField>
    <cacheField name="点击率" numFmtId="0">
      <sharedItems containsString="0" containsBlank="1" containsNumber="1" minValue="0" maxValue="0.2784" count="606">
        <n v="0.0736"/>
        <n v="0.1009"/>
        <n v="0.0273"/>
        <n v="0.0656"/>
        <n v="0.0398"/>
        <n v="0.0709"/>
        <n v="0.0964"/>
        <n v="0.1209"/>
        <n v="0.032"/>
        <n v="0.0617"/>
        <n v="0.0426"/>
        <n v="0.0807"/>
        <n v="0.0921"/>
        <n v="0.1106"/>
        <n v="0.0622"/>
        <n v="0.0752"/>
        <n v="0.0886"/>
        <n v="0.1"/>
        <n v="0.1086"/>
        <n v="0.0662"/>
        <n v="0.0704"/>
        <n v="0.0906"/>
        <n v="0.0947"/>
        <n v="0.1169"/>
        <n v="0.061"/>
        <n v="0.0556"/>
        <n v="0.0934"/>
        <n v="0.0969"/>
        <n v="0.0305"/>
        <n v="0.0611"/>
        <n v="0"/>
        <n v="0.0776"/>
        <n v="0.1183"/>
        <n v="0.1184"/>
        <n v="0.0173"/>
        <n v="0.0754"/>
        <n v="0.0909"/>
        <n v="0.0743"/>
        <n v="0.0989"/>
        <n v="0.0242"/>
        <n v="0.066"/>
        <n v="0.0706"/>
        <n v="0.1349"/>
        <n v="0.1116"/>
        <n v="0.0918"/>
        <n v="0.0812"/>
        <n v="0.0235"/>
        <n v="0.0741"/>
        <n v="0.0694"/>
        <n v="0.1268"/>
        <n v="0.1122"/>
        <n v="0.1028"/>
        <n v="0.0768"/>
        <n v="0.0262"/>
        <n v="0.0966"/>
        <n v="0.0712"/>
        <n v="0.1135"/>
        <n v="0.1052"/>
        <n v="0.093"/>
        <n v="0.0799"/>
        <n v="0.0698"/>
        <n v="0.1123"/>
        <n v="0.0647"/>
        <n v="0.0246"/>
        <n v="0.2784"/>
        <n v="0.0489"/>
        <n v="0.1536"/>
        <n v="0.077"/>
        <n v="0.0814"/>
        <n v="0.0593"/>
        <n v="0.1003"/>
        <n v="0.019"/>
        <n v="0.0309"/>
        <n v="0.0604"/>
        <n v="0.0979"/>
        <n v="0.1394"/>
        <n v="0.0487"/>
        <n v="0.0436"/>
        <n v="0.0626"/>
        <n v="0.0492"/>
        <n v="0.2255"/>
        <n v="0.087"/>
        <n v="0.0551"/>
        <n v="0.0927"/>
        <n v="0.0301"/>
        <n v="0.0323"/>
        <n v="0.1017"/>
        <n v="0.0508"/>
        <n v="0.0506"/>
        <n v="0.1111"/>
        <n v="0.191"/>
        <n v="0.0623"/>
        <n v="0.0859"/>
        <n v="0.0825"/>
        <n v="0.1355"/>
        <n v="0.015"/>
        <n v="0.0569"/>
        <n v="0.0515"/>
        <n v="0.1838"/>
        <n v="0.0643"/>
        <n v="0.0949"/>
        <n v="0.0813"/>
        <n v="0.0576"/>
        <n v="0.1071"/>
        <n v="0.055"/>
        <n v="0.1104"/>
        <n v="0.1207"/>
        <n v="0.072"/>
        <n v="0.0472"/>
        <n v="0.0367"/>
        <n v="0.1864"/>
        <n v="0.0619"/>
        <n v="0.0366"/>
        <n v="0.0732"/>
        <n v="0.1368"/>
        <n v="0.023"/>
        <n v="0.0877"/>
        <n v="0.1067"/>
        <n v="0.0716"/>
        <n v="0.0418"/>
        <n v="0.1233"/>
        <n v="0.0627"/>
        <n v="0.0963"/>
        <n v="0.0769"/>
        <n v="0.04"/>
        <n v="0.0641"/>
        <n v="0.0962"/>
        <n v="0.0687"/>
        <n v="0.1088"/>
        <n v="0.1119"/>
        <n v="0.0466"/>
        <n v="0.0857"/>
        <n v="0.0714"/>
        <n v="0.0661"/>
        <n v="0.0625"/>
        <n v="0.0684"/>
        <n v="0.0786"/>
        <n v="0.0365"/>
        <n v="0.0676"/>
        <n v="0.0818"/>
        <n v="0.0455"/>
        <n v="0.0957"/>
        <n v="0.085"/>
        <n v="0.0695"/>
        <n v="0.0633"/>
        <n v="0.0437"/>
        <n v="0.044"/>
        <n v="0.0558"/>
        <n v="0.0624"/>
        <n v="0.0692"/>
        <n v="0.0575"/>
        <n v="0.0674"/>
        <n v="0.0346"/>
        <n v="0.0364"/>
        <n v="0.0471"/>
        <n v="0.0675"/>
        <n v="0.0563"/>
        <n v="0.0727"/>
        <n v="0.06"/>
        <n v="0.0493"/>
        <n v="0.0443"/>
        <n v="0.1053"/>
        <n v="0.0552"/>
        <n v="0.0713"/>
        <n v="0.0796"/>
        <n v="0.0696"/>
        <n v="0.0784"/>
        <n v="0.037"/>
        <n v="0.0541"/>
        <n v="0.0667"/>
        <n v="0.0779"/>
        <n v="0.1467"/>
        <n v="0.0564"/>
        <n v="0.0749"/>
        <n v="0.053"/>
        <n v="0.0722"/>
        <n v="0.0735"/>
        <n v="0.0881"/>
        <n v="0.078"/>
        <n v="0.0748"/>
        <n v="0.0516"/>
        <n v="0.0746"/>
        <n v="0.1079"/>
        <n v="0.1063"/>
        <n v="0.0783"/>
        <n v="0.0771"/>
        <n v="0.1101"/>
        <n v="0.0462"/>
        <n v="0.0465"/>
        <n v="0.107"/>
        <n v="0.0864"/>
        <n v="0.0427"/>
        <n v="0.039"/>
        <n v="0.0865"/>
        <n v="0.0775"/>
        <n v="0.0527"/>
        <n v="0.0429"/>
        <n v="0.0476"/>
        <n v="0.1047"/>
        <n v="0.05"/>
        <n v="0.0763"/>
        <n v="0.0856"/>
        <n v="0.0424"/>
        <n v="0.0458"/>
        <n v="0.0546"/>
        <n v="0.0442"/>
        <n v="0.0874"/>
        <n v="0.2343"/>
        <n v="0.0474"/>
        <n v="0.0423"/>
        <n v="0.0377"/>
        <n v="0.0374"/>
        <n v="0.117"/>
        <n v="0.0483"/>
        <n v="0.0889"/>
        <n v="0.0819"/>
        <n v="0.041"/>
        <n v="0.068"/>
        <n v="0.0532"/>
        <n v="0.0468"/>
        <n v="0.0903"/>
        <n v="0.2037"/>
        <n v="0.0403"/>
        <n v="0.0531"/>
        <n v="0.0488"/>
        <n v="0.0484"/>
        <n v="0.0598"/>
        <n v="0.0371"/>
        <n v="0.0559"/>
        <n v="0.0955"/>
        <n v="0.1398"/>
        <n v="0.1375"/>
        <n v="0.0469"/>
        <n v="0.0629"/>
        <n v="0.0481"/>
        <n v="0.0808"/>
        <n v="0.1024"/>
        <n v="0.0668"/>
        <n v="0.0588"/>
        <n v="0.02"/>
        <n v="0.0283"/>
        <n v="0.0505"/>
        <n v="0.1044"/>
        <n v="0.0504"/>
        <n v="0.0336"/>
        <n v="0.0578"/>
        <n v="0.0951"/>
        <n v="0.2315"/>
        <n v="0.0787"/>
        <n v="0.0901"/>
        <n v="0.056"/>
        <n v="0.0926"/>
        <n v="0.049"/>
        <n v="0.0731"/>
        <n v="0.042"/>
        <n v="0.073"/>
        <n v="0.0764"/>
        <n v="0.0095"/>
        <n v="0.1418"/>
        <n v="0.1296"/>
        <n v="0.0175"/>
        <n v="0.0883"/>
        <n v="0.0944"/>
        <n v="0.0129"/>
        <n v="0.0143"/>
        <n v="0.0275"/>
        <n v="0.0453"/>
        <n v="0.0439"/>
        <n v="0.0447"/>
        <n v="0.0279"/>
        <n v="0.0613"/>
        <n v="0.0892"/>
        <n v="0.0534"/>
        <n v="0.0924"/>
        <n v="0.0357"/>
        <n v="0.0649"/>
        <n v="0.0938"/>
        <n v="0.0287"/>
        <n v="0.0536"/>
        <n v="0.0602"/>
        <n v="0.0513"/>
        <n v="0.0639"/>
        <n v="0.0343"/>
        <n v="0.0383"/>
        <n v="0.0338"/>
        <n v="0.0217"/>
        <n v="0.0379"/>
        <n v="0.0717"/>
        <n v="0.0522"/>
        <n v="0.0445"/>
        <n v="0.0294"/>
        <n v="0.0271"/>
        <n v="0.0193"/>
        <n v="0.1008"/>
        <n v="0.0432"/>
        <n v="0.0501"/>
        <n v="0.065"/>
        <n v="0.0315"/>
        <n v="0.0691"/>
        <n v="0.0497"/>
        <n v="0.0702"/>
        <n v="0.0325"/>
        <n v="0.0467"/>
        <n v="0.0669"/>
        <n v="0.0329"/>
        <n v="0.0594"/>
        <n v="0.0372"/>
        <n v="0.1048"/>
        <n v="0.0428"/>
        <n v="0.0421"/>
        <n v="0.098"/>
        <n v="0.0163"/>
        <n v="0.0671"/>
        <n v="0.0216"/>
        <n v="0.0167"/>
        <n v="0.0579"/>
        <n v="0.0211"/>
        <n v="0.0295"/>
        <n v="0.0347"/>
        <n v="0.063"/>
        <n v="0.0635"/>
        <n v="0.0457"/>
        <n v="0.0646"/>
        <n v="0.0373"/>
        <n v="0.0397"/>
        <n v="0.017"/>
        <n v="0.0494"/>
        <n v="0.0615"/>
        <n v="0.0213"/>
        <n v="0.0573"/>
        <n v="0.0491"/>
        <n v="0.0221"/>
        <n v="0.059"/>
        <n v="0.0608"/>
        <n v="0.0597"/>
        <n v="0.0444"/>
        <n v="0.0589"/>
        <n v="0.0555"/>
        <n v="0.0637"/>
        <n v="0.0396"/>
        <n v="0.0665"/>
        <n v="0.0369"/>
        <n v="0.0829"/>
        <n v="0.0316"/>
        <n v="0.0451"/>
        <n v="0.0826"/>
        <n v="0.0188"/>
        <n v="0.0538"/>
        <n v="0.0571"/>
        <n v="0.0327"/>
        <n v="0.0545"/>
        <n v="0.0209"/>
        <n v="0.0514"/>
        <n v="0.0583"/>
        <n v="0.0605"/>
        <n v="0.0503"/>
        <n v="0.0893"/>
        <n v="0.0406"/>
        <n v="0.0231"/>
        <n v="0.0244"/>
        <n v="0.025"/>
        <n v="0.028"/>
        <n v="0.0272"/>
        <n v="0.0332"/>
        <n v="0.0411"/>
        <n v="0.0259"/>
        <n v="0.0434"/>
        <n v="0.0256"/>
        <n v="0.0414"/>
        <n v="0.0247"/>
        <n v="0.0255"/>
        <n v="0.0896"/>
        <n v="0.0417"/>
        <n v="0.0919"/>
        <n v="0.0227"/>
        <n v="0.0876"/>
        <n v="0.0438"/>
        <n v="0.033"/>
        <n v="0.021"/>
        <n v="0.1012"/>
        <n v="0.0653"/>
        <n v="0.0278"/>
        <n v="0.2"/>
        <n v="0.0308"/>
        <n v="0.0313"/>
        <n v="0.0446"/>
        <n v="0.0127"/>
        <n v="0.084"/>
        <n v="0.0537"/>
        <n v="0.0777"/>
        <n v="0.0425"/>
        <n v="0.0658"/>
        <n v="0.1084"/>
        <n v="0.0277"/>
        <n v="0.0512"/>
        <n v="0.0392"/>
        <n v="0.1062"/>
        <n v="0.0773"/>
        <n v="0.045"/>
        <n v="0.097"/>
        <n v="0.0805"/>
        <n v="0.0549"/>
        <n v="0.0345"/>
        <n v="0.0766"/>
        <n v="0.0561"/>
        <n v="0.0296"/>
        <n v="0.0251"/>
        <n v="0.0331"/>
        <n v="0.0156"/>
        <n v="0.0223"/>
        <n v="0.047"/>
        <n v="0.0478"/>
        <n v="0.0361"/>
        <n v="0.0433"/>
        <n v="0.0621"/>
        <n v="0.0449"/>
        <n v="0.0407"/>
        <n v="0.0683"/>
        <n v="0.0591"/>
        <n v="0.0518"/>
        <n v="0.0419"/>
        <n v="0.0854"/>
        <n v="0.0182"/>
        <n v="0.0201"/>
        <n v="0.0485"/>
        <n v="0.0701"/>
        <n v="0.0793"/>
        <n v="0.0291"/>
        <n v="0.0634"/>
        <n v="0.0282"/>
        <n v="0.1186"/>
        <n v="0.043"/>
        <n v="0.075"/>
        <n v="0.0286"/>
        <n v="0.0464"/>
        <n v="0.0456"/>
        <n v="0.0461"/>
        <n v="0.0312"/>
        <n v="0.0448"/>
        <n v="0.029"/>
        <n v="0.0267"/>
        <n v="0.1517"/>
        <n v="0.0208"/>
        <n v="0.0166"/>
        <n v="0.0409"/>
        <n v="0.0441"/>
        <n v="0.0306"/>
        <n v="0.0322"/>
        <n v="0.011"/>
        <n v="0.0181"/>
        <n v="0.0126"/>
        <n v="0.0219"/>
        <n v="0.0185"/>
        <n v="0.0229"/>
        <n v="0.0412"/>
        <n v="0.0838"/>
        <n v="0.0509"/>
        <n v="0.0905"/>
        <n v="0.0521"/>
        <n v="0.0351"/>
        <n v="0.0431"/>
        <n v="0.0774"/>
        <n v="0.0146"/>
        <n v="0.1493"/>
        <n v="0.0502"/>
        <n v="0.1297"/>
        <n v="0.1306"/>
        <n v="0.1114"/>
        <n v="0.0585"/>
        <n v="0.1015"/>
        <n v="0.0823"/>
        <n v="0.0699"/>
        <n v="0.0281"/>
        <n v="0.0525"/>
        <n v="0.0253"/>
        <n v="0.0238"/>
        <n v="0.0248"/>
        <n v="0.0666"/>
        <n v="0.105"/>
        <n v="0.0836"/>
        <n v="0.0245"/>
        <n v="0.0252"/>
        <n v="0.0673"/>
        <n v="0.0353"/>
        <n v="0.0535"/>
        <n v="0.1004"/>
        <n v="0.03"/>
        <n v="0.0719"/>
        <n v="0.1162"/>
        <n v="0.1171"/>
        <n v="0.0284"/>
        <n v="0.0759"/>
        <n v="0.1196"/>
        <n v="0.052"/>
        <n v="0.0599"/>
        <n v="0.1667"/>
        <n v="0.0263"/>
        <n v="0.1348"/>
        <n v="0.0996"/>
        <n v="0.0408"/>
        <n v="0.0311"/>
        <n v="0.1509"/>
        <n v="0.1429"/>
        <n v="0.0652"/>
        <n v="0.0391"/>
        <n v="0.0194"/>
        <n v="0.1395"/>
        <n v="0.1059"/>
        <n v="0.0577"/>
        <n v="0.1307"/>
        <n v="0.0328"/>
        <n v="0.0482"/>
        <n v="0.0977"/>
        <n v="0.0595"/>
        <n v="0.1195"/>
        <n v="0.0574"/>
        <n v="0.1512"/>
        <n v="0.0405"/>
        <n v="0.0557"/>
        <n v="0.0833"/>
        <n v="0.0586"/>
        <n v="0.0404"/>
        <n v="0.25"/>
        <n v="0.1462"/>
        <n v="0.0861"/>
        <n v="0.1153"/>
        <n v="0.0206"/>
        <n v="0.1786"/>
        <n v="0.1739"/>
        <n v="0.0582"/>
        <n v="0.0968"/>
        <n v="0.0654"/>
        <n v="0.0435"/>
        <n v="0.1302"/>
        <n v="0.1283"/>
        <n v="0.0547"/>
        <n v="0.1117"/>
        <n v="0.1187"/>
        <n v="0.0285"/>
        <n v="0.0677"/>
        <n v="0.0867"/>
        <n v="0.0413"/>
        <n v="0.1223"/>
        <n v="0.0566"/>
        <n v="0.1293"/>
        <n v="0.2286"/>
        <n v="0.1609"/>
        <n v="0.1145"/>
        <n v="0.1131"/>
        <n v="0.0495"/>
        <n v="0.1022"/>
        <n v="0.0477"/>
        <n v="0.1313"/>
        <n v="0.1212"/>
        <n v="0.1243"/>
        <n v="0.1029"/>
        <n v="0.0511"/>
        <n v="0.1149"/>
        <n v="0.0729"/>
        <n v="0.0603"/>
        <n v="0.0781"/>
        <n v="0.0931"/>
        <n v="0.0584"/>
        <n v="0.0899"/>
        <n v="0.0937"/>
        <n v="0.0682"/>
        <n v="0.089"/>
        <n v="0.0948"/>
        <n v="0.131"/>
        <n v="0.0756"/>
        <n v="0.0725"/>
        <n v="0.1275"/>
        <n v="0.0689"/>
        <n v="0.0628"/>
        <n v="0.1521"/>
        <n v="0.1082"/>
        <n v="0.082"/>
        <n v="0.1421"/>
        <n v="0.127"/>
        <n v="0.0609"/>
        <n v="0.0972"/>
        <n v="0.0824"/>
        <n v="0.1037"/>
        <n v="0.1146"/>
        <n v="0.0422"/>
        <n v="0.0473"/>
        <n v="0.0959"/>
        <n v="0.027"/>
        <n v="0.0983"/>
        <n v="0.0395"/>
        <n v="0.0499"/>
        <n v="0.0554"/>
        <n v="0.0765"/>
        <n v="0.0642"/>
        <n v="0.1032"/>
        <n v="0.1241"/>
        <n v="0.0606"/>
        <n v="0.0873"/>
        <n v="0.0973"/>
        <n v="0.046"/>
        <n v="0.0587"/>
        <n v="0.0958"/>
        <n v="0.1092"/>
        <n v="0.0607"/>
        <n v="0.1581"/>
        <m/>
      </sharedItems>
    </cacheField>
    <cacheField name="平均点击成本" numFmtId="0">
      <sharedItems containsString="0" containsBlank="1" containsNumber="1" minValue="0" maxValue="1.94" count="114">
        <n v="0.13"/>
        <n v="0.09"/>
        <n v="0.11"/>
        <n v="0.24"/>
        <n v="0.12"/>
        <n v="0.07"/>
        <n v="0.05"/>
        <n v="0.21"/>
        <n v="0.19"/>
        <n v="0.08"/>
        <n v="0.25"/>
        <n v="0.04"/>
        <n v="0.2"/>
        <n v="0.06"/>
        <n v="0.41"/>
        <n v="0.46"/>
        <n v="0"/>
        <n v="0.5"/>
        <n v="0.62"/>
        <n v="0.56"/>
        <n v="0.53"/>
        <n v="0.28"/>
        <n v="0.44"/>
        <n v="0.38"/>
        <n v="0.52"/>
        <n v="0.4"/>
        <n v="0.43"/>
        <n v="0.42"/>
        <n v="0.1"/>
        <n v="0.76"/>
        <n v="0.16"/>
        <n v="1.06"/>
        <n v="0.17"/>
        <n v="0.65"/>
        <n v="0.69"/>
        <n v="0.32"/>
        <n v="0.27"/>
        <n v="0.15"/>
        <n v="0.86"/>
        <n v="0.03"/>
        <n v="0.59"/>
        <n v="0.22"/>
        <n v="0.14"/>
        <n v="0.39"/>
        <n v="0.45"/>
        <n v="0.64"/>
        <n v="0.6"/>
        <n v="0.49"/>
        <n v="0.31"/>
        <n v="0.58"/>
        <n v="0.36"/>
        <n v="0.18"/>
        <n v="0.3"/>
        <n v="0.26"/>
        <n v="0.71"/>
        <n v="0.33"/>
        <n v="0.91"/>
        <n v="1.04"/>
        <n v="0.23"/>
        <n v="0.73"/>
        <n v="0.7"/>
        <n v="1.94"/>
        <n v="0.72"/>
        <n v="0.95"/>
        <n v="0.78"/>
        <n v="1.77"/>
        <n v="0.8"/>
        <n v="1.41"/>
        <n v="0.68"/>
        <n v="0.97"/>
        <n v="1.37"/>
        <n v="0.48"/>
        <n v="0.54"/>
        <n v="0.47"/>
        <n v="0.34"/>
        <n v="0.57"/>
        <n v="0.35"/>
        <n v="0.55"/>
        <n v="0.77"/>
        <n v="0.87"/>
        <n v="0.84"/>
        <n v="0.29"/>
        <n v="0.37"/>
        <n v="0.51"/>
        <n v="1.18"/>
        <n v="1.09"/>
        <n v="1.68"/>
        <n v="1.54"/>
        <n v="0.89"/>
        <n v="1.01"/>
        <n v="1.34"/>
        <n v="1.15"/>
        <n v="1.19"/>
        <n v="1.51"/>
        <n v="0.61"/>
        <n v="0.85"/>
        <n v="1.17"/>
        <n v="1"/>
        <n v="0.66"/>
        <n v="0.75"/>
        <n v="1.2"/>
        <n v="0.67"/>
        <n v="0.79"/>
        <n v="0.81"/>
        <n v="0.9"/>
        <n v="0.74"/>
        <n v="0.93"/>
        <n v="0.92"/>
        <n v="0.63"/>
        <n v="1.44"/>
        <n v="1.27"/>
        <n v="0.99"/>
        <n v="0.02"/>
        <m/>
      </sharedItems>
    </cacheField>
    <cacheField name="平均千次展示费用" numFmtId="0">
      <sharedItems containsString="0" containsBlank="1" containsNumber="1" minValue="0" maxValue="302" count="819">
        <n v="9.51"/>
        <n v="9.09"/>
        <n v="3.04"/>
        <n v="15.57"/>
        <n v="4.56"/>
        <n v="8.21"/>
        <n v="6.46"/>
        <n v="6.29"/>
        <n v="2.34"/>
        <n v="12.96"/>
        <n v="3.1"/>
        <n v="6.02"/>
        <n v="4.65"/>
        <n v="5.16"/>
        <n v="11.79"/>
        <n v="8.12"/>
        <n v="6.19"/>
        <n v="8.05"/>
        <n v="7.68"/>
        <n v="16.57"/>
        <n v="4.99"/>
        <n v="5.95"/>
        <n v="4.43"/>
        <n v="12.4"/>
        <n v="3.59"/>
        <n v="5.74"/>
        <n v="7.05"/>
        <n v="12.44"/>
        <n v="28.21"/>
        <n v="0"/>
        <n v="38.6"/>
        <n v="8.54"/>
        <n v="73.36"/>
        <n v="9.72"/>
        <n v="6.44"/>
        <n v="6.76"/>
        <n v="34.65"/>
        <n v="39.21"/>
        <n v="8.57"/>
        <n v="6.68"/>
        <n v="5.79"/>
        <n v="4.27"/>
        <n v="9.84"/>
        <n v="6.12"/>
        <n v="37.58"/>
        <n v="35.71"/>
        <n v="9.01"/>
        <n v="5.71"/>
        <n v="4.39"/>
        <n v="8.16"/>
        <n v="4.89"/>
        <n v="53"/>
        <n v="38.46"/>
        <n v="10.35"/>
        <n v="7.69"/>
        <n v="5.17"/>
        <n v="6.69"/>
        <n v="5.63"/>
        <n v="40.26"/>
        <n v="33.86"/>
        <n v="4.9"/>
        <n v="11.06"/>
        <n v="26.97"/>
        <n v="18.81"/>
        <n v="13.01"/>
        <n v="8.02"/>
        <n v="9.21"/>
        <n v="81.76"/>
        <n v="34.82"/>
        <n v="10.1"/>
        <n v="58.86"/>
        <n v="13.23"/>
        <n v="6"/>
        <n v="10"/>
        <n v="6.63"/>
        <n v="9.8"/>
        <n v="13.63"/>
        <n v="8.85"/>
        <n v="17.05"/>
        <n v="21.73"/>
        <n v="8.87"/>
        <n v="39.89"/>
        <n v="10.87"/>
        <n v="13.89"/>
        <n v="25.91"/>
        <n v="9.97"/>
        <n v="0.97"/>
        <n v="5.14"/>
        <n v="13.95"/>
        <n v="22.22"/>
        <n v="7.36"/>
        <n v="36.66"/>
        <n v="45.63"/>
        <n v="17.78"/>
        <n v="19.26"/>
        <n v="8.43"/>
        <n v="15.14"/>
        <n v="20.26"/>
        <n v="6.15"/>
        <n v="38.2"/>
        <n v="42.75"/>
        <n v="50.73"/>
        <n v="8.34"/>
        <n v="6.04"/>
        <n v="4.48"/>
        <n v="7.77"/>
        <n v="7.13"/>
        <n v="37.44"/>
        <n v="12.7"/>
        <n v="15.54"/>
        <n v="39.3"/>
        <n v="21.97"/>
        <n v="14"/>
        <n v="6.55"/>
        <n v="1.38"/>
        <n v="5.09"/>
        <n v="6.61"/>
        <n v="35.47"/>
        <n v="13.34"/>
        <n v="4.78"/>
        <n v="38.67"/>
        <n v="53.61"/>
        <n v="37.94"/>
        <n v="12.39"/>
        <n v="37.4"/>
        <n v="53.75"/>
        <n v="8.78"/>
        <n v="6.28"/>
        <n v="5.72"/>
        <n v="7.92"/>
        <n v="11.16"/>
        <n v="7.65"/>
        <n v="7.86"/>
        <n v="2.82"/>
        <n v="2.78"/>
        <n v="6.87"/>
        <n v="7.67"/>
        <n v="29.27"/>
        <n v="24.54"/>
        <n v="12.72"/>
        <n v="16.4"/>
        <n v="8.5"/>
        <n v="14.69"/>
        <n v="6.64"/>
        <n v="8.23"/>
        <n v="33.98"/>
        <n v="10.38"/>
        <n v="7.64"/>
        <n v="10.02"/>
        <n v="5.64"/>
        <n v="2.94"/>
        <n v="6.85"/>
        <n v="4.54"/>
        <n v="10.98"/>
        <n v="8.77"/>
        <n v="8.32"/>
        <n v="5.84"/>
        <n v="2.99"/>
        <n v="2.55"/>
        <n v="8.44"/>
        <n v="24.52"/>
        <n v="10.33"/>
        <n v="7.02"/>
        <n v="8.51"/>
        <n v="4.33"/>
        <n v="3.62"/>
        <n v="5.59"/>
        <n v="31.58"/>
        <n v="9.14"/>
        <n v="8.36"/>
        <n v="11.24"/>
        <n v="4.85"/>
        <n v="11.35"/>
        <n v="14.48"/>
        <n v="4.44"/>
        <n v="8.47"/>
        <n v="7.63"/>
        <n v="15.76"/>
        <n v="38.53"/>
        <n v="7.43"/>
        <n v="15.07"/>
        <n v="10.86"/>
        <n v="7.33"/>
        <n v="9.07"/>
        <n v="11.07"/>
        <n v="12.55"/>
        <n v="11.71"/>
        <n v="44.72"/>
        <n v="8.15"/>
        <n v="9.32"/>
        <n v="12.24"/>
        <n v="13.64"/>
        <n v="9.27"/>
        <n v="14.41"/>
        <n v="7.94"/>
        <n v="12.93"/>
        <n v="11.97"/>
        <n v="68.04"/>
        <n v="11.63"/>
        <n v="12.57"/>
        <n v="4.19"/>
        <n v="8"/>
        <n v="9.69"/>
        <n v="10.64"/>
        <n v="3.68"/>
        <n v="27.6"/>
        <n v="36"/>
        <n v="31.43"/>
        <n v="5.83"/>
        <n v="23.82"/>
        <n v="45.06"/>
        <n v="22.78"/>
        <n v="12.86"/>
        <n v="72.13"/>
        <n v="9.75"/>
        <n v="11.43"/>
        <n v="9.19"/>
        <n v="14.04"/>
        <n v="38.69"/>
        <n v="19.21"/>
        <n v="4.72"/>
        <n v="37.61"/>
        <n v="46.01"/>
        <n v="23.76"/>
        <n v="22.01"/>
        <n v="8.39"/>
        <n v="8.75"/>
        <n v="5.65"/>
        <n v="84.98"/>
        <n v="12.48"/>
        <n v="11.86"/>
        <n v="12.26"/>
        <n v="35.18"/>
        <n v="29.05"/>
        <n v="37.49"/>
        <n v="90.88"/>
        <n v="24.13"/>
        <n v="14.19"/>
        <n v="5.76"/>
        <n v="12.51"/>
        <n v="15.37"/>
        <n v="9.17"/>
        <n v="13.46"/>
        <n v="5.85"/>
        <n v="7.39"/>
        <n v="68.32"/>
        <n v="13.83"/>
        <n v="13.78"/>
        <n v="11.26"/>
        <n v="44.44"/>
        <n v="32.46"/>
        <n v="48.73"/>
        <n v="85.29"/>
        <n v="22.86"/>
        <n v="8.79"/>
        <n v="19.69"/>
        <n v="7.21"/>
        <n v="3.9"/>
        <n v="35.11"/>
        <n v="8.88"/>
        <n v="45.87"/>
        <n v="15.39"/>
        <n v="46.3"/>
        <n v="67.01"/>
        <n v="25.22"/>
        <n v="9.23"/>
        <n v="12.52"/>
        <n v="6.56"/>
        <n v="60.88"/>
        <n v="8.62"/>
        <n v="9.96"/>
        <n v="9.71"/>
        <n v="47.75"/>
        <n v="32.64"/>
        <n v="37.97"/>
        <n v="57.72"/>
        <n v="12.67"/>
        <n v="15.41"/>
        <n v="3.07"/>
        <n v="43.86"/>
        <n v="13.25"/>
        <n v="11.66"/>
        <n v="30.81"/>
        <n v="18.25"/>
        <n v="14.1"/>
        <n v="11.55"/>
        <n v="5.13"/>
        <n v="65.13"/>
        <n v="41.55"/>
        <n v="3.88"/>
        <n v="16.5"/>
        <n v="19.93"/>
        <n v="21.84"/>
        <n v="20.93"/>
        <n v="2.6"/>
        <n v="10.53"/>
        <n v="4.69"/>
        <n v="18.15"/>
        <n v="4.41"/>
        <n v="12.94"/>
        <n v="11.11"/>
        <n v="5.45"/>
        <n v="11.4"/>
        <n v="9.83"/>
        <n v="4.52"/>
        <n v="5.23"/>
        <n v="13.08"/>
        <n v="6.96"/>
        <n v="5.73"/>
        <n v="22.43"/>
        <n v="9.55"/>
        <n v="6.77"/>
        <n v="28.79"/>
        <n v="19.49"/>
        <n v="22.17"/>
        <n v="15.47"/>
        <n v="10.56"/>
        <n v="32.31"/>
        <n v="13.27"/>
        <n v="26.56"/>
        <n v="9.43"/>
        <n v="35.45"/>
        <n v="34.5"/>
        <n v="17.59"/>
        <n v="24.76"/>
        <n v="31.14"/>
        <n v="15.13"/>
        <n v="8.96"/>
        <n v="89.08"/>
        <n v="38.88"/>
        <n v="64.92"/>
        <n v="8.4"/>
        <n v="9.45"/>
        <n v="4.67"/>
        <n v="9.81"/>
        <n v="4.79"/>
        <n v="9.25"/>
        <n v="15.75"/>
        <n v="5.11"/>
        <n v="8.33"/>
        <n v="13.67"/>
        <n v="6.45"/>
        <n v="8.64"/>
        <n v="13.76"/>
        <n v="6.52"/>
        <n v="9.41"/>
        <n v="4.76"/>
        <n v="14.03"/>
        <n v="9.38"/>
        <n v="11.01"/>
        <n v="13.62"/>
        <n v="10.58"/>
        <n v="5.94"/>
        <n v="15.84"/>
        <n v="5.3"/>
        <n v="28.26"/>
        <n v="6.26"/>
        <n v="9.58"/>
        <n v="9.54"/>
        <n v="14.95"/>
        <n v="10.55"/>
        <n v="14.17"/>
        <n v="16.78"/>
        <n v="12.92"/>
        <n v="24.24"/>
        <n v="16.02"/>
        <n v="10.16"/>
        <n v="5.33"/>
        <n v="5.38"/>
        <n v="13.86"/>
        <n v="9.48"/>
        <n v="10.8"/>
        <n v="7.55"/>
        <n v="14.72"/>
        <n v="6.82"/>
        <n v="15.24"/>
        <n v="6.3"/>
        <n v="15.5"/>
        <n v="5"/>
        <n v="12.16"/>
        <n v="5.22"/>
        <n v="13.42"/>
        <n v="10.69"/>
        <n v="6.03"/>
        <n v="12.89"/>
        <n v="6.48"/>
        <n v="13.61"/>
        <n v="7.47"/>
        <n v="14.06"/>
        <n v="6.39"/>
        <n v="18.29"/>
        <n v="43.45"/>
        <n v="62.29"/>
        <n v="28.47"/>
        <n v="5.08"/>
        <n v="16.26"/>
        <n v="9.2"/>
        <n v="97.57"/>
        <n v="93.37"/>
        <n v="10.94"/>
        <n v="11.33"/>
        <n v="35.91"/>
        <n v="14.75"/>
        <n v="6.94"/>
        <n v="12.1"/>
        <n v="8.45"/>
        <n v="6.92"/>
        <n v="34.76"/>
        <n v="9.29"/>
        <n v="7.12"/>
        <n v="40.52"/>
        <n v="12.83"/>
        <n v="13.06"/>
        <n v="20.29"/>
        <n v="43.47"/>
        <n v="23.08"/>
        <n v="18.8"/>
        <n v="15.68"/>
        <n v="73.67"/>
        <n v="12.8"/>
        <n v="56.81"/>
        <n v="3.7"/>
        <n v="22.7"/>
        <n v="29.34"/>
        <n v="22.79"/>
        <n v="17.93"/>
        <n v="25.51"/>
        <n v="59"/>
        <n v="4.6"/>
        <n v="22.47"/>
        <n v="6.79"/>
        <n v="13.12"/>
        <n v="8.61"/>
        <n v="39.23"/>
        <n v="6.4"/>
        <n v="26.3"/>
        <n v="23.7"/>
        <n v="13.18"/>
        <n v="12.19"/>
        <n v="302"/>
        <n v="8.19"/>
        <n v="21.59"/>
        <n v="11.54"/>
        <n v="15.69"/>
        <n v="1.27"/>
        <n v="12.71"/>
        <n v="6.07"/>
        <n v="19.46"/>
        <n v="15.01"/>
        <n v="11.12"/>
        <n v="12.37"/>
        <n v="26.13"/>
        <n v="13.53"/>
        <n v="10.59"/>
        <n v="13.43"/>
        <n v="25.01"/>
        <n v="8.73"/>
        <n v="11"/>
        <n v="20.01"/>
        <n v="6.36"/>
        <n v="6.58"/>
        <n v="25.41"/>
        <n v="15.25"/>
        <n v="13.02"/>
        <n v="12.78"/>
        <n v="37.22"/>
        <n v="12.25"/>
        <n v="14.13"/>
        <n v="12.13"/>
        <n v="15.77"/>
        <n v="13.44"/>
        <n v="17.18"/>
        <n v="7.93"/>
        <n v="24.8"/>
        <n v="12.56"/>
        <n v="16.3"/>
        <n v="29.65"/>
        <n v="16.84"/>
        <n v="8.06"/>
        <n v="19.39"/>
        <n v="16.86"/>
        <n v="15.09"/>
        <n v="12.64"/>
        <n v="6.65"/>
        <n v="15.03"/>
        <n v="11.88"/>
        <n v="13.92"/>
        <n v="24.38"/>
        <n v="6.81"/>
        <n v="14.94"/>
        <n v="19.71"/>
        <n v="13.98"/>
        <n v="15.23"/>
        <n v="16.03"/>
        <n v="30.63"/>
        <n v="10.36"/>
        <n v="11.92"/>
        <n v="22.64"/>
        <n v="31.01"/>
        <n v="38.29"/>
        <n v="47.62"/>
        <n v="24.03"/>
        <n v="28.35"/>
        <n v="49.56"/>
        <n v="12.41"/>
        <n v="21.19"/>
        <n v="29.72"/>
        <n v="8.56"/>
        <n v="11.76"/>
        <n v="3.09"/>
        <n v="48.96"/>
        <n v="12.33"/>
        <n v="32.04"/>
        <n v="14.61"/>
        <n v="12.32"/>
        <n v="13.88"/>
        <n v="38.52"/>
        <n v="16.44"/>
        <n v="14.43"/>
        <n v="14.91"/>
        <n v="8.86"/>
        <n v="34.58"/>
        <n v="16.45"/>
        <n v="20.2"/>
        <n v="23.03"/>
        <n v="72.2"/>
        <n v="15.16"/>
        <n v="15"/>
        <n v="24.66"/>
        <n v="17.24"/>
        <n v="18.68"/>
        <n v="16.56"/>
        <n v="18.53"/>
        <n v="16.35"/>
        <n v="15.49"/>
        <n v="16.47"/>
        <n v="16.54"/>
        <n v="16.13"/>
        <n v="15.06"/>
        <n v="15.27"/>
        <n v="14.27"/>
        <n v="40.85"/>
        <n v="52.36"/>
        <n v="15.63"/>
        <n v="15.71"/>
        <n v="13.09"/>
        <n v="11.34"/>
        <n v="16.67"/>
        <n v="10.04"/>
        <n v="9.16"/>
        <n v="10.65"/>
        <n v="2.32"/>
        <n v="7.27"/>
        <n v="12.68"/>
        <n v="10.2"/>
        <n v="9.49"/>
        <n v="21.69"/>
        <n v="6.99"/>
        <n v="12.29"/>
        <n v="8.72"/>
        <n v="20.04"/>
        <n v="14.23"/>
        <n v="11.14"/>
        <n v="16.25"/>
        <n v="24"/>
        <n v="17.65"/>
        <n v="22.12"/>
        <n v="16.89"/>
        <n v="35.82"/>
        <n v="12.66"/>
        <n v="7.73"/>
        <n v="33.3"/>
        <n v="22.99"/>
        <n v="19.54"/>
        <n v="43.2"/>
        <n v="19.05"/>
        <n v="5.1"/>
        <n v="22.26"/>
        <n v="12.6"/>
        <n v="17.84"/>
        <n v="21.03"/>
        <n v="34.89"/>
        <n v="8.53"/>
        <n v="11.05"/>
        <n v="28.72"/>
        <n v="17.62"/>
        <n v="12.45"/>
        <n v="14.82"/>
        <n v="13.93"/>
        <n v="13.52"/>
        <n v="11.91"/>
        <n v="49.26"/>
        <n v="44.4"/>
        <n v="3.85"/>
        <n v="34.94"/>
        <n v="7.26"/>
        <n v="17.2"/>
        <n v="31.63"/>
        <n v="69.55"/>
        <n v="9.99"/>
        <n v="19.06"/>
        <n v="4.17"/>
        <n v="16.83"/>
        <n v="8.22"/>
        <n v="21.26"/>
        <n v="16.74"/>
        <n v="44.96"/>
        <n v="9.39"/>
        <n v="11.09"/>
        <n v="22.75"/>
        <n v="9.92"/>
        <n v="26.18"/>
        <n v="10.28"/>
        <n v="45.93"/>
        <n v="82.05"/>
        <n v="13.13"/>
        <n v="2.7"/>
        <n v="7.97"/>
        <n v="57.24"/>
        <n v="18.08"/>
        <n v="44.86"/>
        <n v="108.53"/>
        <n v="10.85"/>
        <n v="11.48"/>
        <n v="24.86"/>
        <n v="44.01"/>
        <n v="110.37"/>
        <n v="20.51"/>
        <n v="20"/>
        <n v="12.18"/>
        <n v="60.34"/>
        <n v="36.58"/>
        <n v="23.49"/>
        <n v="18.44"/>
        <n v="23.96"/>
        <n v="15.52"/>
        <n v="14.39"/>
        <n v="44.47"/>
        <n v="19.1"/>
        <n v="70.83"/>
        <n v="18.97"/>
        <n v="23.63"/>
        <n v="25.9"/>
        <n v="23.53"/>
        <n v="17.08"/>
        <n v="36.97"/>
        <n v="54.29"/>
        <n v="27.42"/>
        <n v="16.46"/>
        <n v="10.32"/>
        <n v="6.2"/>
        <n v="17.98"/>
        <n v="13.71"/>
        <n v="14.81"/>
        <n v="51.53"/>
        <n v="25.84"/>
        <n v="17.69"/>
        <n v="60.84"/>
        <n v="18.61"/>
        <n v="16.93"/>
        <n v="35.12"/>
        <n v="24.74"/>
        <n v="10.76"/>
        <n v="26.09"/>
        <n v="18.88"/>
        <n v="15.55"/>
        <n v="9.52"/>
        <n v="14.26"/>
        <n v="47.94"/>
        <n v="69.46"/>
        <n v="16.52"/>
        <n v="22.45"/>
        <n v="13.57"/>
        <n v="26.25"/>
        <n v="18.77"/>
        <n v="14.67"/>
        <n v="26.29"/>
        <n v="13.17"/>
        <n v="13.65"/>
        <n v="16.71"/>
        <n v="65"/>
        <n v="41.67"/>
        <n v="13.55"/>
        <n v="66.12"/>
        <n v="19.81"/>
        <n v="20.73"/>
        <n v="40.18"/>
        <n v="16.51"/>
        <n v="4.12"/>
        <n v="8.9"/>
        <n v="48.57"/>
        <n v="38.1"/>
        <n v="69.57"/>
        <n v="22.83"/>
        <n v="5.75"/>
        <n v="17.1"/>
        <n v="17.17"/>
        <n v="8.7"/>
        <n v="13.26"/>
        <n v="24.72"/>
        <n v="59.53"/>
        <n v="41"/>
        <n v="16.33"/>
        <n v="31.48"/>
        <n v="13.97"/>
        <n v="8.63"/>
        <n v="14.08"/>
        <n v="10.97"/>
        <n v="13.3"/>
        <n v="53.03"/>
        <n v="37.21"/>
        <n v="21.06"/>
        <n v="10.73"/>
        <n v="10.06"/>
        <n v="16.65"/>
        <n v="8.48"/>
        <n v="14.89"/>
        <n v="19.09"/>
        <n v="35.56"/>
        <n v="55.01"/>
        <n v="15.74"/>
        <n v="22.03"/>
        <n v="17.64"/>
        <n v="24.37"/>
        <n v="26.12"/>
        <n v="91.41"/>
        <n v="19.16"/>
        <n v="21.94"/>
        <n v="59.71"/>
        <n v="54.09"/>
        <n v="72.74"/>
        <n v="81.96"/>
        <n v="53.55"/>
        <n v="11.93"/>
        <n v="22.6"/>
        <n v="25.28"/>
        <n v="22.1"/>
        <n v="8.08"/>
        <n v="117.93"/>
        <n v="27.29"/>
        <n v="60.92"/>
        <n v="113.6"/>
        <n v="102.55"/>
        <n v="13.94"/>
        <n v="24.6"/>
        <n v="30.84"/>
        <n v="26.43"/>
        <n v="17.25"/>
        <n v="61.7"/>
        <n v="34.75"/>
        <n v="30.98"/>
        <n v="13.8"/>
        <n v="94.63"/>
        <n v="73.08"/>
        <n v="77.78"/>
        <n v="24.05"/>
        <n v="4.83"/>
        <n v="9.68"/>
        <n v="71.1"/>
        <n v="7.71"/>
        <n v="2.18"/>
        <n v="9.64"/>
        <n v="16.96"/>
        <n v="9.73"/>
        <n v="12.75"/>
        <n v="8.98"/>
        <n v="12.63"/>
        <n v="8.74"/>
        <n v="9.67"/>
        <n v="7.32"/>
        <n v="5.8"/>
        <n v="7.88"/>
        <n v="16.22"/>
        <n v="12.06"/>
        <n v="10.93"/>
        <n v="12.69"/>
        <n v="18.01"/>
        <n v="17.7"/>
        <n v="22"/>
        <n v="10.01"/>
        <n v="9.61"/>
        <n v="14.31"/>
        <n v="20.63"/>
        <n v="12.85"/>
        <n v="7.51"/>
        <n v="9.15"/>
        <n v="13.56"/>
        <n v="28.86"/>
        <n v="29.58"/>
        <n v="10.45"/>
        <n v="18.21"/>
        <n v="15.11"/>
        <n v="7.16"/>
        <n v="8.76"/>
        <n v="50.06"/>
        <n v="30.57"/>
        <n v="2.89"/>
        <n v="16.38"/>
        <n v="18.38"/>
        <n v="13.79"/>
        <n v="7.53"/>
        <n v="55.91"/>
        <n v="27.45"/>
        <n v="23.64"/>
        <n v="19.83"/>
        <n v="11.73"/>
        <n v="61.22"/>
        <n v="18.5"/>
        <n v="17.27"/>
        <n v="10.42"/>
        <n v="7.17"/>
        <n v="14.76"/>
        <n v="49.37"/>
        <n v="19.44"/>
        <n v="3.45"/>
        <n v="17.96"/>
        <n v="67.71"/>
        <n v="125"/>
        <m/>
      </sharedItems>
    </cacheField>
    <cacheField name="点赞" numFmtId="0">
      <sharedItems containsString="0" containsBlank="1" containsNumber="1" containsInteger="1" minValue="-1" maxValue="8283" count="253">
        <n v="137"/>
        <n v="20"/>
        <n v="11"/>
        <n v="36"/>
        <n v="32"/>
        <n v="85"/>
        <n v="164"/>
        <n v="12"/>
        <n v="2"/>
        <n v="29"/>
        <n v="19"/>
        <n v="70"/>
        <n v="105"/>
        <n v="8"/>
        <n v="14"/>
        <n v="0"/>
        <n v="47"/>
        <n v="16"/>
        <n v="1"/>
        <n v="46"/>
        <n v="50"/>
        <n v="7"/>
        <n v="6"/>
        <n v="4"/>
        <n v="83"/>
        <n v="98"/>
        <n v="3"/>
        <n v="74"/>
        <n v="62"/>
        <n v="90"/>
        <n v="41"/>
        <n v="35"/>
        <n v="110"/>
        <n v="71"/>
        <n v="54"/>
        <n v="37"/>
        <n v="28"/>
        <n v="88"/>
        <n v="66"/>
        <n v="89"/>
        <n v="49"/>
        <n v="5"/>
        <n v="99"/>
        <n v="22"/>
        <n v="152"/>
        <n v="407"/>
        <n v="15"/>
        <n v="496"/>
        <n v="30"/>
        <n v="72"/>
        <n v="44"/>
        <n v="163"/>
        <n v="563"/>
        <n v="186"/>
        <n v="21"/>
        <n v="65"/>
        <n v="17"/>
        <n v="256"/>
        <n v="128"/>
        <n v="307"/>
        <n v="76"/>
        <n v="334"/>
        <n v="42"/>
        <n v="13"/>
        <n v="18"/>
        <n v="25"/>
        <n v="34"/>
        <n v="741"/>
        <n v="1235"/>
        <n v="347"/>
        <n v="59"/>
        <n v="23"/>
        <n v="1071"/>
        <n v="825"/>
        <n v="104"/>
        <n v="520"/>
        <n v="51"/>
        <n v="122"/>
        <n v="368"/>
        <n v="113"/>
        <n v="26"/>
        <n v="109"/>
        <n v="226"/>
        <n v="82"/>
        <n v="150"/>
        <n v="449"/>
        <n v="55"/>
        <n v="75"/>
        <n v="97"/>
        <n v="182"/>
        <n v="292"/>
        <n v="413"/>
        <n v="45"/>
        <n v="168"/>
        <n v="63"/>
        <n v="58"/>
        <n v="68"/>
        <n v="173"/>
        <n v="176"/>
        <n v="92"/>
        <n v="61"/>
        <n v="175"/>
        <n v="60"/>
        <n v="118"/>
        <n v="159"/>
        <n v="158"/>
        <n v="52"/>
        <n v="57"/>
        <n v="141"/>
        <n v="106"/>
        <n v="302"/>
        <n v="87"/>
        <n v="39"/>
        <n v="133"/>
        <n v="81"/>
        <n v="185"/>
        <n v="215"/>
        <n v="180"/>
        <n v="67"/>
        <n v="79"/>
        <n v="114"/>
        <n v="95"/>
        <n v="228"/>
        <n v="238"/>
        <n v="252"/>
        <n v="9"/>
        <n v="38"/>
        <n v="84"/>
        <n v="80"/>
        <n v="275"/>
        <n v="289"/>
        <n v="187"/>
        <n v="107"/>
        <n v="165"/>
        <n v="360"/>
        <n v="371"/>
        <n v="303"/>
        <n v="408"/>
        <n v="507"/>
        <n v="56"/>
        <n v="221"/>
        <n v="518"/>
        <n v="234"/>
        <n v="121"/>
        <n v="202"/>
        <n v="151"/>
        <n v="112"/>
        <n v="40"/>
        <n v="27"/>
        <n v="78"/>
        <n v="73"/>
        <n v="273"/>
        <n v="86"/>
        <n v="284"/>
        <n v="397"/>
        <n v="492"/>
        <n v="267"/>
        <n v="243"/>
        <n v="116"/>
        <n v="77"/>
        <n v="160"/>
        <n v="24"/>
        <n v="102"/>
        <n v="244"/>
        <n v="108"/>
        <n v="131"/>
        <n v="130"/>
        <n v="193"/>
        <n v="195"/>
        <n v="123"/>
        <n v="143"/>
        <n v="93"/>
        <n v="48"/>
        <n v="338"/>
        <n v="153"/>
        <n v="166"/>
        <n v="64"/>
        <n v="10"/>
        <n v="237"/>
        <n v="161"/>
        <n v="174"/>
        <n v="196"/>
        <n v="183"/>
        <n v="69"/>
        <n v="119"/>
        <n v="31"/>
        <n v="33"/>
        <n v="101"/>
        <n v="129"/>
        <n v="147"/>
        <n v="421"/>
        <n v="879"/>
        <n v="487"/>
        <n v="223"/>
        <n v="-1"/>
        <n v="115"/>
        <n v="140"/>
        <n v="94"/>
        <n v="278"/>
        <n v="190"/>
        <n v="117"/>
        <n v="192"/>
        <n v="169"/>
        <n v="43"/>
        <n v="389"/>
        <n v="132"/>
        <n v="456"/>
        <n v="96"/>
        <n v="856"/>
        <n v="719"/>
        <n v="111"/>
        <n v="199"/>
        <n v="139"/>
        <n v="136"/>
        <n v="100"/>
        <n v="135"/>
        <n v="315"/>
        <n v="230"/>
        <n v="287"/>
        <n v="125"/>
        <n v="254"/>
        <n v="311"/>
        <n v="191"/>
        <n v="194"/>
        <n v="178"/>
        <n v="481"/>
        <n v="8283"/>
        <n v="198"/>
        <n v="179"/>
        <n v="779"/>
        <n v="1000"/>
        <n v="1285"/>
        <n v="943"/>
        <n v="227"/>
        <n v="154"/>
        <n v="126"/>
        <n v="189"/>
        <n v="148"/>
        <n v="314"/>
        <n v="343"/>
        <n v="224"/>
        <n v="53"/>
        <n v="318"/>
        <n v="384"/>
        <n v="200"/>
        <n v="146"/>
        <n v="220"/>
        <n v="188"/>
        <n v="138"/>
        <n v="249"/>
        <n v="263"/>
        <n v="240"/>
        <m/>
      </sharedItems>
    </cacheField>
    <cacheField name="评论" numFmtId="0">
      <sharedItems containsString="0" containsBlank="1" containsNumber="1" containsInteger="1" minValue="0" maxValue="152" count="28">
        <n v="2"/>
        <n v="1"/>
        <n v="0"/>
        <n v="4"/>
        <n v="8"/>
        <n v="7"/>
        <n v="6"/>
        <n v="3"/>
        <n v="10"/>
        <n v="21"/>
        <n v="5"/>
        <n v="9"/>
        <n v="16"/>
        <n v="22"/>
        <n v="70"/>
        <n v="11"/>
        <n v="31"/>
        <n v="152"/>
        <n v="53"/>
        <n v="12"/>
        <n v="28"/>
        <n v="17"/>
        <n v="20"/>
        <n v="19"/>
        <n v="145"/>
        <n v="43"/>
        <n v="13"/>
        <m/>
      </sharedItems>
    </cacheField>
    <cacheField name="收藏" numFmtId="0">
      <sharedItems containsString="0" containsBlank="1" containsNumber="1" containsInteger="1" minValue="-1" maxValue="4196" count="178">
        <n v="67"/>
        <n v="15"/>
        <n v="10"/>
        <n v="36"/>
        <n v="14"/>
        <n v="42"/>
        <n v="116"/>
        <n v="11"/>
        <n v="6"/>
        <n v="34"/>
        <n v="16"/>
        <n v="76"/>
        <n v="62"/>
        <n v="24"/>
        <n v="0"/>
        <n v="45"/>
        <n v="37"/>
        <n v="19"/>
        <n v="44"/>
        <n v="4"/>
        <n v="5"/>
        <n v="41"/>
        <n v="7"/>
        <n v="18"/>
        <n v="1"/>
        <n v="40"/>
        <n v="43"/>
        <n v="56"/>
        <n v="30"/>
        <n v="33"/>
        <n v="39"/>
        <n v="20"/>
        <n v="53"/>
        <n v="21"/>
        <n v="48"/>
        <n v="47"/>
        <n v="22"/>
        <n v="55"/>
        <n v="28"/>
        <n v="25"/>
        <n v="70"/>
        <n v="121"/>
        <n v="3"/>
        <n v="239"/>
        <n v="224"/>
        <n v="13"/>
        <n v="68"/>
        <n v="366"/>
        <n v="156"/>
        <n v="9"/>
        <n v="2"/>
        <n v="245"/>
        <n v="177"/>
        <n v="46"/>
        <n v="269"/>
        <n v="31"/>
        <n v="689"/>
        <n v="144"/>
        <n v="86"/>
        <n v="206"/>
        <n v="994"/>
        <n v="65"/>
        <n v="833"/>
        <n v="90"/>
        <n v="129"/>
        <n v="80"/>
        <n v="306"/>
        <n v="100"/>
        <n v="63"/>
        <n v="167"/>
        <n v="140"/>
        <n v="60"/>
        <n v="141"/>
        <n v="23"/>
        <n v="168"/>
        <n v="169"/>
        <n v="150"/>
        <n v="201"/>
        <n v="114"/>
        <n v="26"/>
        <n v="231"/>
        <n v="88"/>
        <n v="109"/>
        <n v="133"/>
        <n v="32"/>
        <n v="27"/>
        <n v="119"/>
        <n v="17"/>
        <n v="163"/>
        <n v="29"/>
        <n v="8"/>
        <n v="12"/>
        <n v="35"/>
        <n v="186"/>
        <n v="181"/>
        <n v="75"/>
        <n v="128"/>
        <n v="229"/>
        <n v="331"/>
        <n v="85"/>
        <n v="95"/>
        <n v="428"/>
        <n v="617"/>
        <n v="-1"/>
        <n v="148"/>
        <n v="362"/>
        <n v="166"/>
        <n v="139"/>
        <n v="89"/>
        <n v="176"/>
        <n v="319"/>
        <n v="228"/>
        <n v="204"/>
        <n v="425"/>
        <n v="209"/>
        <n v="242"/>
        <n v="101"/>
        <n v="127"/>
        <n v="202"/>
        <n v="61"/>
        <n v="102"/>
        <n v="83"/>
        <n v="78"/>
        <n v="106"/>
        <n v="104"/>
        <n v="82"/>
        <n v="69"/>
        <n v="118"/>
        <n v="113"/>
        <n v="221"/>
        <n v="123"/>
        <n v="134"/>
        <n v="57"/>
        <n v="51"/>
        <n v="77"/>
        <n v="79"/>
        <n v="54"/>
        <n v="107"/>
        <n v="73"/>
        <n v="117"/>
        <n v="74"/>
        <n v="66"/>
        <n v="58"/>
        <n v="323"/>
        <n v="81"/>
        <n v="257"/>
        <n v="631"/>
        <n v="50"/>
        <n v="1178"/>
        <n v="937"/>
        <n v="94"/>
        <n v="164"/>
        <n v="225"/>
        <n v="195"/>
        <n v="234"/>
        <n v="52"/>
        <n v="38"/>
        <n v="215"/>
        <n v="49"/>
        <n v="92"/>
        <n v="112"/>
        <n v="162"/>
        <n v="4196"/>
        <n v="433"/>
        <n v="192"/>
        <n v="267"/>
        <n v="383"/>
        <n v="460"/>
        <n v="103"/>
        <n v="71"/>
        <n v="64"/>
        <n v="120"/>
        <n v="108"/>
        <n v="125"/>
        <n v="255"/>
        <n v="99"/>
        <n v="84"/>
        <m/>
      </sharedItems>
    </cacheField>
    <cacheField name="关注" numFmtId="0">
      <sharedItems containsString="0" containsBlank="1" containsNumber="1" containsInteger="1" minValue="-1" maxValue="688" count="65">
        <n v="3"/>
        <n v="4"/>
        <n v="19"/>
        <n v="0"/>
        <n v="5"/>
        <n v="1"/>
        <n v="9"/>
        <n v="16"/>
        <n v="12"/>
        <n v="8"/>
        <n v="10"/>
        <n v="2"/>
        <n v="6"/>
        <n v="7"/>
        <n v="14"/>
        <n v="35"/>
        <n v="30"/>
        <n v="13"/>
        <n v="18"/>
        <n v="46"/>
        <n v="25"/>
        <n v="39"/>
        <n v="22"/>
        <n v="70"/>
        <n v="108"/>
        <n v="256"/>
        <n v="24"/>
        <n v="192"/>
        <n v="184"/>
        <n v="44"/>
        <n v="104"/>
        <n v="26"/>
        <n v="15"/>
        <n v="27"/>
        <n v="52"/>
        <n v="17"/>
        <n v="94"/>
        <n v="61"/>
        <n v="91"/>
        <n v="38"/>
        <n v="21"/>
        <n v="64"/>
        <n v="20"/>
        <n v="34"/>
        <n v="28"/>
        <n v="32"/>
        <n v="56"/>
        <n v="31"/>
        <n v="36"/>
        <n v="121"/>
        <n v="41"/>
        <n v="11"/>
        <n v="50"/>
        <n v="48"/>
        <n v="29"/>
        <n v="37"/>
        <n v="-1"/>
        <n v="62"/>
        <n v="58"/>
        <n v="688"/>
        <n v="93"/>
        <n v="255"/>
        <n v="23"/>
        <n v="73"/>
        <m/>
      </sharedItems>
    </cacheField>
    <cacheField name="分享" numFmtId="0">
      <sharedItems containsString="0" containsBlank="1" containsNumber="1" containsInteger="1" minValue="0" maxValue="263" count="45">
        <n v="4"/>
        <n v="2"/>
        <n v="1"/>
        <n v="0"/>
        <n v="3"/>
        <n v="9"/>
        <n v="8"/>
        <n v="7"/>
        <n v="6"/>
        <n v="17"/>
        <n v="43"/>
        <n v="26"/>
        <n v="16"/>
        <n v="10"/>
        <n v="19"/>
        <n v="24"/>
        <n v="46"/>
        <n v="47"/>
        <n v="103"/>
        <n v="87"/>
        <n v="49"/>
        <n v="23"/>
        <n v="22"/>
        <n v="5"/>
        <n v="11"/>
        <n v="21"/>
        <n v="15"/>
        <n v="12"/>
        <n v="20"/>
        <n v="14"/>
        <n v="13"/>
        <n v="48"/>
        <n v="34"/>
        <n v="18"/>
        <n v="66"/>
        <n v="28"/>
        <n v="27"/>
        <n v="45"/>
        <n v="90"/>
        <n v="263"/>
        <n v="36"/>
        <n v="25"/>
        <n v="146"/>
        <n v="30"/>
        <m/>
      </sharedItems>
    </cacheField>
    <cacheField name="互动量" numFmtId="0">
      <sharedItems containsString="0" containsBlank="1" containsNumber="1" containsInteger="1" minValue="-1" maxValue="13575" count="342">
        <n v="213"/>
        <n v="42"/>
        <n v="26"/>
        <n v="94"/>
        <n v="49"/>
        <n v="132"/>
        <n v="288"/>
        <n v="28"/>
        <n v="8"/>
        <n v="73"/>
        <n v="35"/>
        <n v="165"/>
        <n v="172"/>
        <n v="16"/>
        <n v="55"/>
        <n v="0"/>
        <n v="104"/>
        <n v="123"/>
        <n v="37"/>
        <n v="43"/>
        <n v="1"/>
        <n v="98"/>
        <n v="14"/>
        <n v="18"/>
        <n v="30"/>
        <n v="134"/>
        <n v="12"/>
        <n v="2"/>
        <n v="125"/>
        <n v="164"/>
        <n v="11"/>
        <n v="7"/>
        <n v="137"/>
        <n v="106"/>
        <n v="97"/>
        <n v="91"/>
        <n v="59"/>
        <n v="10"/>
        <n v="170"/>
        <n v="119"/>
        <n v="141"/>
        <n v="74"/>
        <n v="50"/>
        <n v="139"/>
        <n v="157"/>
        <n v="82"/>
        <n v="77"/>
        <n v="15"/>
        <n v="40"/>
        <n v="181"/>
        <n v="13"/>
        <n v="24"/>
        <n v="52"/>
        <n v="229"/>
        <n v="211"/>
        <n v="708"/>
        <n v="19"/>
        <n v="44"/>
        <n v="814"/>
        <n v="110"/>
        <n v="76"/>
        <n v="261"/>
        <n v="1017"/>
        <n v="387"/>
        <n v="60"/>
        <n v="118"/>
        <n v="57"/>
        <n v="67"/>
        <n v="9"/>
        <n v="36"/>
        <n v="3"/>
        <n v="569"/>
        <n v="345"/>
        <n v="512"/>
        <n v="160"/>
        <n v="5"/>
        <n v="673"/>
        <n v="58"/>
        <n v="17"/>
        <n v="68"/>
        <n v="1615"/>
        <n v="1834"/>
        <n v="202"/>
        <n v="4"/>
        <n v="593"/>
        <n v="34"/>
        <n v="79"/>
        <n v="39"/>
        <n v="2413"/>
        <n v="169"/>
        <n v="90"/>
        <n v="1941"/>
        <n v="185"/>
        <n v="6"/>
        <n v="1007"/>
        <n v="86"/>
        <n v="156"/>
        <n v="588"/>
        <n v="297"/>
        <n v="100"/>
        <n v="196"/>
        <n v="41"/>
        <n v="148"/>
        <n v="316"/>
        <n v="114"/>
        <n v="121"/>
        <n v="224"/>
        <n v="821"/>
        <n v="240"/>
        <n v="83"/>
        <n v="176"/>
        <n v="267"/>
        <n v="514"/>
        <n v="536"/>
        <n v="65"/>
        <n v="442"/>
        <n v="107"/>
        <n v="105"/>
        <n v="339"/>
        <n v="215"/>
        <n v="259"/>
        <n v="88"/>
        <n v="108"/>
        <n v="359"/>
        <n v="138"/>
        <n v="129"/>
        <n v="385"/>
        <n v="168"/>
        <n v="336"/>
        <n v="489"/>
        <n v="99"/>
        <n v="85"/>
        <n v="281"/>
        <n v="151"/>
        <n v="189"/>
        <n v="572"/>
        <n v="247"/>
        <n v="287"/>
        <n v="66"/>
        <n v="20"/>
        <n v="195"/>
        <n v="326"/>
        <n v="128"/>
        <n v="146"/>
        <n v="166"/>
        <n v="96"/>
        <n v="413"/>
        <n v="327"/>
        <n v="33"/>
        <n v="31"/>
        <n v="89"/>
        <n v="159"/>
        <n v="303"/>
        <n v="178"/>
        <n v="29"/>
        <n v="443"/>
        <n v="54"/>
        <n v="448"/>
        <n v="408"/>
        <n v="192"/>
        <n v="171"/>
        <n v="526"/>
        <n v="655"/>
        <n v="354"/>
        <n v="81"/>
        <n v="25"/>
        <n v="71"/>
        <n v="235"/>
        <n v="124"/>
        <n v="300"/>
        <n v="32"/>
        <n v="93"/>
        <n v="216"/>
        <n v="604"/>
        <n v="858"/>
        <n v="117"/>
        <n v="577"/>
        <n v="761"/>
        <n v="47"/>
        <n v="112"/>
        <n v="142"/>
        <n v="1201"/>
        <n v="102"/>
        <n v="394"/>
        <n v="952"/>
        <n v="425"/>
        <n v="180"/>
        <n v="358"/>
        <n v="161"/>
        <n v="269"/>
        <n v="217"/>
        <n v="48"/>
        <n v="120"/>
        <n v="145"/>
        <n v="456"/>
        <n v="84"/>
        <n v="769"/>
        <n v="122"/>
        <n v="546"/>
        <n v="533"/>
        <n v="95"/>
        <n v="135"/>
        <n v="771"/>
        <n v="109"/>
        <n v="972"/>
        <n v="527"/>
        <n v="242"/>
        <n v="311"/>
        <n v="38"/>
        <n v="183"/>
        <n v="488"/>
        <n v="197"/>
        <n v="177"/>
        <n v="225"/>
        <n v="190"/>
        <n v="279"/>
        <n v="390"/>
        <n v="239"/>
        <n v="222"/>
        <n v="347"/>
        <n v="230"/>
        <n v="234"/>
        <n v="294"/>
        <n v="274"/>
        <n v="228"/>
        <n v="329"/>
        <n v="174"/>
        <n v="75"/>
        <n v="658"/>
        <n v="307"/>
        <n v="173"/>
        <n v="116"/>
        <n v="70"/>
        <n v="251"/>
        <n v="113"/>
        <n v="250"/>
        <n v="298"/>
        <n v="252"/>
        <n v="64"/>
        <n v="127"/>
        <n v="115"/>
        <n v="56"/>
        <n v="163"/>
        <n v="45"/>
        <n v="62"/>
        <n v="101"/>
        <n v="299"/>
        <n v="111"/>
        <n v="103"/>
        <n v="51"/>
        <n v="130"/>
        <n v="143"/>
        <n v="133"/>
        <n v="179"/>
        <n v="517"/>
        <n v="1076"/>
        <n v="589"/>
        <n v="149"/>
        <n v="268"/>
        <n v="-1"/>
        <n v="153"/>
        <n v="53"/>
        <n v="301"/>
        <n v="220"/>
        <n v="409"/>
        <n v="92"/>
        <n v="147"/>
        <n v="188"/>
        <n v="126"/>
        <n v="280"/>
        <n v="254"/>
        <n v="199"/>
        <n v="757"/>
        <n v="1151"/>
        <n v="167"/>
        <n v="22"/>
        <n v="131"/>
        <n v="2142"/>
        <n v="1758"/>
        <n v="175"/>
        <n v="260"/>
        <n v="72"/>
        <n v="63"/>
        <n v="227"/>
        <n v="23"/>
        <n v="21"/>
        <n v="209"/>
        <n v="353"/>
        <n v="321"/>
        <n v="576"/>
        <n v="451"/>
        <n v="382"/>
        <n v="624"/>
        <n v="182"/>
        <n v="310"/>
        <n v="27"/>
        <n v="372"/>
        <n v="289"/>
        <n v="253"/>
        <n v="431"/>
        <n v="162"/>
        <n v="352"/>
        <n v="136"/>
        <n v="69"/>
        <n v="154"/>
        <n v="361"/>
        <n v="237"/>
        <n v="13575"/>
        <n v="974"/>
        <n v="420"/>
        <n v="308"/>
        <n v="1149"/>
        <n v="1507"/>
        <n v="2696"/>
        <n v="1498"/>
        <n v="305"/>
        <n v="272"/>
        <n v="334"/>
        <n v="204"/>
        <n v="207"/>
        <n v="368"/>
        <n v="231"/>
        <n v="370"/>
        <n v="203"/>
        <n v="367"/>
        <n v="469"/>
        <n v="459"/>
        <n v="61"/>
        <n v="78"/>
        <n v="200"/>
        <n v="458"/>
        <n v="679"/>
        <n v="332"/>
        <n v="208"/>
        <n v="312"/>
        <n v="257"/>
        <n v="337"/>
        <n v="187"/>
        <n v="374"/>
        <n v="286"/>
        <n v="333"/>
        <m/>
      </sharedItems>
    </cacheField>
    <cacheField name="平均互动成本" numFmtId="0">
      <sharedItems containsString="0" containsBlank="1" containsNumber="1" minValue="0" maxValue="362.25" count="649">
        <n v="2.52"/>
        <n v="2.87"/>
        <n v="2.39"/>
        <n v="1.99"/>
        <n v="3.56"/>
        <n v="2.18"/>
        <n v="1.57"/>
        <n v="2.63"/>
        <n v="3.63"/>
        <n v="2.54"/>
        <n v="2.02"/>
        <n v="1.82"/>
        <n v="1.32"/>
        <n v="2.94"/>
        <n v="1.69"/>
        <n v="0"/>
        <n v="1.67"/>
        <n v="2.25"/>
        <n v="2.26"/>
        <n v="1.58"/>
        <n v="2.34"/>
        <n v="1.15"/>
        <n v="2.28"/>
        <n v="0.94"/>
        <n v="1.21"/>
        <n v="2.13"/>
        <n v="5.42"/>
        <n v="8.03"/>
        <n v="3.86"/>
        <n v="30.37"/>
        <n v="1.5"/>
        <n v="1.79"/>
        <n v="5.17"/>
        <n v="15.37"/>
        <n v="2.9"/>
        <n v="1.37"/>
        <n v="4.43"/>
        <n v="2.91"/>
        <n v="2.07"/>
        <n v="8.65"/>
        <n v="10.63"/>
        <n v="1.09"/>
        <n v="4.45"/>
        <n v="2.32"/>
        <n v="1.95"/>
        <n v="5.47"/>
        <n v="10.05"/>
        <n v="11.47"/>
        <n v="4.69"/>
        <n v="1.76"/>
        <n v="5.3"/>
        <n v="9.05"/>
        <n v="5.45"/>
        <n v="3.21"/>
        <n v="2.73"/>
        <n v="11.28"/>
        <n v="5.31"/>
        <n v="1.27"/>
        <n v="10.47"/>
        <n v="13.77"/>
        <n v="8.87"/>
        <n v="2.7"/>
        <n v="2.59"/>
        <n v="8.92"/>
        <n v="1.53"/>
        <n v="11.13"/>
        <n v="1.54"/>
        <n v="2.12"/>
        <n v="3.07"/>
        <n v="2.01"/>
        <n v="6.06"/>
        <n v="2.6"/>
        <n v="13.36"/>
        <n v="2.92"/>
        <n v="19.82"/>
        <n v="1.97"/>
        <n v="3.65"/>
        <n v="0.2"/>
        <n v="5.69"/>
        <n v="9.76"/>
        <n v="15.33"/>
        <n v="6.35"/>
        <n v="1.52"/>
        <n v="2.44"/>
        <n v="2.27"/>
        <n v="4.39"/>
        <n v="3.91"/>
        <n v="10.95"/>
        <n v="40.89"/>
        <n v="31.22"/>
        <n v="3.33"/>
        <n v="8.78"/>
        <n v="9.63"/>
        <n v="7.67"/>
        <n v="14.86"/>
        <n v="2.48"/>
        <n v="5.5"/>
        <n v="2.2"/>
        <n v="10.06"/>
        <n v="75.53"/>
        <n v="3.22"/>
        <n v="6.69"/>
        <n v="5.23"/>
        <n v="13.74"/>
        <n v="3.34"/>
        <n v="3.24"/>
        <n v="11.93"/>
        <n v="43.44"/>
        <n v="11.24"/>
        <n v="4.18"/>
        <n v="10.96"/>
        <n v="50.4"/>
        <n v="3.99"/>
        <n v="5.4"/>
        <n v="6.16"/>
        <n v="3.35"/>
        <n v="3.08"/>
        <n v="1.81"/>
        <n v="11.39"/>
        <n v="5.11"/>
        <n v="8.34"/>
        <n v="12.59"/>
        <n v="6.82"/>
        <n v="43.33"/>
        <n v="1.04"/>
        <n v="1.9"/>
        <n v="9.99"/>
        <n v="4.12"/>
        <n v="6.53"/>
        <n v="2.41"/>
        <n v="5.39"/>
        <n v="8.41"/>
        <n v="1.94"/>
        <n v="5.62"/>
        <n v="5.7"/>
        <n v="6.83"/>
        <n v="1.7"/>
        <n v="11.4"/>
        <n v="1.59"/>
        <n v="7.14"/>
        <n v="4.64"/>
        <n v="8.2"/>
        <n v="2.14"/>
        <n v="2.06"/>
        <n v="1.51"/>
        <n v="5.71"/>
        <n v="6.58"/>
        <n v="2.56"/>
        <n v="6.52"/>
        <n v="1.87"/>
        <n v="5.26"/>
        <n v="7.39"/>
        <n v="2.45"/>
        <n v="1.77"/>
        <n v="5.68"/>
        <n v="2.86"/>
        <n v="2.03"/>
        <n v="6.92"/>
        <n v="3.18"/>
        <n v="6.77"/>
        <n v="5.32"/>
        <n v="76.38"/>
        <n v="7.64"/>
        <n v="2.64"/>
        <n v="8.06"/>
        <n v="3.52"/>
        <n v="7.71"/>
        <n v="4.27"/>
        <n v="9.88"/>
        <n v="12.55"/>
        <n v="6.11"/>
        <n v="98.97"/>
        <n v="9.71"/>
        <n v="4.16"/>
        <n v="2.98"/>
        <n v="8.05"/>
        <n v="3.93"/>
        <n v="31.78"/>
        <n v="6.96"/>
        <n v="17.75"/>
        <n v="1.48"/>
        <n v="13.59"/>
        <n v="15.77"/>
        <n v="3.09"/>
        <n v="77.66"/>
        <n v="8.79"/>
        <n v="3.82"/>
        <n v="2.57"/>
        <n v="5.06"/>
        <n v="31.16"/>
        <n v="14.79"/>
        <n v="0.17"/>
        <n v="18.26"/>
        <n v="17.37"/>
        <n v="2.89"/>
        <n v="2.83"/>
        <n v="17.56"/>
        <n v="1.14"/>
        <n v="53.75"/>
        <n v="8.93"/>
        <n v="8.33"/>
        <n v="3.61"/>
        <n v="34.93"/>
        <n v="19.7"/>
        <n v="14.93"/>
        <n v="27.33"/>
        <n v="2.66"/>
        <n v="2.99"/>
        <n v="2.08"/>
        <n v="2.78"/>
        <n v="1.26"/>
        <n v="0.9"/>
        <n v="0.77"/>
        <n v="1.42"/>
        <n v="6.24"/>
        <n v="103.83"/>
        <n v="2.33"/>
        <n v="7"/>
        <n v="35.01"/>
        <n v="14.88"/>
        <n v="23.12"/>
        <n v="28.67"/>
        <n v="2.17"/>
        <n v="1.19"/>
        <n v="2.5"/>
        <n v="0.55"/>
        <n v="0.78"/>
        <n v="64.33"/>
        <n v="4.05"/>
        <n v="3.36"/>
        <n v="38.77"/>
        <n v="11.26"/>
        <n v="24.69"/>
        <n v="22.02"/>
        <n v="2.37"/>
        <n v="1.68"/>
        <n v="0.59"/>
        <n v="4.85"/>
        <n v="46.83"/>
        <n v="6.48"/>
        <n v="2.72"/>
        <n v="3.17"/>
        <n v="55.1"/>
        <n v="11.73"/>
        <n v="19.37"/>
        <n v="18.12"/>
        <n v="2.77"/>
        <n v="0.66"/>
        <n v="4.94"/>
        <n v="2.95"/>
        <n v="1.6"/>
        <n v="0.48"/>
        <n v="1.78"/>
        <n v="104.15"/>
        <n v="10.97"/>
        <n v="4.92"/>
        <n v="8.4"/>
        <n v="10.57"/>
        <n v="6.43"/>
        <n v="1.83"/>
        <n v="4.28"/>
        <n v="1.24"/>
        <n v="6.01"/>
        <n v="1.16"/>
        <n v="6.95"/>
        <n v="1.65"/>
        <n v="13.28"/>
        <n v="1.86"/>
        <n v="0.96"/>
        <n v="1.88"/>
        <n v="2.31"/>
        <n v="15.9"/>
        <n v="12.61"/>
        <n v="18.05"/>
        <n v="12.69"/>
        <n v="54.01"/>
        <n v="14.42"/>
        <n v="20.96"/>
        <n v="66.39"/>
        <n v="3.69"/>
        <n v="104.85"/>
        <n v="23.84"/>
        <n v="52.79"/>
        <n v="1.12"/>
        <n v="3.96"/>
        <n v="3.92"/>
        <n v="3.38"/>
        <n v="1.8"/>
        <n v="4.11"/>
        <n v="5.25"/>
        <n v="1.84"/>
        <n v="5.02"/>
        <n v="4.55"/>
        <n v="3.25"/>
        <n v="2.85"/>
        <n v="1.18"/>
        <n v="7.17"/>
        <n v="7.56"/>
        <n v="1.92"/>
        <n v="9.17"/>
        <n v="22.23"/>
        <n v="5.49"/>
        <n v="1.62"/>
        <n v="5.51"/>
        <n v="7.91"/>
        <n v="16.8"/>
        <n v="1.61"/>
        <n v="13.88"/>
        <n v="6.18"/>
        <n v="10.37"/>
        <n v="10.45"/>
        <n v="16.78"/>
        <n v="2.65"/>
        <n v="1.74"/>
        <n v="4.13"/>
        <n v="2.11"/>
        <n v="2.88"/>
        <n v="2.1"/>
        <n v="3.37"/>
        <n v="4.83"/>
        <n v="3.1"/>
        <n v="4.32"/>
        <n v="6.89"/>
        <n v="2.67"/>
        <n v="4.23"/>
        <n v="5.16"/>
        <n v="13.01"/>
        <n v="7.88"/>
        <n v="3.3"/>
        <n v="44.33"/>
        <n v="16.95"/>
        <n v="8.26"/>
        <n v="7.69"/>
        <n v="36.77"/>
        <n v="6.97"/>
        <n v="4.98"/>
        <n v="76.04"/>
        <n v="13.05"/>
        <n v="8.52"/>
        <n v="6.84"/>
        <n v="12.12"/>
        <n v="6.32"/>
        <n v="5.77"/>
        <n v="13.94"/>
        <n v="5.48"/>
        <n v="4.51"/>
        <n v="9.87"/>
        <n v="69.06"/>
        <n v="8.77"/>
        <n v="4.8"/>
        <n v="6.47"/>
        <n v="136.9"/>
        <n v="6.34"/>
        <n v="6.63"/>
        <n v="127.96"/>
        <n v="43.81"/>
        <n v="3.12"/>
        <n v="9.19"/>
        <n v="4.01"/>
        <n v="4.95"/>
        <n v="4.54"/>
        <n v="4.59"/>
        <n v="57.81"/>
        <n v="6.25"/>
        <n v="4.04"/>
        <n v="14.66"/>
        <n v="6.14"/>
        <n v="4.36"/>
        <n v="17.59"/>
        <n v="5.8"/>
        <n v="16.59"/>
        <n v="4"/>
        <n v="7.89"/>
        <n v="7.52"/>
        <n v="16.39"/>
        <n v="7.1"/>
        <n v="6.73"/>
        <n v="3.54"/>
        <n v="15.52"/>
        <n v="4.87"/>
        <n v="5.58"/>
        <n v="5.03"/>
        <n v="12.44"/>
        <n v="5.29"/>
        <n v="32.76"/>
        <n v="3.14"/>
        <n v="10.64"/>
        <n v="4.41"/>
        <n v="15.92"/>
        <n v="5.91"/>
        <n v="4.35"/>
        <n v="2.22"/>
        <n v="16.53"/>
        <n v="7.02"/>
        <n v="3.13"/>
        <n v="6.93"/>
        <n v="12.47"/>
        <n v="3"/>
        <n v="11.78"/>
        <n v="7.72"/>
        <n v="20.09"/>
        <n v="9.25"/>
        <n v="3.16"/>
        <n v="3.76"/>
        <n v="6.85"/>
        <n v="17.76"/>
        <n v="8.02"/>
        <n v="4.82"/>
        <n v="7.45"/>
        <n v="12.52"/>
        <n v="13.84"/>
        <n v="5.83"/>
        <n v="4.44"/>
        <n v="16.01"/>
        <n v="4.86"/>
        <n v="3.01"/>
        <n v="9.64"/>
        <n v="17.7"/>
        <n v="4.1"/>
        <n v="5.28"/>
        <n v="4.93"/>
        <n v="3.53"/>
        <n v="2.81"/>
        <n v="7.57"/>
        <n v="4.66"/>
        <n v="2.82"/>
        <n v="3.88"/>
        <n v="4.88"/>
        <n v="3.32"/>
        <n v="4.46"/>
        <n v="8.68"/>
        <n v="3.4"/>
        <n v="3.81"/>
        <n v="5.6"/>
        <n v="8.5"/>
        <n v="33.45"/>
        <n v="9.42"/>
        <n v="10.7"/>
        <n v="4.89"/>
        <n v="1.66"/>
        <n v="6.1"/>
        <n v="3.2"/>
        <n v="16.05"/>
        <n v="12.49"/>
        <n v="34.38"/>
        <n v="16.19"/>
        <n v="56"/>
        <n v="14.56"/>
        <n v="27.82"/>
        <n v="15.18"/>
        <n v="52.39"/>
        <n v="20.36"/>
        <n v="45.5"/>
        <n v="16.92"/>
        <n v="34.11"/>
        <n v="15.58"/>
        <n v="51.44"/>
        <n v="14.22"/>
        <n v="22.24"/>
        <n v="9.61"/>
        <n v="9.13"/>
        <n v="10.07"/>
        <n v="16.51"/>
        <n v="16.54"/>
        <n v="7.34"/>
        <n v="4.07"/>
        <n v="16.08"/>
        <n v="26.18"/>
        <n v="18.7"/>
        <n v="106.33"/>
        <n v="4.77"/>
        <n v="19.31"/>
        <n v="6.66"/>
        <n v="5.96"/>
        <n v="5.01"/>
        <n v="5.66"/>
        <n v="4.71"/>
        <n v="17.92"/>
        <n v="4.76"/>
        <n v="4.81"/>
        <n v="3.87"/>
        <n v="3.44"/>
        <n v="2.36"/>
        <n v="7.07"/>
        <n v="7.25"/>
        <n v="7.77"/>
        <n v="3.45"/>
        <n v="1.33"/>
        <n v="7.92"/>
        <n v="0.95"/>
        <n v="1.47"/>
        <n v="9.36"/>
        <n v="0.74"/>
        <n v="96"/>
        <n v="26.58"/>
        <n v="7.78"/>
        <n v="126.27"/>
        <n v="0.49"/>
        <n v="30.82"/>
        <n v="30.58"/>
        <n v="7.58"/>
        <n v="30.71"/>
        <n v="80.76"/>
        <n v="5.88"/>
        <n v="27.16"/>
        <n v="80"/>
        <n v="7.75"/>
        <n v="151.96"/>
        <n v="9.07"/>
        <n v="21.6"/>
        <n v="108.61"/>
        <n v="2.74"/>
        <n v="3.7"/>
        <n v="190.29"/>
        <n v="44.75"/>
        <n v="2.84"/>
        <n v="100.83"/>
        <n v="0.4"/>
        <n v="16.76"/>
        <n v="34.89"/>
        <n v="26.89"/>
        <n v="45.2"/>
        <n v="17.27"/>
        <n v="26.26"/>
        <n v="34.57"/>
        <n v="3.03"/>
        <n v="75.85"/>
        <n v="33.84"/>
        <n v="6.09"/>
        <n v="11.29"/>
        <n v="12.06"/>
        <n v="119.04"/>
        <n v="163.03"/>
        <n v="62.2"/>
        <n v="47.07"/>
        <n v="2.42"/>
        <n v="5.55"/>
        <n v="1.45"/>
        <n v="8.01"/>
        <n v="218.47"/>
        <n v="7.96"/>
        <n v="36.3"/>
        <n v="75"/>
        <n v="2.46"/>
        <n v="10.84"/>
        <n v="6.05"/>
        <n v="5.07"/>
        <n v="1.36"/>
        <n v="7.23"/>
        <n v="71.08"/>
        <n v="9.09"/>
        <n v="69.94"/>
        <n v="54.67"/>
        <n v="16.27"/>
        <n v="0.57"/>
        <n v="1.44"/>
        <n v="0.86"/>
        <n v="25.21"/>
        <n v="20.28"/>
        <n v="12.36"/>
        <n v="2.43"/>
        <n v="13.54"/>
        <n v="6.72"/>
        <n v="1.02"/>
        <n v="1.85"/>
        <n v="2.09"/>
        <n v="3.23"/>
        <n v="5.61"/>
        <n v="5.75"/>
        <n v="16.23"/>
        <n v="67.91"/>
        <n v="8.64"/>
        <n v="15.54"/>
        <n v="15.81"/>
        <n v="15.74"/>
        <n v="6.98"/>
        <n v="11.48"/>
        <n v="50.56"/>
        <n v="37.89"/>
        <n v="3.84"/>
        <n v="21.74"/>
        <n v="9.7"/>
        <n v="9.48"/>
        <n v="8.13"/>
        <n v="20.86"/>
        <n v="18.65"/>
        <n v="6.86"/>
        <n v="10.56"/>
        <n v="34.31"/>
        <n v="29.69"/>
        <n v="82.56"/>
        <n v="32.81"/>
        <n v="0.84"/>
        <n v="38.99"/>
        <n v="28.75"/>
        <n v="6.2"/>
        <n v="10.92"/>
        <n v="63.73"/>
        <n v="3.29"/>
        <n v="4.31"/>
        <n v="23.47"/>
        <n v="3.72"/>
        <n v="7.36"/>
        <n v="15.43"/>
        <n v="11.07"/>
        <n v="28.39"/>
        <n v="116.23"/>
        <n v="8.43"/>
        <n v="24.51"/>
        <n v="8.57"/>
        <n v="1.4"/>
        <n v="9.45"/>
        <n v="15.83"/>
        <n v="18.39"/>
        <n v="3.43"/>
        <n v="1.63"/>
        <n v="33.52"/>
        <n v="12.35"/>
        <n v="34.97"/>
        <n v="1.13"/>
        <n v="2.19"/>
        <n v="3.95"/>
        <n v="2.96"/>
        <n v="2.49"/>
        <n v="1.41"/>
        <n v="4.06"/>
        <n v="1.49"/>
        <n v="6.39"/>
        <n v="0.44"/>
        <n v="2.21"/>
        <n v="9.18"/>
        <n v="7.26"/>
        <n v="7.09"/>
        <n v="55.06"/>
        <n v="20.2"/>
        <n v="3.11"/>
        <n v="102.06"/>
        <n v="51.26"/>
        <n v="33.85"/>
        <n v="4.53"/>
        <n v="4.03"/>
        <n v="63.59"/>
        <n v="4.47"/>
        <n v="3.9"/>
        <n v="4.7"/>
        <n v="62.27"/>
        <n v="362.25"/>
        <n v="8.44"/>
        <m/>
      </sharedItems>
    </cacheField>
    <cacheField name="行动按钮点击量" numFmtId="0">
      <sharedItems containsString="0" containsBlank="1" containsNumber="1" containsInteger="1" minValue="0" maxValue="52" count="42">
        <n v="0"/>
        <n v="2"/>
        <n v="1"/>
        <n v="7"/>
        <n v="10"/>
        <n v="9"/>
        <n v="25"/>
        <n v="37"/>
        <n v="12"/>
        <n v="19"/>
        <n v="26"/>
        <n v="22"/>
        <n v="36"/>
        <n v="3"/>
        <n v="4"/>
        <n v="11"/>
        <n v="6"/>
        <n v="17"/>
        <n v="5"/>
        <n v="28"/>
        <n v="14"/>
        <n v="27"/>
        <n v="31"/>
        <n v="16"/>
        <n v="34"/>
        <n v="18"/>
        <n v="32"/>
        <n v="8"/>
        <n v="35"/>
        <n v="39"/>
        <n v="38"/>
        <n v="23"/>
        <n v="45"/>
        <n v="41"/>
        <n v="52"/>
        <n v="51"/>
        <n v="49"/>
        <n v="29"/>
        <n v="13"/>
        <n v="15"/>
        <n v="21"/>
        <m/>
      </sharedItems>
    </cacheField>
    <cacheField name="行动按钮点击率" numFmtId="0">
      <sharedItems containsString="0" containsBlank="1" containsNumber="1" minValue="0" maxValue="16" count="120">
        <n v="0"/>
        <n v="0.0008"/>
        <n v="0.0002"/>
        <n v="0.0001"/>
        <n v="0.0005"/>
        <n v="0.0071"/>
        <n v="0.0007"/>
        <n v="0.0143"/>
        <n v="0.0161"/>
        <n v="0.0156"/>
        <n v="0.0068"/>
        <n v="0.0106"/>
        <n v="0.0088"/>
        <n v="0.0083"/>
        <n v="0.0095"/>
        <n v="0.0769"/>
        <n v="0.0288"/>
        <n v="0.0811"/>
        <n v="0.0124"/>
        <n v="0.0057"/>
        <n v="0.0385"/>
        <n v="0.011"/>
        <n v="0.008"/>
        <n v="0.0064"/>
        <n v="0.0034"/>
        <n v="0.0025"/>
        <n v="0.0036"/>
        <n v="0.0062"/>
        <n v="0.0045"/>
        <n v="0.0189"/>
        <n v="0.0048"/>
        <n v="0.1667"/>
        <n v="0.0032"/>
        <n v="0.0053"/>
        <n v="0.0044"/>
        <n v="0.0031"/>
        <n v="0.0087"/>
        <n v="0.0098"/>
        <n v="0.017"/>
        <n v="0.0207"/>
        <n v="0.0065"/>
        <n v="0.0104"/>
        <n v="0.0043"/>
        <n v="0.0055"/>
        <n v="0.0077"/>
        <n v="0.0017"/>
        <n v="0.0013"/>
        <n v="0.004"/>
        <n v="0.0066"/>
        <n v="0.0023"/>
        <n v="0.0255"/>
        <n v="0.013"/>
        <n v="0.0113"/>
        <n v="0.0117"/>
        <n v="0.0134"/>
        <n v="0.003"/>
        <n v="0.0152"/>
        <n v="0.0079"/>
        <n v="0.0129"/>
        <n v="0.0183"/>
        <n v="0.0139"/>
        <n v="0.0051"/>
        <n v="0.0121"/>
        <n v="0.0131"/>
        <n v="0.0142"/>
        <n v="0.0155"/>
        <n v="0.0308"/>
        <n v="0.0184"/>
        <n v="0.0209"/>
        <n v="0.0299"/>
        <n v="0.019"/>
        <n v="0.0166"/>
        <n v="0.0219"/>
        <n v="0.0181"/>
        <n v="0.0243"/>
        <n v="0.0099"/>
        <n v="0.012"/>
        <n v="0.005"/>
        <n v="0.0108"/>
        <n v="0.0092"/>
        <n v="0.0037"/>
        <n v="0.0029"/>
        <n v="0.0072"/>
        <n v="0.0126"/>
        <n v="0.0198"/>
        <n v="0.0115"/>
        <n v="0.0211"/>
        <n v="0.0281"/>
        <n v="0.001"/>
        <n v="0.0149"/>
        <n v="0.0377"/>
        <n v="0.009"/>
        <n v="0.0094"/>
        <n v="0.0089"/>
        <n v="0.0054"/>
        <n v="0.0006"/>
        <n v="0.0056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0.0073"/>
        <n v="0.0119"/>
        <n v="0.0067"/>
        <n v="0.0081"/>
        <n v="0.0125"/>
        <n v="0.0097"/>
        <m/>
      </sharedItems>
    </cacheField>
    <cacheField name="截图" numFmtId="0">
      <sharedItems containsString="0" containsBlank="1" containsNumber="1" containsInteger="1" minValue="0" maxValue="105" count="47">
        <n v="11"/>
        <n v="3"/>
        <n v="1"/>
        <n v="8"/>
        <n v="2"/>
        <n v="0"/>
        <n v="20"/>
        <n v="4"/>
        <n v="12"/>
        <n v="9"/>
        <n v="5"/>
        <n v="7"/>
        <n v="6"/>
        <n v="15"/>
        <n v="13"/>
        <n v="43"/>
        <n v="67"/>
        <n v="105"/>
        <n v="17"/>
        <n v="71"/>
        <n v="32"/>
        <n v="23"/>
        <n v="29"/>
        <n v="14"/>
        <n v="16"/>
        <n v="24"/>
        <n v="28"/>
        <n v="27"/>
        <n v="18"/>
        <n v="57"/>
        <n v="83"/>
        <n v="41"/>
        <n v="34"/>
        <n v="60"/>
        <n v="46"/>
        <n v="50"/>
        <n v="25"/>
        <n v="22"/>
        <n v="86"/>
        <n v="10"/>
        <n v="30"/>
        <n v="21"/>
        <n v="19"/>
        <n v="75"/>
        <n v="26"/>
        <n v="35"/>
        <m/>
      </sharedItems>
    </cacheField>
    <cacheField name="保存图片" numFmtId="0">
      <sharedItems containsString="0" containsBlank="1" containsNumber="1" containsInteger="1" minValue="0" maxValue="218" count="48">
        <n v="18"/>
        <n v="8"/>
        <n v="0"/>
        <n v="7"/>
        <n v="30"/>
        <n v="1"/>
        <n v="4"/>
        <n v="28"/>
        <n v="9"/>
        <n v="11"/>
        <n v="5"/>
        <n v="2"/>
        <n v="3"/>
        <n v="6"/>
        <n v="29"/>
        <n v="26"/>
        <n v="22"/>
        <n v="37"/>
        <n v="20"/>
        <n v="117"/>
        <n v="177"/>
        <n v="21"/>
        <n v="108"/>
        <n v="12"/>
        <n v="218"/>
        <n v="15"/>
        <n v="10"/>
        <n v="23"/>
        <n v="14"/>
        <n v="98"/>
        <n v="13"/>
        <n v="16"/>
        <n v="77"/>
        <n v="33"/>
        <n v="70"/>
        <n v="80"/>
        <n v="147"/>
        <n v="17"/>
        <n v="19"/>
        <n v="46"/>
        <n v="25"/>
        <n v="55"/>
        <n v="24"/>
        <n v="27"/>
        <n v="56"/>
        <n v="52"/>
        <n v="34"/>
        <m/>
      </sharedItems>
    </cacheField>
    <cacheField name="达人名称" numFmtId="0">
      <sharedItems containsBlank="1" containsNumber="1" containsInteger="1" containsMixedTypes="1" count="123">
        <s v="圆又圆超爱笑"/>
        <s v="Sophia大大"/>
        <s v="咩咩是杨景然"/>
        <s v="我是铁核桃也是小百合"/>
        <s v="沁儿你好哇"/>
        <s v="大敏敏的蜕变日记"/>
        <s v="爱跳绳的粥粥"/>
        <s v="郝有金"/>
        <s v="热锅上的蚂蚁"/>
        <s v="pp"/>
        <n v="-77"/>
        <s v="大桐yoto"/>
        <s v="爱上健身的Amy"/>
        <s v="白白"/>
        <s v="小小李"/>
        <s v="小菜包超幸运"/>
        <s v="Candy yoga"/>
        <s v="小雪教瑜伽"/>
        <s v="努力变好的yy"/>
        <s v="威风凛凛小队长"/>
        <s v="咕咕猪小短腿"/>
        <s v="小方今天瘦了吗"/>
        <s v="干坐着的小瑶"/>
        <s v="辣妈含含"/>
        <s v="凯琳KatherineW"/>
        <s v="杨大大的预备辣妹日记"/>
        <s v="丫丫小姐姐"/>
        <s v="六月炎妍"/>
        <s v="星星要变瘦"/>
        <s v="爽姐腿特长"/>
        <s v="小月月"/>
        <s v="马可乐cora"/>
        <s v="茜茜子"/>
        <s v="Celine丹丹"/>
        <s v="林菀桃桃"/>
        <s v="爱撸铁的丁"/>
        <s v="熊猫叮"/>
        <s v="生椰黎子yoga"/>
        <s v="福崽"/>
        <s v="小胡的张张"/>
        <s v="Shirley小蕾"/>
        <s v="小翻译美芽酱"/>
        <s v="曲美腻腻"/>
        <s v="阿煜"/>
        <s v="Jeremy 赵"/>
        <s v="小恩哥带你练臀"/>
        <s v="元气芥末酱"/>
        <s v="朱俊畅"/>
        <s v="大红辣辣椒"/>
        <s v="板野友美iii"/>
        <s v="圆圆今天暴富了么"/>
        <s v="雾霾少女i"/>
        <s v="小蓝今天吃了没"/>
        <s v="桃子酱酱"/>
        <s v="月亮起床了"/>
        <s v="爱梨"/>
        <s v="雪碧要加冰-"/>
        <s v="玩长板的慧慧"/>
        <s v="Bruce小厮"/>
        <s v="木子棋Kiki"/>
        <s v="包子熟了"/>
        <s v="Lucas雨田"/>
        <s v="阿三啊"/>
        <s v="JJJJackson"/>
        <s v="国产收音机X"/>
        <s v="跑酷莫承烽"/>
        <s v="小刘爱游泳"/>
        <s v="小乔您了"/>
        <s v="西米是个小可爱"/>
        <s v="林然Tolyn"/>
        <s v="小羊羔崽子"/>
        <s v="一颗西兰花fa"/>
        <s v="小小柯尔鸭"/>
        <s v="高凯元"/>
        <s v="臃肿大白鹅"/>
        <s v="芋泥团团茶"/>
        <s v="蜜桃少女宁小美"/>
        <s v="thePans."/>
        <s v="索菲亚的冻龄秘密"/>
        <s v="健康营养师格格"/>
        <s v="咦同学"/>
        <s v="橘子汽水"/>
        <s v="诸葛亮晶晶"/>
        <s v="形体矫正小李"/>
        <s v="脆鱼日记"/>
        <s v="小岛大瑀"/>
        <s v="小甜心"/>
        <s v="周周也是倩倩"/>
        <s v="Zora張張"/>
        <s v="爱健身的陈淼淼"/>
        <s v="晚一子"/>
        <s v="语宸要做插画师"/>
        <s v="一颗小糖果w"/>
        <s v="来一杯毛豆"/>
        <s v="趁早早呀"/>
        <s v="BD方丈"/>
        <s v="猪脚ivi"/>
        <s v="野生辣妹Stacy"/>
        <s v="樱丸小桃子"/>
        <s v="秦亲亲"/>
        <s v="蔓玉有点甜"/>
        <s v="我是张小胖"/>
        <s v="肖儿"/>
        <s v="冷冷学姐"/>
        <s v="新理小姐"/>
        <s v="是芝芝啊"/>
        <s v="鱼丸逆袭记"/>
        <s v="叫我y老师"/>
        <s v="理疗师雨辰"/>
        <s v="西瓜班陈雯"/>
        <s v="电荷荷荷"/>
        <s v="陈背心"/>
        <s v="陈以柒"/>
        <s v="厨小花的减脂餐"/>
        <s v="Miss小宝"/>
        <s v="嘎嘎今天不要懒_"/>
        <s v="oOO小饼"/>
        <s v="芒果腻"/>
        <s v="蛋卷er"/>
        <s v="一颗紫菜"/>
        <s v="Morii"/>
        <s v="是33崽"/>
        <m/>
      </sharedItems>
    </cacheField>
    <cacheField name="品类" numFmtId="0">
      <sharedItems containsBlank="1" count="4">
        <s v="筋膜枪"/>
        <s v="体脂秤"/>
        <s v="跳绳"/>
        <m/>
      </sharedItems>
    </cacheField>
    <cacheField name="笔记埋词" numFmtId="0">
      <sharedItems containsBlank="1" count="23">
        <s v="云麦筋膜枪cc"/>
        <s v="云麦cc"/>
        <s v="云麦体脂秤3"/>
        <s v="云麦体脂秤3mini"/>
        <s v="云麦3mini"/>
        <s v="云麦跳绳心率款"/>
        <s v="云麦cc筋膜枪"/>
        <s v="云麦心率跳绳"/>
        <s v="云麦3mini（无埋词）"/>
        <s v="云麦3mini体脂秤"/>
        <s v=" 云麦cc"/>
        <s v="云麦智能筋膜枪"/>
        <s v="云麦智能筋膜枪PB2"/>
        <s v="云麦PB2"/>
        <s v="云麦筋膜枪PB2"/>
        <s v="云麦 筋膜枪PB2"/>
        <s v="云麦筋膜枪"/>
        <s v=" 云麦筋膜枪cc"/>
        <s v="云麦体脂秤3mini "/>
        <s v="云麦筋膜枪cc "/>
        <s v="云麦跳绳2go"/>
        <s v="云麦体脂秤"/>
        <m/>
      </sharedItems>
    </cacheField>
    <cacheField name="产品型号" numFmtId="0">
      <sharedItems containsBlank="1" count="11">
        <s v="云麦筋膜枪cc"/>
        <s v="云麦体脂秤3"/>
        <s v="云麦体脂秤3mini"/>
        <s v="云麦心率跳绳"/>
        <s v="云麦筋膜枪pb2"/>
        <s v="云麦筋膜枪ccgo"/>
        <s v="云麦跳绳2go"/>
        <m/>
        <s v="云麦筋膜枪cc-蓝色" u="1"/>
        <s v="云麦筋膜枪cc-爱马仕款" u="1"/>
        <s v="云麦筋膜枪cc-金色" u="1"/>
      </sharedItems>
    </cacheField>
    <cacheField name="笔记标题" numFmtId="0">
      <sharedItems containsBlank="1" count="126">
        <s v="大二女生梨形粗腿逆袭✨这3步带你优化腿型"/>
        <s v="162 46|我悟了！翘臀不粗腿的训练方法!"/>
        <s v="减重8.5斤‼️跳绳后拉伸&amp;筋膜枪按摩不粗腿"/>
        <s v="产后5大阶段恢复必做事‼️错过多花3年补‼️"/>
        <s v="居家瘦肚子｜燃烧腹部脂肪紧致腰线get马甲线"/>
        <s v="刘畊宏女孩的21天虐腹计划‼谁练谁瘦💪"/>
        <s v="坚持跳绳瘦24斤这个高效跳绳组合你一定要跳"/>
        <s v="别用错❗️筋膜枪正确使用方法，不同肌肉部位放松大全"/>
        <s v="暴汗燃脂毽子操|拉伸放松与筋膜枪按摩"/>
        <s v="110到88 一些减肥小建议｜如何正确运动"/>
        <s v="睡前8min瘦大腿内外侧"/>
        <s v="减肥就是要饿｜饮食和运动的完整计划在这里"/>
        <s v="玛丽姐6分钟快速瘦肚子🔥腰围已瘦8cm"/>
        <s v="大腿围42 | 瘦腿还得要跳绳！"/>
        <s v="4分钟跳绳TABATA | 居家高效燃脂瘦全身"/>
        <s v="超全产后修复攻略✅三个阶段恢复少女身材"/>
        <s v="根源性告别妈妈臀‼️/12种臀部训练解析"/>
        <s v="瘦肌肉腿必备&amp;筋膜枪按摩跟练教程"/>
        <s v="筋膜枪➕泡沫轴｜运动后全套放松动作分享！！"/>
        <s v="被你们形容的“肥美多脂”气哭了"/>
        <s v="笑死！一到称重就心虚到没耳朵"/>
        <s v="大基数无运动节食减45斤 （饮食习惯/食谱‼️）"/>
        <s v="筋膜枪🆚泡沫轴🆚筋膜球，怎么选❓哪个好❓"/>
        <s v="辣妈养成|产后重回少女身材～"/>
        <s v="无绳卡点暴汗230卡跟练 ｜小基数瘦腿瘦全身"/>
        <s v="130-110斤跳绳不复胖‼️间歇性跳绳减脂快"/>
        <s v="产后辣妈恢复秘诀 | 学会这样跳不瘦都不行"/>
        <s v="体脂秤监测|瘦了23斤的经验无保留分享"/>
        <s v="瘦腿真的不难！成功瘦腿之后才知道的！（2）"/>
        <s v="筋膜枪有效放松|顽固肌肉腿有救了🦵"/>
        <s v="体重秤上的数字告诉我：你是个失败者"/>
        <s v="‼️真心劝你们想成功瘦下来这6件事别再做了"/>
        <s v="我真的很会瘦肚子❗️"/>
        <s v="不服不行,练完手臂抖到根本停不下来‼️"/>
        <s v="vlog饱满蜜桃+提高臀线+筋膜枪放松胫骨前肌"/>
        <s v="身高165 体重52 翘臀不粗腿🦵我悟了！！"/>
        <s v="瘦小腿训练🔥消除肌肉腿脂包肌‼️筋膜枪放松"/>
        <s v="超🔥极速瘦肚子！太有用了‼️6分钟紧致腰腹"/>
        <s v="脂包肌的消除逻辑｜瘦小腿❌盲目"/>
        <s v="筋膜枪正确使用指南️⚠️千万别乱用！"/>
        <s v="1分钟写完期末学生评语🔥放松好物筋膜枪"/>
        <s v="办公按摩神器！职场打工人の高颜值筋膜枪！"/>
        <s v="学会这3个动作！轻松在家瘦全身！不是梦！简单"/>
        <s v="📱手机控制筋膜枪？云麦智能筋膜枪PB2测评"/>
        <s v="如何解决难以忍受的肌肉酸痛，筋膜枪帮你！"/>
        <s v="翘臀别只练臀，骨盆端正更重要｜筋膜枪放松"/>
        <s v="小腿粗的姐妹信我！肌肉腿就要这样按！"/>
        <s v="跳操的姐妹听我的用筋膜枪放松下肢真的有用"/>
        <s v="打球完容易肌肉酸痛，筋膜枪放松更有效！"/>
        <s v="如何利用跳绳高效瘦腿记得用筋膜枪放松哦！"/>
        <s v="打工人久坐党肩颈自救！筋膜枪按摩超舒服"/>
        <s v="这小东西真的可以拯救肩颈酸痛！后悔用晚了！"/>
        <s v="云麦的筋膜枪我真的是服了…."/>
        <s v="千万不要乱用！初学者必看筋膜枪正确用法"/>
        <s v="筋膜枪正确用法！刘耕宏女孩永不认输"/>
        <s v="爱运动的姐妹！筋膜枪放松法get一下！"/>
        <s v="超强瘦🦵绝招，记得用筋膜枪放松"/>
        <s v="打完羽毛球后肌肉酸痛？筋膜枪按摩有效放松"/>
        <s v="提前给男友准备的生日🎁他开心的合不拢嘴"/>
        <s v="滑板5年|分享我的滑板后筋膜枪放松小经验"/>
        <s v="女生练球后如何拉伸按摩，筋膜枪放松！！"/>
        <s v="筋膜枪要怎么选❓3款不同类型筋膜枪测评‼️"/>
        <s v="筋膜枪测评|健身小白如何挑选筋膜枪？"/>
        <s v="2个游泳后的放松技巧⭐️自主拉伸、筋膜枪按摩"/>
        <s v="筋膜枪我的新装备|运动酷盖就该这样"/>
        <s v="健身好物｜筋膜枪真的是放松神器！"/>
        <s v="别再怕爬山 / 徒步后放松教程"/>
        <s v="职业跑酷运动员|自用筋膜枪推荐"/>
        <s v="游泳后全身酸痛怎么办？拉伸&amp;筋膜枪按摩"/>
        <s v="🆘哭了！筋膜枪细【脂包肌】小腿被我悟明白了！"/>
        <s v="筋膜枪千万不能乱用！正确肩颈使用方法"/>
        <s v="分享一下我健身后肌肉放松方法&amp;自用筋膜枪"/>
        <s v="用了多年泡沫轴，才知道筋膜枪是真的香！！！"/>
        <s v="有没有姐妹跟我一样被肌肉腿困扰了好久！"/>
        <s v="小腿粗的姐妹进！这筋膜枪真能改善肌肉腿啊"/>
        <s v="筋膜枪推荐｜明星都在用的健身好物"/>
        <s v="姐妹们都给我用这个筋膜枪！改善小粗腿绝了！"/>
        <s v="每天几分钟！可以和肌肉说拜拜！"/>
        <s v="全款拿下2022宅家按摩神器🔥奶呼呼的巨可爱"/>
        <s v="送闺蜜diy礼物💕要被这筋膜枪可爱晕啦!!~✨"/>
        <s v="甩6斤纯脂肪我做了这四件事‼｜体脂29到22"/>
        <s v="四个动作拉伸瘦腿❗️筋膜枪按摩大腿小腿"/>
        <s v="塌屁股姐妹一定要练上臀！翘臀不粗腿拿捏了！"/>
        <s v="请一定要相信帕梅拉虐腹，效果是真的🉑❗"/>
        <s v="175 90斤|五年模特三餐真实分享"/>
        <s v="大腿内侧赘肉消失术‼️练出细长漫画腿全靠它"/>
        <s v="每天坚持这4个动作🔥瘦脂包肌小腿‼️已瘦4cm"/>
        <s v="这个燃脂舞真的太❗️太❗️太简单了🔥停不下来"/>
        <s v="宿舍健身‼️美背翘臀这样练⏳真的好绝"/>
        <s v="姐妹们学会这三招，斜方肌想变“厚”都难！！！"/>
        <s v="宿舍姐妹花人手一个！这筋膜枪有点东西🧐"/>
        <s v="真的有用‼️小腿外翻改善了，一定要试试❗"/>
        <s v="120瘦到78斤｜小基数减脂心得分享"/>
        <s v="挑战在筋膜枪上画画"/>
        <s v="少女心爆棚！粉色甜心筋膜枪也太嫩了吧"/>
        <s v="对不起！我不能接受这个宝藏体脂秤百元就能拿下"/>
        <s v="不到百元get我的私人身材管理师|这波稳赚‼️"/>
        <s v="翘臀不难？！筋膜枪使用敲重点"/>
        <s v="拜托!!跳绳真的不粗腿‼️跳绳yyds！"/>
        <s v="辣妹瘦腿bi看！这玩意是真好使！"/>
        <s v="建议小腿粗的美少女人手一个的mini筋膜枪！"/>
        <s v="减脂期用什么体脂秤？跟着减脂博主买就对了！"/>
        <s v="跳绳全部流程‼️做好这些 腿想粗都难"/>
        <s v="保姆级教程㊙手把手教你低成本轻松变美"/>
        <s v="跳绳的先后顺序➕筋膜枪的放松按摩❤️"/>
        <s v="每天3分钟消灭斜方肌(筋膜枪使用教程)"/>
        <s v="筋膜枪｜怎么选不踩坑❌如何正确使用❓"/>
        <s v="5个小习惯养成易瘦体质✨懒人身材管理法"/>
        <s v="降体脂干货|为什么你的腹肌一直出不来？可能是体脂率太高了"/>
        <s v="28天虐腹计划！瘦肚子就看这篇 ！巨有效"/>
        <s v="体脂秤测16%|侧腰肉多 别再练侧腰！"/>
        <s v="斜方肌厚？圆肩驼背？筋膜枪帮你解决"/>
        <s v="体脂秤|️120到80斤/养成易瘦体减体脂✅"/>
        <s v="筋膜枪放松|圆肩驼背姐妹给我练！"/>
        <s v="120斤到100斤 小基数减脂 跑步不粗腿方法"/>
        <s v="久坐久站肌肉腿❓4⃣个动作get“漫画腿”"/>
        <s v="减脂餐7️⃣9️⃣天✨上班｜带饭人｜便当🍱"/>
        <s v="如何正确跑步不粗腿！正确跑步全攻略"/>
        <s v="115到95｜女大学生在校减脂vlog"/>
        <s v="直腿❗️你可以永远相信它❗️"/>
        <s v="5天腰围小了2cm‼️空腹有氧试试跳绳间歇法"/>
        <s v="筋膜枪测评！手把手教你正确选择筋膜枪！！"/>
        <s v="改善粗腿肌肉腿！宅家按摩神器轻松全款拿下！"/>
        <s v="跳出马甲线！一根无绳跳绳就够了"/>
        <s v="9命！介么可爱的筋膜枪！送到心坎上的礼物"/>
        <m/>
      </sharedItems>
    </cacheField>
    <cacheField name=" 点击率" numFmtId="0" formula="点击量/展现量" databaseField="0"/>
    <cacheField name="点击成本" numFmtId="0" formula="消费/点击量" databaseField="0"/>
    <cacheField name="千展费用" numFmtId="0" formula="消费/展现量*1000" databaseField="0"/>
    <cacheField name="私信成本" numFmtId="0" formula="消费/#NAME?" databaseField="0"/>
    <cacheField name="开口成本" numFmtId="0" formula="消费/#NAME?" databaseField="0"/>
    <cacheField name="互动成本" numFmtId="0" formula="消费/互动量" databaseField="0"/>
    <cacheField name="私信率" numFmtId="0" formula="#NAME?/点击量" databaseField="0"/>
    <cacheField name="互动率" numFmtId="0" formula="互动量/点击量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</r>
  <r>
    <x v="0"/>
    <x v="2"/>
    <x v="2"/>
    <x v="0"/>
    <x v="2"/>
    <x v="0"/>
    <x v="0"/>
    <x v="0"/>
    <x v="0"/>
    <x v="0"/>
    <x v="2"/>
    <x v="2"/>
    <x v="2"/>
    <x v="2"/>
    <x v="2"/>
    <x v="2"/>
    <x v="2"/>
    <x v="2"/>
    <x v="2"/>
    <x v="1"/>
    <x v="2"/>
    <x v="2"/>
    <x v="2"/>
    <x v="0"/>
    <x v="0"/>
    <x v="2"/>
    <x v="2"/>
    <x v="2"/>
  </r>
  <r>
    <x v="0"/>
    <x v="3"/>
    <x v="3"/>
    <x v="0"/>
    <x v="3"/>
    <x v="1"/>
    <x v="1"/>
    <x v="1"/>
    <x v="1"/>
    <x v="0"/>
    <x v="3"/>
    <x v="3"/>
    <x v="3"/>
    <x v="3"/>
    <x v="3"/>
    <x v="3"/>
    <x v="3"/>
    <x v="0"/>
    <x v="3"/>
    <x v="2"/>
    <x v="2"/>
    <x v="3"/>
    <x v="3"/>
    <x v="0"/>
    <x v="0"/>
    <x v="3"/>
    <x v="2"/>
    <x v="3"/>
  </r>
  <r>
    <x v="0"/>
    <x v="4"/>
    <x v="4"/>
    <x v="0"/>
    <x v="4"/>
    <x v="2"/>
    <x v="2"/>
    <x v="2"/>
    <x v="2"/>
    <x v="0"/>
    <x v="4"/>
    <x v="4"/>
    <x v="4"/>
    <x v="4"/>
    <x v="2"/>
    <x v="4"/>
    <x v="4"/>
    <x v="0"/>
    <x v="4"/>
    <x v="3"/>
    <x v="2"/>
    <x v="4"/>
    <x v="4"/>
    <x v="0"/>
    <x v="0"/>
    <x v="4"/>
    <x v="3"/>
    <x v="4"/>
  </r>
  <r>
    <x v="0"/>
    <x v="5"/>
    <x v="5"/>
    <x v="0"/>
    <x v="5"/>
    <x v="2"/>
    <x v="2"/>
    <x v="2"/>
    <x v="2"/>
    <x v="0"/>
    <x v="5"/>
    <x v="5"/>
    <x v="5"/>
    <x v="5"/>
    <x v="4"/>
    <x v="5"/>
    <x v="5"/>
    <x v="2"/>
    <x v="5"/>
    <x v="0"/>
    <x v="1"/>
    <x v="5"/>
    <x v="5"/>
    <x v="0"/>
    <x v="0"/>
    <x v="5"/>
    <x v="2"/>
    <x v="5"/>
  </r>
  <r>
    <x v="1"/>
    <x v="0"/>
    <x v="0"/>
    <x v="0"/>
    <x v="0"/>
    <x v="0"/>
    <x v="0"/>
    <x v="0"/>
    <x v="0"/>
    <x v="0"/>
    <x v="6"/>
    <x v="6"/>
    <x v="6"/>
    <x v="6"/>
    <x v="5"/>
    <x v="6"/>
    <x v="6"/>
    <x v="0"/>
    <x v="6"/>
    <x v="4"/>
    <x v="2"/>
    <x v="6"/>
    <x v="6"/>
    <x v="0"/>
    <x v="0"/>
    <x v="6"/>
    <x v="4"/>
    <x v="0"/>
  </r>
  <r>
    <x v="1"/>
    <x v="1"/>
    <x v="1"/>
    <x v="0"/>
    <x v="1"/>
    <x v="0"/>
    <x v="0"/>
    <x v="0"/>
    <x v="0"/>
    <x v="0"/>
    <x v="7"/>
    <x v="7"/>
    <x v="7"/>
    <x v="7"/>
    <x v="6"/>
    <x v="7"/>
    <x v="7"/>
    <x v="3"/>
    <x v="7"/>
    <x v="5"/>
    <x v="3"/>
    <x v="7"/>
    <x v="7"/>
    <x v="0"/>
    <x v="0"/>
    <x v="7"/>
    <x v="1"/>
    <x v="1"/>
  </r>
  <r>
    <x v="1"/>
    <x v="2"/>
    <x v="2"/>
    <x v="0"/>
    <x v="2"/>
    <x v="0"/>
    <x v="0"/>
    <x v="0"/>
    <x v="0"/>
    <x v="0"/>
    <x v="8"/>
    <x v="8"/>
    <x v="8"/>
    <x v="8"/>
    <x v="5"/>
    <x v="8"/>
    <x v="8"/>
    <x v="2"/>
    <x v="8"/>
    <x v="3"/>
    <x v="3"/>
    <x v="8"/>
    <x v="8"/>
    <x v="0"/>
    <x v="0"/>
    <x v="2"/>
    <x v="2"/>
    <x v="2"/>
  </r>
  <r>
    <x v="1"/>
    <x v="3"/>
    <x v="3"/>
    <x v="0"/>
    <x v="3"/>
    <x v="1"/>
    <x v="1"/>
    <x v="1"/>
    <x v="1"/>
    <x v="0"/>
    <x v="9"/>
    <x v="9"/>
    <x v="9"/>
    <x v="9"/>
    <x v="7"/>
    <x v="9"/>
    <x v="9"/>
    <x v="1"/>
    <x v="9"/>
    <x v="6"/>
    <x v="3"/>
    <x v="9"/>
    <x v="9"/>
    <x v="0"/>
    <x v="0"/>
    <x v="4"/>
    <x v="5"/>
    <x v="3"/>
  </r>
  <r>
    <x v="1"/>
    <x v="4"/>
    <x v="4"/>
    <x v="0"/>
    <x v="4"/>
    <x v="2"/>
    <x v="2"/>
    <x v="2"/>
    <x v="2"/>
    <x v="0"/>
    <x v="10"/>
    <x v="10"/>
    <x v="10"/>
    <x v="10"/>
    <x v="5"/>
    <x v="10"/>
    <x v="10"/>
    <x v="2"/>
    <x v="10"/>
    <x v="3"/>
    <x v="3"/>
    <x v="10"/>
    <x v="10"/>
    <x v="0"/>
    <x v="0"/>
    <x v="5"/>
    <x v="3"/>
    <x v="4"/>
  </r>
  <r>
    <x v="1"/>
    <x v="5"/>
    <x v="5"/>
    <x v="0"/>
    <x v="5"/>
    <x v="2"/>
    <x v="2"/>
    <x v="2"/>
    <x v="2"/>
    <x v="0"/>
    <x v="11"/>
    <x v="11"/>
    <x v="11"/>
    <x v="11"/>
    <x v="5"/>
    <x v="11"/>
    <x v="11"/>
    <x v="2"/>
    <x v="11"/>
    <x v="7"/>
    <x v="4"/>
    <x v="11"/>
    <x v="11"/>
    <x v="0"/>
    <x v="0"/>
    <x v="5"/>
    <x v="2"/>
    <x v="5"/>
  </r>
  <r>
    <x v="2"/>
    <x v="0"/>
    <x v="0"/>
    <x v="0"/>
    <x v="0"/>
    <x v="0"/>
    <x v="0"/>
    <x v="0"/>
    <x v="0"/>
    <x v="0"/>
    <x v="12"/>
    <x v="12"/>
    <x v="12"/>
    <x v="12"/>
    <x v="6"/>
    <x v="12"/>
    <x v="12"/>
    <x v="2"/>
    <x v="12"/>
    <x v="0"/>
    <x v="1"/>
    <x v="12"/>
    <x v="12"/>
    <x v="0"/>
    <x v="0"/>
    <x v="8"/>
    <x v="0"/>
    <x v="0"/>
  </r>
  <r>
    <x v="2"/>
    <x v="1"/>
    <x v="1"/>
    <x v="0"/>
    <x v="1"/>
    <x v="0"/>
    <x v="0"/>
    <x v="0"/>
    <x v="0"/>
    <x v="0"/>
    <x v="13"/>
    <x v="13"/>
    <x v="13"/>
    <x v="13"/>
    <x v="6"/>
    <x v="13"/>
    <x v="13"/>
    <x v="2"/>
    <x v="8"/>
    <x v="5"/>
    <x v="2"/>
    <x v="13"/>
    <x v="13"/>
    <x v="0"/>
    <x v="0"/>
    <x v="5"/>
    <x v="6"/>
    <x v="1"/>
  </r>
  <r>
    <x v="2"/>
    <x v="3"/>
    <x v="3"/>
    <x v="0"/>
    <x v="3"/>
    <x v="1"/>
    <x v="1"/>
    <x v="1"/>
    <x v="1"/>
    <x v="0"/>
    <x v="14"/>
    <x v="14"/>
    <x v="14"/>
    <x v="14"/>
    <x v="8"/>
    <x v="14"/>
    <x v="14"/>
    <x v="0"/>
    <x v="13"/>
    <x v="8"/>
    <x v="4"/>
    <x v="14"/>
    <x v="14"/>
    <x v="0"/>
    <x v="0"/>
    <x v="4"/>
    <x v="5"/>
    <x v="3"/>
  </r>
  <r>
    <x v="2"/>
    <x v="4"/>
    <x v="4"/>
    <x v="0"/>
    <x v="4"/>
    <x v="2"/>
    <x v="2"/>
    <x v="2"/>
    <x v="2"/>
    <x v="0"/>
    <x v="15"/>
    <x v="15"/>
    <x v="15"/>
    <x v="15"/>
    <x v="2"/>
    <x v="15"/>
    <x v="15"/>
    <x v="2"/>
    <x v="14"/>
    <x v="3"/>
    <x v="3"/>
    <x v="15"/>
    <x v="15"/>
    <x v="0"/>
    <x v="0"/>
    <x v="5"/>
    <x v="2"/>
    <x v="4"/>
  </r>
  <r>
    <x v="2"/>
    <x v="5"/>
    <x v="5"/>
    <x v="0"/>
    <x v="5"/>
    <x v="2"/>
    <x v="2"/>
    <x v="2"/>
    <x v="2"/>
    <x v="0"/>
    <x v="16"/>
    <x v="16"/>
    <x v="16"/>
    <x v="16"/>
    <x v="5"/>
    <x v="16"/>
    <x v="16"/>
    <x v="2"/>
    <x v="15"/>
    <x v="9"/>
    <x v="0"/>
    <x v="16"/>
    <x v="16"/>
    <x v="1"/>
    <x v="1"/>
    <x v="5"/>
    <x v="2"/>
    <x v="5"/>
  </r>
  <r>
    <x v="3"/>
    <x v="0"/>
    <x v="0"/>
    <x v="0"/>
    <x v="0"/>
    <x v="0"/>
    <x v="0"/>
    <x v="0"/>
    <x v="0"/>
    <x v="0"/>
    <x v="17"/>
    <x v="17"/>
    <x v="17"/>
    <x v="17"/>
    <x v="9"/>
    <x v="17"/>
    <x v="5"/>
    <x v="2"/>
    <x v="16"/>
    <x v="3"/>
    <x v="2"/>
    <x v="17"/>
    <x v="17"/>
    <x v="0"/>
    <x v="0"/>
    <x v="9"/>
    <x v="7"/>
    <x v="0"/>
  </r>
  <r>
    <x v="3"/>
    <x v="1"/>
    <x v="1"/>
    <x v="0"/>
    <x v="1"/>
    <x v="0"/>
    <x v="0"/>
    <x v="0"/>
    <x v="0"/>
    <x v="0"/>
    <x v="18"/>
    <x v="18"/>
    <x v="18"/>
    <x v="18"/>
    <x v="5"/>
    <x v="18"/>
    <x v="17"/>
    <x v="2"/>
    <x v="17"/>
    <x v="5"/>
    <x v="2"/>
    <x v="18"/>
    <x v="18"/>
    <x v="0"/>
    <x v="0"/>
    <x v="10"/>
    <x v="8"/>
    <x v="1"/>
  </r>
  <r>
    <x v="3"/>
    <x v="3"/>
    <x v="3"/>
    <x v="0"/>
    <x v="3"/>
    <x v="1"/>
    <x v="1"/>
    <x v="1"/>
    <x v="1"/>
    <x v="0"/>
    <x v="19"/>
    <x v="19"/>
    <x v="19"/>
    <x v="19"/>
    <x v="10"/>
    <x v="19"/>
    <x v="14"/>
    <x v="2"/>
    <x v="17"/>
    <x v="10"/>
    <x v="3"/>
    <x v="19"/>
    <x v="19"/>
    <x v="0"/>
    <x v="0"/>
    <x v="5"/>
    <x v="2"/>
    <x v="3"/>
  </r>
  <r>
    <x v="3"/>
    <x v="4"/>
    <x v="4"/>
    <x v="0"/>
    <x v="4"/>
    <x v="2"/>
    <x v="2"/>
    <x v="2"/>
    <x v="2"/>
    <x v="0"/>
    <x v="20"/>
    <x v="20"/>
    <x v="20"/>
    <x v="20"/>
    <x v="5"/>
    <x v="20"/>
    <x v="18"/>
    <x v="2"/>
    <x v="14"/>
    <x v="3"/>
    <x v="3"/>
    <x v="20"/>
    <x v="20"/>
    <x v="0"/>
    <x v="0"/>
    <x v="5"/>
    <x v="2"/>
    <x v="4"/>
  </r>
  <r>
    <x v="3"/>
    <x v="5"/>
    <x v="5"/>
    <x v="0"/>
    <x v="5"/>
    <x v="2"/>
    <x v="2"/>
    <x v="2"/>
    <x v="2"/>
    <x v="0"/>
    <x v="21"/>
    <x v="21"/>
    <x v="21"/>
    <x v="21"/>
    <x v="5"/>
    <x v="21"/>
    <x v="19"/>
    <x v="1"/>
    <x v="5"/>
    <x v="4"/>
    <x v="0"/>
    <x v="21"/>
    <x v="6"/>
    <x v="0"/>
    <x v="0"/>
    <x v="5"/>
    <x v="2"/>
    <x v="5"/>
  </r>
  <r>
    <x v="4"/>
    <x v="0"/>
    <x v="0"/>
    <x v="0"/>
    <x v="0"/>
    <x v="0"/>
    <x v="0"/>
    <x v="0"/>
    <x v="0"/>
    <x v="0"/>
    <x v="22"/>
    <x v="22"/>
    <x v="22"/>
    <x v="22"/>
    <x v="6"/>
    <x v="22"/>
    <x v="20"/>
    <x v="2"/>
    <x v="18"/>
    <x v="0"/>
    <x v="2"/>
    <x v="21"/>
    <x v="21"/>
    <x v="0"/>
    <x v="0"/>
    <x v="11"/>
    <x v="9"/>
    <x v="0"/>
  </r>
  <r>
    <x v="4"/>
    <x v="1"/>
    <x v="1"/>
    <x v="0"/>
    <x v="1"/>
    <x v="0"/>
    <x v="0"/>
    <x v="0"/>
    <x v="0"/>
    <x v="0"/>
    <x v="23"/>
    <x v="23"/>
    <x v="23"/>
    <x v="23"/>
    <x v="11"/>
    <x v="13"/>
    <x v="21"/>
    <x v="1"/>
    <x v="19"/>
    <x v="11"/>
    <x v="3"/>
    <x v="22"/>
    <x v="22"/>
    <x v="0"/>
    <x v="0"/>
    <x v="5"/>
    <x v="10"/>
    <x v="1"/>
  </r>
  <r>
    <x v="4"/>
    <x v="3"/>
    <x v="3"/>
    <x v="0"/>
    <x v="3"/>
    <x v="1"/>
    <x v="1"/>
    <x v="1"/>
    <x v="1"/>
    <x v="0"/>
    <x v="24"/>
    <x v="24"/>
    <x v="15"/>
    <x v="24"/>
    <x v="12"/>
    <x v="23"/>
    <x v="22"/>
    <x v="2"/>
    <x v="20"/>
    <x v="4"/>
    <x v="1"/>
    <x v="23"/>
    <x v="23"/>
    <x v="0"/>
    <x v="0"/>
    <x v="5"/>
    <x v="2"/>
    <x v="3"/>
  </r>
  <r>
    <x v="4"/>
    <x v="4"/>
    <x v="4"/>
    <x v="0"/>
    <x v="4"/>
    <x v="2"/>
    <x v="2"/>
    <x v="2"/>
    <x v="2"/>
    <x v="0"/>
    <x v="25"/>
    <x v="25"/>
    <x v="24"/>
    <x v="25"/>
    <x v="13"/>
    <x v="24"/>
    <x v="15"/>
    <x v="2"/>
    <x v="14"/>
    <x v="3"/>
    <x v="3"/>
    <x v="15"/>
    <x v="15"/>
    <x v="0"/>
    <x v="0"/>
    <x v="5"/>
    <x v="2"/>
    <x v="4"/>
  </r>
  <r>
    <x v="4"/>
    <x v="5"/>
    <x v="5"/>
    <x v="0"/>
    <x v="5"/>
    <x v="2"/>
    <x v="2"/>
    <x v="2"/>
    <x v="2"/>
    <x v="0"/>
    <x v="26"/>
    <x v="26"/>
    <x v="25"/>
    <x v="26"/>
    <x v="13"/>
    <x v="25"/>
    <x v="7"/>
    <x v="2"/>
    <x v="4"/>
    <x v="1"/>
    <x v="3"/>
    <x v="24"/>
    <x v="24"/>
    <x v="0"/>
    <x v="0"/>
    <x v="5"/>
    <x v="2"/>
    <x v="5"/>
  </r>
  <r>
    <x v="5"/>
    <x v="6"/>
    <x v="6"/>
    <x v="0"/>
    <x v="6"/>
    <x v="3"/>
    <x v="3"/>
    <x v="3"/>
    <x v="3"/>
    <x v="0"/>
    <x v="27"/>
    <x v="27"/>
    <x v="26"/>
    <x v="27"/>
    <x v="5"/>
    <x v="26"/>
    <x v="11"/>
    <x v="4"/>
    <x v="21"/>
    <x v="12"/>
    <x v="5"/>
    <x v="25"/>
    <x v="25"/>
    <x v="0"/>
    <x v="0"/>
    <x v="11"/>
    <x v="2"/>
    <x v="6"/>
  </r>
  <r>
    <x v="5"/>
    <x v="7"/>
    <x v="7"/>
    <x v="1"/>
    <x v="3"/>
    <x v="4"/>
    <x v="4"/>
    <x v="4"/>
    <x v="4"/>
    <x v="0"/>
    <x v="28"/>
    <x v="28"/>
    <x v="27"/>
    <x v="28"/>
    <x v="14"/>
    <x v="27"/>
    <x v="15"/>
    <x v="2"/>
    <x v="14"/>
    <x v="3"/>
    <x v="3"/>
    <x v="15"/>
    <x v="15"/>
    <x v="0"/>
    <x v="0"/>
    <x v="5"/>
    <x v="2"/>
    <x v="3"/>
  </r>
  <r>
    <x v="5"/>
    <x v="8"/>
    <x v="8"/>
    <x v="1"/>
    <x v="7"/>
    <x v="5"/>
    <x v="5"/>
    <x v="5"/>
    <x v="5"/>
    <x v="0"/>
    <x v="29"/>
    <x v="29"/>
    <x v="28"/>
    <x v="29"/>
    <x v="15"/>
    <x v="28"/>
    <x v="23"/>
    <x v="2"/>
    <x v="22"/>
    <x v="5"/>
    <x v="3"/>
    <x v="26"/>
    <x v="26"/>
    <x v="0"/>
    <x v="0"/>
    <x v="5"/>
    <x v="2"/>
    <x v="7"/>
  </r>
  <r>
    <x v="5"/>
    <x v="9"/>
    <x v="9"/>
    <x v="1"/>
    <x v="7"/>
    <x v="6"/>
    <x v="6"/>
    <x v="5"/>
    <x v="5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7"/>
  </r>
  <r>
    <x v="5"/>
    <x v="0"/>
    <x v="10"/>
    <x v="1"/>
    <x v="0"/>
    <x v="7"/>
    <x v="7"/>
    <x v="6"/>
    <x v="6"/>
    <x v="0"/>
    <x v="31"/>
    <x v="31"/>
    <x v="30"/>
    <x v="31"/>
    <x v="17"/>
    <x v="30"/>
    <x v="13"/>
    <x v="2"/>
    <x v="8"/>
    <x v="3"/>
    <x v="3"/>
    <x v="22"/>
    <x v="27"/>
    <x v="0"/>
    <x v="0"/>
    <x v="5"/>
    <x v="2"/>
    <x v="0"/>
  </r>
  <r>
    <x v="5"/>
    <x v="10"/>
    <x v="11"/>
    <x v="0"/>
    <x v="8"/>
    <x v="8"/>
    <x v="8"/>
    <x v="7"/>
    <x v="7"/>
    <x v="0"/>
    <x v="32"/>
    <x v="32"/>
    <x v="31"/>
    <x v="32"/>
    <x v="5"/>
    <x v="31"/>
    <x v="10"/>
    <x v="2"/>
    <x v="23"/>
    <x v="6"/>
    <x v="4"/>
    <x v="4"/>
    <x v="28"/>
    <x v="0"/>
    <x v="0"/>
    <x v="2"/>
    <x v="11"/>
    <x v="8"/>
  </r>
  <r>
    <x v="5"/>
    <x v="11"/>
    <x v="12"/>
    <x v="1"/>
    <x v="9"/>
    <x v="9"/>
    <x v="9"/>
    <x v="8"/>
    <x v="8"/>
    <x v="0"/>
    <x v="33"/>
    <x v="33"/>
    <x v="32"/>
    <x v="33"/>
    <x v="18"/>
    <x v="32"/>
    <x v="18"/>
    <x v="2"/>
    <x v="24"/>
    <x v="3"/>
    <x v="3"/>
    <x v="27"/>
    <x v="29"/>
    <x v="0"/>
    <x v="0"/>
    <x v="5"/>
    <x v="2"/>
    <x v="9"/>
  </r>
  <r>
    <x v="5"/>
    <x v="12"/>
    <x v="13"/>
    <x v="1"/>
    <x v="5"/>
    <x v="10"/>
    <x v="10"/>
    <x v="9"/>
    <x v="9"/>
    <x v="0"/>
    <x v="34"/>
    <x v="34"/>
    <x v="27"/>
    <x v="34"/>
    <x v="19"/>
    <x v="33"/>
    <x v="15"/>
    <x v="2"/>
    <x v="14"/>
    <x v="3"/>
    <x v="3"/>
    <x v="15"/>
    <x v="15"/>
    <x v="0"/>
    <x v="0"/>
    <x v="5"/>
    <x v="2"/>
    <x v="5"/>
  </r>
  <r>
    <x v="5"/>
    <x v="13"/>
    <x v="14"/>
    <x v="0"/>
    <x v="10"/>
    <x v="11"/>
    <x v="11"/>
    <x v="10"/>
    <x v="10"/>
    <x v="0"/>
    <x v="35"/>
    <x v="35"/>
    <x v="33"/>
    <x v="35"/>
    <x v="1"/>
    <x v="34"/>
    <x v="24"/>
    <x v="2"/>
    <x v="25"/>
    <x v="5"/>
    <x v="2"/>
    <x v="28"/>
    <x v="30"/>
    <x v="0"/>
    <x v="0"/>
    <x v="2"/>
    <x v="12"/>
    <x v="10"/>
  </r>
  <r>
    <x v="6"/>
    <x v="6"/>
    <x v="6"/>
    <x v="0"/>
    <x v="6"/>
    <x v="3"/>
    <x v="3"/>
    <x v="3"/>
    <x v="3"/>
    <x v="0"/>
    <x v="36"/>
    <x v="36"/>
    <x v="34"/>
    <x v="36"/>
    <x v="5"/>
    <x v="35"/>
    <x v="25"/>
    <x v="0"/>
    <x v="26"/>
    <x v="8"/>
    <x v="5"/>
    <x v="29"/>
    <x v="31"/>
    <x v="0"/>
    <x v="0"/>
    <x v="10"/>
    <x v="12"/>
    <x v="6"/>
  </r>
  <r>
    <x v="6"/>
    <x v="8"/>
    <x v="8"/>
    <x v="1"/>
    <x v="7"/>
    <x v="5"/>
    <x v="5"/>
    <x v="5"/>
    <x v="5"/>
    <x v="0"/>
    <x v="37"/>
    <x v="37"/>
    <x v="35"/>
    <x v="14"/>
    <x v="19"/>
    <x v="36"/>
    <x v="26"/>
    <x v="2"/>
    <x v="22"/>
    <x v="3"/>
    <x v="2"/>
    <x v="30"/>
    <x v="32"/>
    <x v="0"/>
    <x v="0"/>
    <x v="5"/>
    <x v="2"/>
    <x v="7"/>
  </r>
  <r>
    <x v="6"/>
    <x v="0"/>
    <x v="10"/>
    <x v="1"/>
    <x v="0"/>
    <x v="7"/>
    <x v="7"/>
    <x v="6"/>
    <x v="6"/>
    <x v="0"/>
    <x v="38"/>
    <x v="38"/>
    <x v="36"/>
    <x v="37"/>
    <x v="20"/>
    <x v="37"/>
    <x v="26"/>
    <x v="2"/>
    <x v="19"/>
    <x v="3"/>
    <x v="3"/>
    <x v="31"/>
    <x v="33"/>
    <x v="0"/>
    <x v="0"/>
    <x v="4"/>
    <x v="2"/>
    <x v="0"/>
  </r>
  <r>
    <x v="6"/>
    <x v="10"/>
    <x v="11"/>
    <x v="0"/>
    <x v="8"/>
    <x v="8"/>
    <x v="8"/>
    <x v="7"/>
    <x v="7"/>
    <x v="0"/>
    <x v="39"/>
    <x v="39"/>
    <x v="37"/>
    <x v="38"/>
    <x v="1"/>
    <x v="38"/>
    <x v="15"/>
    <x v="2"/>
    <x v="14"/>
    <x v="3"/>
    <x v="3"/>
    <x v="15"/>
    <x v="15"/>
    <x v="0"/>
    <x v="0"/>
    <x v="5"/>
    <x v="2"/>
    <x v="8"/>
  </r>
  <r>
    <x v="6"/>
    <x v="11"/>
    <x v="12"/>
    <x v="1"/>
    <x v="9"/>
    <x v="9"/>
    <x v="9"/>
    <x v="8"/>
    <x v="8"/>
    <x v="0"/>
    <x v="30"/>
    <x v="40"/>
    <x v="29"/>
    <x v="30"/>
    <x v="16"/>
    <x v="29"/>
    <x v="15"/>
    <x v="2"/>
    <x v="14"/>
    <x v="3"/>
    <x v="3"/>
    <x v="15"/>
    <x v="15"/>
    <x v="0"/>
    <x v="0"/>
    <x v="5"/>
    <x v="2"/>
    <x v="9"/>
  </r>
  <r>
    <x v="6"/>
    <x v="12"/>
    <x v="13"/>
    <x v="1"/>
    <x v="5"/>
    <x v="10"/>
    <x v="10"/>
    <x v="9"/>
    <x v="9"/>
    <x v="0"/>
    <x v="40"/>
    <x v="41"/>
    <x v="38"/>
    <x v="39"/>
    <x v="21"/>
    <x v="39"/>
    <x v="18"/>
    <x v="2"/>
    <x v="24"/>
    <x v="3"/>
    <x v="3"/>
    <x v="27"/>
    <x v="34"/>
    <x v="0"/>
    <x v="0"/>
    <x v="5"/>
    <x v="2"/>
    <x v="5"/>
  </r>
  <r>
    <x v="6"/>
    <x v="13"/>
    <x v="14"/>
    <x v="0"/>
    <x v="10"/>
    <x v="11"/>
    <x v="11"/>
    <x v="10"/>
    <x v="10"/>
    <x v="0"/>
    <x v="41"/>
    <x v="42"/>
    <x v="39"/>
    <x v="40"/>
    <x v="1"/>
    <x v="40"/>
    <x v="27"/>
    <x v="2"/>
    <x v="27"/>
    <x v="12"/>
    <x v="2"/>
    <x v="32"/>
    <x v="35"/>
    <x v="0"/>
    <x v="0"/>
    <x v="5"/>
    <x v="13"/>
    <x v="10"/>
  </r>
  <r>
    <x v="6"/>
    <x v="14"/>
    <x v="15"/>
    <x v="0"/>
    <x v="9"/>
    <x v="12"/>
    <x v="12"/>
    <x v="11"/>
    <x v="11"/>
    <x v="0"/>
    <x v="42"/>
    <x v="43"/>
    <x v="40"/>
    <x v="41"/>
    <x v="13"/>
    <x v="41"/>
    <x v="28"/>
    <x v="3"/>
    <x v="28"/>
    <x v="6"/>
    <x v="2"/>
    <x v="33"/>
    <x v="36"/>
    <x v="0"/>
    <x v="0"/>
    <x v="12"/>
    <x v="11"/>
    <x v="9"/>
  </r>
  <r>
    <x v="6"/>
    <x v="15"/>
    <x v="16"/>
    <x v="0"/>
    <x v="1"/>
    <x v="13"/>
    <x v="13"/>
    <x v="12"/>
    <x v="12"/>
    <x v="0"/>
    <x v="43"/>
    <x v="44"/>
    <x v="41"/>
    <x v="42"/>
    <x v="5"/>
    <x v="42"/>
    <x v="19"/>
    <x v="1"/>
    <x v="21"/>
    <x v="9"/>
    <x v="2"/>
    <x v="34"/>
    <x v="37"/>
    <x v="0"/>
    <x v="0"/>
    <x v="12"/>
    <x v="14"/>
    <x v="1"/>
  </r>
  <r>
    <x v="7"/>
    <x v="6"/>
    <x v="6"/>
    <x v="0"/>
    <x v="6"/>
    <x v="3"/>
    <x v="3"/>
    <x v="3"/>
    <x v="3"/>
    <x v="0"/>
    <x v="44"/>
    <x v="45"/>
    <x v="42"/>
    <x v="43"/>
    <x v="6"/>
    <x v="43"/>
    <x v="29"/>
    <x v="1"/>
    <x v="29"/>
    <x v="11"/>
    <x v="6"/>
    <x v="25"/>
    <x v="38"/>
    <x v="0"/>
    <x v="0"/>
    <x v="2"/>
    <x v="6"/>
    <x v="6"/>
  </r>
  <r>
    <x v="7"/>
    <x v="8"/>
    <x v="8"/>
    <x v="1"/>
    <x v="7"/>
    <x v="5"/>
    <x v="5"/>
    <x v="5"/>
    <x v="5"/>
    <x v="0"/>
    <x v="45"/>
    <x v="46"/>
    <x v="43"/>
    <x v="44"/>
    <x v="14"/>
    <x v="44"/>
    <x v="30"/>
    <x v="2"/>
    <x v="30"/>
    <x v="1"/>
    <x v="7"/>
    <x v="35"/>
    <x v="36"/>
    <x v="0"/>
    <x v="0"/>
    <x v="4"/>
    <x v="5"/>
    <x v="7"/>
  </r>
  <r>
    <x v="7"/>
    <x v="0"/>
    <x v="10"/>
    <x v="1"/>
    <x v="0"/>
    <x v="7"/>
    <x v="7"/>
    <x v="6"/>
    <x v="6"/>
    <x v="0"/>
    <x v="46"/>
    <x v="47"/>
    <x v="44"/>
    <x v="45"/>
    <x v="22"/>
    <x v="45"/>
    <x v="31"/>
    <x v="2"/>
    <x v="31"/>
    <x v="5"/>
    <x v="4"/>
    <x v="36"/>
    <x v="39"/>
    <x v="0"/>
    <x v="0"/>
    <x v="1"/>
    <x v="6"/>
    <x v="0"/>
  </r>
  <r>
    <x v="7"/>
    <x v="12"/>
    <x v="13"/>
    <x v="1"/>
    <x v="5"/>
    <x v="10"/>
    <x v="10"/>
    <x v="9"/>
    <x v="9"/>
    <x v="0"/>
    <x v="47"/>
    <x v="48"/>
    <x v="45"/>
    <x v="46"/>
    <x v="23"/>
    <x v="46"/>
    <x v="26"/>
    <x v="2"/>
    <x v="8"/>
    <x v="5"/>
    <x v="3"/>
    <x v="37"/>
    <x v="40"/>
    <x v="0"/>
    <x v="0"/>
    <x v="5"/>
    <x v="2"/>
    <x v="5"/>
  </r>
  <r>
    <x v="7"/>
    <x v="13"/>
    <x v="14"/>
    <x v="0"/>
    <x v="10"/>
    <x v="11"/>
    <x v="11"/>
    <x v="10"/>
    <x v="10"/>
    <x v="0"/>
    <x v="48"/>
    <x v="49"/>
    <x v="46"/>
    <x v="47"/>
    <x v="9"/>
    <x v="47"/>
    <x v="32"/>
    <x v="0"/>
    <x v="32"/>
    <x v="4"/>
    <x v="3"/>
    <x v="38"/>
    <x v="41"/>
    <x v="0"/>
    <x v="0"/>
    <x v="5"/>
    <x v="12"/>
    <x v="10"/>
  </r>
  <r>
    <x v="7"/>
    <x v="14"/>
    <x v="15"/>
    <x v="0"/>
    <x v="9"/>
    <x v="12"/>
    <x v="12"/>
    <x v="11"/>
    <x v="11"/>
    <x v="0"/>
    <x v="49"/>
    <x v="50"/>
    <x v="47"/>
    <x v="48"/>
    <x v="13"/>
    <x v="48"/>
    <x v="33"/>
    <x v="3"/>
    <x v="33"/>
    <x v="13"/>
    <x v="2"/>
    <x v="16"/>
    <x v="42"/>
    <x v="0"/>
    <x v="0"/>
    <x v="10"/>
    <x v="6"/>
    <x v="9"/>
  </r>
  <r>
    <x v="7"/>
    <x v="15"/>
    <x v="16"/>
    <x v="0"/>
    <x v="1"/>
    <x v="13"/>
    <x v="13"/>
    <x v="12"/>
    <x v="12"/>
    <x v="0"/>
    <x v="50"/>
    <x v="51"/>
    <x v="48"/>
    <x v="49"/>
    <x v="13"/>
    <x v="49"/>
    <x v="34"/>
    <x v="0"/>
    <x v="34"/>
    <x v="8"/>
    <x v="4"/>
    <x v="39"/>
    <x v="43"/>
    <x v="0"/>
    <x v="0"/>
    <x v="13"/>
    <x v="15"/>
    <x v="1"/>
  </r>
  <r>
    <x v="8"/>
    <x v="6"/>
    <x v="6"/>
    <x v="0"/>
    <x v="6"/>
    <x v="3"/>
    <x v="3"/>
    <x v="3"/>
    <x v="3"/>
    <x v="0"/>
    <x v="51"/>
    <x v="52"/>
    <x v="49"/>
    <x v="50"/>
    <x v="11"/>
    <x v="50"/>
    <x v="33"/>
    <x v="5"/>
    <x v="35"/>
    <x v="9"/>
    <x v="6"/>
    <x v="40"/>
    <x v="44"/>
    <x v="0"/>
    <x v="0"/>
    <x v="2"/>
    <x v="3"/>
    <x v="6"/>
  </r>
  <r>
    <x v="8"/>
    <x v="8"/>
    <x v="8"/>
    <x v="1"/>
    <x v="7"/>
    <x v="5"/>
    <x v="5"/>
    <x v="5"/>
    <x v="5"/>
    <x v="0"/>
    <x v="52"/>
    <x v="53"/>
    <x v="50"/>
    <x v="51"/>
    <x v="24"/>
    <x v="51"/>
    <x v="35"/>
    <x v="2"/>
    <x v="9"/>
    <x v="11"/>
    <x v="2"/>
    <x v="41"/>
    <x v="45"/>
    <x v="0"/>
    <x v="0"/>
    <x v="4"/>
    <x v="2"/>
    <x v="7"/>
  </r>
  <r>
    <x v="8"/>
    <x v="0"/>
    <x v="10"/>
    <x v="1"/>
    <x v="0"/>
    <x v="7"/>
    <x v="7"/>
    <x v="6"/>
    <x v="6"/>
    <x v="0"/>
    <x v="53"/>
    <x v="54"/>
    <x v="51"/>
    <x v="52"/>
    <x v="17"/>
    <x v="52"/>
    <x v="36"/>
    <x v="2"/>
    <x v="31"/>
    <x v="5"/>
    <x v="2"/>
    <x v="42"/>
    <x v="46"/>
    <x v="0"/>
    <x v="0"/>
    <x v="10"/>
    <x v="12"/>
    <x v="0"/>
  </r>
  <r>
    <x v="8"/>
    <x v="10"/>
    <x v="11"/>
    <x v="0"/>
    <x v="8"/>
    <x v="8"/>
    <x v="8"/>
    <x v="7"/>
    <x v="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"/>
  </r>
  <r>
    <x v="8"/>
    <x v="12"/>
    <x v="13"/>
    <x v="1"/>
    <x v="5"/>
    <x v="10"/>
    <x v="10"/>
    <x v="9"/>
    <x v="9"/>
    <x v="0"/>
    <x v="54"/>
    <x v="56"/>
    <x v="52"/>
    <x v="53"/>
    <x v="25"/>
    <x v="53"/>
    <x v="13"/>
    <x v="2"/>
    <x v="19"/>
    <x v="3"/>
    <x v="3"/>
    <x v="26"/>
    <x v="47"/>
    <x v="0"/>
    <x v="0"/>
    <x v="5"/>
    <x v="2"/>
    <x v="5"/>
  </r>
  <r>
    <x v="8"/>
    <x v="13"/>
    <x v="14"/>
    <x v="0"/>
    <x v="10"/>
    <x v="11"/>
    <x v="11"/>
    <x v="10"/>
    <x v="10"/>
    <x v="0"/>
    <x v="55"/>
    <x v="57"/>
    <x v="53"/>
    <x v="54"/>
    <x v="9"/>
    <x v="54"/>
    <x v="37"/>
    <x v="1"/>
    <x v="18"/>
    <x v="4"/>
    <x v="2"/>
    <x v="43"/>
    <x v="12"/>
    <x v="0"/>
    <x v="0"/>
    <x v="5"/>
    <x v="13"/>
    <x v="10"/>
  </r>
  <r>
    <x v="8"/>
    <x v="14"/>
    <x v="15"/>
    <x v="0"/>
    <x v="9"/>
    <x v="12"/>
    <x v="12"/>
    <x v="11"/>
    <x v="11"/>
    <x v="0"/>
    <x v="56"/>
    <x v="58"/>
    <x v="54"/>
    <x v="55"/>
    <x v="5"/>
    <x v="55"/>
    <x v="38"/>
    <x v="3"/>
    <x v="36"/>
    <x v="4"/>
    <x v="2"/>
    <x v="21"/>
    <x v="48"/>
    <x v="0"/>
    <x v="0"/>
    <x v="10"/>
    <x v="11"/>
    <x v="9"/>
  </r>
  <r>
    <x v="8"/>
    <x v="15"/>
    <x v="16"/>
    <x v="0"/>
    <x v="1"/>
    <x v="13"/>
    <x v="13"/>
    <x v="12"/>
    <x v="12"/>
    <x v="0"/>
    <x v="57"/>
    <x v="59"/>
    <x v="55"/>
    <x v="56"/>
    <x v="13"/>
    <x v="56"/>
    <x v="39"/>
    <x v="6"/>
    <x v="37"/>
    <x v="5"/>
    <x v="8"/>
    <x v="44"/>
    <x v="49"/>
    <x v="0"/>
    <x v="0"/>
    <x v="9"/>
    <x v="16"/>
    <x v="1"/>
  </r>
  <r>
    <x v="9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</r>
  <r>
    <x v="9"/>
    <x v="6"/>
    <x v="6"/>
    <x v="0"/>
    <x v="6"/>
    <x v="3"/>
    <x v="3"/>
    <x v="3"/>
    <x v="3"/>
    <x v="0"/>
    <x v="58"/>
    <x v="60"/>
    <x v="56"/>
    <x v="57"/>
    <x v="6"/>
    <x v="57"/>
    <x v="19"/>
    <x v="2"/>
    <x v="38"/>
    <x v="1"/>
    <x v="0"/>
    <x v="45"/>
    <x v="20"/>
    <x v="0"/>
    <x v="0"/>
    <x v="2"/>
    <x v="5"/>
    <x v="6"/>
  </r>
  <r>
    <x v="9"/>
    <x v="8"/>
    <x v="8"/>
    <x v="1"/>
    <x v="7"/>
    <x v="5"/>
    <x v="5"/>
    <x v="5"/>
    <x v="5"/>
    <x v="0"/>
    <x v="59"/>
    <x v="61"/>
    <x v="57"/>
    <x v="58"/>
    <x v="26"/>
    <x v="58"/>
    <x v="40"/>
    <x v="2"/>
    <x v="39"/>
    <x v="11"/>
    <x v="2"/>
    <x v="46"/>
    <x v="50"/>
    <x v="0"/>
    <x v="0"/>
    <x v="10"/>
    <x v="2"/>
    <x v="7"/>
  </r>
  <r>
    <x v="9"/>
    <x v="0"/>
    <x v="10"/>
    <x v="1"/>
    <x v="0"/>
    <x v="7"/>
    <x v="7"/>
    <x v="6"/>
    <x v="6"/>
    <x v="0"/>
    <x v="60"/>
    <x v="62"/>
    <x v="58"/>
    <x v="59"/>
    <x v="27"/>
    <x v="59"/>
    <x v="13"/>
    <x v="2"/>
    <x v="8"/>
    <x v="3"/>
    <x v="2"/>
    <x v="47"/>
    <x v="51"/>
    <x v="0"/>
    <x v="0"/>
    <x v="4"/>
    <x v="6"/>
    <x v="0"/>
  </r>
  <r>
    <x v="9"/>
    <x v="12"/>
    <x v="13"/>
    <x v="1"/>
    <x v="5"/>
    <x v="10"/>
    <x v="10"/>
    <x v="9"/>
    <x v="9"/>
    <x v="0"/>
    <x v="30"/>
    <x v="63"/>
    <x v="29"/>
    <x v="30"/>
    <x v="16"/>
    <x v="29"/>
    <x v="15"/>
    <x v="2"/>
    <x v="14"/>
    <x v="3"/>
    <x v="3"/>
    <x v="15"/>
    <x v="15"/>
    <x v="0"/>
    <x v="0"/>
    <x v="5"/>
    <x v="2"/>
    <x v="5"/>
  </r>
  <r>
    <x v="9"/>
    <x v="13"/>
    <x v="14"/>
    <x v="0"/>
    <x v="10"/>
    <x v="11"/>
    <x v="11"/>
    <x v="10"/>
    <x v="10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10"/>
  </r>
  <r>
    <x v="9"/>
    <x v="14"/>
    <x v="15"/>
    <x v="0"/>
    <x v="9"/>
    <x v="12"/>
    <x v="12"/>
    <x v="11"/>
    <x v="11"/>
    <x v="0"/>
    <x v="61"/>
    <x v="64"/>
    <x v="59"/>
    <x v="60"/>
    <x v="5"/>
    <x v="60"/>
    <x v="36"/>
    <x v="7"/>
    <x v="20"/>
    <x v="0"/>
    <x v="2"/>
    <x v="48"/>
    <x v="52"/>
    <x v="0"/>
    <x v="0"/>
    <x v="5"/>
    <x v="2"/>
    <x v="9"/>
  </r>
  <r>
    <x v="9"/>
    <x v="15"/>
    <x v="16"/>
    <x v="0"/>
    <x v="1"/>
    <x v="13"/>
    <x v="13"/>
    <x v="12"/>
    <x v="12"/>
    <x v="0"/>
    <x v="62"/>
    <x v="65"/>
    <x v="60"/>
    <x v="61"/>
    <x v="28"/>
    <x v="61"/>
    <x v="37"/>
    <x v="0"/>
    <x v="40"/>
    <x v="14"/>
    <x v="7"/>
    <x v="49"/>
    <x v="53"/>
    <x v="0"/>
    <x v="0"/>
    <x v="9"/>
    <x v="17"/>
    <x v="1"/>
  </r>
  <r>
    <x v="9"/>
    <x v="16"/>
    <x v="17"/>
    <x v="0"/>
    <x v="3"/>
    <x v="14"/>
    <x v="14"/>
    <x v="13"/>
    <x v="13"/>
    <x v="0"/>
    <x v="63"/>
    <x v="66"/>
    <x v="61"/>
    <x v="62"/>
    <x v="27"/>
    <x v="62"/>
    <x v="41"/>
    <x v="2"/>
    <x v="8"/>
    <x v="11"/>
    <x v="3"/>
    <x v="50"/>
    <x v="54"/>
    <x v="0"/>
    <x v="0"/>
    <x v="5"/>
    <x v="2"/>
    <x v="3"/>
  </r>
  <r>
    <x v="9"/>
    <x v="17"/>
    <x v="18"/>
    <x v="1"/>
    <x v="10"/>
    <x v="15"/>
    <x v="15"/>
    <x v="14"/>
    <x v="14"/>
    <x v="0"/>
    <x v="64"/>
    <x v="67"/>
    <x v="62"/>
    <x v="63"/>
    <x v="29"/>
    <x v="63"/>
    <x v="7"/>
    <x v="2"/>
    <x v="7"/>
    <x v="5"/>
    <x v="3"/>
    <x v="51"/>
    <x v="55"/>
    <x v="0"/>
    <x v="0"/>
    <x v="5"/>
    <x v="2"/>
    <x v="10"/>
  </r>
  <r>
    <x v="9"/>
    <x v="18"/>
    <x v="19"/>
    <x v="0"/>
    <x v="11"/>
    <x v="16"/>
    <x v="16"/>
    <x v="15"/>
    <x v="15"/>
    <x v="0"/>
    <x v="65"/>
    <x v="68"/>
    <x v="63"/>
    <x v="64"/>
    <x v="6"/>
    <x v="64"/>
    <x v="9"/>
    <x v="8"/>
    <x v="20"/>
    <x v="4"/>
    <x v="4"/>
    <x v="52"/>
    <x v="56"/>
    <x v="2"/>
    <x v="2"/>
    <x v="14"/>
    <x v="18"/>
    <x v="11"/>
  </r>
  <r>
    <x v="9"/>
    <x v="19"/>
    <x v="20"/>
    <x v="0"/>
    <x v="12"/>
    <x v="17"/>
    <x v="17"/>
    <x v="16"/>
    <x v="16"/>
    <x v="0"/>
    <x v="66"/>
    <x v="69"/>
    <x v="64"/>
    <x v="65"/>
    <x v="30"/>
    <x v="65"/>
    <x v="42"/>
    <x v="2"/>
    <x v="41"/>
    <x v="4"/>
    <x v="0"/>
    <x v="53"/>
    <x v="57"/>
    <x v="0"/>
    <x v="0"/>
    <x v="5"/>
    <x v="2"/>
    <x v="12"/>
  </r>
  <r>
    <x v="10"/>
    <x v="6"/>
    <x v="6"/>
    <x v="0"/>
    <x v="6"/>
    <x v="3"/>
    <x v="3"/>
    <x v="3"/>
    <x v="3"/>
    <x v="0"/>
    <x v="67"/>
    <x v="70"/>
    <x v="65"/>
    <x v="66"/>
    <x v="13"/>
    <x v="66"/>
    <x v="23"/>
    <x v="2"/>
    <x v="42"/>
    <x v="5"/>
    <x v="3"/>
    <x v="8"/>
    <x v="10"/>
    <x v="0"/>
    <x v="0"/>
    <x v="5"/>
    <x v="5"/>
    <x v="6"/>
  </r>
  <r>
    <x v="10"/>
    <x v="8"/>
    <x v="8"/>
    <x v="1"/>
    <x v="7"/>
    <x v="5"/>
    <x v="5"/>
    <x v="5"/>
    <x v="5"/>
    <x v="0"/>
    <x v="68"/>
    <x v="71"/>
    <x v="66"/>
    <x v="67"/>
    <x v="31"/>
    <x v="67"/>
    <x v="43"/>
    <x v="2"/>
    <x v="13"/>
    <x v="3"/>
    <x v="4"/>
    <x v="4"/>
    <x v="58"/>
    <x v="0"/>
    <x v="0"/>
    <x v="2"/>
    <x v="5"/>
    <x v="7"/>
  </r>
  <r>
    <x v="10"/>
    <x v="0"/>
    <x v="10"/>
    <x v="1"/>
    <x v="0"/>
    <x v="7"/>
    <x v="7"/>
    <x v="6"/>
    <x v="6"/>
    <x v="0"/>
    <x v="69"/>
    <x v="72"/>
    <x v="67"/>
    <x v="68"/>
    <x v="26"/>
    <x v="68"/>
    <x v="36"/>
    <x v="0"/>
    <x v="33"/>
    <x v="5"/>
    <x v="3"/>
    <x v="52"/>
    <x v="59"/>
    <x v="0"/>
    <x v="0"/>
    <x v="5"/>
    <x v="6"/>
    <x v="0"/>
  </r>
  <r>
    <x v="10"/>
    <x v="14"/>
    <x v="15"/>
    <x v="0"/>
    <x v="9"/>
    <x v="12"/>
    <x v="12"/>
    <x v="11"/>
    <x v="11"/>
    <x v="0"/>
    <x v="70"/>
    <x v="73"/>
    <x v="68"/>
    <x v="69"/>
    <x v="32"/>
    <x v="69"/>
    <x v="44"/>
    <x v="6"/>
    <x v="16"/>
    <x v="14"/>
    <x v="1"/>
    <x v="54"/>
    <x v="60"/>
    <x v="0"/>
    <x v="0"/>
    <x v="11"/>
    <x v="5"/>
    <x v="9"/>
  </r>
  <r>
    <x v="10"/>
    <x v="15"/>
    <x v="16"/>
    <x v="0"/>
    <x v="1"/>
    <x v="13"/>
    <x v="13"/>
    <x v="12"/>
    <x v="12"/>
    <x v="0"/>
    <x v="71"/>
    <x v="74"/>
    <x v="69"/>
    <x v="70"/>
    <x v="0"/>
    <x v="9"/>
    <x v="45"/>
    <x v="8"/>
    <x v="43"/>
    <x v="15"/>
    <x v="9"/>
    <x v="55"/>
    <x v="61"/>
    <x v="0"/>
    <x v="0"/>
    <x v="15"/>
    <x v="19"/>
    <x v="1"/>
  </r>
  <r>
    <x v="10"/>
    <x v="16"/>
    <x v="17"/>
    <x v="0"/>
    <x v="3"/>
    <x v="14"/>
    <x v="14"/>
    <x v="13"/>
    <x v="13"/>
    <x v="0"/>
    <x v="72"/>
    <x v="75"/>
    <x v="70"/>
    <x v="36"/>
    <x v="33"/>
    <x v="70"/>
    <x v="15"/>
    <x v="2"/>
    <x v="24"/>
    <x v="3"/>
    <x v="3"/>
    <x v="20"/>
    <x v="62"/>
    <x v="0"/>
    <x v="0"/>
    <x v="5"/>
    <x v="2"/>
    <x v="3"/>
  </r>
  <r>
    <x v="10"/>
    <x v="17"/>
    <x v="18"/>
    <x v="1"/>
    <x v="10"/>
    <x v="15"/>
    <x v="15"/>
    <x v="14"/>
    <x v="14"/>
    <x v="0"/>
    <x v="73"/>
    <x v="76"/>
    <x v="71"/>
    <x v="71"/>
    <x v="34"/>
    <x v="71"/>
    <x v="7"/>
    <x v="2"/>
    <x v="8"/>
    <x v="5"/>
    <x v="3"/>
    <x v="56"/>
    <x v="63"/>
    <x v="0"/>
    <x v="0"/>
    <x v="5"/>
    <x v="2"/>
    <x v="10"/>
  </r>
  <r>
    <x v="10"/>
    <x v="18"/>
    <x v="19"/>
    <x v="0"/>
    <x v="11"/>
    <x v="16"/>
    <x v="16"/>
    <x v="15"/>
    <x v="15"/>
    <x v="0"/>
    <x v="74"/>
    <x v="77"/>
    <x v="72"/>
    <x v="17"/>
    <x v="13"/>
    <x v="72"/>
    <x v="15"/>
    <x v="2"/>
    <x v="14"/>
    <x v="3"/>
    <x v="3"/>
    <x v="15"/>
    <x v="15"/>
    <x v="0"/>
    <x v="0"/>
    <x v="5"/>
    <x v="2"/>
    <x v="11"/>
  </r>
  <r>
    <x v="10"/>
    <x v="19"/>
    <x v="20"/>
    <x v="0"/>
    <x v="12"/>
    <x v="17"/>
    <x v="17"/>
    <x v="16"/>
    <x v="16"/>
    <x v="0"/>
    <x v="75"/>
    <x v="78"/>
    <x v="73"/>
    <x v="72"/>
    <x v="35"/>
    <x v="73"/>
    <x v="15"/>
    <x v="2"/>
    <x v="14"/>
    <x v="3"/>
    <x v="3"/>
    <x v="15"/>
    <x v="15"/>
    <x v="0"/>
    <x v="0"/>
    <x v="5"/>
    <x v="2"/>
    <x v="12"/>
  </r>
  <r>
    <x v="10"/>
    <x v="20"/>
    <x v="21"/>
    <x v="0"/>
    <x v="13"/>
    <x v="18"/>
    <x v="18"/>
    <x v="17"/>
    <x v="17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13"/>
  </r>
  <r>
    <x v="10"/>
    <x v="21"/>
    <x v="22"/>
    <x v="0"/>
    <x v="14"/>
    <x v="19"/>
    <x v="19"/>
    <x v="18"/>
    <x v="18"/>
    <x v="0"/>
    <x v="76"/>
    <x v="80"/>
    <x v="74"/>
    <x v="73"/>
    <x v="2"/>
    <x v="74"/>
    <x v="46"/>
    <x v="0"/>
    <x v="23"/>
    <x v="12"/>
    <x v="4"/>
    <x v="57"/>
    <x v="64"/>
    <x v="0"/>
    <x v="0"/>
    <x v="5"/>
    <x v="2"/>
    <x v="14"/>
  </r>
  <r>
    <x v="10"/>
    <x v="22"/>
    <x v="23"/>
    <x v="0"/>
    <x v="13"/>
    <x v="19"/>
    <x v="19"/>
    <x v="18"/>
    <x v="18"/>
    <x v="0"/>
    <x v="77"/>
    <x v="81"/>
    <x v="75"/>
    <x v="74"/>
    <x v="5"/>
    <x v="56"/>
    <x v="41"/>
    <x v="1"/>
    <x v="19"/>
    <x v="0"/>
    <x v="2"/>
    <x v="22"/>
    <x v="65"/>
    <x v="0"/>
    <x v="0"/>
    <x v="2"/>
    <x v="12"/>
    <x v="13"/>
  </r>
  <r>
    <x v="10"/>
    <x v="23"/>
    <x v="24"/>
    <x v="0"/>
    <x v="6"/>
    <x v="19"/>
    <x v="19"/>
    <x v="18"/>
    <x v="18"/>
    <x v="0"/>
    <x v="78"/>
    <x v="82"/>
    <x v="76"/>
    <x v="75"/>
    <x v="5"/>
    <x v="75"/>
    <x v="47"/>
    <x v="9"/>
    <x v="44"/>
    <x v="16"/>
    <x v="10"/>
    <x v="58"/>
    <x v="66"/>
    <x v="0"/>
    <x v="0"/>
    <x v="14"/>
    <x v="8"/>
    <x v="6"/>
  </r>
  <r>
    <x v="10"/>
    <x v="24"/>
    <x v="25"/>
    <x v="0"/>
    <x v="15"/>
    <x v="20"/>
    <x v="20"/>
    <x v="19"/>
    <x v="19"/>
    <x v="0"/>
    <x v="79"/>
    <x v="83"/>
    <x v="77"/>
    <x v="76"/>
    <x v="21"/>
    <x v="76"/>
    <x v="9"/>
    <x v="2"/>
    <x v="32"/>
    <x v="4"/>
    <x v="0"/>
    <x v="35"/>
    <x v="67"/>
    <x v="0"/>
    <x v="0"/>
    <x v="7"/>
    <x v="11"/>
    <x v="15"/>
  </r>
  <r>
    <x v="10"/>
    <x v="25"/>
    <x v="26"/>
    <x v="0"/>
    <x v="16"/>
    <x v="20"/>
    <x v="20"/>
    <x v="19"/>
    <x v="19"/>
    <x v="0"/>
    <x v="80"/>
    <x v="84"/>
    <x v="78"/>
    <x v="77"/>
    <x v="12"/>
    <x v="77"/>
    <x v="46"/>
    <x v="2"/>
    <x v="45"/>
    <x v="3"/>
    <x v="3"/>
    <x v="7"/>
    <x v="68"/>
    <x v="0"/>
    <x v="0"/>
    <x v="5"/>
    <x v="5"/>
    <x v="16"/>
  </r>
  <r>
    <x v="10"/>
    <x v="3"/>
    <x v="27"/>
    <x v="0"/>
    <x v="3"/>
    <x v="20"/>
    <x v="20"/>
    <x v="19"/>
    <x v="19"/>
    <x v="0"/>
    <x v="81"/>
    <x v="85"/>
    <x v="79"/>
    <x v="78"/>
    <x v="36"/>
    <x v="78"/>
    <x v="22"/>
    <x v="2"/>
    <x v="22"/>
    <x v="3"/>
    <x v="3"/>
    <x v="50"/>
    <x v="69"/>
    <x v="0"/>
    <x v="0"/>
    <x v="5"/>
    <x v="2"/>
    <x v="3"/>
  </r>
  <r>
    <x v="10"/>
    <x v="26"/>
    <x v="28"/>
    <x v="1"/>
    <x v="17"/>
    <x v="7"/>
    <x v="7"/>
    <x v="6"/>
    <x v="6"/>
    <x v="0"/>
    <x v="82"/>
    <x v="86"/>
    <x v="80"/>
    <x v="79"/>
    <x v="22"/>
    <x v="79"/>
    <x v="48"/>
    <x v="2"/>
    <x v="33"/>
    <x v="5"/>
    <x v="3"/>
    <x v="52"/>
    <x v="70"/>
    <x v="0"/>
    <x v="0"/>
    <x v="4"/>
    <x v="2"/>
    <x v="17"/>
  </r>
  <r>
    <x v="10"/>
    <x v="27"/>
    <x v="29"/>
    <x v="0"/>
    <x v="11"/>
    <x v="21"/>
    <x v="21"/>
    <x v="20"/>
    <x v="20"/>
    <x v="0"/>
    <x v="83"/>
    <x v="87"/>
    <x v="81"/>
    <x v="80"/>
    <x v="11"/>
    <x v="80"/>
    <x v="49"/>
    <x v="10"/>
    <x v="10"/>
    <x v="17"/>
    <x v="0"/>
    <x v="59"/>
    <x v="71"/>
    <x v="0"/>
    <x v="0"/>
    <x v="10"/>
    <x v="16"/>
    <x v="11"/>
  </r>
  <r>
    <x v="11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11"/>
    <x v="0"/>
    <x v="10"/>
    <x v="1"/>
    <x v="0"/>
    <x v="7"/>
    <x v="7"/>
    <x v="6"/>
    <x v="6"/>
    <x v="0"/>
    <x v="84"/>
    <x v="88"/>
    <x v="82"/>
    <x v="81"/>
    <x v="15"/>
    <x v="81"/>
    <x v="50"/>
    <x v="2"/>
    <x v="39"/>
    <x v="4"/>
    <x v="1"/>
    <x v="60"/>
    <x v="72"/>
    <x v="0"/>
    <x v="0"/>
    <x v="9"/>
    <x v="3"/>
    <x v="0"/>
  </r>
  <r>
    <x v="11"/>
    <x v="14"/>
    <x v="15"/>
    <x v="0"/>
    <x v="9"/>
    <x v="12"/>
    <x v="12"/>
    <x v="11"/>
    <x v="11"/>
    <x v="0"/>
    <x v="85"/>
    <x v="89"/>
    <x v="83"/>
    <x v="82"/>
    <x v="12"/>
    <x v="82"/>
    <x v="51"/>
    <x v="11"/>
    <x v="46"/>
    <x v="18"/>
    <x v="4"/>
    <x v="61"/>
    <x v="40"/>
    <x v="0"/>
    <x v="0"/>
    <x v="11"/>
    <x v="6"/>
    <x v="9"/>
  </r>
  <r>
    <x v="11"/>
    <x v="15"/>
    <x v="16"/>
    <x v="0"/>
    <x v="1"/>
    <x v="13"/>
    <x v="13"/>
    <x v="12"/>
    <x v="12"/>
    <x v="0"/>
    <x v="86"/>
    <x v="90"/>
    <x v="84"/>
    <x v="83"/>
    <x v="37"/>
    <x v="83"/>
    <x v="52"/>
    <x v="12"/>
    <x v="47"/>
    <x v="19"/>
    <x v="11"/>
    <x v="62"/>
    <x v="73"/>
    <x v="0"/>
    <x v="0"/>
    <x v="16"/>
    <x v="20"/>
    <x v="1"/>
  </r>
  <r>
    <x v="11"/>
    <x v="17"/>
    <x v="18"/>
    <x v="1"/>
    <x v="10"/>
    <x v="15"/>
    <x v="15"/>
    <x v="14"/>
    <x v="14"/>
    <x v="0"/>
    <x v="87"/>
    <x v="91"/>
    <x v="85"/>
    <x v="84"/>
    <x v="38"/>
    <x v="84"/>
    <x v="18"/>
    <x v="2"/>
    <x v="14"/>
    <x v="3"/>
    <x v="3"/>
    <x v="20"/>
    <x v="74"/>
    <x v="0"/>
    <x v="0"/>
    <x v="5"/>
    <x v="2"/>
    <x v="10"/>
  </r>
  <r>
    <x v="11"/>
    <x v="21"/>
    <x v="22"/>
    <x v="0"/>
    <x v="14"/>
    <x v="19"/>
    <x v="19"/>
    <x v="18"/>
    <x v="18"/>
    <x v="0"/>
    <x v="88"/>
    <x v="92"/>
    <x v="86"/>
    <x v="79"/>
    <x v="12"/>
    <x v="85"/>
    <x v="53"/>
    <x v="3"/>
    <x v="48"/>
    <x v="20"/>
    <x v="12"/>
    <x v="63"/>
    <x v="75"/>
    <x v="0"/>
    <x v="0"/>
    <x v="12"/>
    <x v="2"/>
    <x v="14"/>
  </r>
  <r>
    <x v="11"/>
    <x v="22"/>
    <x v="23"/>
    <x v="0"/>
    <x v="13"/>
    <x v="19"/>
    <x v="19"/>
    <x v="18"/>
    <x v="18"/>
    <x v="0"/>
    <x v="89"/>
    <x v="93"/>
    <x v="72"/>
    <x v="85"/>
    <x v="39"/>
    <x v="86"/>
    <x v="15"/>
    <x v="2"/>
    <x v="14"/>
    <x v="3"/>
    <x v="3"/>
    <x v="15"/>
    <x v="15"/>
    <x v="0"/>
    <x v="0"/>
    <x v="5"/>
    <x v="2"/>
    <x v="13"/>
  </r>
  <r>
    <x v="11"/>
    <x v="23"/>
    <x v="24"/>
    <x v="0"/>
    <x v="6"/>
    <x v="19"/>
    <x v="19"/>
    <x v="18"/>
    <x v="18"/>
    <x v="0"/>
    <x v="90"/>
    <x v="94"/>
    <x v="87"/>
    <x v="86"/>
    <x v="6"/>
    <x v="87"/>
    <x v="18"/>
    <x v="2"/>
    <x v="14"/>
    <x v="3"/>
    <x v="3"/>
    <x v="20"/>
    <x v="38"/>
    <x v="0"/>
    <x v="0"/>
    <x v="5"/>
    <x v="2"/>
    <x v="6"/>
  </r>
  <r>
    <x v="11"/>
    <x v="24"/>
    <x v="25"/>
    <x v="0"/>
    <x v="15"/>
    <x v="20"/>
    <x v="20"/>
    <x v="19"/>
    <x v="19"/>
    <x v="0"/>
    <x v="91"/>
    <x v="95"/>
    <x v="88"/>
    <x v="87"/>
    <x v="36"/>
    <x v="88"/>
    <x v="54"/>
    <x v="2"/>
    <x v="28"/>
    <x v="12"/>
    <x v="4"/>
    <x v="64"/>
    <x v="76"/>
    <x v="0"/>
    <x v="0"/>
    <x v="2"/>
    <x v="12"/>
    <x v="15"/>
  </r>
  <r>
    <x v="11"/>
    <x v="25"/>
    <x v="26"/>
    <x v="0"/>
    <x v="16"/>
    <x v="20"/>
    <x v="20"/>
    <x v="19"/>
    <x v="19"/>
    <x v="0"/>
    <x v="92"/>
    <x v="96"/>
    <x v="70"/>
    <x v="88"/>
    <x v="12"/>
    <x v="73"/>
    <x v="15"/>
    <x v="2"/>
    <x v="14"/>
    <x v="3"/>
    <x v="3"/>
    <x v="15"/>
    <x v="15"/>
    <x v="0"/>
    <x v="0"/>
    <x v="5"/>
    <x v="2"/>
    <x v="16"/>
  </r>
  <r>
    <x v="11"/>
    <x v="3"/>
    <x v="27"/>
    <x v="0"/>
    <x v="3"/>
    <x v="20"/>
    <x v="20"/>
    <x v="19"/>
    <x v="19"/>
    <x v="0"/>
    <x v="93"/>
    <x v="97"/>
    <x v="72"/>
    <x v="89"/>
    <x v="12"/>
    <x v="89"/>
    <x v="15"/>
    <x v="2"/>
    <x v="24"/>
    <x v="3"/>
    <x v="3"/>
    <x v="20"/>
    <x v="77"/>
    <x v="0"/>
    <x v="0"/>
    <x v="5"/>
    <x v="2"/>
    <x v="3"/>
  </r>
  <r>
    <x v="11"/>
    <x v="27"/>
    <x v="29"/>
    <x v="0"/>
    <x v="11"/>
    <x v="21"/>
    <x v="21"/>
    <x v="20"/>
    <x v="20"/>
    <x v="0"/>
    <x v="94"/>
    <x v="98"/>
    <x v="89"/>
    <x v="90"/>
    <x v="11"/>
    <x v="90"/>
    <x v="55"/>
    <x v="13"/>
    <x v="49"/>
    <x v="8"/>
    <x v="13"/>
    <x v="65"/>
    <x v="78"/>
    <x v="0"/>
    <x v="0"/>
    <x v="14"/>
    <x v="21"/>
    <x v="11"/>
  </r>
  <r>
    <x v="11"/>
    <x v="26"/>
    <x v="30"/>
    <x v="1"/>
    <x v="17"/>
    <x v="22"/>
    <x v="22"/>
    <x v="21"/>
    <x v="21"/>
    <x v="0"/>
    <x v="95"/>
    <x v="99"/>
    <x v="90"/>
    <x v="91"/>
    <x v="40"/>
    <x v="91"/>
    <x v="48"/>
    <x v="2"/>
    <x v="39"/>
    <x v="5"/>
    <x v="2"/>
    <x v="66"/>
    <x v="79"/>
    <x v="0"/>
    <x v="0"/>
    <x v="1"/>
    <x v="2"/>
    <x v="17"/>
  </r>
  <r>
    <x v="12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2"/>
    <x v="20"/>
    <x v="15"/>
    <x v="0"/>
    <x v="0"/>
    <x v="5"/>
    <x v="2"/>
    <x v="5"/>
  </r>
  <r>
    <x v="12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12"/>
    <x v="0"/>
    <x v="10"/>
    <x v="1"/>
    <x v="0"/>
    <x v="7"/>
    <x v="7"/>
    <x v="6"/>
    <x v="6"/>
    <x v="0"/>
    <x v="96"/>
    <x v="100"/>
    <x v="91"/>
    <x v="92"/>
    <x v="20"/>
    <x v="92"/>
    <x v="19"/>
    <x v="2"/>
    <x v="17"/>
    <x v="11"/>
    <x v="3"/>
    <x v="67"/>
    <x v="80"/>
    <x v="0"/>
    <x v="0"/>
    <x v="1"/>
    <x v="13"/>
    <x v="0"/>
  </r>
  <r>
    <x v="12"/>
    <x v="14"/>
    <x v="15"/>
    <x v="0"/>
    <x v="9"/>
    <x v="12"/>
    <x v="12"/>
    <x v="11"/>
    <x v="11"/>
    <x v="0"/>
    <x v="97"/>
    <x v="101"/>
    <x v="92"/>
    <x v="93"/>
    <x v="41"/>
    <x v="93"/>
    <x v="41"/>
    <x v="2"/>
    <x v="50"/>
    <x v="5"/>
    <x v="2"/>
    <x v="68"/>
    <x v="81"/>
    <x v="0"/>
    <x v="0"/>
    <x v="5"/>
    <x v="2"/>
    <x v="9"/>
  </r>
  <r>
    <x v="12"/>
    <x v="15"/>
    <x v="16"/>
    <x v="0"/>
    <x v="1"/>
    <x v="13"/>
    <x v="13"/>
    <x v="12"/>
    <x v="12"/>
    <x v="0"/>
    <x v="98"/>
    <x v="102"/>
    <x v="93"/>
    <x v="94"/>
    <x v="42"/>
    <x v="94"/>
    <x v="56"/>
    <x v="2"/>
    <x v="1"/>
    <x v="0"/>
    <x v="2"/>
    <x v="69"/>
    <x v="82"/>
    <x v="0"/>
    <x v="0"/>
    <x v="2"/>
    <x v="5"/>
    <x v="1"/>
  </r>
  <r>
    <x v="12"/>
    <x v="17"/>
    <x v="18"/>
    <x v="1"/>
    <x v="10"/>
    <x v="15"/>
    <x v="15"/>
    <x v="14"/>
    <x v="14"/>
    <x v="0"/>
    <x v="99"/>
    <x v="103"/>
    <x v="94"/>
    <x v="95"/>
    <x v="19"/>
    <x v="95"/>
    <x v="26"/>
    <x v="2"/>
    <x v="14"/>
    <x v="3"/>
    <x v="3"/>
    <x v="70"/>
    <x v="83"/>
    <x v="0"/>
    <x v="0"/>
    <x v="5"/>
    <x v="2"/>
    <x v="10"/>
  </r>
  <r>
    <x v="12"/>
    <x v="21"/>
    <x v="22"/>
    <x v="0"/>
    <x v="14"/>
    <x v="19"/>
    <x v="19"/>
    <x v="18"/>
    <x v="18"/>
    <x v="0"/>
    <x v="100"/>
    <x v="104"/>
    <x v="95"/>
    <x v="96"/>
    <x v="36"/>
    <x v="96"/>
    <x v="57"/>
    <x v="8"/>
    <x v="51"/>
    <x v="21"/>
    <x v="14"/>
    <x v="71"/>
    <x v="84"/>
    <x v="0"/>
    <x v="0"/>
    <x v="7"/>
    <x v="2"/>
    <x v="14"/>
  </r>
  <r>
    <x v="12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12"/>
    <x v="24"/>
    <x v="25"/>
    <x v="0"/>
    <x v="15"/>
    <x v="20"/>
    <x v="20"/>
    <x v="19"/>
    <x v="19"/>
    <x v="0"/>
    <x v="101"/>
    <x v="105"/>
    <x v="96"/>
    <x v="97"/>
    <x v="43"/>
    <x v="97"/>
    <x v="58"/>
    <x v="0"/>
    <x v="52"/>
    <x v="22"/>
    <x v="12"/>
    <x v="72"/>
    <x v="85"/>
    <x v="0"/>
    <x v="0"/>
    <x v="8"/>
    <x v="3"/>
    <x v="15"/>
  </r>
  <r>
    <x v="12"/>
    <x v="27"/>
    <x v="29"/>
    <x v="0"/>
    <x v="11"/>
    <x v="21"/>
    <x v="21"/>
    <x v="20"/>
    <x v="20"/>
    <x v="0"/>
    <x v="102"/>
    <x v="106"/>
    <x v="97"/>
    <x v="98"/>
    <x v="39"/>
    <x v="98"/>
    <x v="59"/>
    <x v="14"/>
    <x v="53"/>
    <x v="23"/>
    <x v="14"/>
    <x v="73"/>
    <x v="86"/>
    <x v="3"/>
    <x v="3"/>
    <x v="17"/>
    <x v="22"/>
    <x v="11"/>
  </r>
  <r>
    <x v="12"/>
    <x v="26"/>
    <x v="30"/>
    <x v="1"/>
    <x v="17"/>
    <x v="22"/>
    <x v="22"/>
    <x v="21"/>
    <x v="21"/>
    <x v="0"/>
    <x v="103"/>
    <x v="107"/>
    <x v="98"/>
    <x v="99"/>
    <x v="40"/>
    <x v="99"/>
    <x v="60"/>
    <x v="2"/>
    <x v="11"/>
    <x v="12"/>
    <x v="1"/>
    <x v="74"/>
    <x v="87"/>
    <x v="0"/>
    <x v="0"/>
    <x v="2"/>
    <x v="3"/>
    <x v="17"/>
  </r>
  <r>
    <x v="12"/>
    <x v="28"/>
    <x v="31"/>
    <x v="1"/>
    <x v="9"/>
    <x v="15"/>
    <x v="15"/>
    <x v="14"/>
    <x v="14"/>
    <x v="0"/>
    <x v="104"/>
    <x v="108"/>
    <x v="99"/>
    <x v="100"/>
    <x v="44"/>
    <x v="100"/>
    <x v="23"/>
    <x v="2"/>
    <x v="14"/>
    <x v="5"/>
    <x v="3"/>
    <x v="75"/>
    <x v="88"/>
    <x v="0"/>
    <x v="0"/>
    <x v="2"/>
    <x v="2"/>
    <x v="9"/>
  </r>
  <r>
    <x v="12"/>
    <x v="29"/>
    <x v="32"/>
    <x v="1"/>
    <x v="11"/>
    <x v="15"/>
    <x v="15"/>
    <x v="14"/>
    <x v="14"/>
    <x v="0"/>
    <x v="105"/>
    <x v="109"/>
    <x v="100"/>
    <x v="101"/>
    <x v="18"/>
    <x v="101"/>
    <x v="26"/>
    <x v="2"/>
    <x v="14"/>
    <x v="3"/>
    <x v="3"/>
    <x v="70"/>
    <x v="89"/>
    <x v="0"/>
    <x v="0"/>
    <x v="5"/>
    <x v="2"/>
    <x v="11"/>
  </r>
  <r>
    <x v="12"/>
    <x v="26"/>
    <x v="33"/>
    <x v="0"/>
    <x v="17"/>
    <x v="23"/>
    <x v="23"/>
    <x v="22"/>
    <x v="22"/>
    <x v="0"/>
    <x v="106"/>
    <x v="110"/>
    <x v="101"/>
    <x v="102"/>
    <x v="42"/>
    <x v="102"/>
    <x v="61"/>
    <x v="15"/>
    <x v="54"/>
    <x v="15"/>
    <x v="15"/>
    <x v="76"/>
    <x v="13"/>
    <x v="0"/>
    <x v="0"/>
    <x v="18"/>
    <x v="9"/>
    <x v="17"/>
  </r>
  <r>
    <x v="12"/>
    <x v="30"/>
    <x v="34"/>
    <x v="0"/>
    <x v="18"/>
    <x v="24"/>
    <x v="24"/>
    <x v="23"/>
    <x v="23"/>
    <x v="0"/>
    <x v="107"/>
    <x v="111"/>
    <x v="102"/>
    <x v="103"/>
    <x v="13"/>
    <x v="103"/>
    <x v="62"/>
    <x v="1"/>
    <x v="22"/>
    <x v="13"/>
    <x v="2"/>
    <x v="77"/>
    <x v="90"/>
    <x v="0"/>
    <x v="0"/>
    <x v="5"/>
    <x v="13"/>
    <x v="18"/>
  </r>
  <r>
    <x v="12"/>
    <x v="31"/>
    <x v="35"/>
    <x v="0"/>
    <x v="19"/>
    <x v="25"/>
    <x v="25"/>
    <x v="24"/>
    <x v="24"/>
    <x v="0"/>
    <x v="108"/>
    <x v="112"/>
    <x v="103"/>
    <x v="104"/>
    <x v="9"/>
    <x v="104"/>
    <x v="63"/>
    <x v="0"/>
    <x v="14"/>
    <x v="11"/>
    <x v="3"/>
    <x v="78"/>
    <x v="91"/>
    <x v="0"/>
    <x v="0"/>
    <x v="5"/>
    <x v="5"/>
    <x v="19"/>
  </r>
  <r>
    <x v="12"/>
    <x v="32"/>
    <x v="36"/>
    <x v="0"/>
    <x v="20"/>
    <x v="25"/>
    <x v="25"/>
    <x v="24"/>
    <x v="24"/>
    <x v="0"/>
    <x v="109"/>
    <x v="113"/>
    <x v="104"/>
    <x v="105"/>
    <x v="5"/>
    <x v="105"/>
    <x v="64"/>
    <x v="0"/>
    <x v="50"/>
    <x v="5"/>
    <x v="2"/>
    <x v="51"/>
    <x v="92"/>
    <x v="0"/>
    <x v="0"/>
    <x v="5"/>
    <x v="12"/>
    <x v="20"/>
  </r>
  <r>
    <x v="12"/>
    <x v="29"/>
    <x v="37"/>
    <x v="0"/>
    <x v="13"/>
    <x v="26"/>
    <x v="26"/>
    <x v="25"/>
    <x v="25"/>
    <x v="0"/>
    <x v="110"/>
    <x v="114"/>
    <x v="105"/>
    <x v="106"/>
    <x v="13"/>
    <x v="106"/>
    <x v="65"/>
    <x v="6"/>
    <x v="7"/>
    <x v="4"/>
    <x v="1"/>
    <x v="4"/>
    <x v="93"/>
    <x v="0"/>
    <x v="0"/>
    <x v="1"/>
    <x v="9"/>
    <x v="13"/>
  </r>
  <r>
    <x v="13"/>
    <x v="0"/>
    <x v="10"/>
    <x v="1"/>
    <x v="0"/>
    <x v="7"/>
    <x v="7"/>
    <x v="6"/>
    <x v="6"/>
    <x v="0"/>
    <x v="111"/>
    <x v="115"/>
    <x v="106"/>
    <x v="107"/>
    <x v="24"/>
    <x v="107"/>
    <x v="66"/>
    <x v="1"/>
    <x v="55"/>
    <x v="11"/>
    <x v="3"/>
    <x v="79"/>
    <x v="94"/>
    <x v="0"/>
    <x v="0"/>
    <x v="7"/>
    <x v="23"/>
    <x v="0"/>
  </r>
  <r>
    <x v="13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</r>
  <r>
    <x v="13"/>
    <x v="21"/>
    <x v="22"/>
    <x v="0"/>
    <x v="14"/>
    <x v="19"/>
    <x v="19"/>
    <x v="18"/>
    <x v="18"/>
    <x v="0"/>
    <x v="112"/>
    <x v="116"/>
    <x v="107"/>
    <x v="108"/>
    <x v="36"/>
    <x v="108"/>
    <x v="67"/>
    <x v="16"/>
    <x v="56"/>
    <x v="24"/>
    <x v="16"/>
    <x v="80"/>
    <x v="95"/>
    <x v="2"/>
    <x v="3"/>
    <x v="18"/>
    <x v="2"/>
    <x v="14"/>
  </r>
  <r>
    <x v="13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13"/>
    <x v="24"/>
    <x v="25"/>
    <x v="0"/>
    <x v="15"/>
    <x v="20"/>
    <x v="20"/>
    <x v="19"/>
    <x v="19"/>
    <x v="0"/>
    <x v="113"/>
    <x v="117"/>
    <x v="94"/>
    <x v="109"/>
    <x v="27"/>
    <x v="109"/>
    <x v="15"/>
    <x v="2"/>
    <x v="24"/>
    <x v="3"/>
    <x v="3"/>
    <x v="20"/>
    <x v="96"/>
    <x v="0"/>
    <x v="0"/>
    <x v="5"/>
    <x v="2"/>
    <x v="15"/>
  </r>
  <r>
    <x v="13"/>
    <x v="27"/>
    <x v="29"/>
    <x v="0"/>
    <x v="11"/>
    <x v="21"/>
    <x v="21"/>
    <x v="20"/>
    <x v="20"/>
    <x v="0"/>
    <x v="114"/>
    <x v="118"/>
    <x v="108"/>
    <x v="110"/>
    <x v="11"/>
    <x v="106"/>
    <x v="68"/>
    <x v="17"/>
    <x v="57"/>
    <x v="25"/>
    <x v="17"/>
    <x v="81"/>
    <x v="97"/>
    <x v="4"/>
    <x v="3"/>
    <x v="19"/>
    <x v="24"/>
    <x v="11"/>
  </r>
  <r>
    <x v="13"/>
    <x v="26"/>
    <x v="30"/>
    <x v="1"/>
    <x v="17"/>
    <x v="22"/>
    <x v="22"/>
    <x v="21"/>
    <x v="21"/>
    <x v="0"/>
    <x v="115"/>
    <x v="119"/>
    <x v="109"/>
    <x v="111"/>
    <x v="45"/>
    <x v="110"/>
    <x v="12"/>
    <x v="0"/>
    <x v="58"/>
    <x v="12"/>
    <x v="4"/>
    <x v="82"/>
    <x v="98"/>
    <x v="0"/>
    <x v="0"/>
    <x v="1"/>
    <x v="5"/>
    <x v="17"/>
  </r>
  <r>
    <x v="13"/>
    <x v="28"/>
    <x v="31"/>
    <x v="1"/>
    <x v="9"/>
    <x v="15"/>
    <x v="15"/>
    <x v="14"/>
    <x v="14"/>
    <x v="0"/>
    <x v="116"/>
    <x v="120"/>
    <x v="110"/>
    <x v="112"/>
    <x v="46"/>
    <x v="111"/>
    <x v="18"/>
    <x v="2"/>
    <x v="24"/>
    <x v="5"/>
    <x v="2"/>
    <x v="83"/>
    <x v="99"/>
    <x v="0"/>
    <x v="0"/>
    <x v="2"/>
    <x v="2"/>
    <x v="9"/>
  </r>
  <r>
    <x v="13"/>
    <x v="29"/>
    <x v="32"/>
    <x v="1"/>
    <x v="11"/>
    <x v="15"/>
    <x v="15"/>
    <x v="14"/>
    <x v="14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11"/>
  </r>
  <r>
    <x v="13"/>
    <x v="26"/>
    <x v="33"/>
    <x v="0"/>
    <x v="17"/>
    <x v="23"/>
    <x v="23"/>
    <x v="22"/>
    <x v="22"/>
    <x v="0"/>
    <x v="117"/>
    <x v="121"/>
    <x v="111"/>
    <x v="113"/>
    <x v="8"/>
    <x v="112"/>
    <x v="69"/>
    <x v="6"/>
    <x v="59"/>
    <x v="26"/>
    <x v="13"/>
    <x v="84"/>
    <x v="100"/>
    <x v="0"/>
    <x v="0"/>
    <x v="10"/>
    <x v="11"/>
    <x v="17"/>
  </r>
  <r>
    <x v="13"/>
    <x v="30"/>
    <x v="34"/>
    <x v="0"/>
    <x v="18"/>
    <x v="24"/>
    <x v="24"/>
    <x v="23"/>
    <x v="23"/>
    <x v="0"/>
    <x v="118"/>
    <x v="122"/>
    <x v="112"/>
    <x v="114"/>
    <x v="6"/>
    <x v="113"/>
    <x v="46"/>
    <x v="2"/>
    <x v="8"/>
    <x v="8"/>
    <x v="2"/>
    <x v="85"/>
    <x v="13"/>
    <x v="0"/>
    <x v="0"/>
    <x v="2"/>
    <x v="25"/>
    <x v="18"/>
  </r>
  <r>
    <x v="13"/>
    <x v="31"/>
    <x v="35"/>
    <x v="0"/>
    <x v="19"/>
    <x v="25"/>
    <x v="25"/>
    <x v="24"/>
    <x v="24"/>
    <x v="0"/>
    <x v="119"/>
    <x v="123"/>
    <x v="113"/>
    <x v="115"/>
    <x v="13"/>
    <x v="114"/>
    <x v="15"/>
    <x v="2"/>
    <x v="14"/>
    <x v="3"/>
    <x v="3"/>
    <x v="15"/>
    <x v="15"/>
    <x v="0"/>
    <x v="0"/>
    <x v="5"/>
    <x v="2"/>
    <x v="19"/>
  </r>
  <r>
    <x v="13"/>
    <x v="32"/>
    <x v="36"/>
    <x v="0"/>
    <x v="20"/>
    <x v="25"/>
    <x v="25"/>
    <x v="24"/>
    <x v="24"/>
    <x v="0"/>
    <x v="120"/>
    <x v="124"/>
    <x v="114"/>
    <x v="116"/>
    <x v="13"/>
    <x v="115"/>
    <x v="70"/>
    <x v="3"/>
    <x v="8"/>
    <x v="12"/>
    <x v="0"/>
    <x v="86"/>
    <x v="101"/>
    <x v="0"/>
    <x v="0"/>
    <x v="7"/>
    <x v="11"/>
    <x v="20"/>
  </r>
  <r>
    <x v="13"/>
    <x v="29"/>
    <x v="37"/>
    <x v="0"/>
    <x v="13"/>
    <x v="26"/>
    <x v="26"/>
    <x v="25"/>
    <x v="25"/>
    <x v="0"/>
    <x v="121"/>
    <x v="125"/>
    <x v="115"/>
    <x v="117"/>
    <x v="13"/>
    <x v="116"/>
    <x v="71"/>
    <x v="3"/>
    <x v="22"/>
    <x v="4"/>
    <x v="3"/>
    <x v="87"/>
    <x v="102"/>
    <x v="0"/>
    <x v="0"/>
    <x v="5"/>
    <x v="26"/>
    <x v="13"/>
  </r>
  <r>
    <x v="14"/>
    <x v="0"/>
    <x v="10"/>
    <x v="1"/>
    <x v="0"/>
    <x v="7"/>
    <x v="7"/>
    <x v="6"/>
    <x v="6"/>
    <x v="0"/>
    <x v="122"/>
    <x v="126"/>
    <x v="116"/>
    <x v="118"/>
    <x v="17"/>
    <x v="117"/>
    <x v="50"/>
    <x v="2"/>
    <x v="39"/>
    <x v="1"/>
    <x v="2"/>
    <x v="41"/>
    <x v="103"/>
    <x v="0"/>
    <x v="0"/>
    <x v="11"/>
    <x v="26"/>
    <x v="0"/>
  </r>
  <r>
    <x v="14"/>
    <x v="12"/>
    <x v="13"/>
    <x v="1"/>
    <x v="5"/>
    <x v="10"/>
    <x v="10"/>
    <x v="9"/>
    <x v="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</r>
  <r>
    <x v="14"/>
    <x v="21"/>
    <x v="22"/>
    <x v="0"/>
    <x v="14"/>
    <x v="19"/>
    <x v="19"/>
    <x v="18"/>
    <x v="18"/>
    <x v="0"/>
    <x v="123"/>
    <x v="127"/>
    <x v="117"/>
    <x v="119"/>
    <x v="35"/>
    <x v="118"/>
    <x v="72"/>
    <x v="18"/>
    <x v="60"/>
    <x v="27"/>
    <x v="18"/>
    <x v="88"/>
    <x v="104"/>
    <x v="0"/>
    <x v="0"/>
    <x v="20"/>
    <x v="2"/>
    <x v="14"/>
  </r>
  <r>
    <x v="14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5"/>
    <x v="6"/>
  </r>
  <r>
    <x v="14"/>
    <x v="24"/>
    <x v="25"/>
    <x v="0"/>
    <x v="15"/>
    <x v="20"/>
    <x v="20"/>
    <x v="19"/>
    <x v="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5"/>
  </r>
  <r>
    <x v="14"/>
    <x v="27"/>
    <x v="29"/>
    <x v="0"/>
    <x v="11"/>
    <x v="21"/>
    <x v="21"/>
    <x v="20"/>
    <x v="20"/>
    <x v="0"/>
    <x v="124"/>
    <x v="128"/>
    <x v="118"/>
    <x v="120"/>
    <x v="11"/>
    <x v="119"/>
    <x v="18"/>
    <x v="2"/>
    <x v="14"/>
    <x v="5"/>
    <x v="3"/>
    <x v="27"/>
    <x v="105"/>
    <x v="0"/>
    <x v="0"/>
    <x v="2"/>
    <x v="2"/>
    <x v="11"/>
  </r>
  <r>
    <x v="14"/>
    <x v="26"/>
    <x v="30"/>
    <x v="1"/>
    <x v="17"/>
    <x v="22"/>
    <x v="22"/>
    <x v="21"/>
    <x v="21"/>
    <x v="0"/>
    <x v="125"/>
    <x v="129"/>
    <x v="119"/>
    <x v="121"/>
    <x v="18"/>
    <x v="120"/>
    <x v="25"/>
    <x v="2"/>
    <x v="61"/>
    <x v="1"/>
    <x v="1"/>
    <x v="89"/>
    <x v="106"/>
    <x v="0"/>
    <x v="0"/>
    <x v="12"/>
    <x v="10"/>
    <x v="17"/>
  </r>
  <r>
    <x v="14"/>
    <x v="28"/>
    <x v="31"/>
    <x v="1"/>
    <x v="9"/>
    <x v="15"/>
    <x v="15"/>
    <x v="14"/>
    <x v="14"/>
    <x v="0"/>
    <x v="126"/>
    <x v="130"/>
    <x v="120"/>
    <x v="122"/>
    <x v="19"/>
    <x v="121"/>
    <x v="8"/>
    <x v="2"/>
    <x v="19"/>
    <x v="5"/>
    <x v="3"/>
    <x v="31"/>
    <x v="107"/>
    <x v="0"/>
    <x v="0"/>
    <x v="2"/>
    <x v="2"/>
    <x v="9"/>
  </r>
  <r>
    <x v="14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14"/>
    <x v="30"/>
    <x v="34"/>
    <x v="0"/>
    <x v="18"/>
    <x v="24"/>
    <x v="24"/>
    <x v="23"/>
    <x v="2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</r>
  <r>
    <x v="14"/>
    <x v="32"/>
    <x v="36"/>
    <x v="0"/>
    <x v="20"/>
    <x v="25"/>
    <x v="25"/>
    <x v="24"/>
    <x v="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</r>
  <r>
    <x v="14"/>
    <x v="29"/>
    <x v="37"/>
    <x v="0"/>
    <x v="13"/>
    <x v="26"/>
    <x v="26"/>
    <x v="25"/>
    <x v="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</r>
  <r>
    <x v="15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15"/>
    <x v="0"/>
    <x v="10"/>
    <x v="1"/>
    <x v="0"/>
    <x v="7"/>
    <x v="7"/>
    <x v="6"/>
    <x v="6"/>
    <x v="0"/>
    <x v="127"/>
    <x v="131"/>
    <x v="121"/>
    <x v="123"/>
    <x v="47"/>
    <x v="122"/>
    <x v="20"/>
    <x v="1"/>
    <x v="3"/>
    <x v="5"/>
    <x v="1"/>
    <x v="90"/>
    <x v="108"/>
    <x v="0"/>
    <x v="0"/>
    <x v="0"/>
    <x v="3"/>
    <x v="0"/>
  </r>
  <r>
    <x v="15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5"/>
    <x v="1"/>
  </r>
  <r>
    <x v="15"/>
    <x v="21"/>
    <x v="22"/>
    <x v="0"/>
    <x v="14"/>
    <x v="19"/>
    <x v="19"/>
    <x v="18"/>
    <x v="18"/>
    <x v="0"/>
    <x v="128"/>
    <x v="132"/>
    <x v="122"/>
    <x v="124"/>
    <x v="48"/>
    <x v="123"/>
    <x v="73"/>
    <x v="19"/>
    <x v="62"/>
    <x v="28"/>
    <x v="19"/>
    <x v="91"/>
    <x v="109"/>
    <x v="2"/>
    <x v="0"/>
    <x v="21"/>
    <x v="2"/>
    <x v="14"/>
  </r>
  <r>
    <x v="15"/>
    <x v="24"/>
    <x v="25"/>
    <x v="0"/>
    <x v="15"/>
    <x v="20"/>
    <x v="20"/>
    <x v="19"/>
    <x v="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5"/>
  </r>
  <r>
    <x v="15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15"/>
    <x v="26"/>
    <x v="30"/>
    <x v="1"/>
    <x v="17"/>
    <x v="22"/>
    <x v="22"/>
    <x v="21"/>
    <x v="21"/>
    <x v="0"/>
    <x v="129"/>
    <x v="133"/>
    <x v="123"/>
    <x v="125"/>
    <x v="49"/>
    <x v="124"/>
    <x v="74"/>
    <x v="2"/>
    <x v="40"/>
    <x v="13"/>
    <x v="0"/>
    <x v="92"/>
    <x v="110"/>
    <x v="0"/>
    <x v="0"/>
    <x v="11"/>
    <x v="3"/>
    <x v="17"/>
  </r>
  <r>
    <x v="15"/>
    <x v="28"/>
    <x v="31"/>
    <x v="1"/>
    <x v="9"/>
    <x v="15"/>
    <x v="15"/>
    <x v="14"/>
    <x v="14"/>
    <x v="0"/>
    <x v="130"/>
    <x v="134"/>
    <x v="124"/>
    <x v="126"/>
    <x v="19"/>
    <x v="125"/>
    <x v="41"/>
    <x v="2"/>
    <x v="24"/>
    <x v="3"/>
    <x v="3"/>
    <x v="93"/>
    <x v="111"/>
    <x v="0"/>
    <x v="0"/>
    <x v="2"/>
    <x v="2"/>
    <x v="9"/>
  </r>
  <r>
    <x v="15"/>
    <x v="26"/>
    <x v="38"/>
    <x v="0"/>
    <x v="17"/>
    <x v="27"/>
    <x v="27"/>
    <x v="26"/>
    <x v="26"/>
    <x v="0"/>
    <x v="131"/>
    <x v="135"/>
    <x v="125"/>
    <x v="127"/>
    <x v="0"/>
    <x v="126"/>
    <x v="75"/>
    <x v="20"/>
    <x v="47"/>
    <x v="29"/>
    <x v="20"/>
    <x v="94"/>
    <x v="112"/>
    <x v="0"/>
    <x v="0"/>
    <x v="22"/>
    <x v="27"/>
    <x v="17"/>
  </r>
  <r>
    <x v="15"/>
    <x v="22"/>
    <x v="39"/>
    <x v="0"/>
    <x v="13"/>
    <x v="28"/>
    <x v="28"/>
    <x v="27"/>
    <x v="27"/>
    <x v="0"/>
    <x v="132"/>
    <x v="136"/>
    <x v="126"/>
    <x v="128"/>
    <x v="13"/>
    <x v="127"/>
    <x v="76"/>
    <x v="11"/>
    <x v="17"/>
    <x v="12"/>
    <x v="2"/>
    <x v="95"/>
    <x v="113"/>
    <x v="0"/>
    <x v="0"/>
    <x v="10"/>
    <x v="28"/>
    <x v="13"/>
  </r>
  <r>
    <x v="15"/>
    <x v="32"/>
    <x v="40"/>
    <x v="0"/>
    <x v="20"/>
    <x v="29"/>
    <x v="29"/>
    <x v="28"/>
    <x v="28"/>
    <x v="0"/>
    <x v="133"/>
    <x v="137"/>
    <x v="127"/>
    <x v="89"/>
    <x v="6"/>
    <x v="128"/>
    <x v="77"/>
    <x v="5"/>
    <x v="7"/>
    <x v="9"/>
    <x v="6"/>
    <x v="96"/>
    <x v="114"/>
    <x v="0"/>
    <x v="0"/>
    <x v="23"/>
    <x v="23"/>
    <x v="20"/>
  </r>
  <r>
    <x v="15"/>
    <x v="33"/>
    <x v="41"/>
    <x v="0"/>
    <x v="18"/>
    <x v="30"/>
    <x v="30"/>
    <x v="29"/>
    <x v="29"/>
    <x v="0"/>
    <x v="134"/>
    <x v="138"/>
    <x v="128"/>
    <x v="129"/>
    <x v="5"/>
    <x v="129"/>
    <x v="78"/>
    <x v="12"/>
    <x v="63"/>
    <x v="30"/>
    <x v="13"/>
    <x v="97"/>
    <x v="115"/>
    <x v="0"/>
    <x v="0"/>
    <x v="6"/>
    <x v="29"/>
    <x v="18"/>
  </r>
  <r>
    <x v="16"/>
    <x v="21"/>
    <x v="22"/>
    <x v="0"/>
    <x v="14"/>
    <x v="19"/>
    <x v="19"/>
    <x v="18"/>
    <x v="18"/>
    <x v="0"/>
    <x v="135"/>
    <x v="139"/>
    <x v="129"/>
    <x v="130"/>
    <x v="3"/>
    <x v="130"/>
    <x v="79"/>
    <x v="6"/>
    <x v="64"/>
    <x v="31"/>
    <x v="21"/>
    <x v="98"/>
    <x v="116"/>
    <x v="0"/>
    <x v="0"/>
    <x v="3"/>
    <x v="2"/>
    <x v="14"/>
  </r>
  <r>
    <x v="1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16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16"/>
    <x v="32"/>
    <x v="36"/>
    <x v="0"/>
    <x v="20"/>
    <x v="25"/>
    <x v="25"/>
    <x v="24"/>
    <x v="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</r>
  <r>
    <x v="16"/>
    <x v="29"/>
    <x v="37"/>
    <x v="0"/>
    <x v="13"/>
    <x v="26"/>
    <x v="26"/>
    <x v="25"/>
    <x v="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</r>
  <r>
    <x v="16"/>
    <x v="26"/>
    <x v="38"/>
    <x v="0"/>
    <x v="17"/>
    <x v="27"/>
    <x v="27"/>
    <x v="26"/>
    <x v="26"/>
    <x v="0"/>
    <x v="136"/>
    <x v="140"/>
    <x v="130"/>
    <x v="131"/>
    <x v="1"/>
    <x v="131"/>
    <x v="22"/>
    <x v="2"/>
    <x v="24"/>
    <x v="3"/>
    <x v="3"/>
    <x v="31"/>
    <x v="117"/>
    <x v="0"/>
    <x v="0"/>
    <x v="5"/>
    <x v="2"/>
    <x v="17"/>
  </r>
  <r>
    <x v="16"/>
    <x v="22"/>
    <x v="39"/>
    <x v="0"/>
    <x v="13"/>
    <x v="28"/>
    <x v="28"/>
    <x v="27"/>
    <x v="27"/>
    <x v="0"/>
    <x v="137"/>
    <x v="141"/>
    <x v="113"/>
    <x v="132"/>
    <x v="2"/>
    <x v="132"/>
    <x v="15"/>
    <x v="2"/>
    <x v="14"/>
    <x v="3"/>
    <x v="3"/>
    <x v="15"/>
    <x v="15"/>
    <x v="0"/>
    <x v="0"/>
    <x v="5"/>
    <x v="2"/>
    <x v="13"/>
  </r>
  <r>
    <x v="16"/>
    <x v="32"/>
    <x v="40"/>
    <x v="0"/>
    <x v="20"/>
    <x v="29"/>
    <x v="29"/>
    <x v="28"/>
    <x v="28"/>
    <x v="0"/>
    <x v="138"/>
    <x v="142"/>
    <x v="131"/>
    <x v="41"/>
    <x v="11"/>
    <x v="133"/>
    <x v="15"/>
    <x v="2"/>
    <x v="14"/>
    <x v="3"/>
    <x v="3"/>
    <x v="15"/>
    <x v="15"/>
    <x v="0"/>
    <x v="0"/>
    <x v="5"/>
    <x v="2"/>
    <x v="20"/>
  </r>
  <r>
    <x v="16"/>
    <x v="33"/>
    <x v="41"/>
    <x v="0"/>
    <x v="18"/>
    <x v="30"/>
    <x v="30"/>
    <x v="29"/>
    <x v="29"/>
    <x v="0"/>
    <x v="139"/>
    <x v="143"/>
    <x v="132"/>
    <x v="133"/>
    <x v="11"/>
    <x v="134"/>
    <x v="15"/>
    <x v="2"/>
    <x v="14"/>
    <x v="3"/>
    <x v="3"/>
    <x v="15"/>
    <x v="15"/>
    <x v="0"/>
    <x v="0"/>
    <x v="5"/>
    <x v="2"/>
    <x v="18"/>
  </r>
  <r>
    <x v="16"/>
    <x v="34"/>
    <x v="42"/>
    <x v="0"/>
    <x v="19"/>
    <x v="31"/>
    <x v="31"/>
    <x v="30"/>
    <x v="30"/>
    <x v="0"/>
    <x v="140"/>
    <x v="144"/>
    <x v="133"/>
    <x v="134"/>
    <x v="2"/>
    <x v="135"/>
    <x v="80"/>
    <x v="3"/>
    <x v="2"/>
    <x v="5"/>
    <x v="2"/>
    <x v="1"/>
    <x v="118"/>
    <x v="0"/>
    <x v="0"/>
    <x v="2"/>
    <x v="2"/>
    <x v="19"/>
  </r>
  <r>
    <x v="16"/>
    <x v="33"/>
    <x v="43"/>
    <x v="0"/>
    <x v="18"/>
    <x v="32"/>
    <x v="32"/>
    <x v="31"/>
    <x v="31"/>
    <x v="0"/>
    <x v="141"/>
    <x v="145"/>
    <x v="134"/>
    <x v="105"/>
    <x v="5"/>
    <x v="136"/>
    <x v="70"/>
    <x v="3"/>
    <x v="45"/>
    <x v="32"/>
    <x v="5"/>
    <x v="99"/>
    <x v="119"/>
    <x v="0"/>
    <x v="0"/>
    <x v="10"/>
    <x v="27"/>
    <x v="18"/>
  </r>
  <r>
    <x v="16"/>
    <x v="35"/>
    <x v="44"/>
    <x v="1"/>
    <x v="17"/>
    <x v="33"/>
    <x v="33"/>
    <x v="32"/>
    <x v="32"/>
    <x v="0"/>
    <x v="142"/>
    <x v="146"/>
    <x v="135"/>
    <x v="118"/>
    <x v="14"/>
    <x v="137"/>
    <x v="81"/>
    <x v="0"/>
    <x v="65"/>
    <x v="0"/>
    <x v="1"/>
    <x v="100"/>
    <x v="120"/>
    <x v="0"/>
    <x v="0"/>
    <x v="5"/>
    <x v="26"/>
    <x v="17"/>
  </r>
  <r>
    <x v="16"/>
    <x v="36"/>
    <x v="45"/>
    <x v="1"/>
    <x v="0"/>
    <x v="34"/>
    <x v="34"/>
    <x v="33"/>
    <x v="33"/>
    <x v="0"/>
    <x v="143"/>
    <x v="147"/>
    <x v="136"/>
    <x v="135"/>
    <x v="50"/>
    <x v="138"/>
    <x v="36"/>
    <x v="2"/>
    <x v="45"/>
    <x v="3"/>
    <x v="3"/>
    <x v="101"/>
    <x v="121"/>
    <x v="0"/>
    <x v="0"/>
    <x v="4"/>
    <x v="12"/>
    <x v="0"/>
  </r>
  <r>
    <x v="16"/>
    <x v="37"/>
    <x v="46"/>
    <x v="0"/>
    <x v="21"/>
    <x v="35"/>
    <x v="35"/>
    <x v="34"/>
    <x v="34"/>
    <x v="0"/>
    <x v="144"/>
    <x v="148"/>
    <x v="137"/>
    <x v="136"/>
    <x v="30"/>
    <x v="139"/>
    <x v="24"/>
    <x v="10"/>
    <x v="53"/>
    <x v="4"/>
    <x v="5"/>
    <x v="102"/>
    <x v="122"/>
    <x v="0"/>
    <x v="0"/>
    <x v="21"/>
    <x v="0"/>
    <x v="21"/>
  </r>
  <r>
    <x v="16"/>
    <x v="38"/>
    <x v="47"/>
    <x v="1"/>
    <x v="9"/>
    <x v="36"/>
    <x v="36"/>
    <x v="35"/>
    <x v="35"/>
    <x v="0"/>
    <x v="145"/>
    <x v="149"/>
    <x v="138"/>
    <x v="137"/>
    <x v="44"/>
    <x v="140"/>
    <x v="41"/>
    <x v="2"/>
    <x v="24"/>
    <x v="5"/>
    <x v="3"/>
    <x v="31"/>
    <x v="123"/>
    <x v="0"/>
    <x v="0"/>
    <x v="5"/>
    <x v="2"/>
    <x v="9"/>
  </r>
  <r>
    <x v="16"/>
    <x v="39"/>
    <x v="48"/>
    <x v="0"/>
    <x v="9"/>
    <x v="37"/>
    <x v="37"/>
    <x v="36"/>
    <x v="36"/>
    <x v="0"/>
    <x v="146"/>
    <x v="150"/>
    <x v="139"/>
    <x v="138"/>
    <x v="0"/>
    <x v="141"/>
    <x v="82"/>
    <x v="0"/>
    <x v="0"/>
    <x v="2"/>
    <x v="1"/>
    <x v="103"/>
    <x v="56"/>
    <x v="0"/>
    <x v="0"/>
    <x v="24"/>
    <x v="1"/>
    <x v="9"/>
  </r>
  <r>
    <x v="17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</r>
  <r>
    <x v="17"/>
    <x v="21"/>
    <x v="22"/>
    <x v="0"/>
    <x v="14"/>
    <x v="19"/>
    <x v="19"/>
    <x v="18"/>
    <x v="18"/>
    <x v="0"/>
    <x v="147"/>
    <x v="151"/>
    <x v="140"/>
    <x v="139"/>
    <x v="51"/>
    <x v="142"/>
    <x v="26"/>
    <x v="2"/>
    <x v="20"/>
    <x v="5"/>
    <x v="3"/>
    <x v="68"/>
    <x v="124"/>
    <x v="0"/>
    <x v="0"/>
    <x v="5"/>
    <x v="2"/>
    <x v="14"/>
  </r>
  <r>
    <x v="17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1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17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17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17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</r>
  <r>
    <x v="17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</r>
  <r>
    <x v="17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</r>
  <r>
    <x v="17"/>
    <x v="34"/>
    <x v="42"/>
    <x v="0"/>
    <x v="19"/>
    <x v="31"/>
    <x v="31"/>
    <x v="30"/>
    <x v="30"/>
    <x v="0"/>
    <x v="148"/>
    <x v="152"/>
    <x v="94"/>
    <x v="140"/>
    <x v="37"/>
    <x v="143"/>
    <x v="18"/>
    <x v="2"/>
    <x v="14"/>
    <x v="3"/>
    <x v="3"/>
    <x v="20"/>
    <x v="125"/>
    <x v="0"/>
    <x v="0"/>
    <x v="5"/>
    <x v="2"/>
    <x v="19"/>
  </r>
  <r>
    <x v="17"/>
    <x v="33"/>
    <x v="43"/>
    <x v="0"/>
    <x v="18"/>
    <x v="32"/>
    <x v="32"/>
    <x v="31"/>
    <x v="31"/>
    <x v="0"/>
    <x v="149"/>
    <x v="153"/>
    <x v="141"/>
    <x v="141"/>
    <x v="1"/>
    <x v="144"/>
    <x v="33"/>
    <x v="1"/>
    <x v="23"/>
    <x v="18"/>
    <x v="8"/>
    <x v="104"/>
    <x v="42"/>
    <x v="0"/>
    <x v="0"/>
    <x v="1"/>
    <x v="9"/>
    <x v="18"/>
  </r>
  <r>
    <x v="17"/>
    <x v="35"/>
    <x v="44"/>
    <x v="1"/>
    <x v="17"/>
    <x v="33"/>
    <x v="33"/>
    <x v="32"/>
    <x v="32"/>
    <x v="0"/>
    <x v="150"/>
    <x v="154"/>
    <x v="142"/>
    <x v="142"/>
    <x v="25"/>
    <x v="145"/>
    <x v="18"/>
    <x v="2"/>
    <x v="14"/>
    <x v="3"/>
    <x v="3"/>
    <x v="20"/>
    <x v="126"/>
    <x v="0"/>
    <x v="0"/>
    <x v="5"/>
    <x v="2"/>
    <x v="17"/>
  </r>
  <r>
    <x v="17"/>
    <x v="36"/>
    <x v="45"/>
    <x v="1"/>
    <x v="0"/>
    <x v="34"/>
    <x v="34"/>
    <x v="33"/>
    <x v="3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0"/>
  </r>
  <r>
    <x v="17"/>
    <x v="37"/>
    <x v="46"/>
    <x v="0"/>
    <x v="21"/>
    <x v="35"/>
    <x v="35"/>
    <x v="34"/>
    <x v="34"/>
    <x v="0"/>
    <x v="151"/>
    <x v="155"/>
    <x v="143"/>
    <x v="143"/>
    <x v="37"/>
    <x v="146"/>
    <x v="83"/>
    <x v="0"/>
    <x v="28"/>
    <x v="5"/>
    <x v="8"/>
    <x v="105"/>
    <x v="127"/>
    <x v="0"/>
    <x v="0"/>
    <x v="8"/>
    <x v="30"/>
    <x v="21"/>
  </r>
  <r>
    <x v="17"/>
    <x v="38"/>
    <x v="47"/>
    <x v="1"/>
    <x v="9"/>
    <x v="36"/>
    <x v="36"/>
    <x v="35"/>
    <x v="35"/>
    <x v="0"/>
    <x v="30"/>
    <x v="156"/>
    <x v="29"/>
    <x v="30"/>
    <x v="16"/>
    <x v="29"/>
    <x v="15"/>
    <x v="2"/>
    <x v="14"/>
    <x v="3"/>
    <x v="3"/>
    <x v="15"/>
    <x v="15"/>
    <x v="0"/>
    <x v="0"/>
    <x v="5"/>
    <x v="2"/>
    <x v="9"/>
  </r>
  <r>
    <x v="17"/>
    <x v="39"/>
    <x v="48"/>
    <x v="0"/>
    <x v="9"/>
    <x v="37"/>
    <x v="37"/>
    <x v="36"/>
    <x v="36"/>
    <x v="0"/>
    <x v="152"/>
    <x v="157"/>
    <x v="144"/>
    <x v="144"/>
    <x v="4"/>
    <x v="147"/>
    <x v="84"/>
    <x v="6"/>
    <x v="53"/>
    <x v="2"/>
    <x v="4"/>
    <x v="106"/>
    <x v="128"/>
    <x v="0"/>
    <x v="0"/>
    <x v="3"/>
    <x v="10"/>
    <x v="9"/>
  </r>
  <r>
    <x v="17"/>
    <x v="26"/>
    <x v="49"/>
    <x v="0"/>
    <x v="17"/>
    <x v="38"/>
    <x v="38"/>
    <x v="37"/>
    <x v="37"/>
    <x v="0"/>
    <x v="153"/>
    <x v="158"/>
    <x v="145"/>
    <x v="125"/>
    <x v="30"/>
    <x v="148"/>
    <x v="85"/>
    <x v="21"/>
    <x v="66"/>
    <x v="33"/>
    <x v="22"/>
    <x v="107"/>
    <x v="129"/>
    <x v="0"/>
    <x v="0"/>
    <x v="3"/>
    <x v="13"/>
    <x v="17"/>
  </r>
  <r>
    <x v="17"/>
    <x v="40"/>
    <x v="50"/>
    <x v="0"/>
    <x v="22"/>
    <x v="39"/>
    <x v="39"/>
    <x v="38"/>
    <x v="38"/>
    <x v="0"/>
    <x v="154"/>
    <x v="159"/>
    <x v="146"/>
    <x v="145"/>
    <x v="0"/>
    <x v="149"/>
    <x v="86"/>
    <x v="4"/>
    <x v="23"/>
    <x v="1"/>
    <x v="2"/>
    <x v="95"/>
    <x v="130"/>
    <x v="0"/>
    <x v="0"/>
    <x v="4"/>
    <x v="12"/>
    <x v="22"/>
  </r>
  <r>
    <x v="17"/>
    <x v="41"/>
    <x v="51"/>
    <x v="0"/>
    <x v="23"/>
    <x v="40"/>
    <x v="40"/>
    <x v="39"/>
    <x v="39"/>
    <x v="0"/>
    <x v="155"/>
    <x v="160"/>
    <x v="147"/>
    <x v="146"/>
    <x v="5"/>
    <x v="150"/>
    <x v="62"/>
    <x v="3"/>
    <x v="49"/>
    <x v="1"/>
    <x v="2"/>
    <x v="64"/>
    <x v="131"/>
    <x v="0"/>
    <x v="0"/>
    <x v="2"/>
    <x v="3"/>
    <x v="23"/>
  </r>
  <r>
    <x v="17"/>
    <x v="42"/>
    <x v="52"/>
    <x v="0"/>
    <x v="24"/>
    <x v="41"/>
    <x v="41"/>
    <x v="40"/>
    <x v="40"/>
    <x v="0"/>
    <x v="156"/>
    <x v="161"/>
    <x v="148"/>
    <x v="147"/>
    <x v="4"/>
    <x v="151"/>
    <x v="87"/>
    <x v="10"/>
    <x v="67"/>
    <x v="34"/>
    <x v="6"/>
    <x v="108"/>
    <x v="132"/>
    <x v="0"/>
    <x v="0"/>
    <x v="9"/>
    <x v="12"/>
    <x v="24"/>
  </r>
  <r>
    <x v="17"/>
    <x v="43"/>
    <x v="53"/>
    <x v="0"/>
    <x v="25"/>
    <x v="42"/>
    <x v="42"/>
    <x v="41"/>
    <x v="41"/>
    <x v="0"/>
    <x v="157"/>
    <x v="162"/>
    <x v="149"/>
    <x v="148"/>
    <x v="5"/>
    <x v="152"/>
    <x v="62"/>
    <x v="3"/>
    <x v="10"/>
    <x v="7"/>
    <x v="23"/>
    <x v="109"/>
    <x v="133"/>
    <x v="0"/>
    <x v="0"/>
    <x v="12"/>
    <x v="12"/>
    <x v="25"/>
  </r>
  <r>
    <x v="18"/>
    <x v="14"/>
    <x v="15"/>
    <x v="0"/>
    <x v="9"/>
    <x v="12"/>
    <x v="12"/>
    <x v="11"/>
    <x v="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</r>
  <r>
    <x v="18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</r>
  <r>
    <x v="18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18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18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18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18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</r>
  <r>
    <x v="18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</r>
  <r>
    <x v="18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</r>
  <r>
    <x v="18"/>
    <x v="33"/>
    <x v="43"/>
    <x v="0"/>
    <x v="18"/>
    <x v="32"/>
    <x v="32"/>
    <x v="31"/>
    <x v="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</r>
  <r>
    <x v="18"/>
    <x v="37"/>
    <x v="46"/>
    <x v="0"/>
    <x v="21"/>
    <x v="35"/>
    <x v="35"/>
    <x v="34"/>
    <x v="34"/>
    <x v="0"/>
    <x v="158"/>
    <x v="163"/>
    <x v="54"/>
    <x v="149"/>
    <x v="30"/>
    <x v="153"/>
    <x v="88"/>
    <x v="3"/>
    <x v="68"/>
    <x v="4"/>
    <x v="7"/>
    <x v="110"/>
    <x v="134"/>
    <x v="0"/>
    <x v="0"/>
    <x v="25"/>
    <x v="31"/>
    <x v="21"/>
  </r>
  <r>
    <x v="18"/>
    <x v="39"/>
    <x v="48"/>
    <x v="0"/>
    <x v="9"/>
    <x v="37"/>
    <x v="37"/>
    <x v="36"/>
    <x v="36"/>
    <x v="0"/>
    <x v="159"/>
    <x v="164"/>
    <x v="150"/>
    <x v="150"/>
    <x v="37"/>
    <x v="154"/>
    <x v="89"/>
    <x v="3"/>
    <x v="12"/>
    <x v="35"/>
    <x v="1"/>
    <x v="111"/>
    <x v="135"/>
    <x v="0"/>
    <x v="0"/>
    <x v="11"/>
    <x v="9"/>
    <x v="9"/>
  </r>
  <r>
    <x v="18"/>
    <x v="26"/>
    <x v="49"/>
    <x v="0"/>
    <x v="17"/>
    <x v="38"/>
    <x v="38"/>
    <x v="37"/>
    <x v="37"/>
    <x v="0"/>
    <x v="160"/>
    <x v="165"/>
    <x v="151"/>
    <x v="151"/>
    <x v="4"/>
    <x v="155"/>
    <x v="90"/>
    <x v="11"/>
    <x v="69"/>
    <x v="16"/>
    <x v="12"/>
    <x v="112"/>
    <x v="136"/>
    <x v="0"/>
    <x v="0"/>
    <x v="3"/>
    <x v="6"/>
    <x v="17"/>
  </r>
  <r>
    <x v="18"/>
    <x v="40"/>
    <x v="50"/>
    <x v="0"/>
    <x v="22"/>
    <x v="39"/>
    <x v="39"/>
    <x v="38"/>
    <x v="38"/>
    <x v="0"/>
    <x v="161"/>
    <x v="166"/>
    <x v="152"/>
    <x v="152"/>
    <x v="32"/>
    <x v="156"/>
    <x v="91"/>
    <x v="22"/>
    <x v="12"/>
    <x v="16"/>
    <x v="24"/>
    <x v="113"/>
    <x v="7"/>
    <x v="2"/>
    <x v="3"/>
    <x v="8"/>
    <x v="2"/>
    <x v="22"/>
  </r>
  <r>
    <x v="18"/>
    <x v="41"/>
    <x v="51"/>
    <x v="0"/>
    <x v="23"/>
    <x v="40"/>
    <x v="40"/>
    <x v="39"/>
    <x v="39"/>
    <x v="0"/>
    <x v="162"/>
    <x v="167"/>
    <x v="153"/>
    <x v="153"/>
    <x v="9"/>
    <x v="157"/>
    <x v="92"/>
    <x v="7"/>
    <x v="2"/>
    <x v="12"/>
    <x v="2"/>
    <x v="114"/>
    <x v="137"/>
    <x v="0"/>
    <x v="0"/>
    <x v="11"/>
    <x v="10"/>
    <x v="23"/>
  </r>
  <r>
    <x v="18"/>
    <x v="42"/>
    <x v="52"/>
    <x v="0"/>
    <x v="24"/>
    <x v="41"/>
    <x v="41"/>
    <x v="40"/>
    <x v="40"/>
    <x v="0"/>
    <x v="163"/>
    <x v="168"/>
    <x v="154"/>
    <x v="65"/>
    <x v="42"/>
    <x v="143"/>
    <x v="93"/>
    <x v="23"/>
    <x v="70"/>
    <x v="36"/>
    <x v="25"/>
    <x v="115"/>
    <x v="138"/>
    <x v="2"/>
    <x v="2"/>
    <x v="21"/>
    <x v="13"/>
    <x v="24"/>
  </r>
  <r>
    <x v="18"/>
    <x v="43"/>
    <x v="53"/>
    <x v="0"/>
    <x v="25"/>
    <x v="42"/>
    <x v="42"/>
    <x v="41"/>
    <x v="41"/>
    <x v="0"/>
    <x v="164"/>
    <x v="169"/>
    <x v="27"/>
    <x v="140"/>
    <x v="13"/>
    <x v="158"/>
    <x v="15"/>
    <x v="2"/>
    <x v="14"/>
    <x v="3"/>
    <x v="3"/>
    <x v="15"/>
    <x v="15"/>
    <x v="0"/>
    <x v="0"/>
    <x v="5"/>
    <x v="2"/>
    <x v="25"/>
  </r>
  <r>
    <x v="18"/>
    <x v="44"/>
    <x v="54"/>
    <x v="0"/>
    <x v="26"/>
    <x v="43"/>
    <x v="43"/>
    <x v="42"/>
    <x v="42"/>
    <x v="0"/>
    <x v="165"/>
    <x v="170"/>
    <x v="155"/>
    <x v="154"/>
    <x v="51"/>
    <x v="159"/>
    <x v="94"/>
    <x v="3"/>
    <x v="71"/>
    <x v="13"/>
    <x v="3"/>
    <x v="25"/>
    <x v="68"/>
    <x v="0"/>
    <x v="0"/>
    <x v="1"/>
    <x v="5"/>
    <x v="26"/>
  </r>
  <r>
    <x v="19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19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19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</r>
  <r>
    <x v="19"/>
    <x v="35"/>
    <x v="44"/>
    <x v="1"/>
    <x v="17"/>
    <x v="33"/>
    <x v="33"/>
    <x v="32"/>
    <x v="32"/>
    <x v="0"/>
    <x v="166"/>
    <x v="171"/>
    <x v="156"/>
    <x v="144"/>
    <x v="43"/>
    <x v="160"/>
    <x v="26"/>
    <x v="2"/>
    <x v="49"/>
    <x v="3"/>
    <x v="3"/>
    <x v="26"/>
    <x v="139"/>
    <x v="0"/>
    <x v="0"/>
    <x v="5"/>
    <x v="2"/>
    <x v="17"/>
  </r>
  <r>
    <x v="19"/>
    <x v="37"/>
    <x v="46"/>
    <x v="0"/>
    <x v="21"/>
    <x v="35"/>
    <x v="35"/>
    <x v="34"/>
    <x v="34"/>
    <x v="0"/>
    <x v="167"/>
    <x v="172"/>
    <x v="157"/>
    <x v="155"/>
    <x v="37"/>
    <x v="161"/>
    <x v="95"/>
    <x v="1"/>
    <x v="5"/>
    <x v="11"/>
    <x v="0"/>
    <x v="116"/>
    <x v="140"/>
    <x v="0"/>
    <x v="0"/>
    <x v="3"/>
    <x v="1"/>
    <x v="21"/>
  </r>
  <r>
    <x v="19"/>
    <x v="39"/>
    <x v="48"/>
    <x v="0"/>
    <x v="9"/>
    <x v="37"/>
    <x v="37"/>
    <x v="36"/>
    <x v="36"/>
    <x v="0"/>
    <x v="168"/>
    <x v="173"/>
    <x v="158"/>
    <x v="156"/>
    <x v="4"/>
    <x v="162"/>
    <x v="96"/>
    <x v="7"/>
    <x v="38"/>
    <x v="4"/>
    <x v="2"/>
    <x v="117"/>
    <x v="141"/>
    <x v="0"/>
    <x v="0"/>
    <x v="1"/>
    <x v="11"/>
    <x v="9"/>
  </r>
  <r>
    <x v="19"/>
    <x v="26"/>
    <x v="49"/>
    <x v="0"/>
    <x v="17"/>
    <x v="38"/>
    <x v="38"/>
    <x v="37"/>
    <x v="37"/>
    <x v="0"/>
    <x v="169"/>
    <x v="174"/>
    <x v="159"/>
    <x v="157"/>
    <x v="4"/>
    <x v="163"/>
    <x v="97"/>
    <x v="7"/>
    <x v="72"/>
    <x v="32"/>
    <x v="7"/>
    <x v="118"/>
    <x v="142"/>
    <x v="0"/>
    <x v="0"/>
    <x v="1"/>
    <x v="6"/>
    <x v="17"/>
  </r>
  <r>
    <x v="19"/>
    <x v="40"/>
    <x v="50"/>
    <x v="0"/>
    <x v="22"/>
    <x v="39"/>
    <x v="39"/>
    <x v="38"/>
    <x v="38"/>
    <x v="0"/>
    <x v="170"/>
    <x v="175"/>
    <x v="160"/>
    <x v="124"/>
    <x v="2"/>
    <x v="164"/>
    <x v="98"/>
    <x v="3"/>
    <x v="73"/>
    <x v="6"/>
    <x v="4"/>
    <x v="119"/>
    <x v="143"/>
    <x v="0"/>
    <x v="0"/>
    <x v="4"/>
    <x v="5"/>
    <x v="22"/>
  </r>
  <r>
    <x v="19"/>
    <x v="41"/>
    <x v="51"/>
    <x v="0"/>
    <x v="23"/>
    <x v="40"/>
    <x v="40"/>
    <x v="39"/>
    <x v="39"/>
    <x v="0"/>
    <x v="171"/>
    <x v="176"/>
    <x v="161"/>
    <x v="158"/>
    <x v="13"/>
    <x v="165"/>
    <x v="15"/>
    <x v="2"/>
    <x v="14"/>
    <x v="3"/>
    <x v="3"/>
    <x v="15"/>
    <x v="15"/>
    <x v="0"/>
    <x v="0"/>
    <x v="5"/>
    <x v="2"/>
    <x v="23"/>
  </r>
  <r>
    <x v="19"/>
    <x v="42"/>
    <x v="52"/>
    <x v="0"/>
    <x v="24"/>
    <x v="41"/>
    <x v="41"/>
    <x v="40"/>
    <x v="40"/>
    <x v="0"/>
    <x v="172"/>
    <x v="177"/>
    <x v="162"/>
    <x v="159"/>
    <x v="2"/>
    <x v="166"/>
    <x v="99"/>
    <x v="15"/>
    <x v="63"/>
    <x v="37"/>
    <x v="23"/>
    <x v="120"/>
    <x v="144"/>
    <x v="0"/>
    <x v="0"/>
    <x v="3"/>
    <x v="5"/>
    <x v="24"/>
  </r>
  <r>
    <x v="19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</r>
  <r>
    <x v="19"/>
    <x v="44"/>
    <x v="54"/>
    <x v="0"/>
    <x v="26"/>
    <x v="43"/>
    <x v="43"/>
    <x v="42"/>
    <x v="42"/>
    <x v="0"/>
    <x v="173"/>
    <x v="178"/>
    <x v="163"/>
    <x v="160"/>
    <x v="32"/>
    <x v="90"/>
    <x v="92"/>
    <x v="3"/>
    <x v="33"/>
    <x v="0"/>
    <x v="2"/>
    <x v="41"/>
    <x v="85"/>
    <x v="0"/>
    <x v="0"/>
    <x v="4"/>
    <x v="2"/>
    <x v="26"/>
  </r>
  <r>
    <x v="20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20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20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20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</r>
  <r>
    <x v="20"/>
    <x v="35"/>
    <x v="44"/>
    <x v="1"/>
    <x v="17"/>
    <x v="33"/>
    <x v="33"/>
    <x v="32"/>
    <x v="32"/>
    <x v="0"/>
    <x v="174"/>
    <x v="179"/>
    <x v="113"/>
    <x v="161"/>
    <x v="52"/>
    <x v="167"/>
    <x v="15"/>
    <x v="2"/>
    <x v="14"/>
    <x v="3"/>
    <x v="3"/>
    <x v="15"/>
    <x v="15"/>
    <x v="0"/>
    <x v="0"/>
    <x v="5"/>
    <x v="2"/>
    <x v="17"/>
  </r>
  <r>
    <x v="20"/>
    <x v="37"/>
    <x v="46"/>
    <x v="0"/>
    <x v="21"/>
    <x v="35"/>
    <x v="35"/>
    <x v="34"/>
    <x v="34"/>
    <x v="0"/>
    <x v="175"/>
    <x v="180"/>
    <x v="164"/>
    <x v="148"/>
    <x v="37"/>
    <x v="168"/>
    <x v="34"/>
    <x v="7"/>
    <x v="13"/>
    <x v="11"/>
    <x v="23"/>
    <x v="121"/>
    <x v="145"/>
    <x v="0"/>
    <x v="0"/>
    <x v="2"/>
    <x v="13"/>
    <x v="21"/>
  </r>
  <r>
    <x v="20"/>
    <x v="39"/>
    <x v="48"/>
    <x v="0"/>
    <x v="9"/>
    <x v="37"/>
    <x v="37"/>
    <x v="36"/>
    <x v="36"/>
    <x v="0"/>
    <x v="176"/>
    <x v="181"/>
    <x v="165"/>
    <x v="162"/>
    <x v="37"/>
    <x v="169"/>
    <x v="100"/>
    <x v="0"/>
    <x v="30"/>
    <x v="4"/>
    <x v="2"/>
    <x v="122"/>
    <x v="146"/>
    <x v="0"/>
    <x v="0"/>
    <x v="10"/>
    <x v="12"/>
    <x v="9"/>
  </r>
  <r>
    <x v="20"/>
    <x v="26"/>
    <x v="49"/>
    <x v="0"/>
    <x v="17"/>
    <x v="38"/>
    <x v="38"/>
    <x v="37"/>
    <x v="37"/>
    <x v="0"/>
    <x v="177"/>
    <x v="182"/>
    <x v="166"/>
    <x v="163"/>
    <x v="30"/>
    <x v="170"/>
    <x v="101"/>
    <x v="2"/>
    <x v="74"/>
    <x v="12"/>
    <x v="13"/>
    <x v="123"/>
    <x v="147"/>
    <x v="0"/>
    <x v="0"/>
    <x v="10"/>
    <x v="13"/>
    <x v="17"/>
  </r>
  <r>
    <x v="20"/>
    <x v="40"/>
    <x v="50"/>
    <x v="0"/>
    <x v="22"/>
    <x v="39"/>
    <x v="39"/>
    <x v="38"/>
    <x v="38"/>
    <x v="0"/>
    <x v="178"/>
    <x v="183"/>
    <x v="167"/>
    <x v="164"/>
    <x v="13"/>
    <x v="171"/>
    <x v="18"/>
    <x v="2"/>
    <x v="14"/>
    <x v="3"/>
    <x v="3"/>
    <x v="20"/>
    <x v="148"/>
    <x v="0"/>
    <x v="0"/>
    <x v="5"/>
    <x v="2"/>
    <x v="22"/>
  </r>
  <r>
    <x v="20"/>
    <x v="42"/>
    <x v="52"/>
    <x v="0"/>
    <x v="24"/>
    <x v="41"/>
    <x v="41"/>
    <x v="40"/>
    <x v="40"/>
    <x v="0"/>
    <x v="179"/>
    <x v="184"/>
    <x v="168"/>
    <x v="165"/>
    <x v="30"/>
    <x v="172"/>
    <x v="102"/>
    <x v="4"/>
    <x v="25"/>
    <x v="31"/>
    <x v="0"/>
    <x v="124"/>
    <x v="149"/>
    <x v="0"/>
    <x v="0"/>
    <x v="1"/>
    <x v="5"/>
    <x v="24"/>
  </r>
  <r>
    <x v="20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</r>
  <r>
    <x v="20"/>
    <x v="44"/>
    <x v="54"/>
    <x v="0"/>
    <x v="26"/>
    <x v="43"/>
    <x v="43"/>
    <x v="42"/>
    <x v="42"/>
    <x v="0"/>
    <x v="180"/>
    <x v="185"/>
    <x v="169"/>
    <x v="166"/>
    <x v="51"/>
    <x v="173"/>
    <x v="21"/>
    <x v="2"/>
    <x v="8"/>
    <x v="5"/>
    <x v="3"/>
    <x v="22"/>
    <x v="150"/>
    <x v="0"/>
    <x v="0"/>
    <x v="5"/>
    <x v="2"/>
    <x v="26"/>
  </r>
  <r>
    <x v="21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21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21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21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21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21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</r>
  <r>
    <x v="21"/>
    <x v="37"/>
    <x v="46"/>
    <x v="0"/>
    <x v="21"/>
    <x v="35"/>
    <x v="35"/>
    <x v="34"/>
    <x v="34"/>
    <x v="0"/>
    <x v="119"/>
    <x v="186"/>
    <x v="72"/>
    <x v="167"/>
    <x v="4"/>
    <x v="174"/>
    <x v="15"/>
    <x v="2"/>
    <x v="14"/>
    <x v="3"/>
    <x v="3"/>
    <x v="15"/>
    <x v="15"/>
    <x v="0"/>
    <x v="0"/>
    <x v="5"/>
    <x v="2"/>
    <x v="21"/>
  </r>
  <r>
    <x v="21"/>
    <x v="39"/>
    <x v="48"/>
    <x v="0"/>
    <x v="9"/>
    <x v="37"/>
    <x v="37"/>
    <x v="36"/>
    <x v="36"/>
    <x v="0"/>
    <x v="181"/>
    <x v="187"/>
    <x v="170"/>
    <x v="168"/>
    <x v="30"/>
    <x v="175"/>
    <x v="39"/>
    <x v="3"/>
    <x v="55"/>
    <x v="1"/>
    <x v="2"/>
    <x v="125"/>
    <x v="151"/>
    <x v="0"/>
    <x v="0"/>
    <x v="5"/>
    <x v="5"/>
    <x v="9"/>
  </r>
  <r>
    <x v="21"/>
    <x v="26"/>
    <x v="49"/>
    <x v="0"/>
    <x v="17"/>
    <x v="38"/>
    <x v="38"/>
    <x v="37"/>
    <x v="37"/>
    <x v="0"/>
    <x v="182"/>
    <x v="188"/>
    <x v="171"/>
    <x v="169"/>
    <x v="2"/>
    <x v="176"/>
    <x v="89"/>
    <x v="10"/>
    <x v="69"/>
    <x v="22"/>
    <x v="5"/>
    <x v="126"/>
    <x v="152"/>
    <x v="0"/>
    <x v="0"/>
    <x v="7"/>
    <x v="13"/>
    <x v="17"/>
  </r>
  <r>
    <x v="21"/>
    <x v="40"/>
    <x v="50"/>
    <x v="0"/>
    <x v="22"/>
    <x v="39"/>
    <x v="39"/>
    <x v="38"/>
    <x v="3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2"/>
  </r>
  <r>
    <x v="21"/>
    <x v="42"/>
    <x v="52"/>
    <x v="0"/>
    <x v="24"/>
    <x v="41"/>
    <x v="41"/>
    <x v="40"/>
    <x v="40"/>
    <x v="0"/>
    <x v="183"/>
    <x v="189"/>
    <x v="172"/>
    <x v="170"/>
    <x v="12"/>
    <x v="177"/>
    <x v="103"/>
    <x v="6"/>
    <x v="75"/>
    <x v="38"/>
    <x v="4"/>
    <x v="63"/>
    <x v="153"/>
    <x v="0"/>
    <x v="0"/>
    <x v="24"/>
    <x v="13"/>
    <x v="24"/>
  </r>
  <r>
    <x v="21"/>
    <x v="44"/>
    <x v="54"/>
    <x v="0"/>
    <x v="26"/>
    <x v="43"/>
    <x v="43"/>
    <x v="42"/>
    <x v="42"/>
    <x v="0"/>
    <x v="184"/>
    <x v="190"/>
    <x v="20"/>
    <x v="171"/>
    <x v="53"/>
    <x v="178"/>
    <x v="15"/>
    <x v="2"/>
    <x v="14"/>
    <x v="3"/>
    <x v="3"/>
    <x v="15"/>
    <x v="15"/>
    <x v="0"/>
    <x v="0"/>
    <x v="5"/>
    <x v="2"/>
    <x v="26"/>
  </r>
  <r>
    <x v="22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4"/>
    <x v="2"/>
    <x v="17"/>
  </r>
  <r>
    <x v="22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</r>
  <r>
    <x v="22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</r>
  <r>
    <x v="22"/>
    <x v="39"/>
    <x v="48"/>
    <x v="0"/>
    <x v="9"/>
    <x v="37"/>
    <x v="37"/>
    <x v="36"/>
    <x v="36"/>
    <x v="0"/>
    <x v="185"/>
    <x v="191"/>
    <x v="173"/>
    <x v="172"/>
    <x v="0"/>
    <x v="179"/>
    <x v="77"/>
    <x v="10"/>
    <x v="29"/>
    <x v="12"/>
    <x v="1"/>
    <x v="127"/>
    <x v="154"/>
    <x v="0"/>
    <x v="0"/>
    <x v="4"/>
    <x v="5"/>
    <x v="9"/>
  </r>
  <r>
    <x v="22"/>
    <x v="26"/>
    <x v="49"/>
    <x v="0"/>
    <x v="17"/>
    <x v="38"/>
    <x v="38"/>
    <x v="37"/>
    <x v="37"/>
    <x v="0"/>
    <x v="186"/>
    <x v="192"/>
    <x v="174"/>
    <x v="118"/>
    <x v="2"/>
    <x v="131"/>
    <x v="104"/>
    <x v="7"/>
    <x v="76"/>
    <x v="17"/>
    <x v="24"/>
    <x v="128"/>
    <x v="155"/>
    <x v="0"/>
    <x v="0"/>
    <x v="7"/>
    <x v="12"/>
    <x v="17"/>
  </r>
  <r>
    <x v="22"/>
    <x v="40"/>
    <x v="50"/>
    <x v="0"/>
    <x v="22"/>
    <x v="39"/>
    <x v="39"/>
    <x v="38"/>
    <x v="3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2"/>
  </r>
  <r>
    <x v="22"/>
    <x v="42"/>
    <x v="52"/>
    <x v="0"/>
    <x v="24"/>
    <x v="41"/>
    <x v="41"/>
    <x v="40"/>
    <x v="40"/>
    <x v="0"/>
    <x v="187"/>
    <x v="193"/>
    <x v="175"/>
    <x v="173"/>
    <x v="12"/>
    <x v="180"/>
    <x v="105"/>
    <x v="15"/>
    <x v="77"/>
    <x v="30"/>
    <x v="26"/>
    <x v="129"/>
    <x v="156"/>
    <x v="0"/>
    <x v="0"/>
    <x v="26"/>
    <x v="3"/>
    <x v="24"/>
  </r>
  <r>
    <x v="22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</r>
  <r>
    <x v="23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</r>
  <r>
    <x v="23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23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23"/>
    <x v="33"/>
    <x v="43"/>
    <x v="0"/>
    <x v="18"/>
    <x v="32"/>
    <x v="32"/>
    <x v="31"/>
    <x v="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</r>
  <r>
    <x v="23"/>
    <x v="37"/>
    <x v="46"/>
    <x v="0"/>
    <x v="21"/>
    <x v="35"/>
    <x v="35"/>
    <x v="34"/>
    <x v="34"/>
    <x v="0"/>
    <x v="188"/>
    <x v="194"/>
    <x v="176"/>
    <x v="173"/>
    <x v="42"/>
    <x v="181"/>
    <x v="106"/>
    <x v="0"/>
    <x v="28"/>
    <x v="1"/>
    <x v="24"/>
    <x v="130"/>
    <x v="119"/>
    <x v="0"/>
    <x v="0"/>
    <x v="14"/>
    <x v="1"/>
    <x v="21"/>
  </r>
  <r>
    <x v="23"/>
    <x v="39"/>
    <x v="48"/>
    <x v="0"/>
    <x v="9"/>
    <x v="37"/>
    <x v="37"/>
    <x v="36"/>
    <x v="36"/>
    <x v="0"/>
    <x v="189"/>
    <x v="195"/>
    <x v="177"/>
    <x v="174"/>
    <x v="42"/>
    <x v="182"/>
    <x v="107"/>
    <x v="1"/>
    <x v="17"/>
    <x v="13"/>
    <x v="2"/>
    <x v="131"/>
    <x v="157"/>
    <x v="0"/>
    <x v="0"/>
    <x v="4"/>
    <x v="12"/>
    <x v="9"/>
  </r>
  <r>
    <x v="23"/>
    <x v="26"/>
    <x v="49"/>
    <x v="0"/>
    <x v="17"/>
    <x v="38"/>
    <x v="38"/>
    <x v="37"/>
    <x v="37"/>
    <x v="0"/>
    <x v="190"/>
    <x v="196"/>
    <x v="178"/>
    <x v="175"/>
    <x v="0"/>
    <x v="183"/>
    <x v="108"/>
    <x v="2"/>
    <x v="78"/>
    <x v="14"/>
    <x v="27"/>
    <x v="132"/>
    <x v="158"/>
    <x v="0"/>
    <x v="0"/>
    <x v="4"/>
    <x v="6"/>
    <x v="17"/>
  </r>
  <r>
    <x v="23"/>
    <x v="42"/>
    <x v="52"/>
    <x v="0"/>
    <x v="24"/>
    <x v="41"/>
    <x v="41"/>
    <x v="40"/>
    <x v="40"/>
    <x v="0"/>
    <x v="191"/>
    <x v="197"/>
    <x v="179"/>
    <x v="176"/>
    <x v="37"/>
    <x v="184"/>
    <x v="34"/>
    <x v="2"/>
    <x v="37"/>
    <x v="39"/>
    <x v="0"/>
    <x v="133"/>
    <x v="31"/>
    <x v="0"/>
    <x v="0"/>
    <x v="10"/>
    <x v="12"/>
    <x v="24"/>
  </r>
  <r>
    <x v="23"/>
    <x v="44"/>
    <x v="54"/>
    <x v="0"/>
    <x v="26"/>
    <x v="43"/>
    <x v="43"/>
    <x v="42"/>
    <x v="42"/>
    <x v="0"/>
    <x v="192"/>
    <x v="198"/>
    <x v="180"/>
    <x v="177"/>
    <x v="42"/>
    <x v="185"/>
    <x v="15"/>
    <x v="2"/>
    <x v="42"/>
    <x v="5"/>
    <x v="3"/>
    <x v="83"/>
    <x v="159"/>
    <x v="0"/>
    <x v="0"/>
    <x v="5"/>
    <x v="2"/>
    <x v="26"/>
  </r>
  <r>
    <x v="24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24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24"/>
    <x v="37"/>
    <x v="46"/>
    <x v="0"/>
    <x v="21"/>
    <x v="35"/>
    <x v="35"/>
    <x v="34"/>
    <x v="34"/>
    <x v="0"/>
    <x v="193"/>
    <x v="199"/>
    <x v="181"/>
    <x v="178"/>
    <x v="37"/>
    <x v="186"/>
    <x v="109"/>
    <x v="10"/>
    <x v="12"/>
    <x v="13"/>
    <x v="5"/>
    <x v="134"/>
    <x v="160"/>
    <x v="0"/>
    <x v="0"/>
    <x v="27"/>
    <x v="18"/>
    <x v="21"/>
  </r>
  <r>
    <x v="24"/>
    <x v="38"/>
    <x v="47"/>
    <x v="1"/>
    <x v="9"/>
    <x v="36"/>
    <x v="36"/>
    <x v="35"/>
    <x v="35"/>
    <x v="0"/>
    <x v="194"/>
    <x v="200"/>
    <x v="182"/>
    <x v="179"/>
    <x v="46"/>
    <x v="187"/>
    <x v="26"/>
    <x v="2"/>
    <x v="24"/>
    <x v="3"/>
    <x v="3"/>
    <x v="83"/>
    <x v="161"/>
    <x v="0"/>
    <x v="0"/>
    <x v="8"/>
    <x v="5"/>
    <x v="9"/>
  </r>
  <r>
    <x v="24"/>
    <x v="39"/>
    <x v="48"/>
    <x v="0"/>
    <x v="9"/>
    <x v="37"/>
    <x v="37"/>
    <x v="36"/>
    <x v="36"/>
    <x v="0"/>
    <x v="195"/>
    <x v="201"/>
    <x v="183"/>
    <x v="180"/>
    <x v="30"/>
    <x v="188"/>
    <x v="39"/>
    <x v="10"/>
    <x v="79"/>
    <x v="13"/>
    <x v="1"/>
    <x v="125"/>
    <x v="162"/>
    <x v="0"/>
    <x v="0"/>
    <x v="7"/>
    <x v="13"/>
    <x v="9"/>
  </r>
  <r>
    <x v="24"/>
    <x v="26"/>
    <x v="49"/>
    <x v="0"/>
    <x v="17"/>
    <x v="38"/>
    <x v="38"/>
    <x v="37"/>
    <x v="37"/>
    <x v="0"/>
    <x v="196"/>
    <x v="202"/>
    <x v="184"/>
    <x v="148"/>
    <x v="37"/>
    <x v="189"/>
    <x v="110"/>
    <x v="1"/>
    <x v="80"/>
    <x v="40"/>
    <x v="9"/>
    <x v="135"/>
    <x v="163"/>
    <x v="0"/>
    <x v="0"/>
    <x v="0"/>
    <x v="13"/>
    <x v="17"/>
  </r>
  <r>
    <x v="24"/>
    <x v="42"/>
    <x v="52"/>
    <x v="0"/>
    <x v="24"/>
    <x v="41"/>
    <x v="41"/>
    <x v="40"/>
    <x v="40"/>
    <x v="0"/>
    <x v="197"/>
    <x v="203"/>
    <x v="185"/>
    <x v="181"/>
    <x v="30"/>
    <x v="190"/>
    <x v="111"/>
    <x v="0"/>
    <x v="81"/>
    <x v="41"/>
    <x v="8"/>
    <x v="136"/>
    <x v="156"/>
    <x v="0"/>
    <x v="0"/>
    <x v="28"/>
    <x v="6"/>
    <x v="24"/>
  </r>
  <r>
    <x v="24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</r>
  <r>
    <x v="24"/>
    <x v="44"/>
    <x v="54"/>
    <x v="0"/>
    <x v="26"/>
    <x v="43"/>
    <x v="43"/>
    <x v="42"/>
    <x v="42"/>
    <x v="0"/>
    <x v="198"/>
    <x v="204"/>
    <x v="186"/>
    <x v="60"/>
    <x v="12"/>
    <x v="191"/>
    <x v="23"/>
    <x v="0"/>
    <x v="24"/>
    <x v="11"/>
    <x v="3"/>
    <x v="68"/>
    <x v="164"/>
    <x v="0"/>
    <x v="0"/>
    <x v="5"/>
    <x v="2"/>
    <x v="26"/>
  </r>
  <r>
    <x v="24"/>
    <x v="45"/>
    <x v="55"/>
    <x v="0"/>
    <x v="27"/>
    <x v="44"/>
    <x v="44"/>
    <x v="43"/>
    <x v="43"/>
    <x v="0"/>
    <x v="199"/>
    <x v="205"/>
    <x v="187"/>
    <x v="127"/>
    <x v="28"/>
    <x v="74"/>
    <x v="44"/>
    <x v="4"/>
    <x v="82"/>
    <x v="8"/>
    <x v="8"/>
    <x v="137"/>
    <x v="165"/>
    <x v="0"/>
    <x v="0"/>
    <x v="29"/>
    <x v="32"/>
    <x v="27"/>
  </r>
  <r>
    <x v="24"/>
    <x v="46"/>
    <x v="56"/>
    <x v="0"/>
    <x v="28"/>
    <x v="45"/>
    <x v="45"/>
    <x v="44"/>
    <x v="44"/>
    <x v="0"/>
    <x v="200"/>
    <x v="206"/>
    <x v="188"/>
    <x v="182"/>
    <x v="1"/>
    <x v="192"/>
    <x v="112"/>
    <x v="7"/>
    <x v="1"/>
    <x v="0"/>
    <x v="8"/>
    <x v="138"/>
    <x v="166"/>
    <x v="0"/>
    <x v="0"/>
    <x v="4"/>
    <x v="11"/>
    <x v="28"/>
  </r>
  <r>
    <x v="24"/>
    <x v="47"/>
    <x v="57"/>
    <x v="0"/>
    <x v="29"/>
    <x v="46"/>
    <x v="46"/>
    <x v="45"/>
    <x v="45"/>
    <x v="0"/>
    <x v="201"/>
    <x v="207"/>
    <x v="189"/>
    <x v="183"/>
    <x v="42"/>
    <x v="193"/>
    <x v="38"/>
    <x v="1"/>
    <x v="79"/>
    <x v="2"/>
    <x v="7"/>
    <x v="39"/>
    <x v="167"/>
    <x v="0"/>
    <x v="0"/>
    <x v="10"/>
    <x v="11"/>
    <x v="29"/>
  </r>
  <r>
    <x v="24"/>
    <x v="48"/>
    <x v="58"/>
    <x v="0"/>
    <x v="30"/>
    <x v="47"/>
    <x v="47"/>
    <x v="46"/>
    <x v="46"/>
    <x v="0"/>
    <x v="202"/>
    <x v="208"/>
    <x v="190"/>
    <x v="184"/>
    <x v="28"/>
    <x v="194"/>
    <x v="30"/>
    <x v="1"/>
    <x v="8"/>
    <x v="11"/>
    <x v="1"/>
    <x v="52"/>
    <x v="168"/>
    <x v="0"/>
    <x v="0"/>
    <x v="7"/>
    <x v="6"/>
    <x v="30"/>
  </r>
  <r>
    <x v="24"/>
    <x v="49"/>
    <x v="59"/>
    <x v="1"/>
    <x v="22"/>
    <x v="48"/>
    <x v="48"/>
    <x v="47"/>
    <x v="47"/>
    <x v="0"/>
    <x v="203"/>
    <x v="209"/>
    <x v="191"/>
    <x v="8"/>
    <x v="25"/>
    <x v="195"/>
    <x v="14"/>
    <x v="2"/>
    <x v="20"/>
    <x v="5"/>
    <x v="3"/>
    <x v="139"/>
    <x v="169"/>
    <x v="0"/>
    <x v="0"/>
    <x v="5"/>
    <x v="2"/>
    <x v="22"/>
  </r>
  <r>
    <x v="25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25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</r>
  <r>
    <x v="25"/>
    <x v="37"/>
    <x v="46"/>
    <x v="0"/>
    <x v="21"/>
    <x v="35"/>
    <x v="35"/>
    <x v="34"/>
    <x v="34"/>
    <x v="0"/>
    <x v="204"/>
    <x v="210"/>
    <x v="192"/>
    <x v="185"/>
    <x v="30"/>
    <x v="196"/>
    <x v="16"/>
    <x v="7"/>
    <x v="36"/>
    <x v="3"/>
    <x v="13"/>
    <x v="45"/>
    <x v="170"/>
    <x v="0"/>
    <x v="0"/>
    <x v="28"/>
    <x v="9"/>
    <x v="21"/>
  </r>
  <r>
    <x v="25"/>
    <x v="38"/>
    <x v="47"/>
    <x v="1"/>
    <x v="9"/>
    <x v="36"/>
    <x v="36"/>
    <x v="35"/>
    <x v="35"/>
    <x v="0"/>
    <x v="205"/>
    <x v="211"/>
    <x v="193"/>
    <x v="186"/>
    <x v="18"/>
    <x v="197"/>
    <x v="21"/>
    <x v="2"/>
    <x v="24"/>
    <x v="5"/>
    <x v="3"/>
    <x v="68"/>
    <x v="171"/>
    <x v="0"/>
    <x v="0"/>
    <x v="25"/>
    <x v="2"/>
    <x v="9"/>
  </r>
  <r>
    <x v="25"/>
    <x v="39"/>
    <x v="48"/>
    <x v="0"/>
    <x v="9"/>
    <x v="37"/>
    <x v="37"/>
    <x v="36"/>
    <x v="36"/>
    <x v="0"/>
    <x v="206"/>
    <x v="212"/>
    <x v="194"/>
    <x v="187"/>
    <x v="10"/>
    <x v="198"/>
    <x v="113"/>
    <x v="5"/>
    <x v="53"/>
    <x v="13"/>
    <x v="1"/>
    <x v="140"/>
    <x v="172"/>
    <x v="0"/>
    <x v="0"/>
    <x v="10"/>
    <x v="13"/>
    <x v="9"/>
  </r>
  <r>
    <x v="25"/>
    <x v="26"/>
    <x v="49"/>
    <x v="0"/>
    <x v="17"/>
    <x v="38"/>
    <x v="38"/>
    <x v="37"/>
    <x v="37"/>
    <x v="0"/>
    <x v="207"/>
    <x v="213"/>
    <x v="195"/>
    <x v="156"/>
    <x v="41"/>
    <x v="199"/>
    <x v="101"/>
    <x v="0"/>
    <x v="83"/>
    <x v="10"/>
    <x v="8"/>
    <x v="141"/>
    <x v="173"/>
    <x v="0"/>
    <x v="0"/>
    <x v="4"/>
    <x v="6"/>
    <x v="17"/>
  </r>
  <r>
    <x v="25"/>
    <x v="42"/>
    <x v="52"/>
    <x v="0"/>
    <x v="24"/>
    <x v="41"/>
    <x v="41"/>
    <x v="40"/>
    <x v="40"/>
    <x v="0"/>
    <x v="208"/>
    <x v="214"/>
    <x v="113"/>
    <x v="188"/>
    <x v="1"/>
    <x v="200"/>
    <x v="15"/>
    <x v="2"/>
    <x v="14"/>
    <x v="3"/>
    <x v="3"/>
    <x v="15"/>
    <x v="15"/>
    <x v="0"/>
    <x v="0"/>
    <x v="5"/>
    <x v="2"/>
    <x v="24"/>
  </r>
  <r>
    <x v="25"/>
    <x v="44"/>
    <x v="54"/>
    <x v="0"/>
    <x v="26"/>
    <x v="43"/>
    <x v="43"/>
    <x v="42"/>
    <x v="4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6"/>
  </r>
  <r>
    <x v="25"/>
    <x v="45"/>
    <x v="55"/>
    <x v="0"/>
    <x v="27"/>
    <x v="44"/>
    <x v="44"/>
    <x v="43"/>
    <x v="43"/>
    <x v="0"/>
    <x v="209"/>
    <x v="215"/>
    <x v="196"/>
    <x v="67"/>
    <x v="28"/>
    <x v="201"/>
    <x v="88"/>
    <x v="0"/>
    <x v="71"/>
    <x v="13"/>
    <x v="4"/>
    <x v="89"/>
    <x v="174"/>
    <x v="0"/>
    <x v="0"/>
    <x v="27"/>
    <x v="33"/>
    <x v="27"/>
  </r>
  <r>
    <x v="25"/>
    <x v="46"/>
    <x v="56"/>
    <x v="0"/>
    <x v="28"/>
    <x v="45"/>
    <x v="45"/>
    <x v="44"/>
    <x v="44"/>
    <x v="0"/>
    <x v="210"/>
    <x v="216"/>
    <x v="197"/>
    <x v="189"/>
    <x v="1"/>
    <x v="202"/>
    <x v="114"/>
    <x v="6"/>
    <x v="84"/>
    <x v="1"/>
    <x v="1"/>
    <x v="28"/>
    <x v="175"/>
    <x v="0"/>
    <x v="0"/>
    <x v="1"/>
    <x v="12"/>
    <x v="28"/>
  </r>
  <r>
    <x v="25"/>
    <x v="47"/>
    <x v="57"/>
    <x v="0"/>
    <x v="29"/>
    <x v="46"/>
    <x v="46"/>
    <x v="45"/>
    <x v="45"/>
    <x v="0"/>
    <x v="211"/>
    <x v="217"/>
    <x v="198"/>
    <x v="190"/>
    <x v="4"/>
    <x v="203"/>
    <x v="49"/>
    <x v="10"/>
    <x v="85"/>
    <x v="42"/>
    <x v="0"/>
    <x v="142"/>
    <x v="176"/>
    <x v="0"/>
    <x v="0"/>
    <x v="1"/>
    <x v="11"/>
    <x v="29"/>
  </r>
  <r>
    <x v="25"/>
    <x v="48"/>
    <x v="58"/>
    <x v="0"/>
    <x v="30"/>
    <x v="47"/>
    <x v="47"/>
    <x v="46"/>
    <x v="46"/>
    <x v="0"/>
    <x v="212"/>
    <x v="218"/>
    <x v="199"/>
    <x v="191"/>
    <x v="1"/>
    <x v="204"/>
    <x v="15"/>
    <x v="2"/>
    <x v="14"/>
    <x v="3"/>
    <x v="3"/>
    <x v="15"/>
    <x v="15"/>
    <x v="0"/>
    <x v="0"/>
    <x v="5"/>
    <x v="2"/>
    <x v="30"/>
  </r>
  <r>
    <x v="25"/>
    <x v="49"/>
    <x v="59"/>
    <x v="1"/>
    <x v="22"/>
    <x v="48"/>
    <x v="48"/>
    <x v="47"/>
    <x v="47"/>
    <x v="0"/>
    <x v="213"/>
    <x v="219"/>
    <x v="200"/>
    <x v="192"/>
    <x v="54"/>
    <x v="205"/>
    <x v="54"/>
    <x v="1"/>
    <x v="7"/>
    <x v="3"/>
    <x v="2"/>
    <x v="85"/>
    <x v="177"/>
    <x v="0"/>
    <x v="0"/>
    <x v="1"/>
    <x v="2"/>
    <x v="22"/>
  </r>
  <r>
    <x v="25"/>
    <x v="50"/>
    <x v="60"/>
    <x v="1"/>
    <x v="24"/>
    <x v="49"/>
    <x v="49"/>
    <x v="48"/>
    <x v="48"/>
    <x v="0"/>
    <x v="214"/>
    <x v="220"/>
    <x v="201"/>
    <x v="193"/>
    <x v="27"/>
    <x v="206"/>
    <x v="94"/>
    <x v="2"/>
    <x v="53"/>
    <x v="43"/>
    <x v="4"/>
    <x v="143"/>
    <x v="178"/>
    <x v="0"/>
    <x v="0"/>
    <x v="0"/>
    <x v="10"/>
    <x v="24"/>
  </r>
  <r>
    <x v="25"/>
    <x v="51"/>
    <x v="61"/>
    <x v="1"/>
    <x v="27"/>
    <x v="50"/>
    <x v="50"/>
    <x v="49"/>
    <x v="49"/>
    <x v="0"/>
    <x v="215"/>
    <x v="221"/>
    <x v="202"/>
    <x v="194"/>
    <x v="14"/>
    <x v="207"/>
    <x v="22"/>
    <x v="2"/>
    <x v="42"/>
    <x v="3"/>
    <x v="3"/>
    <x v="68"/>
    <x v="179"/>
    <x v="0"/>
    <x v="0"/>
    <x v="2"/>
    <x v="12"/>
    <x v="27"/>
  </r>
  <r>
    <x v="25"/>
    <x v="52"/>
    <x v="62"/>
    <x v="0"/>
    <x v="31"/>
    <x v="51"/>
    <x v="51"/>
    <x v="50"/>
    <x v="50"/>
    <x v="0"/>
    <x v="216"/>
    <x v="222"/>
    <x v="203"/>
    <x v="195"/>
    <x v="2"/>
    <x v="208"/>
    <x v="115"/>
    <x v="0"/>
    <x v="86"/>
    <x v="44"/>
    <x v="24"/>
    <x v="72"/>
    <x v="180"/>
    <x v="0"/>
    <x v="0"/>
    <x v="30"/>
    <x v="2"/>
    <x v="31"/>
  </r>
  <r>
    <x v="25"/>
    <x v="53"/>
    <x v="63"/>
    <x v="1"/>
    <x v="29"/>
    <x v="52"/>
    <x v="52"/>
    <x v="51"/>
    <x v="51"/>
    <x v="0"/>
    <x v="217"/>
    <x v="223"/>
    <x v="51"/>
    <x v="196"/>
    <x v="19"/>
    <x v="209"/>
    <x v="36"/>
    <x v="1"/>
    <x v="2"/>
    <x v="5"/>
    <x v="2"/>
    <x v="101"/>
    <x v="181"/>
    <x v="0"/>
    <x v="0"/>
    <x v="5"/>
    <x v="5"/>
    <x v="29"/>
  </r>
  <r>
    <x v="25"/>
    <x v="54"/>
    <x v="64"/>
    <x v="1"/>
    <x v="7"/>
    <x v="53"/>
    <x v="53"/>
    <x v="52"/>
    <x v="52"/>
    <x v="0"/>
    <x v="218"/>
    <x v="224"/>
    <x v="204"/>
    <x v="10"/>
    <x v="31"/>
    <x v="210"/>
    <x v="34"/>
    <x v="2"/>
    <x v="84"/>
    <x v="1"/>
    <x v="3"/>
    <x v="90"/>
    <x v="182"/>
    <x v="0"/>
    <x v="0"/>
    <x v="1"/>
    <x v="11"/>
    <x v="7"/>
  </r>
  <r>
    <x v="25"/>
    <x v="55"/>
    <x v="65"/>
    <x v="1"/>
    <x v="6"/>
    <x v="54"/>
    <x v="54"/>
    <x v="53"/>
    <x v="53"/>
    <x v="0"/>
    <x v="219"/>
    <x v="225"/>
    <x v="205"/>
    <x v="143"/>
    <x v="55"/>
    <x v="211"/>
    <x v="39"/>
    <x v="1"/>
    <x v="0"/>
    <x v="12"/>
    <x v="4"/>
    <x v="144"/>
    <x v="183"/>
    <x v="0"/>
    <x v="0"/>
    <x v="4"/>
    <x v="2"/>
    <x v="6"/>
  </r>
  <r>
    <x v="26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</r>
  <r>
    <x v="26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2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26"/>
    <x v="37"/>
    <x v="46"/>
    <x v="0"/>
    <x v="21"/>
    <x v="35"/>
    <x v="35"/>
    <x v="34"/>
    <x v="34"/>
    <x v="0"/>
    <x v="220"/>
    <x v="226"/>
    <x v="72"/>
    <x v="197"/>
    <x v="36"/>
    <x v="212"/>
    <x v="15"/>
    <x v="2"/>
    <x v="14"/>
    <x v="3"/>
    <x v="3"/>
    <x v="15"/>
    <x v="15"/>
    <x v="0"/>
    <x v="0"/>
    <x v="5"/>
    <x v="2"/>
    <x v="21"/>
  </r>
  <r>
    <x v="26"/>
    <x v="38"/>
    <x v="47"/>
    <x v="1"/>
    <x v="9"/>
    <x v="36"/>
    <x v="36"/>
    <x v="35"/>
    <x v="35"/>
    <x v="0"/>
    <x v="221"/>
    <x v="227"/>
    <x v="206"/>
    <x v="198"/>
    <x v="34"/>
    <x v="213"/>
    <x v="13"/>
    <x v="1"/>
    <x v="19"/>
    <x v="3"/>
    <x v="3"/>
    <x v="50"/>
    <x v="184"/>
    <x v="0"/>
    <x v="0"/>
    <x v="14"/>
    <x v="2"/>
    <x v="9"/>
  </r>
  <r>
    <x v="26"/>
    <x v="39"/>
    <x v="48"/>
    <x v="0"/>
    <x v="9"/>
    <x v="37"/>
    <x v="37"/>
    <x v="36"/>
    <x v="36"/>
    <x v="0"/>
    <x v="222"/>
    <x v="228"/>
    <x v="207"/>
    <x v="199"/>
    <x v="12"/>
    <x v="214"/>
    <x v="11"/>
    <x v="10"/>
    <x v="87"/>
    <x v="1"/>
    <x v="3"/>
    <x v="145"/>
    <x v="185"/>
    <x v="0"/>
    <x v="0"/>
    <x v="1"/>
    <x v="5"/>
    <x v="9"/>
  </r>
  <r>
    <x v="26"/>
    <x v="26"/>
    <x v="49"/>
    <x v="0"/>
    <x v="17"/>
    <x v="38"/>
    <x v="38"/>
    <x v="37"/>
    <x v="37"/>
    <x v="0"/>
    <x v="223"/>
    <x v="229"/>
    <x v="208"/>
    <x v="150"/>
    <x v="12"/>
    <x v="215"/>
    <x v="116"/>
    <x v="10"/>
    <x v="88"/>
    <x v="18"/>
    <x v="27"/>
    <x v="146"/>
    <x v="186"/>
    <x v="0"/>
    <x v="0"/>
    <x v="7"/>
    <x v="12"/>
    <x v="17"/>
  </r>
  <r>
    <x v="26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24"/>
  </r>
  <r>
    <x v="26"/>
    <x v="45"/>
    <x v="55"/>
    <x v="0"/>
    <x v="27"/>
    <x v="44"/>
    <x v="44"/>
    <x v="43"/>
    <x v="43"/>
    <x v="0"/>
    <x v="224"/>
    <x v="230"/>
    <x v="209"/>
    <x v="200"/>
    <x v="4"/>
    <x v="216"/>
    <x v="117"/>
    <x v="15"/>
    <x v="78"/>
    <x v="35"/>
    <x v="23"/>
    <x v="147"/>
    <x v="187"/>
    <x v="0"/>
    <x v="0"/>
    <x v="31"/>
    <x v="34"/>
    <x v="27"/>
  </r>
  <r>
    <x v="26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</r>
  <r>
    <x v="26"/>
    <x v="47"/>
    <x v="57"/>
    <x v="0"/>
    <x v="29"/>
    <x v="46"/>
    <x v="46"/>
    <x v="45"/>
    <x v="45"/>
    <x v="0"/>
    <x v="225"/>
    <x v="231"/>
    <x v="210"/>
    <x v="201"/>
    <x v="30"/>
    <x v="217"/>
    <x v="118"/>
    <x v="7"/>
    <x v="89"/>
    <x v="8"/>
    <x v="4"/>
    <x v="104"/>
    <x v="188"/>
    <x v="0"/>
    <x v="0"/>
    <x v="2"/>
    <x v="2"/>
    <x v="29"/>
  </r>
  <r>
    <x v="26"/>
    <x v="49"/>
    <x v="59"/>
    <x v="1"/>
    <x v="22"/>
    <x v="48"/>
    <x v="48"/>
    <x v="47"/>
    <x v="47"/>
    <x v="0"/>
    <x v="226"/>
    <x v="232"/>
    <x v="211"/>
    <x v="202"/>
    <x v="56"/>
    <x v="218"/>
    <x v="54"/>
    <x v="2"/>
    <x v="90"/>
    <x v="11"/>
    <x v="1"/>
    <x v="148"/>
    <x v="189"/>
    <x v="0"/>
    <x v="0"/>
    <x v="4"/>
    <x v="2"/>
    <x v="22"/>
  </r>
  <r>
    <x v="26"/>
    <x v="50"/>
    <x v="60"/>
    <x v="1"/>
    <x v="24"/>
    <x v="49"/>
    <x v="49"/>
    <x v="48"/>
    <x v="48"/>
    <x v="0"/>
    <x v="30"/>
    <x v="97"/>
    <x v="29"/>
    <x v="30"/>
    <x v="16"/>
    <x v="29"/>
    <x v="15"/>
    <x v="2"/>
    <x v="14"/>
    <x v="3"/>
    <x v="3"/>
    <x v="15"/>
    <x v="15"/>
    <x v="0"/>
    <x v="0"/>
    <x v="5"/>
    <x v="2"/>
    <x v="24"/>
  </r>
  <r>
    <x v="26"/>
    <x v="51"/>
    <x v="61"/>
    <x v="1"/>
    <x v="27"/>
    <x v="50"/>
    <x v="50"/>
    <x v="49"/>
    <x v="49"/>
    <x v="0"/>
    <x v="227"/>
    <x v="233"/>
    <x v="212"/>
    <x v="203"/>
    <x v="27"/>
    <x v="219"/>
    <x v="63"/>
    <x v="2"/>
    <x v="91"/>
    <x v="11"/>
    <x v="0"/>
    <x v="149"/>
    <x v="190"/>
    <x v="0"/>
    <x v="0"/>
    <x v="3"/>
    <x v="26"/>
    <x v="27"/>
  </r>
  <r>
    <x v="26"/>
    <x v="52"/>
    <x v="62"/>
    <x v="0"/>
    <x v="31"/>
    <x v="51"/>
    <x v="51"/>
    <x v="50"/>
    <x v="50"/>
    <x v="0"/>
    <x v="228"/>
    <x v="234"/>
    <x v="113"/>
    <x v="25"/>
    <x v="9"/>
    <x v="220"/>
    <x v="18"/>
    <x v="2"/>
    <x v="14"/>
    <x v="3"/>
    <x v="3"/>
    <x v="20"/>
    <x v="191"/>
    <x v="0"/>
    <x v="0"/>
    <x v="5"/>
    <x v="2"/>
    <x v="31"/>
  </r>
  <r>
    <x v="26"/>
    <x v="53"/>
    <x v="63"/>
    <x v="1"/>
    <x v="29"/>
    <x v="52"/>
    <x v="52"/>
    <x v="51"/>
    <x v="51"/>
    <x v="0"/>
    <x v="229"/>
    <x v="235"/>
    <x v="213"/>
    <x v="204"/>
    <x v="34"/>
    <x v="221"/>
    <x v="43"/>
    <x v="0"/>
    <x v="45"/>
    <x v="11"/>
    <x v="3"/>
    <x v="87"/>
    <x v="192"/>
    <x v="0"/>
    <x v="0"/>
    <x v="2"/>
    <x v="11"/>
    <x v="29"/>
  </r>
  <r>
    <x v="26"/>
    <x v="54"/>
    <x v="64"/>
    <x v="1"/>
    <x v="7"/>
    <x v="53"/>
    <x v="53"/>
    <x v="52"/>
    <x v="52"/>
    <x v="0"/>
    <x v="230"/>
    <x v="236"/>
    <x v="214"/>
    <x v="205"/>
    <x v="57"/>
    <x v="222"/>
    <x v="40"/>
    <x v="1"/>
    <x v="92"/>
    <x v="3"/>
    <x v="0"/>
    <x v="150"/>
    <x v="193"/>
    <x v="0"/>
    <x v="0"/>
    <x v="1"/>
    <x v="11"/>
    <x v="7"/>
  </r>
  <r>
    <x v="26"/>
    <x v="55"/>
    <x v="65"/>
    <x v="1"/>
    <x v="6"/>
    <x v="54"/>
    <x v="54"/>
    <x v="53"/>
    <x v="53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6"/>
  </r>
  <r>
    <x v="26"/>
    <x v="56"/>
    <x v="66"/>
    <x v="1"/>
    <x v="31"/>
    <x v="55"/>
    <x v="55"/>
    <x v="54"/>
    <x v="54"/>
    <x v="0"/>
    <x v="231"/>
    <x v="238"/>
    <x v="215"/>
    <x v="206"/>
    <x v="36"/>
    <x v="223"/>
    <x v="119"/>
    <x v="1"/>
    <x v="0"/>
    <x v="44"/>
    <x v="13"/>
    <x v="92"/>
    <x v="194"/>
    <x v="0"/>
    <x v="0"/>
    <x v="32"/>
    <x v="2"/>
    <x v="31"/>
  </r>
  <r>
    <x v="26"/>
    <x v="57"/>
    <x v="67"/>
    <x v="0"/>
    <x v="32"/>
    <x v="56"/>
    <x v="56"/>
    <x v="55"/>
    <x v="55"/>
    <x v="0"/>
    <x v="232"/>
    <x v="239"/>
    <x v="216"/>
    <x v="207"/>
    <x v="1"/>
    <x v="224"/>
    <x v="39"/>
    <x v="0"/>
    <x v="9"/>
    <x v="45"/>
    <x v="1"/>
    <x v="151"/>
    <x v="158"/>
    <x v="0"/>
    <x v="0"/>
    <x v="1"/>
    <x v="10"/>
    <x v="32"/>
  </r>
  <r>
    <x v="26"/>
    <x v="58"/>
    <x v="68"/>
    <x v="0"/>
    <x v="33"/>
    <x v="57"/>
    <x v="57"/>
    <x v="56"/>
    <x v="56"/>
    <x v="0"/>
    <x v="233"/>
    <x v="240"/>
    <x v="217"/>
    <x v="208"/>
    <x v="37"/>
    <x v="26"/>
    <x v="120"/>
    <x v="7"/>
    <x v="52"/>
    <x v="1"/>
    <x v="23"/>
    <x v="152"/>
    <x v="16"/>
    <x v="0"/>
    <x v="0"/>
    <x v="2"/>
    <x v="2"/>
    <x v="33"/>
  </r>
  <r>
    <x v="26"/>
    <x v="59"/>
    <x v="69"/>
    <x v="0"/>
    <x v="34"/>
    <x v="58"/>
    <x v="58"/>
    <x v="57"/>
    <x v="57"/>
    <x v="0"/>
    <x v="234"/>
    <x v="241"/>
    <x v="218"/>
    <x v="209"/>
    <x v="12"/>
    <x v="225"/>
    <x v="121"/>
    <x v="3"/>
    <x v="71"/>
    <x v="32"/>
    <x v="0"/>
    <x v="153"/>
    <x v="195"/>
    <x v="1"/>
    <x v="1"/>
    <x v="23"/>
    <x v="11"/>
    <x v="34"/>
  </r>
  <r>
    <x v="26"/>
    <x v="60"/>
    <x v="70"/>
    <x v="0"/>
    <x v="35"/>
    <x v="59"/>
    <x v="59"/>
    <x v="58"/>
    <x v="58"/>
    <x v="0"/>
    <x v="235"/>
    <x v="242"/>
    <x v="219"/>
    <x v="210"/>
    <x v="58"/>
    <x v="226"/>
    <x v="56"/>
    <x v="2"/>
    <x v="2"/>
    <x v="3"/>
    <x v="1"/>
    <x v="154"/>
    <x v="196"/>
    <x v="0"/>
    <x v="0"/>
    <x v="2"/>
    <x v="6"/>
    <x v="35"/>
  </r>
  <r>
    <x v="26"/>
    <x v="61"/>
    <x v="71"/>
    <x v="0"/>
    <x v="36"/>
    <x v="60"/>
    <x v="60"/>
    <x v="59"/>
    <x v="59"/>
    <x v="0"/>
    <x v="236"/>
    <x v="243"/>
    <x v="220"/>
    <x v="211"/>
    <x v="37"/>
    <x v="227"/>
    <x v="122"/>
    <x v="1"/>
    <x v="93"/>
    <x v="12"/>
    <x v="22"/>
    <x v="155"/>
    <x v="197"/>
    <x v="0"/>
    <x v="0"/>
    <x v="1"/>
    <x v="23"/>
    <x v="36"/>
  </r>
  <r>
    <x v="27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2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27"/>
    <x v="37"/>
    <x v="46"/>
    <x v="0"/>
    <x v="21"/>
    <x v="35"/>
    <x v="35"/>
    <x v="34"/>
    <x v="3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1"/>
  </r>
  <r>
    <x v="27"/>
    <x v="38"/>
    <x v="47"/>
    <x v="1"/>
    <x v="9"/>
    <x v="36"/>
    <x v="36"/>
    <x v="35"/>
    <x v="35"/>
    <x v="0"/>
    <x v="237"/>
    <x v="244"/>
    <x v="221"/>
    <x v="212"/>
    <x v="59"/>
    <x v="228"/>
    <x v="2"/>
    <x v="2"/>
    <x v="20"/>
    <x v="3"/>
    <x v="2"/>
    <x v="78"/>
    <x v="198"/>
    <x v="0"/>
    <x v="0"/>
    <x v="1"/>
    <x v="5"/>
    <x v="9"/>
  </r>
  <r>
    <x v="27"/>
    <x v="39"/>
    <x v="48"/>
    <x v="0"/>
    <x v="9"/>
    <x v="37"/>
    <x v="37"/>
    <x v="36"/>
    <x v="36"/>
    <x v="0"/>
    <x v="238"/>
    <x v="245"/>
    <x v="222"/>
    <x v="213"/>
    <x v="12"/>
    <x v="202"/>
    <x v="3"/>
    <x v="2"/>
    <x v="7"/>
    <x v="13"/>
    <x v="3"/>
    <x v="156"/>
    <x v="199"/>
    <x v="0"/>
    <x v="0"/>
    <x v="4"/>
    <x v="2"/>
    <x v="9"/>
  </r>
  <r>
    <x v="27"/>
    <x v="26"/>
    <x v="49"/>
    <x v="0"/>
    <x v="17"/>
    <x v="38"/>
    <x v="38"/>
    <x v="37"/>
    <x v="37"/>
    <x v="0"/>
    <x v="239"/>
    <x v="246"/>
    <x v="223"/>
    <x v="214"/>
    <x v="42"/>
    <x v="229"/>
    <x v="8"/>
    <x v="2"/>
    <x v="24"/>
    <x v="3"/>
    <x v="3"/>
    <x v="70"/>
    <x v="200"/>
    <x v="0"/>
    <x v="0"/>
    <x v="5"/>
    <x v="2"/>
    <x v="17"/>
  </r>
  <r>
    <x v="27"/>
    <x v="45"/>
    <x v="55"/>
    <x v="0"/>
    <x v="27"/>
    <x v="44"/>
    <x v="44"/>
    <x v="43"/>
    <x v="43"/>
    <x v="0"/>
    <x v="240"/>
    <x v="247"/>
    <x v="224"/>
    <x v="215"/>
    <x v="42"/>
    <x v="230"/>
    <x v="123"/>
    <x v="3"/>
    <x v="94"/>
    <x v="14"/>
    <x v="24"/>
    <x v="157"/>
    <x v="100"/>
    <x v="0"/>
    <x v="0"/>
    <x v="33"/>
    <x v="35"/>
    <x v="27"/>
  </r>
  <r>
    <x v="27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</r>
  <r>
    <x v="27"/>
    <x v="47"/>
    <x v="57"/>
    <x v="0"/>
    <x v="29"/>
    <x v="46"/>
    <x v="46"/>
    <x v="45"/>
    <x v="45"/>
    <x v="0"/>
    <x v="241"/>
    <x v="248"/>
    <x v="225"/>
    <x v="6"/>
    <x v="0"/>
    <x v="231"/>
    <x v="124"/>
    <x v="10"/>
    <x v="95"/>
    <x v="46"/>
    <x v="28"/>
    <x v="158"/>
    <x v="201"/>
    <x v="0"/>
    <x v="0"/>
    <x v="5"/>
    <x v="12"/>
    <x v="29"/>
  </r>
  <r>
    <x v="27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</r>
  <r>
    <x v="27"/>
    <x v="49"/>
    <x v="59"/>
    <x v="1"/>
    <x v="22"/>
    <x v="48"/>
    <x v="48"/>
    <x v="47"/>
    <x v="47"/>
    <x v="0"/>
    <x v="242"/>
    <x v="249"/>
    <x v="226"/>
    <x v="216"/>
    <x v="38"/>
    <x v="232"/>
    <x v="64"/>
    <x v="0"/>
    <x v="20"/>
    <x v="0"/>
    <x v="2"/>
    <x v="154"/>
    <x v="202"/>
    <x v="0"/>
    <x v="0"/>
    <x v="4"/>
    <x v="2"/>
    <x v="22"/>
  </r>
  <r>
    <x v="27"/>
    <x v="51"/>
    <x v="61"/>
    <x v="1"/>
    <x v="27"/>
    <x v="50"/>
    <x v="50"/>
    <x v="49"/>
    <x v="49"/>
    <x v="0"/>
    <x v="243"/>
    <x v="250"/>
    <x v="227"/>
    <x v="217"/>
    <x v="26"/>
    <x v="233"/>
    <x v="125"/>
    <x v="2"/>
    <x v="50"/>
    <x v="5"/>
    <x v="3"/>
    <x v="26"/>
    <x v="203"/>
    <x v="0"/>
    <x v="0"/>
    <x v="1"/>
    <x v="11"/>
    <x v="27"/>
  </r>
  <r>
    <x v="27"/>
    <x v="53"/>
    <x v="63"/>
    <x v="1"/>
    <x v="29"/>
    <x v="52"/>
    <x v="52"/>
    <x v="51"/>
    <x v="51"/>
    <x v="0"/>
    <x v="244"/>
    <x v="251"/>
    <x v="228"/>
    <x v="218"/>
    <x v="60"/>
    <x v="234"/>
    <x v="126"/>
    <x v="2"/>
    <x v="13"/>
    <x v="1"/>
    <x v="1"/>
    <x v="79"/>
    <x v="204"/>
    <x v="0"/>
    <x v="0"/>
    <x v="5"/>
    <x v="11"/>
    <x v="29"/>
  </r>
  <r>
    <x v="27"/>
    <x v="54"/>
    <x v="64"/>
    <x v="1"/>
    <x v="7"/>
    <x v="53"/>
    <x v="53"/>
    <x v="52"/>
    <x v="52"/>
    <x v="0"/>
    <x v="245"/>
    <x v="252"/>
    <x v="229"/>
    <x v="219"/>
    <x v="61"/>
    <x v="235"/>
    <x v="71"/>
    <x v="2"/>
    <x v="91"/>
    <x v="5"/>
    <x v="2"/>
    <x v="18"/>
    <x v="205"/>
    <x v="0"/>
    <x v="0"/>
    <x v="5"/>
    <x v="12"/>
    <x v="7"/>
  </r>
  <r>
    <x v="27"/>
    <x v="56"/>
    <x v="66"/>
    <x v="1"/>
    <x v="31"/>
    <x v="55"/>
    <x v="55"/>
    <x v="54"/>
    <x v="54"/>
    <x v="0"/>
    <x v="246"/>
    <x v="253"/>
    <x v="230"/>
    <x v="220"/>
    <x v="36"/>
    <x v="236"/>
    <x v="127"/>
    <x v="1"/>
    <x v="95"/>
    <x v="22"/>
    <x v="13"/>
    <x v="159"/>
    <x v="206"/>
    <x v="2"/>
    <x v="4"/>
    <x v="32"/>
    <x v="2"/>
    <x v="31"/>
  </r>
  <r>
    <x v="27"/>
    <x v="57"/>
    <x v="67"/>
    <x v="0"/>
    <x v="32"/>
    <x v="56"/>
    <x v="56"/>
    <x v="55"/>
    <x v="55"/>
    <x v="0"/>
    <x v="247"/>
    <x v="254"/>
    <x v="231"/>
    <x v="221"/>
    <x v="5"/>
    <x v="237"/>
    <x v="99"/>
    <x v="3"/>
    <x v="3"/>
    <x v="47"/>
    <x v="23"/>
    <x v="127"/>
    <x v="207"/>
    <x v="0"/>
    <x v="0"/>
    <x v="12"/>
    <x v="10"/>
    <x v="32"/>
  </r>
  <r>
    <x v="27"/>
    <x v="58"/>
    <x v="68"/>
    <x v="0"/>
    <x v="33"/>
    <x v="57"/>
    <x v="57"/>
    <x v="56"/>
    <x v="56"/>
    <x v="0"/>
    <x v="248"/>
    <x v="255"/>
    <x v="232"/>
    <x v="222"/>
    <x v="42"/>
    <x v="238"/>
    <x v="39"/>
    <x v="2"/>
    <x v="96"/>
    <x v="0"/>
    <x v="0"/>
    <x v="106"/>
    <x v="208"/>
    <x v="0"/>
    <x v="0"/>
    <x v="4"/>
    <x v="2"/>
    <x v="33"/>
  </r>
  <r>
    <x v="27"/>
    <x v="59"/>
    <x v="69"/>
    <x v="0"/>
    <x v="34"/>
    <x v="58"/>
    <x v="58"/>
    <x v="57"/>
    <x v="57"/>
    <x v="0"/>
    <x v="249"/>
    <x v="256"/>
    <x v="233"/>
    <x v="223"/>
    <x v="3"/>
    <x v="239"/>
    <x v="128"/>
    <x v="0"/>
    <x v="46"/>
    <x v="2"/>
    <x v="1"/>
    <x v="160"/>
    <x v="209"/>
    <x v="0"/>
    <x v="0"/>
    <x v="11"/>
    <x v="2"/>
    <x v="34"/>
  </r>
  <r>
    <x v="27"/>
    <x v="60"/>
    <x v="70"/>
    <x v="0"/>
    <x v="35"/>
    <x v="59"/>
    <x v="59"/>
    <x v="58"/>
    <x v="58"/>
    <x v="0"/>
    <x v="250"/>
    <x v="257"/>
    <x v="70"/>
    <x v="224"/>
    <x v="35"/>
    <x v="240"/>
    <x v="15"/>
    <x v="2"/>
    <x v="24"/>
    <x v="3"/>
    <x v="3"/>
    <x v="20"/>
    <x v="210"/>
    <x v="0"/>
    <x v="0"/>
    <x v="5"/>
    <x v="2"/>
    <x v="35"/>
  </r>
  <r>
    <x v="27"/>
    <x v="61"/>
    <x v="71"/>
    <x v="0"/>
    <x v="36"/>
    <x v="60"/>
    <x v="60"/>
    <x v="59"/>
    <x v="59"/>
    <x v="0"/>
    <x v="251"/>
    <x v="258"/>
    <x v="234"/>
    <x v="225"/>
    <x v="8"/>
    <x v="241"/>
    <x v="129"/>
    <x v="0"/>
    <x v="97"/>
    <x v="6"/>
    <x v="24"/>
    <x v="161"/>
    <x v="211"/>
    <x v="0"/>
    <x v="0"/>
    <x v="2"/>
    <x v="9"/>
    <x v="36"/>
  </r>
  <r>
    <x v="27"/>
    <x v="62"/>
    <x v="72"/>
    <x v="0"/>
    <x v="37"/>
    <x v="61"/>
    <x v="61"/>
    <x v="60"/>
    <x v="60"/>
    <x v="0"/>
    <x v="252"/>
    <x v="259"/>
    <x v="235"/>
    <x v="226"/>
    <x v="41"/>
    <x v="242"/>
    <x v="130"/>
    <x v="2"/>
    <x v="98"/>
    <x v="40"/>
    <x v="29"/>
    <x v="162"/>
    <x v="212"/>
    <x v="0"/>
    <x v="0"/>
    <x v="4"/>
    <x v="2"/>
    <x v="37"/>
  </r>
  <r>
    <x v="27"/>
    <x v="63"/>
    <x v="73"/>
    <x v="0"/>
    <x v="38"/>
    <x v="62"/>
    <x v="62"/>
    <x v="61"/>
    <x v="61"/>
    <x v="0"/>
    <x v="253"/>
    <x v="260"/>
    <x v="236"/>
    <x v="227"/>
    <x v="30"/>
    <x v="243"/>
    <x v="131"/>
    <x v="0"/>
    <x v="41"/>
    <x v="21"/>
    <x v="23"/>
    <x v="163"/>
    <x v="213"/>
    <x v="0"/>
    <x v="0"/>
    <x v="12"/>
    <x v="2"/>
    <x v="38"/>
  </r>
  <r>
    <x v="27"/>
    <x v="64"/>
    <x v="74"/>
    <x v="0"/>
    <x v="39"/>
    <x v="63"/>
    <x v="63"/>
    <x v="62"/>
    <x v="62"/>
    <x v="0"/>
    <x v="254"/>
    <x v="261"/>
    <x v="237"/>
    <x v="228"/>
    <x v="0"/>
    <x v="244"/>
    <x v="112"/>
    <x v="5"/>
    <x v="31"/>
    <x v="3"/>
    <x v="26"/>
    <x v="164"/>
    <x v="214"/>
    <x v="0"/>
    <x v="0"/>
    <x v="12"/>
    <x v="12"/>
    <x v="39"/>
  </r>
  <r>
    <x v="28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28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28"/>
    <x v="37"/>
    <x v="46"/>
    <x v="0"/>
    <x v="21"/>
    <x v="35"/>
    <x v="35"/>
    <x v="34"/>
    <x v="3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1"/>
  </r>
  <r>
    <x v="28"/>
    <x v="38"/>
    <x v="47"/>
    <x v="1"/>
    <x v="9"/>
    <x v="36"/>
    <x v="36"/>
    <x v="35"/>
    <x v="35"/>
    <x v="0"/>
    <x v="255"/>
    <x v="262"/>
    <x v="238"/>
    <x v="229"/>
    <x v="62"/>
    <x v="245"/>
    <x v="21"/>
    <x v="0"/>
    <x v="42"/>
    <x v="3"/>
    <x v="3"/>
    <x v="26"/>
    <x v="215"/>
    <x v="0"/>
    <x v="0"/>
    <x v="4"/>
    <x v="3"/>
    <x v="9"/>
  </r>
  <r>
    <x v="28"/>
    <x v="39"/>
    <x v="48"/>
    <x v="0"/>
    <x v="9"/>
    <x v="37"/>
    <x v="37"/>
    <x v="36"/>
    <x v="36"/>
    <x v="0"/>
    <x v="256"/>
    <x v="263"/>
    <x v="239"/>
    <x v="55"/>
    <x v="8"/>
    <x v="246"/>
    <x v="18"/>
    <x v="2"/>
    <x v="24"/>
    <x v="3"/>
    <x v="3"/>
    <x v="27"/>
    <x v="216"/>
    <x v="0"/>
    <x v="0"/>
    <x v="5"/>
    <x v="2"/>
    <x v="9"/>
  </r>
  <r>
    <x v="28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28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</r>
  <r>
    <x v="28"/>
    <x v="45"/>
    <x v="55"/>
    <x v="0"/>
    <x v="27"/>
    <x v="44"/>
    <x v="44"/>
    <x v="43"/>
    <x v="43"/>
    <x v="0"/>
    <x v="257"/>
    <x v="264"/>
    <x v="240"/>
    <x v="230"/>
    <x v="28"/>
    <x v="247"/>
    <x v="15"/>
    <x v="2"/>
    <x v="24"/>
    <x v="3"/>
    <x v="3"/>
    <x v="20"/>
    <x v="217"/>
    <x v="0"/>
    <x v="0"/>
    <x v="5"/>
    <x v="2"/>
    <x v="27"/>
  </r>
  <r>
    <x v="28"/>
    <x v="47"/>
    <x v="57"/>
    <x v="0"/>
    <x v="29"/>
    <x v="46"/>
    <x v="46"/>
    <x v="45"/>
    <x v="45"/>
    <x v="0"/>
    <x v="258"/>
    <x v="265"/>
    <x v="241"/>
    <x v="231"/>
    <x v="9"/>
    <x v="248"/>
    <x v="8"/>
    <x v="2"/>
    <x v="24"/>
    <x v="5"/>
    <x v="3"/>
    <x v="83"/>
    <x v="165"/>
    <x v="0"/>
    <x v="0"/>
    <x v="5"/>
    <x v="2"/>
    <x v="29"/>
  </r>
  <r>
    <x v="28"/>
    <x v="49"/>
    <x v="59"/>
    <x v="1"/>
    <x v="22"/>
    <x v="48"/>
    <x v="48"/>
    <x v="47"/>
    <x v="47"/>
    <x v="0"/>
    <x v="259"/>
    <x v="266"/>
    <x v="242"/>
    <x v="232"/>
    <x v="63"/>
    <x v="249"/>
    <x v="56"/>
    <x v="2"/>
    <x v="49"/>
    <x v="11"/>
    <x v="2"/>
    <x v="154"/>
    <x v="218"/>
    <x v="0"/>
    <x v="0"/>
    <x v="7"/>
    <x v="5"/>
    <x v="22"/>
  </r>
  <r>
    <x v="28"/>
    <x v="51"/>
    <x v="61"/>
    <x v="1"/>
    <x v="27"/>
    <x v="50"/>
    <x v="50"/>
    <x v="49"/>
    <x v="49"/>
    <x v="0"/>
    <x v="260"/>
    <x v="267"/>
    <x v="243"/>
    <x v="5"/>
    <x v="15"/>
    <x v="250"/>
    <x v="14"/>
    <x v="2"/>
    <x v="2"/>
    <x v="5"/>
    <x v="3"/>
    <x v="165"/>
    <x v="219"/>
    <x v="0"/>
    <x v="0"/>
    <x v="10"/>
    <x v="12"/>
    <x v="27"/>
  </r>
  <r>
    <x v="28"/>
    <x v="53"/>
    <x v="63"/>
    <x v="1"/>
    <x v="29"/>
    <x v="52"/>
    <x v="52"/>
    <x v="51"/>
    <x v="51"/>
    <x v="0"/>
    <x v="261"/>
    <x v="268"/>
    <x v="244"/>
    <x v="233"/>
    <x v="64"/>
    <x v="251"/>
    <x v="38"/>
    <x v="1"/>
    <x v="55"/>
    <x v="6"/>
    <x v="4"/>
    <x v="59"/>
    <x v="220"/>
    <x v="0"/>
    <x v="0"/>
    <x v="7"/>
    <x v="10"/>
    <x v="29"/>
  </r>
  <r>
    <x v="28"/>
    <x v="54"/>
    <x v="64"/>
    <x v="1"/>
    <x v="7"/>
    <x v="53"/>
    <x v="53"/>
    <x v="52"/>
    <x v="52"/>
    <x v="0"/>
    <x v="262"/>
    <x v="269"/>
    <x v="245"/>
    <x v="234"/>
    <x v="65"/>
    <x v="252"/>
    <x v="112"/>
    <x v="1"/>
    <x v="89"/>
    <x v="3"/>
    <x v="1"/>
    <x v="166"/>
    <x v="221"/>
    <x v="0"/>
    <x v="0"/>
    <x v="7"/>
    <x v="2"/>
    <x v="7"/>
  </r>
  <r>
    <x v="28"/>
    <x v="56"/>
    <x v="66"/>
    <x v="1"/>
    <x v="31"/>
    <x v="55"/>
    <x v="55"/>
    <x v="54"/>
    <x v="54"/>
    <x v="0"/>
    <x v="263"/>
    <x v="270"/>
    <x v="246"/>
    <x v="235"/>
    <x v="21"/>
    <x v="253"/>
    <x v="132"/>
    <x v="1"/>
    <x v="99"/>
    <x v="48"/>
    <x v="8"/>
    <x v="167"/>
    <x v="222"/>
    <x v="0"/>
    <x v="0"/>
    <x v="34"/>
    <x v="2"/>
    <x v="31"/>
  </r>
  <r>
    <x v="28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</r>
  <r>
    <x v="28"/>
    <x v="58"/>
    <x v="68"/>
    <x v="0"/>
    <x v="33"/>
    <x v="57"/>
    <x v="57"/>
    <x v="56"/>
    <x v="56"/>
    <x v="0"/>
    <x v="264"/>
    <x v="271"/>
    <x v="247"/>
    <x v="184"/>
    <x v="2"/>
    <x v="254"/>
    <x v="8"/>
    <x v="2"/>
    <x v="42"/>
    <x v="3"/>
    <x v="3"/>
    <x v="75"/>
    <x v="223"/>
    <x v="0"/>
    <x v="0"/>
    <x v="5"/>
    <x v="2"/>
    <x v="33"/>
  </r>
  <r>
    <x v="28"/>
    <x v="59"/>
    <x v="69"/>
    <x v="0"/>
    <x v="34"/>
    <x v="58"/>
    <x v="58"/>
    <x v="57"/>
    <x v="57"/>
    <x v="0"/>
    <x v="265"/>
    <x v="272"/>
    <x v="248"/>
    <x v="236"/>
    <x v="8"/>
    <x v="255"/>
    <x v="15"/>
    <x v="2"/>
    <x v="24"/>
    <x v="5"/>
    <x v="3"/>
    <x v="27"/>
    <x v="224"/>
    <x v="0"/>
    <x v="0"/>
    <x v="5"/>
    <x v="2"/>
    <x v="34"/>
  </r>
  <r>
    <x v="28"/>
    <x v="60"/>
    <x v="70"/>
    <x v="0"/>
    <x v="35"/>
    <x v="59"/>
    <x v="59"/>
    <x v="58"/>
    <x v="5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5"/>
  </r>
  <r>
    <x v="28"/>
    <x v="61"/>
    <x v="71"/>
    <x v="0"/>
    <x v="36"/>
    <x v="60"/>
    <x v="60"/>
    <x v="59"/>
    <x v="59"/>
    <x v="0"/>
    <x v="266"/>
    <x v="273"/>
    <x v="249"/>
    <x v="237"/>
    <x v="9"/>
    <x v="87"/>
    <x v="8"/>
    <x v="2"/>
    <x v="42"/>
    <x v="3"/>
    <x v="3"/>
    <x v="75"/>
    <x v="225"/>
    <x v="0"/>
    <x v="0"/>
    <x v="5"/>
    <x v="2"/>
    <x v="36"/>
  </r>
  <r>
    <x v="28"/>
    <x v="62"/>
    <x v="72"/>
    <x v="0"/>
    <x v="37"/>
    <x v="61"/>
    <x v="61"/>
    <x v="60"/>
    <x v="60"/>
    <x v="0"/>
    <x v="267"/>
    <x v="274"/>
    <x v="70"/>
    <x v="238"/>
    <x v="4"/>
    <x v="256"/>
    <x v="15"/>
    <x v="2"/>
    <x v="14"/>
    <x v="3"/>
    <x v="3"/>
    <x v="15"/>
    <x v="15"/>
    <x v="0"/>
    <x v="0"/>
    <x v="5"/>
    <x v="2"/>
    <x v="37"/>
  </r>
  <r>
    <x v="28"/>
    <x v="63"/>
    <x v="73"/>
    <x v="0"/>
    <x v="38"/>
    <x v="62"/>
    <x v="62"/>
    <x v="61"/>
    <x v="61"/>
    <x v="0"/>
    <x v="39"/>
    <x v="275"/>
    <x v="70"/>
    <x v="239"/>
    <x v="12"/>
    <x v="257"/>
    <x v="18"/>
    <x v="2"/>
    <x v="14"/>
    <x v="3"/>
    <x v="3"/>
    <x v="20"/>
    <x v="226"/>
    <x v="0"/>
    <x v="0"/>
    <x v="5"/>
    <x v="2"/>
    <x v="38"/>
  </r>
  <r>
    <x v="28"/>
    <x v="64"/>
    <x v="74"/>
    <x v="0"/>
    <x v="39"/>
    <x v="63"/>
    <x v="63"/>
    <x v="62"/>
    <x v="62"/>
    <x v="0"/>
    <x v="220"/>
    <x v="276"/>
    <x v="73"/>
    <x v="240"/>
    <x v="1"/>
    <x v="158"/>
    <x v="15"/>
    <x v="2"/>
    <x v="14"/>
    <x v="3"/>
    <x v="3"/>
    <x v="15"/>
    <x v="15"/>
    <x v="0"/>
    <x v="0"/>
    <x v="5"/>
    <x v="2"/>
    <x v="39"/>
  </r>
  <r>
    <x v="29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29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</r>
  <r>
    <x v="29"/>
    <x v="38"/>
    <x v="47"/>
    <x v="1"/>
    <x v="9"/>
    <x v="36"/>
    <x v="36"/>
    <x v="35"/>
    <x v="35"/>
    <x v="0"/>
    <x v="268"/>
    <x v="277"/>
    <x v="250"/>
    <x v="241"/>
    <x v="34"/>
    <x v="258"/>
    <x v="23"/>
    <x v="2"/>
    <x v="19"/>
    <x v="3"/>
    <x v="3"/>
    <x v="8"/>
    <x v="227"/>
    <x v="0"/>
    <x v="0"/>
    <x v="2"/>
    <x v="11"/>
    <x v="9"/>
  </r>
  <r>
    <x v="29"/>
    <x v="39"/>
    <x v="48"/>
    <x v="0"/>
    <x v="9"/>
    <x v="37"/>
    <x v="37"/>
    <x v="36"/>
    <x v="36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9"/>
  </r>
  <r>
    <x v="29"/>
    <x v="26"/>
    <x v="49"/>
    <x v="0"/>
    <x v="17"/>
    <x v="38"/>
    <x v="38"/>
    <x v="37"/>
    <x v="37"/>
    <x v="0"/>
    <x v="269"/>
    <x v="278"/>
    <x v="251"/>
    <x v="163"/>
    <x v="4"/>
    <x v="80"/>
    <x v="55"/>
    <x v="1"/>
    <x v="34"/>
    <x v="1"/>
    <x v="8"/>
    <x v="168"/>
    <x v="228"/>
    <x v="1"/>
    <x v="4"/>
    <x v="7"/>
    <x v="11"/>
    <x v="17"/>
  </r>
  <r>
    <x v="29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</r>
  <r>
    <x v="29"/>
    <x v="47"/>
    <x v="57"/>
    <x v="0"/>
    <x v="29"/>
    <x v="46"/>
    <x v="46"/>
    <x v="45"/>
    <x v="45"/>
    <x v="0"/>
    <x v="270"/>
    <x v="279"/>
    <x v="252"/>
    <x v="242"/>
    <x v="1"/>
    <x v="259"/>
    <x v="133"/>
    <x v="10"/>
    <x v="61"/>
    <x v="34"/>
    <x v="30"/>
    <x v="169"/>
    <x v="229"/>
    <x v="0"/>
    <x v="0"/>
    <x v="12"/>
    <x v="5"/>
    <x v="29"/>
  </r>
  <r>
    <x v="29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</r>
  <r>
    <x v="29"/>
    <x v="49"/>
    <x v="59"/>
    <x v="1"/>
    <x v="22"/>
    <x v="48"/>
    <x v="48"/>
    <x v="47"/>
    <x v="47"/>
    <x v="0"/>
    <x v="271"/>
    <x v="280"/>
    <x v="253"/>
    <x v="243"/>
    <x v="56"/>
    <x v="260"/>
    <x v="54"/>
    <x v="2"/>
    <x v="22"/>
    <x v="3"/>
    <x v="3"/>
    <x v="7"/>
    <x v="230"/>
    <x v="2"/>
    <x v="1"/>
    <x v="1"/>
    <x v="2"/>
    <x v="22"/>
  </r>
  <r>
    <x v="29"/>
    <x v="51"/>
    <x v="61"/>
    <x v="1"/>
    <x v="27"/>
    <x v="50"/>
    <x v="50"/>
    <x v="49"/>
    <x v="49"/>
    <x v="0"/>
    <x v="272"/>
    <x v="281"/>
    <x v="254"/>
    <x v="244"/>
    <x v="15"/>
    <x v="261"/>
    <x v="9"/>
    <x v="2"/>
    <x v="31"/>
    <x v="3"/>
    <x v="4"/>
    <x v="52"/>
    <x v="231"/>
    <x v="0"/>
    <x v="0"/>
    <x v="10"/>
    <x v="9"/>
    <x v="27"/>
  </r>
  <r>
    <x v="29"/>
    <x v="52"/>
    <x v="62"/>
    <x v="0"/>
    <x v="31"/>
    <x v="51"/>
    <x v="51"/>
    <x v="50"/>
    <x v="5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29"/>
    <x v="53"/>
    <x v="63"/>
    <x v="1"/>
    <x v="29"/>
    <x v="52"/>
    <x v="52"/>
    <x v="51"/>
    <x v="51"/>
    <x v="0"/>
    <x v="273"/>
    <x v="282"/>
    <x v="255"/>
    <x v="245"/>
    <x v="66"/>
    <x v="262"/>
    <x v="43"/>
    <x v="1"/>
    <x v="90"/>
    <x v="5"/>
    <x v="3"/>
    <x v="170"/>
    <x v="232"/>
    <x v="3"/>
    <x v="5"/>
    <x v="2"/>
    <x v="2"/>
    <x v="29"/>
  </r>
  <r>
    <x v="29"/>
    <x v="54"/>
    <x v="64"/>
    <x v="1"/>
    <x v="7"/>
    <x v="53"/>
    <x v="53"/>
    <x v="52"/>
    <x v="52"/>
    <x v="0"/>
    <x v="274"/>
    <x v="283"/>
    <x v="256"/>
    <x v="208"/>
    <x v="67"/>
    <x v="263"/>
    <x v="95"/>
    <x v="2"/>
    <x v="28"/>
    <x v="11"/>
    <x v="4"/>
    <x v="171"/>
    <x v="233"/>
    <x v="2"/>
    <x v="6"/>
    <x v="1"/>
    <x v="11"/>
    <x v="7"/>
  </r>
  <r>
    <x v="29"/>
    <x v="56"/>
    <x v="66"/>
    <x v="1"/>
    <x v="31"/>
    <x v="55"/>
    <x v="55"/>
    <x v="54"/>
    <x v="54"/>
    <x v="0"/>
    <x v="219"/>
    <x v="284"/>
    <x v="257"/>
    <x v="246"/>
    <x v="36"/>
    <x v="264"/>
    <x v="25"/>
    <x v="2"/>
    <x v="65"/>
    <x v="44"/>
    <x v="13"/>
    <x v="172"/>
    <x v="234"/>
    <x v="0"/>
    <x v="0"/>
    <x v="35"/>
    <x v="2"/>
    <x v="31"/>
  </r>
  <r>
    <x v="29"/>
    <x v="57"/>
    <x v="67"/>
    <x v="0"/>
    <x v="32"/>
    <x v="56"/>
    <x v="56"/>
    <x v="55"/>
    <x v="55"/>
    <x v="0"/>
    <x v="275"/>
    <x v="285"/>
    <x v="258"/>
    <x v="247"/>
    <x v="11"/>
    <x v="265"/>
    <x v="134"/>
    <x v="6"/>
    <x v="100"/>
    <x v="49"/>
    <x v="22"/>
    <x v="173"/>
    <x v="235"/>
    <x v="0"/>
    <x v="0"/>
    <x v="36"/>
    <x v="8"/>
    <x v="32"/>
  </r>
  <r>
    <x v="29"/>
    <x v="61"/>
    <x v="71"/>
    <x v="0"/>
    <x v="36"/>
    <x v="60"/>
    <x v="60"/>
    <x v="59"/>
    <x v="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6"/>
  </r>
  <r>
    <x v="29"/>
    <x v="62"/>
    <x v="72"/>
    <x v="0"/>
    <x v="37"/>
    <x v="61"/>
    <x v="61"/>
    <x v="60"/>
    <x v="60"/>
    <x v="0"/>
    <x v="276"/>
    <x v="286"/>
    <x v="259"/>
    <x v="248"/>
    <x v="30"/>
    <x v="266"/>
    <x v="135"/>
    <x v="3"/>
    <x v="101"/>
    <x v="47"/>
    <x v="15"/>
    <x v="174"/>
    <x v="236"/>
    <x v="0"/>
    <x v="0"/>
    <x v="0"/>
    <x v="2"/>
    <x v="37"/>
  </r>
  <r>
    <x v="29"/>
    <x v="63"/>
    <x v="73"/>
    <x v="0"/>
    <x v="38"/>
    <x v="62"/>
    <x v="62"/>
    <x v="61"/>
    <x v="6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8"/>
  </r>
  <r>
    <x v="29"/>
    <x v="64"/>
    <x v="74"/>
    <x v="0"/>
    <x v="39"/>
    <x v="63"/>
    <x v="63"/>
    <x v="62"/>
    <x v="62"/>
    <x v="0"/>
    <x v="277"/>
    <x v="287"/>
    <x v="260"/>
    <x v="127"/>
    <x v="28"/>
    <x v="267"/>
    <x v="33"/>
    <x v="3"/>
    <x v="23"/>
    <x v="5"/>
    <x v="13"/>
    <x v="16"/>
    <x v="237"/>
    <x v="0"/>
    <x v="0"/>
    <x v="0"/>
    <x v="6"/>
    <x v="39"/>
  </r>
  <r>
    <x v="30"/>
    <x v="38"/>
    <x v="47"/>
    <x v="1"/>
    <x v="9"/>
    <x v="36"/>
    <x v="36"/>
    <x v="35"/>
    <x v="35"/>
    <x v="0"/>
    <x v="278"/>
    <x v="288"/>
    <x v="261"/>
    <x v="249"/>
    <x v="68"/>
    <x v="268"/>
    <x v="46"/>
    <x v="2"/>
    <x v="50"/>
    <x v="3"/>
    <x v="1"/>
    <x v="56"/>
    <x v="238"/>
    <x v="0"/>
    <x v="0"/>
    <x v="37"/>
    <x v="23"/>
    <x v="9"/>
  </r>
  <r>
    <x v="30"/>
    <x v="39"/>
    <x v="48"/>
    <x v="0"/>
    <x v="9"/>
    <x v="37"/>
    <x v="37"/>
    <x v="36"/>
    <x v="36"/>
    <x v="0"/>
    <x v="279"/>
    <x v="289"/>
    <x v="262"/>
    <x v="250"/>
    <x v="37"/>
    <x v="269"/>
    <x v="87"/>
    <x v="3"/>
    <x v="29"/>
    <x v="4"/>
    <x v="3"/>
    <x v="175"/>
    <x v="239"/>
    <x v="0"/>
    <x v="0"/>
    <x v="23"/>
    <x v="5"/>
    <x v="9"/>
  </r>
  <r>
    <x v="30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30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</r>
  <r>
    <x v="30"/>
    <x v="45"/>
    <x v="55"/>
    <x v="0"/>
    <x v="27"/>
    <x v="44"/>
    <x v="44"/>
    <x v="43"/>
    <x v="43"/>
    <x v="0"/>
    <x v="280"/>
    <x v="290"/>
    <x v="263"/>
    <x v="251"/>
    <x v="2"/>
    <x v="270"/>
    <x v="136"/>
    <x v="19"/>
    <x v="97"/>
    <x v="20"/>
    <x v="6"/>
    <x v="176"/>
    <x v="240"/>
    <x v="0"/>
    <x v="0"/>
    <x v="38"/>
    <x v="36"/>
    <x v="27"/>
  </r>
  <r>
    <x v="30"/>
    <x v="47"/>
    <x v="57"/>
    <x v="0"/>
    <x v="29"/>
    <x v="46"/>
    <x v="46"/>
    <x v="45"/>
    <x v="45"/>
    <x v="0"/>
    <x v="281"/>
    <x v="291"/>
    <x v="264"/>
    <x v="214"/>
    <x v="2"/>
    <x v="271"/>
    <x v="137"/>
    <x v="22"/>
    <x v="94"/>
    <x v="30"/>
    <x v="31"/>
    <x v="177"/>
    <x v="241"/>
    <x v="0"/>
    <x v="0"/>
    <x v="33"/>
    <x v="23"/>
    <x v="29"/>
  </r>
  <r>
    <x v="30"/>
    <x v="49"/>
    <x v="59"/>
    <x v="1"/>
    <x v="22"/>
    <x v="48"/>
    <x v="48"/>
    <x v="47"/>
    <x v="47"/>
    <x v="0"/>
    <x v="282"/>
    <x v="292"/>
    <x v="265"/>
    <x v="252"/>
    <x v="69"/>
    <x v="272"/>
    <x v="2"/>
    <x v="2"/>
    <x v="42"/>
    <x v="11"/>
    <x v="2"/>
    <x v="78"/>
    <x v="242"/>
    <x v="0"/>
    <x v="0"/>
    <x v="2"/>
    <x v="5"/>
    <x v="22"/>
  </r>
  <r>
    <x v="30"/>
    <x v="51"/>
    <x v="61"/>
    <x v="1"/>
    <x v="27"/>
    <x v="50"/>
    <x v="50"/>
    <x v="49"/>
    <x v="49"/>
    <x v="0"/>
    <x v="283"/>
    <x v="293"/>
    <x v="266"/>
    <x v="253"/>
    <x v="44"/>
    <x v="273"/>
    <x v="7"/>
    <x v="1"/>
    <x v="45"/>
    <x v="3"/>
    <x v="3"/>
    <x v="2"/>
    <x v="243"/>
    <x v="0"/>
    <x v="0"/>
    <x v="11"/>
    <x v="1"/>
    <x v="27"/>
  </r>
  <r>
    <x v="30"/>
    <x v="53"/>
    <x v="63"/>
    <x v="1"/>
    <x v="29"/>
    <x v="52"/>
    <x v="52"/>
    <x v="51"/>
    <x v="51"/>
    <x v="0"/>
    <x v="284"/>
    <x v="294"/>
    <x v="267"/>
    <x v="162"/>
    <x v="34"/>
    <x v="274"/>
    <x v="80"/>
    <x v="2"/>
    <x v="10"/>
    <x v="1"/>
    <x v="2"/>
    <x v="178"/>
    <x v="244"/>
    <x v="0"/>
    <x v="0"/>
    <x v="1"/>
    <x v="2"/>
    <x v="29"/>
  </r>
  <r>
    <x v="30"/>
    <x v="54"/>
    <x v="64"/>
    <x v="1"/>
    <x v="7"/>
    <x v="53"/>
    <x v="53"/>
    <x v="52"/>
    <x v="52"/>
    <x v="0"/>
    <x v="285"/>
    <x v="295"/>
    <x v="268"/>
    <x v="254"/>
    <x v="70"/>
    <x v="275"/>
    <x v="118"/>
    <x v="2"/>
    <x v="21"/>
    <x v="11"/>
    <x v="1"/>
    <x v="179"/>
    <x v="245"/>
    <x v="0"/>
    <x v="0"/>
    <x v="9"/>
    <x v="6"/>
    <x v="7"/>
  </r>
  <r>
    <x v="30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</r>
  <r>
    <x v="30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</r>
  <r>
    <x v="30"/>
    <x v="59"/>
    <x v="69"/>
    <x v="0"/>
    <x v="34"/>
    <x v="58"/>
    <x v="58"/>
    <x v="57"/>
    <x v="57"/>
    <x v="0"/>
    <x v="286"/>
    <x v="296"/>
    <x v="269"/>
    <x v="255"/>
    <x v="32"/>
    <x v="276"/>
    <x v="87"/>
    <x v="7"/>
    <x v="35"/>
    <x v="17"/>
    <x v="0"/>
    <x v="180"/>
    <x v="246"/>
    <x v="0"/>
    <x v="0"/>
    <x v="14"/>
    <x v="2"/>
    <x v="34"/>
  </r>
  <r>
    <x v="30"/>
    <x v="62"/>
    <x v="72"/>
    <x v="0"/>
    <x v="37"/>
    <x v="61"/>
    <x v="61"/>
    <x v="60"/>
    <x v="60"/>
    <x v="0"/>
    <x v="287"/>
    <x v="297"/>
    <x v="270"/>
    <x v="256"/>
    <x v="12"/>
    <x v="277"/>
    <x v="138"/>
    <x v="0"/>
    <x v="102"/>
    <x v="50"/>
    <x v="32"/>
    <x v="181"/>
    <x v="247"/>
    <x v="0"/>
    <x v="0"/>
    <x v="8"/>
    <x v="2"/>
    <x v="37"/>
  </r>
  <r>
    <x v="30"/>
    <x v="64"/>
    <x v="74"/>
    <x v="0"/>
    <x v="39"/>
    <x v="63"/>
    <x v="63"/>
    <x v="62"/>
    <x v="62"/>
    <x v="0"/>
    <x v="288"/>
    <x v="298"/>
    <x v="271"/>
    <x v="121"/>
    <x v="28"/>
    <x v="72"/>
    <x v="139"/>
    <x v="7"/>
    <x v="38"/>
    <x v="3"/>
    <x v="26"/>
    <x v="182"/>
    <x v="248"/>
    <x v="0"/>
    <x v="0"/>
    <x v="11"/>
    <x v="3"/>
    <x v="39"/>
  </r>
  <r>
    <x v="30"/>
    <x v="65"/>
    <x v="75"/>
    <x v="0"/>
    <x v="40"/>
    <x v="64"/>
    <x v="64"/>
    <x v="63"/>
    <x v="63"/>
    <x v="0"/>
    <x v="289"/>
    <x v="299"/>
    <x v="272"/>
    <x v="257"/>
    <x v="35"/>
    <x v="278"/>
    <x v="17"/>
    <x v="2"/>
    <x v="49"/>
    <x v="3"/>
    <x v="2"/>
    <x v="2"/>
    <x v="249"/>
    <x v="0"/>
    <x v="0"/>
    <x v="5"/>
    <x v="5"/>
    <x v="40"/>
  </r>
  <r>
    <x v="31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31"/>
    <x v="38"/>
    <x v="47"/>
    <x v="1"/>
    <x v="9"/>
    <x v="36"/>
    <x v="36"/>
    <x v="35"/>
    <x v="35"/>
    <x v="0"/>
    <x v="290"/>
    <x v="75"/>
    <x v="70"/>
    <x v="36"/>
    <x v="71"/>
    <x v="279"/>
    <x v="15"/>
    <x v="2"/>
    <x v="14"/>
    <x v="3"/>
    <x v="3"/>
    <x v="15"/>
    <x v="15"/>
    <x v="0"/>
    <x v="0"/>
    <x v="5"/>
    <x v="2"/>
    <x v="9"/>
  </r>
  <r>
    <x v="31"/>
    <x v="39"/>
    <x v="48"/>
    <x v="0"/>
    <x v="9"/>
    <x v="37"/>
    <x v="37"/>
    <x v="36"/>
    <x v="36"/>
    <x v="0"/>
    <x v="291"/>
    <x v="300"/>
    <x v="273"/>
    <x v="194"/>
    <x v="0"/>
    <x v="42"/>
    <x v="8"/>
    <x v="2"/>
    <x v="24"/>
    <x v="5"/>
    <x v="3"/>
    <x v="83"/>
    <x v="83"/>
    <x v="0"/>
    <x v="0"/>
    <x v="5"/>
    <x v="2"/>
    <x v="9"/>
  </r>
  <r>
    <x v="31"/>
    <x v="45"/>
    <x v="55"/>
    <x v="0"/>
    <x v="27"/>
    <x v="44"/>
    <x v="44"/>
    <x v="43"/>
    <x v="43"/>
    <x v="0"/>
    <x v="292"/>
    <x v="301"/>
    <x v="274"/>
    <x v="258"/>
    <x v="1"/>
    <x v="280"/>
    <x v="125"/>
    <x v="2"/>
    <x v="19"/>
    <x v="11"/>
    <x v="3"/>
    <x v="47"/>
    <x v="250"/>
    <x v="0"/>
    <x v="0"/>
    <x v="5"/>
    <x v="2"/>
    <x v="27"/>
  </r>
  <r>
    <x v="31"/>
    <x v="47"/>
    <x v="57"/>
    <x v="0"/>
    <x v="29"/>
    <x v="46"/>
    <x v="46"/>
    <x v="45"/>
    <x v="45"/>
    <x v="0"/>
    <x v="293"/>
    <x v="302"/>
    <x v="275"/>
    <x v="259"/>
    <x v="1"/>
    <x v="281"/>
    <x v="46"/>
    <x v="1"/>
    <x v="20"/>
    <x v="11"/>
    <x v="2"/>
    <x v="51"/>
    <x v="143"/>
    <x v="0"/>
    <x v="0"/>
    <x v="5"/>
    <x v="2"/>
    <x v="29"/>
  </r>
  <r>
    <x v="31"/>
    <x v="49"/>
    <x v="59"/>
    <x v="1"/>
    <x v="22"/>
    <x v="48"/>
    <x v="48"/>
    <x v="47"/>
    <x v="47"/>
    <x v="0"/>
    <x v="294"/>
    <x v="303"/>
    <x v="276"/>
    <x v="96"/>
    <x v="72"/>
    <x v="282"/>
    <x v="15"/>
    <x v="2"/>
    <x v="14"/>
    <x v="3"/>
    <x v="3"/>
    <x v="15"/>
    <x v="15"/>
    <x v="0"/>
    <x v="0"/>
    <x v="5"/>
    <x v="2"/>
    <x v="22"/>
  </r>
  <r>
    <x v="31"/>
    <x v="51"/>
    <x v="61"/>
    <x v="1"/>
    <x v="27"/>
    <x v="50"/>
    <x v="50"/>
    <x v="49"/>
    <x v="49"/>
    <x v="0"/>
    <x v="30"/>
    <x v="234"/>
    <x v="29"/>
    <x v="30"/>
    <x v="16"/>
    <x v="29"/>
    <x v="15"/>
    <x v="2"/>
    <x v="14"/>
    <x v="3"/>
    <x v="3"/>
    <x v="15"/>
    <x v="15"/>
    <x v="0"/>
    <x v="0"/>
    <x v="5"/>
    <x v="2"/>
    <x v="27"/>
  </r>
  <r>
    <x v="31"/>
    <x v="53"/>
    <x v="63"/>
    <x v="1"/>
    <x v="29"/>
    <x v="52"/>
    <x v="52"/>
    <x v="51"/>
    <x v="51"/>
    <x v="0"/>
    <x v="295"/>
    <x v="304"/>
    <x v="72"/>
    <x v="260"/>
    <x v="57"/>
    <x v="283"/>
    <x v="15"/>
    <x v="2"/>
    <x v="14"/>
    <x v="3"/>
    <x v="3"/>
    <x v="15"/>
    <x v="15"/>
    <x v="0"/>
    <x v="0"/>
    <x v="5"/>
    <x v="2"/>
    <x v="29"/>
  </r>
  <r>
    <x v="31"/>
    <x v="54"/>
    <x v="64"/>
    <x v="1"/>
    <x v="7"/>
    <x v="53"/>
    <x v="53"/>
    <x v="52"/>
    <x v="5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"/>
  </r>
  <r>
    <x v="31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</r>
  <r>
    <x v="31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</r>
  <r>
    <x v="31"/>
    <x v="59"/>
    <x v="69"/>
    <x v="0"/>
    <x v="34"/>
    <x v="58"/>
    <x v="58"/>
    <x v="57"/>
    <x v="57"/>
    <x v="0"/>
    <x v="296"/>
    <x v="305"/>
    <x v="277"/>
    <x v="261"/>
    <x v="30"/>
    <x v="284"/>
    <x v="15"/>
    <x v="2"/>
    <x v="103"/>
    <x v="5"/>
    <x v="3"/>
    <x v="15"/>
    <x v="15"/>
    <x v="0"/>
    <x v="0"/>
    <x v="5"/>
    <x v="2"/>
    <x v="34"/>
  </r>
  <r>
    <x v="31"/>
    <x v="62"/>
    <x v="72"/>
    <x v="0"/>
    <x v="37"/>
    <x v="61"/>
    <x v="61"/>
    <x v="60"/>
    <x v="60"/>
    <x v="0"/>
    <x v="297"/>
    <x v="306"/>
    <x v="278"/>
    <x v="194"/>
    <x v="37"/>
    <x v="285"/>
    <x v="41"/>
    <x v="1"/>
    <x v="2"/>
    <x v="3"/>
    <x v="3"/>
    <x v="13"/>
    <x v="251"/>
    <x v="0"/>
    <x v="0"/>
    <x v="2"/>
    <x v="2"/>
    <x v="37"/>
  </r>
  <r>
    <x v="31"/>
    <x v="64"/>
    <x v="74"/>
    <x v="0"/>
    <x v="39"/>
    <x v="63"/>
    <x v="63"/>
    <x v="62"/>
    <x v="6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9"/>
  </r>
  <r>
    <x v="31"/>
    <x v="65"/>
    <x v="75"/>
    <x v="0"/>
    <x v="40"/>
    <x v="64"/>
    <x v="64"/>
    <x v="63"/>
    <x v="63"/>
    <x v="0"/>
    <x v="298"/>
    <x v="307"/>
    <x v="131"/>
    <x v="34"/>
    <x v="52"/>
    <x v="286"/>
    <x v="15"/>
    <x v="1"/>
    <x v="24"/>
    <x v="3"/>
    <x v="3"/>
    <x v="27"/>
    <x v="252"/>
    <x v="0"/>
    <x v="0"/>
    <x v="5"/>
    <x v="2"/>
    <x v="40"/>
  </r>
  <r>
    <x v="32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32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32"/>
    <x v="45"/>
    <x v="55"/>
    <x v="0"/>
    <x v="27"/>
    <x v="44"/>
    <x v="44"/>
    <x v="43"/>
    <x v="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7"/>
  </r>
  <r>
    <x v="32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</r>
  <r>
    <x v="3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32"/>
    <x v="53"/>
    <x v="63"/>
    <x v="1"/>
    <x v="29"/>
    <x v="52"/>
    <x v="52"/>
    <x v="51"/>
    <x v="5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32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</r>
  <r>
    <x v="32"/>
    <x v="59"/>
    <x v="69"/>
    <x v="0"/>
    <x v="34"/>
    <x v="58"/>
    <x v="58"/>
    <x v="57"/>
    <x v="5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4"/>
  </r>
  <r>
    <x v="32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</r>
  <r>
    <x v="33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33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33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33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</r>
  <r>
    <x v="33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</r>
  <r>
    <x v="33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</r>
  <r>
    <x v="34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</r>
  <r>
    <x v="34"/>
    <x v="45"/>
    <x v="55"/>
    <x v="0"/>
    <x v="27"/>
    <x v="44"/>
    <x v="44"/>
    <x v="43"/>
    <x v="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7"/>
  </r>
  <r>
    <x v="34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34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</r>
  <r>
    <x v="35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</r>
  <r>
    <x v="35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35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</r>
  <r>
    <x v="36"/>
    <x v="59"/>
    <x v="69"/>
    <x v="0"/>
    <x v="34"/>
    <x v="58"/>
    <x v="58"/>
    <x v="57"/>
    <x v="5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4"/>
  </r>
  <r>
    <x v="36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</r>
  <r>
    <x v="37"/>
    <x v="38"/>
    <x v="47"/>
    <x v="1"/>
    <x v="9"/>
    <x v="36"/>
    <x v="36"/>
    <x v="35"/>
    <x v="35"/>
    <x v="0"/>
    <x v="299"/>
    <x v="308"/>
    <x v="279"/>
    <x v="262"/>
    <x v="34"/>
    <x v="287"/>
    <x v="18"/>
    <x v="2"/>
    <x v="14"/>
    <x v="3"/>
    <x v="3"/>
    <x v="20"/>
    <x v="253"/>
    <x v="0"/>
    <x v="0"/>
    <x v="5"/>
    <x v="11"/>
    <x v="9"/>
  </r>
  <r>
    <x v="37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</r>
  <r>
    <x v="37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37"/>
    <x v="54"/>
    <x v="64"/>
    <x v="1"/>
    <x v="7"/>
    <x v="53"/>
    <x v="53"/>
    <x v="52"/>
    <x v="52"/>
    <x v="0"/>
    <x v="300"/>
    <x v="309"/>
    <x v="199"/>
    <x v="20"/>
    <x v="40"/>
    <x v="288"/>
    <x v="15"/>
    <x v="2"/>
    <x v="24"/>
    <x v="3"/>
    <x v="3"/>
    <x v="20"/>
    <x v="249"/>
    <x v="0"/>
    <x v="0"/>
    <x v="5"/>
    <x v="2"/>
    <x v="7"/>
  </r>
  <r>
    <x v="37"/>
    <x v="61"/>
    <x v="71"/>
    <x v="0"/>
    <x v="36"/>
    <x v="60"/>
    <x v="60"/>
    <x v="59"/>
    <x v="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6"/>
  </r>
  <r>
    <x v="37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</r>
  <r>
    <x v="38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</r>
  <r>
    <x v="39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</r>
  <r>
    <x v="39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40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41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41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4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43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44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</r>
  <r>
    <x v="44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45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45"/>
    <x v="38"/>
    <x v="47"/>
    <x v="1"/>
    <x v="9"/>
    <x v="36"/>
    <x v="36"/>
    <x v="35"/>
    <x v="3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</r>
  <r>
    <x v="4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46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</r>
  <r>
    <x v="4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48"/>
    <x v="66"/>
    <x v="76"/>
    <x v="0"/>
    <x v="41"/>
    <x v="65"/>
    <x v="65"/>
    <x v="64"/>
    <x v="64"/>
    <x v="0"/>
    <x v="301"/>
    <x v="310"/>
    <x v="280"/>
    <x v="263"/>
    <x v="52"/>
    <x v="289"/>
    <x v="63"/>
    <x v="2"/>
    <x v="19"/>
    <x v="3"/>
    <x v="3"/>
    <x v="78"/>
    <x v="157"/>
    <x v="0"/>
    <x v="0"/>
    <x v="5"/>
    <x v="2"/>
    <x v="41"/>
  </r>
  <r>
    <x v="49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</r>
  <r>
    <x v="49"/>
    <x v="66"/>
    <x v="76"/>
    <x v="0"/>
    <x v="41"/>
    <x v="65"/>
    <x v="65"/>
    <x v="64"/>
    <x v="64"/>
    <x v="0"/>
    <x v="302"/>
    <x v="311"/>
    <x v="281"/>
    <x v="264"/>
    <x v="25"/>
    <x v="128"/>
    <x v="4"/>
    <x v="2"/>
    <x v="90"/>
    <x v="0"/>
    <x v="2"/>
    <x v="57"/>
    <x v="254"/>
    <x v="0"/>
    <x v="0"/>
    <x v="1"/>
    <x v="5"/>
    <x v="41"/>
  </r>
  <r>
    <x v="50"/>
    <x v="66"/>
    <x v="76"/>
    <x v="0"/>
    <x v="41"/>
    <x v="65"/>
    <x v="65"/>
    <x v="64"/>
    <x v="64"/>
    <x v="0"/>
    <x v="303"/>
    <x v="312"/>
    <x v="282"/>
    <x v="265"/>
    <x v="46"/>
    <x v="290"/>
    <x v="125"/>
    <x v="2"/>
    <x v="24"/>
    <x v="1"/>
    <x v="2"/>
    <x v="47"/>
    <x v="255"/>
    <x v="0"/>
    <x v="0"/>
    <x v="5"/>
    <x v="2"/>
    <x v="41"/>
  </r>
  <r>
    <x v="51"/>
    <x v="66"/>
    <x v="76"/>
    <x v="0"/>
    <x v="41"/>
    <x v="65"/>
    <x v="65"/>
    <x v="64"/>
    <x v="64"/>
    <x v="0"/>
    <x v="304"/>
    <x v="313"/>
    <x v="283"/>
    <x v="266"/>
    <x v="22"/>
    <x v="291"/>
    <x v="64"/>
    <x v="2"/>
    <x v="8"/>
    <x v="4"/>
    <x v="3"/>
    <x v="154"/>
    <x v="256"/>
    <x v="0"/>
    <x v="0"/>
    <x v="2"/>
    <x v="5"/>
    <x v="41"/>
  </r>
  <r>
    <x v="52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</r>
  <r>
    <x v="52"/>
    <x v="66"/>
    <x v="76"/>
    <x v="0"/>
    <x v="41"/>
    <x v="65"/>
    <x v="65"/>
    <x v="64"/>
    <x v="64"/>
    <x v="0"/>
    <x v="305"/>
    <x v="314"/>
    <x v="284"/>
    <x v="267"/>
    <x v="17"/>
    <x v="292"/>
    <x v="14"/>
    <x v="2"/>
    <x v="19"/>
    <x v="51"/>
    <x v="1"/>
    <x v="149"/>
    <x v="257"/>
    <x v="0"/>
    <x v="0"/>
    <x v="5"/>
    <x v="12"/>
    <x v="41"/>
  </r>
  <r>
    <x v="53"/>
    <x v="39"/>
    <x v="48"/>
    <x v="0"/>
    <x v="9"/>
    <x v="37"/>
    <x v="37"/>
    <x v="36"/>
    <x v="3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</r>
  <r>
    <x v="53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</r>
  <r>
    <x v="53"/>
    <x v="66"/>
    <x v="76"/>
    <x v="0"/>
    <x v="41"/>
    <x v="65"/>
    <x v="65"/>
    <x v="64"/>
    <x v="64"/>
    <x v="0"/>
    <x v="306"/>
    <x v="315"/>
    <x v="279"/>
    <x v="268"/>
    <x v="73"/>
    <x v="293"/>
    <x v="21"/>
    <x v="2"/>
    <x v="24"/>
    <x v="0"/>
    <x v="3"/>
    <x v="30"/>
    <x v="258"/>
    <x v="0"/>
    <x v="0"/>
    <x v="5"/>
    <x v="2"/>
    <x v="41"/>
  </r>
  <r>
    <x v="54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</r>
  <r>
    <x v="54"/>
    <x v="67"/>
    <x v="77"/>
    <x v="0"/>
    <x v="42"/>
    <x v="66"/>
    <x v="66"/>
    <x v="65"/>
    <x v="65"/>
    <x v="0"/>
    <x v="307"/>
    <x v="316"/>
    <x v="285"/>
    <x v="211"/>
    <x v="0"/>
    <x v="60"/>
    <x v="121"/>
    <x v="3"/>
    <x v="27"/>
    <x v="6"/>
    <x v="2"/>
    <x v="11"/>
    <x v="259"/>
    <x v="0"/>
    <x v="0"/>
    <x v="7"/>
    <x v="13"/>
    <x v="42"/>
  </r>
  <r>
    <x v="54"/>
    <x v="67"/>
    <x v="78"/>
    <x v="0"/>
    <x v="43"/>
    <x v="66"/>
    <x v="66"/>
    <x v="65"/>
    <x v="65"/>
    <x v="0"/>
    <x v="164"/>
    <x v="317"/>
    <x v="286"/>
    <x v="269"/>
    <x v="1"/>
    <x v="294"/>
    <x v="15"/>
    <x v="2"/>
    <x v="14"/>
    <x v="3"/>
    <x v="3"/>
    <x v="15"/>
    <x v="15"/>
    <x v="0"/>
    <x v="0"/>
    <x v="5"/>
    <x v="2"/>
    <x v="43"/>
  </r>
  <r>
    <x v="55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</r>
  <r>
    <x v="55"/>
    <x v="67"/>
    <x v="77"/>
    <x v="0"/>
    <x v="42"/>
    <x v="66"/>
    <x v="66"/>
    <x v="65"/>
    <x v="65"/>
    <x v="0"/>
    <x v="308"/>
    <x v="318"/>
    <x v="287"/>
    <x v="143"/>
    <x v="37"/>
    <x v="295"/>
    <x v="140"/>
    <x v="10"/>
    <x v="104"/>
    <x v="17"/>
    <x v="7"/>
    <x v="183"/>
    <x v="82"/>
    <x v="0"/>
    <x v="0"/>
    <x v="2"/>
    <x v="31"/>
    <x v="42"/>
  </r>
  <r>
    <x v="55"/>
    <x v="67"/>
    <x v="78"/>
    <x v="0"/>
    <x v="43"/>
    <x v="66"/>
    <x v="66"/>
    <x v="65"/>
    <x v="65"/>
    <x v="0"/>
    <x v="309"/>
    <x v="319"/>
    <x v="288"/>
    <x v="270"/>
    <x v="9"/>
    <x v="296"/>
    <x v="18"/>
    <x v="2"/>
    <x v="14"/>
    <x v="3"/>
    <x v="3"/>
    <x v="20"/>
    <x v="260"/>
    <x v="0"/>
    <x v="0"/>
    <x v="5"/>
    <x v="5"/>
    <x v="43"/>
  </r>
  <r>
    <x v="56"/>
    <x v="67"/>
    <x v="77"/>
    <x v="0"/>
    <x v="42"/>
    <x v="66"/>
    <x v="66"/>
    <x v="65"/>
    <x v="65"/>
    <x v="0"/>
    <x v="310"/>
    <x v="320"/>
    <x v="289"/>
    <x v="271"/>
    <x v="12"/>
    <x v="297"/>
    <x v="141"/>
    <x v="11"/>
    <x v="105"/>
    <x v="52"/>
    <x v="30"/>
    <x v="184"/>
    <x v="6"/>
    <x v="0"/>
    <x v="0"/>
    <x v="3"/>
    <x v="4"/>
    <x v="42"/>
  </r>
  <r>
    <x v="56"/>
    <x v="67"/>
    <x v="78"/>
    <x v="0"/>
    <x v="43"/>
    <x v="66"/>
    <x v="66"/>
    <x v="65"/>
    <x v="65"/>
    <x v="0"/>
    <x v="311"/>
    <x v="321"/>
    <x v="132"/>
    <x v="272"/>
    <x v="9"/>
    <x v="298"/>
    <x v="18"/>
    <x v="2"/>
    <x v="14"/>
    <x v="3"/>
    <x v="3"/>
    <x v="20"/>
    <x v="261"/>
    <x v="0"/>
    <x v="0"/>
    <x v="5"/>
    <x v="2"/>
    <x v="43"/>
  </r>
  <r>
    <x v="56"/>
    <x v="68"/>
    <x v="79"/>
    <x v="0"/>
    <x v="43"/>
    <x v="67"/>
    <x v="67"/>
    <x v="66"/>
    <x v="66"/>
    <x v="0"/>
    <x v="312"/>
    <x v="322"/>
    <x v="290"/>
    <x v="137"/>
    <x v="52"/>
    <x v="184"/>
    <x v="7"/>
    <x v="1"/>
    <x v="42"/>
    <x v="3"/>
    <x v="3"/>
    <x v="13"/>
    <x v="262"/>
    <x v="0"/>
    <x v="0"/>
    <x v="5"/>
    <x v="2"/>
    <x v="43"/>
  </r>
  <r>
    <x v="57"/>
    <x v="67"/>
    <x v="77"/>
    <x v="0"/>
    <x v="42"/>
    <x v="66"/>
    <x v="66"/>
    <x v="65"/>
    <x v="65"/>
    <x v="0"/>
    <x v="313"/>
    <x v="323"/>
    <x v="291"/>
    <x v="273"/>
    <x v="42"/>
    <x v="299"/>
    <x v="142"/>
    <x v="2"/>
    <x v="106"/>
    <x v="42"/>
    <x v="23"/>
    <x v="185"/>
    <x v="263"/>
    <x v="0"/>
    <x v="0"/>
    <x v="3"/>
    <x v="16"/>
    <x v="42"/>
  </r>
  <r>
    <x v="57"/>
    <x v="68"/>
    <x v="79"/>
    <x v="0"/>
    <x v="43"/>
    <x v="67"/>
    <x v="67"/>
    <x v="66"/>
    <x v="66"/>
    <x v="0"/>
    <x v="314"/>
    <x v="324"/>
    <x v="292"/>
    <x v="274"/>
    <x v="48"/>
    <x v="300"/>
    <x v="63"/>
    <x v="2"/>
    <x v="50"/>
    <x v="3"/>
    <x v="2"/>
    <x v="13"/>
    <x v="264"/>
    <x v="0"/>
    <x v="0"/>
    <x v="5"/>
    <x v="2"/>
    <x v="43"/>
  </r>
  <r>
    <x v="57"/>
    <x v="69"/>
    <x v="80"/>
    <x v="0"/>
    <x v="44"/>
    <x v="68"/>
    <x v="68"/>
    <x v="67"/>
    <x v="67"/>
    <x v="0"/>
    <x v="315"/>
    <x v="325"/>
    <x v="293"/>
    <x v="275"/>
    <x v="9"/>
    <x v="301"/>
    <x v="143"/>
    <x v="0"/>
    <x v="30"/>
    <x v="35"/>
    <x v="2"/>
    <x v="186"/>
    <x v="265"/>
    <x v="0"/>
    <x v="0"/>
    <x v="10"/>
    <x v="2"/>
    <x v="44"/>
  </r>
  <r>
    <x v="58"/>
    <x v="67"/>
    <x v="77"/>
    <x v="0"/>
    <x v="42"/>
    <x v="66"/>
    <x v="66"/>
    <x v="65"/>
    <x v="65"/>
    <x v="0"/>
    <x v="316"/>
    <x v="326"/>
    <x v="294"/>
    <x v="276"/>
    <x v="4"/>
    <x v="302"/>
    <x v="144"/>
    <x v="7"/>
    <x v="107"/>
    <x v="6"/>
    <x v="23"/>
    <x v="187"/>
    <x v="24"/>
    <x v="0"/>
    <x v="0"/>
    <x v="11"/>
    <x v="37"/>
    <x v="42"/>
  </r>
  <r>
    <x v="58"/>
    <x v="68"/>
    <x v="79"/>
    <x v="0"/>
    <x v="43"/>
    <x v="67"/>
    <x v="67"/>
    <x v="66"/>
    <x v="66"/>
    <x v="0"/>
    <x v="317"/>
    <x v="327"/>
    <x v="295"/>
    <x v="277"/>
    <x v="74"/>
    <x v="303"/>
    <x v="23"/>
    <x v="2"/>
    <x v="14"/>
    <x v="3"/>
    <x v="2"/>
    <x v="75"/>
    <x v="266"/>
    <x v="0"/>
    <x v="0"/>
    <x v="5"/>
    <x v="2"/>
    <x v="43"/>
  </r>
  <r>
    <x v="58"/>
    <x v="69"/>
    <x v="80"/>
    <x v="0"/>
    <x v="44"/>
    <x v="68"/>
    <x v="68"/>
    <x v="67"/>
    <x v="67"/>
    <x v="0"/>
    <x v="318"/>
    <x v="328"/>
    <x v="296"/>
    <x v="278"/>
    <x v="9"/>
    <x v="304"/>
    <x v="32"/>
    <x v="7"/>
    <x v="3"/>
    <x v="9"/>
    <x v="0"/>
    <x v="188"/>
    <x v="267"/>
    <x v="0"/>
    <x v="0"/>
    <x v="4"/>
    <x v="2"/>
    <x v="44"/>
  </r>
  <r>
    <x v="58"/>
    <x v="70"/>
    <x v="81"/>
    <x v="0"/>
    <x v="45"/>
    <x v="69"/>
    <x v="69"/>
    <x v="68"/>
    <x v="68"/>
    <x v="0"/>
    <x v="319"/>
    <x v="329"/>
    <x v="297"/>
    <x v="147"/>
    <x v="1"/>
    <x v="305"/>
    <x v="145"/>
    <x v="10"/>
    <x v="108"/>
    <x v="7"/>
    <x v="6"/>
    <x v="189"/>
    <x v="117"/>
    <x v="0"/>
    <x v="0"/>
    <x v="12"/>
    <x v="12"/>
    <x v="45"/>
  </r>
  <r>
    <x v="59"/>
    <x v="67"/>
    <x v="77"/>
    <x v="0"/>
    <x v="42"/>
    <x v="66"/>
    <x v="66"/>
    <x v="65"/>
    <x v="65"/>
    <x v="0"/>
    <x v="320"/>
    <x v="330"/>
    <x v="298"/>
    <x v="141"/>
    <x v="42"/>
    <x v="306"/>
    <x v="146"/>
    <x v="0"/>
    <x v="63"/>
    <x v="51"/>
    <x v="1"/>
    <x v="190"/>
    <x v="268"/>
    <x v="0"/>
    <x v="0"/>
    <x v="11"/>
    <x v="10"/>
    <x v="42"/>
  </r>
  <r>
    <x v="59"/>
    <x v="69"/>
    <x v="80"/>
    <x v="0"/>
    <x v="44"/>
    <x v="68"/>
    <x v="68"/>
    <x v="67"/>
    <x v="67"/>
    <x v="0"/>
    <x v="321"/>
    <x v="331"/>
    <x v="299"/>
    <x v="5"/>
    <x v="28"/>
    <x v="307"/>
    <x v="86"/>
    <x v="2"/>
    <x v="79"/>
    <x v="51"/>
    <x v="2"/>
    <x v="171"/>
    <x v="19"/>
    <x v="0"/>
    <x v="0"/>
    <x v="4"/>
    <x v="2"/>
    <x v="44"/>
  </r>
  <r>
    <x v="59"/>
    <x v="70"/>
    <x v="81"/>
    <x v="0"/>
    <x v="45"/>
    <x v="69"/>
    <x v="69"/>
    <x v="68"/>
    <x v="68"/>
    <x v="0"/>
    <x v="322"/>
    <x v="332"/>
    <x v="300"/>
    <x v="279"/>
    <x v="28"/>
    <x v="308"/>
    <x v="127"/>
    <x v="2"/>
    <x v="18"/>
    <x v="17"/>
    <x v="23"/>
    <x v="143"/>
    <x v="269"/>
    <x v="0"/>
    <x v="0"/>
    <x v="12"/>
    <x v="5"/>
    <x v="45"/>
  </r>
  <r>
    <x v="60"/>
    <x v="67"/>
    <x v="77"/>
    <x v="0"/>
    <x v="42"/>
    <x v="66"/>
    <x v="66"/>
    <x v="65"/>
    <x v="65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42"/>
  </r>
  <r>
    <x v="60"/>
    <x v="68"/>
    <x v="79"/>
    <x v="0"/>
    <x v="43"/>
    <x v="67"/>
    <x v="67"/>
    <x v="66"/>
    <x v="66"/>
    <x v="0"/>
    <x v="323"/>
    <x v="334"/>
    <x v="301"/>
    <x v="280"/>
    <x v="22"/>
    <x v="309"/>
    <x v="15"/>
    <x v="2"/>
    <x v="14"/>
    <x v="3"/>
    <x v="3"/>
    <x v="15"/>
    <x v="15"/>
    <x v="0"/>
    <x v="0"/>
    <x v="5"/>
    <x v="2"/>
    <x v="43"/>
  </r>
  <r>
    <x v="60"/>
    <x v="69"/>
    <x v="80"/>
    <x v="0"/>
    <x v="44"/>
    <x v="68"/>
    <x v="68"/>
    <x v="67"/>
    <x v="67"/>
    <x v="0"/>
    <x v="324"/>
    <x v="335"/>
    <x v="302"/>
    <x v="118"/>
    <x v="0"/>
    <x v="310"/>
    <x v="147"/>
    <x v="2"/>
    <x v="23"/>
    <x v="1"/>
    <x v="4"/>
    <x v="114"/>
    <x v="270"/>
    <x v="0"/>
    <x v="0"/>
    <x v="2"/>
    <x v="2"/>
    <x v="44"/>
  </r>
  <r>
    <x v="60"/>
    <x v="70"/>
    <x v="81"/>
    <x v="0"/>
    <x v="45"/>
    <x v="69"/>
    <x v="69"/>
    <x v="68"/>
    <x v="68"/>
    <x v="0"/>
    <x v="325"/>
    <x v="336"/>
    <x v="303"/>
    <x v="67"/>
    <x v="1"/>
    <x v="311"/>
    <x v="148"/>
    <x v="2"/>
    <x v="87"/>
    <x v="1"/>
    <x v="3"/>
    <x v="191"/>
    <x v="14"/>
    <x v="0"/>
    <x v="0"/>
    <x v="5"/>
    <x v="5"/>
    <x v="45"/>
  </r>
  <r>
    <x v="60"/>
    <x v="71"/>
    <x v="82"/>
    <x v="1"/>
    <x v="7"/>
    <x v="70"/>
    <x v="70"/>
    <x v="69"/>
    <x v="69"/>
    <x v="0"/>
    <x v="30"/>
    <x v="337"/>
    <x v="29"/>
    <x v="30"/>
    <x v="16"/>
    <x v="29"/>
    <x v="15"/>
    <x v="2"/>
    <x v="14"/>
    <x v="3"/>
    <x v="3"/>
    <x v="15"/>
    <x v="15"/>
    <x v="0"/>
    <x v="0"/>
    <x v="5"/>
    <x v="2"/>
    <x v="7"/>
  </r>
  <r>
    <x v="60"/>
    <x v="71"/>
    <x v="83"/>
    <x v="1"/>
    <x v="29"/>
    <x v="71"/>
    <x v="71"/>
    <x v="70"/>
    <x v="70"/>
    <x v="0"/>
    <x v="326"/>
    <x v="338"/>
    <x v="304"/>
    <x v="281"/>
    <x v="44"/>
    <x v="312"/>
    <x v="8"/>
    <x v="2"/>
    <x v="14"/>
    <x v="3"/>
    <x v="3"/>
    <x v="27"/>
    <x v="120"/>
    <x v="0"/>
    <x v="0"/>
    <x v="5"/>
    <x v="2"/>
    <x v="29"/>
  </r>
  <r>
    <x v="60"/>
    <x v="72"/>
    <x v="84"/>
    <x v="1"/>
    <x v="7"/>
    <x v="72"/>
    <x v="72"/>
    <x v="71"/>
    <x v="71"/>
    <x v="0"/>
    <x v="327"/>
    <x v="339"/>
    <x v="277"/>
    <x v="282"/>
    <x v="75"/>
    <x v="313"/>
    <x v="18"/>
    <x v="2"/>
    <x v="14"/>
    <x v="3"/>
    <x v="3"/>
    <x v="20"/>
    <x v="271"/>
    <x v="0"/>
    <x v="0"/>
    <x v="5"/>
    <x v="2"/>
    <x v="7"/>
  </r>
  <r>
    <x v="60"/>
    <x v="73"/>
    <x v="85"/>
    <x v="1"/>
    <x v="29"/>
    <x v="73"/>
    <x v="73"/>
    <x v="72"/>
    <x v="72"/>
    <x v="0"/>
    <x v="328"/>
    <x v="340"/>
    <x v="305"/>
    <x v="283"/>
    <x v="49"/>
    <x v="314"/>
    <x v="17"/>
    <x v="2"/>
    <x v="90"/>
    <x v="5"/>
    <x v="3"/>
    <x v="165"/>
    <x v="272"/>
    <x v="0"/>
    <x v="0"/>
    <x v="7"/>
    <x v="2"/>
    <x v="29"/>
  </r>
  <r>
    <x v="60"/>
    <x v="74"/>
    <x v="86"/>
    <x v="1"/>
    <x v="29"/>
    <x v="74"/>
    <x v="74"/>
    <x v="73"/>
    <x v="73"/>
    <x v="0"/>
    <x v="329"/>
    <x v="341"/>
    <x v="306"/>
    <x v="284"/>
    <x v="15"/>
    <x v="315"/>
    <x v="15"/>
    <x v="2"/>
    <x v="14"/>
    <x v="3"/>
    <x v="3"/>
    <x v="15"/>
    <x v="15"/>
    <x v="0"/>
    <x v="0"/>
    <x v="5"/>
    <x v="2"/>
    <x v="29"/>
  </r>
  <r>
    <x v="60"/>
    <x v="71"/>
    <x v="87"/>
    <x v="1"/>
    <x v="9"/>
    <x v="75"/>
    <x v="75"/>
    <x v="74"/>
    <x v="74"/>
    <x v="0"/>
    <x v="330"/>
    <x v="342"/>
    <x v="276"/>
    <x v="285"/>
    <x v="47"/>
    <x v="316"/>
    <x v="15"/>
    <x v="2"/>
    <x v="14"/>
    <x v="3"/>
    <x v="3"/>
    <x v="15"/>
    <x v="15"/>
    <x v="0"/>
    <x v="0"/>
    <x v="5"/>
    <x v="2"/>
    <x v="9"/>
  </r>
  <r>
    <x v="60"/>
    <x v="75"/>
    <x v="88"/>
    <x v="1"/>
    <x v="9"/>
    <x v="76"/>
    <x v="76"/>
    <x v="75"/>
    <x v="75"/>
    <x v="0"/>
    <x v="331"/>
    <x v="343"/>
    <x v="307"/>
    <x v="217"/>
    <x v="73"/>
    <x v="317"/>
    <x v="8"/>
    <x v="2"/>
    <x v="14"/>
    <x v="3"/>
    <x v="3"/>
    <x v="27"/>
    <x v="273"/>
    <x v="0"/>
    <x v="0"/>
    <x v="5"/>
    <x v="2"/>
    <x v="9"/>
  </r>
  <r>
    <x v="60"/>
    <x v="76"/>
    <x v="89"/>
    <x v="1"/>
    <x v="9"/>
    <x v="77"/>
    <x v="77"/>
    <x v="76"/>
    <x v="76"/>
    <x v="0"/>
    <x v="332"/>
    <x v="344"/>
    <x v="308"/>
    <x v="286"/>
    <x v="76"/>
    <x v="318"/>
    <x v="15"/>
    <x v="2"/>
    <x v="14"/>
    <x v="3"/>
    <x v="3"/>
    <x v="15"/>
    <x v="15"/>
    <x v="0"/>
    <x v="0"/>
    <x v="5"/>
    <x v="2"/>
    <x v="9"/>
  </r>
  <r>
    <x v="61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</r>
  <r>
    <x v="61"/>
    <x v="68"/>
    <x v="79"/>
    <x v="0"/>
    <x v="43"/>
    <x v="67"/>
    <x v="67"/>
    <x v="66"/>
    <x v="66"/>
    <x v="0"/>
    <x v="333"/>
    <x v="345"/>
    <x v="309"/>
    <x v="76"/>
    <x v="77"/>
    <x v="319"/>
    <x v="23"/>
    <x v="2"/>
    <x v="14"/>
    <x v="3"/>
    <x v="3"/>
    <x v="83"/>
    <x v="274"/>
    <x v="0"/>
    <x v="0"/>
    <x v="5"/>
    <x v="2"/>
    <x v="43"/>
  </r>
  <r>
    <x v="61"/>
    <x v="69"/>
    <x v="80"/>
    <x v="0"/>
    <x v="44"/>
    <x v="68"/>
    <x v="68"/>
    <x v="67"/>
    <x v="67"/>
    <x v="0"/>
    <x v="334"/>
    <x v="346"/>
    <x v="310"/>
    <x v="287"/>
    <x v="0"/>
    <x v="320"/>
    <x v="40"/>
    <x v="1"/>
    <x v="13"/>
    <x v="6"/>
    <x v="23"/>
    <x v="121"/>
    <x v="20"/>
    <x v="0"/>
    <x v="0"/>
    <x v="2"/>
    <x v="2"/>
    <x v="44"/>
  </r>
  <r>
    <x v="61"/>
    <x v="70"/>
    <x v="81"/>
    <x v="0"/>
    <x v="45"/>
    <x v="69"/>
    <x v="69"/>
    <x v="68"/>
    <x v="68"/>
    <x v="0"/>
    <x v="335"/>
    <x v="347"/>
    <x v="311"/>
    <x v="248"/>
    <x v="28"/>
    <x v="201"/>
    <x v="28"/>
    <x v="0"/>
    <x v="38"/>
    <x v="10"/>
    <x v="4"/>
    <x v="117"/>
    <x v="16"/>
    <x v="0"/>
    <x v="0"/>
    <x v="4"/>
    <x v="5"/>
    <x v="45"/>
  </r>
  <r>
    <x v="61"/>
    <x v="71"/>
    <x v="83"/>
    <x v="1"/>
    <x v="29"/>
    <x v="71"/>
    <x v="71"/>
    <x v="70"/>
    <x v="70"/>
    <x v="0"/>
    <x v="336"/>
    <x v="348"/>
    <x v="312"/>
    <x v="288"/>
    <x v="68"/>
    <x v="321"/>
    <x v="18"/>
    <x v="2"/>
    <x v="24"/>
    <x v="3"/>
    <x v="3"/>
    <x v="27"/>
    <x v="275"/>
    <x v="0"/>
    <x v="0"/>
    <x v="1"/>
    <x v="2"/>
    <x v="29"/>
  </r>
  <r>
    <x v="61"/>
    <x v="73"/>
    <x v="85"/>
    <x v="1"/>
    <x v="29"/>
    <x v="73"/>
    <x v="73"/>
    <x v="72"/>
    <x v="72"/>
    <x v="0"/>
    <x v="337"/>
    <x v="349"/>
    <x v="313"/>
    <x v="289"/>
    <x v="78"/>
    <x v="322"/>
    <x v="71"/>
    <x v="2"/>
    <x v="2"/>
    <x v="0"/>
    <x v="3"/>
    <x v="69"/>
    <x v="276"/>
    <x v="0"/>
    <x v="0"/>
    <x v="4"/>
    <x v="2"/>
    <x v="29"/>
  </r>
  <r>
    <x v="61"/>
    <x v="74"/>
    <x v="86"/>
    <x v="1"/>
    <x v="29"/>
    <x v="74"/>
    <x v="74"/>
    <x v="73"/>
    <x v="73"/>
    <x v="0"/>
    <x v="338"/>
    <x v="350"/>
    <x v="314"/>
    <x v="290"/>
    <x v="46"/>
    <x v="323"/>
    <x v="8"/>
    <x v="2"/>
    <x v="14"/>
    <x v="3"/>
    <x v="3"/>
    <x v="27"/>
    <x v="277"/>
    <x v="0"/>
    <x v="0"/>
    <x v="5"/>
    <x v="2"/>
    <x v="29"/>
  </r>
  <r>
    <x v="61"/>
    <x v="71"/>
    <x v="87"/>
    <x v="1"/>
    <x v="9"/>
    <x v="75"/>
    <x v="75"/>
    <x v="74"/>
    <x v="74"/>
    <x v="0"/>
    <x v="339"/>
    <x v="351"/>
    <x v="315"/>
    <x v="291"/>
    <x v="56"/>
    <x v="324"/>
    <x v="15"/>
    <x v="2"/>
    <x v="14"/>
    <x v="3"/>
    <x v="3"/>
    <x v="15"/>
    <x v="15"/>
    <x v="0"/>
    <x v="0"/>
    <x v="5"/>
    <x v="2"/>
    <x v="9"/>
  </r>
  <r>
    <x v="61"/>
    <x v="75"/>
    <x v="88"/>
    <x v="1"/>
    <x v="9"/>
    <x v="76"/>
    <x v="76"/>
    <x v="75"/>
    <x v="75"/>
    <x v="0"/>
    <x v="340"/>
    <x v="352"/>
    <x v="316"/>
    <x v="268"/>
    <x v="60"/>
    <x v="325"/>
    <x v="18"/>
    <x v="2"/>
    <x v="24"/>
    <x v="3"/>
    <x v="2"/>
    <x v="70"/>
    <x v="278"/>
    <x v="0"/>
    <x v="0"/>
    <x v="2"/>
    <x v="5"/>
    <x v="9"/>
  </r>
  <r>
    <x v="61"/>
    <x v="76"/>
    <x v="89"/>
    <x v="1"/>
    <x v="9"/>
    <x v="77"/>
    <x v="77"/>
    <x v="76"/>
    <x v="76"/>
    <x v="0"/>
    <x v="341"/>
    <x v="353"/>
    <x v="131"/>
    <x v="292"/>
    <x v="64"/>
    <x v="326"/>
    <x v="15"/>
    <x v="2"/>
    <x v="14"/>
    <x v="3"/>
    <x v="3"/>
    <x v="15"/>
    <x v="15"/>
    <x v="0"/>
    <x v="0"/>
    <x v="5"/>
    <x v="2"/>
    <x v="9"/>
  </r>
  <r>
    <x v="61"/>
    <x v="77"/>
    <x v="90"/>
    <x v="0"/>
    <x v="46"/>
    <x v="78"/>
    <x v="78"/>
    <x v="77"/>
    <x v="77"/>
    <x v="0"/>
    <x v="342"/>
    <x v="354"/>
    <x v="317"/>
    <x v="187"/>
    <x v="8"/>
    <x v="327"/>
    <x v="43"/>
    <x v="1"/>
    <x v="90"/>
    <x v="3"/>
    <x v="1"/>
    <x v="148"/>
    <x v="279"/>
    <x v="5"/>
    <x v="7"/>
    <x v="4"/>
    <x v="2"/>
    <x v="46"/>
  </r>
  <r>
    <x v="62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6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62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</r>
  <r>
    <x v="62"/>
    <x v="69"/>
    <x v="80"/>
    <x v="0"/>
    <x v="44"/>
    <x v="68"/>
    <x v="68"/>
    <x v="67"/>
    <x v="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4"/>
  </r>
  <r>
    <x v="62"/>
    <x v="70"/>
    <x v="81"/>
    <x v="0"/>
    <x v="45"/>
    <x v="69"/>
    <x v="69"/>
    <x v="68"/>
    <x v="6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5"/>
  </r>
  <r>
    <x v="62"/>
    <x v="71"/>
    <x v="83"/>
    <x v="1"/>
    <x v="29"/>
    <x v="71"/>
    <x v="71"/>
    <x v="70"/>
    <x v="70"/>
    <x v="0"/>
    <x v="343"/>
    <x v="355"/>
    <x v="318"/>
    <x v="51"/>
    <x v="79"/>
    <x v="328"/>
    <x v="18"/>
    <x v="2"/>
    <x v="14"/>
    <x v="3"/>
    <x v="3"/>
    <x v="20"/>
    <x v="280"/>
    <x v="0"/>
    <x v="0"/>
    <x v="2"/>
    <x v="2"/>
    <x v="29"/>
  </r>
  <r>
    <x v="62"/>
    <x v="73"/>
    <x v="85"/>
    <x v="1"/>
    <x v="29"/>
    <x v="73"/>
    <x v="73"/>
    <x v="72"/>
    <x v="72"/>
    <x v="0"/>
    <x v="344"/>
    <x v="356"/>
    <x v="319"/>
    <x v="187"/>
    <x v="80"/>
    <x v="329"/>
    <x v="13"/>
    <x v="2"/>
    <x v="14"/>
    <x v="3"/>
    <x v="2"/>
    <x v="68"/>
    <x v="281"/>
    <x v="0"/>
    <x v="0"/>
    <x v="5"/>
    <x v="2"/>
    <x v="29"/>
  </r>
  <r>
    <x v="62"/>
    <x v="74"/>
    <x v="86"/>
    <x v="1"/>
    <x v="29"/>
    <x v="74"/>
    <x v="74"/>
    <x v="73"/>
    <x v="73"/>
    <x v="0"/>
    <x v="345"/>
    <x v="357"/>
    <x v="320"/>
    <x v="293"/>
    <x v="45"/>
    <x v="330"/>
    <x v="26"/>
    <x v="2"/>
    <x v="24"/>
    <x v="3"/>
    <x v="3"/>
    <x v="83"/>
    <x v="282"/>
    <x v="0"/>
    <x v="0"/>
    <x v="2"/>
    <x v="2"/>
    <x v="29"/>
  </r>
  <r>
    <x v="62"/>
    <x v="75"/>
    <x v="88"/>
    <x v="1"/>
    <x v="9"/>
    <x v="76"/>
    <x v="76"/>
    <x v="75"/>
    <x v="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</r>
  <r>
    <x v="62"/>
    <x v="77"/>
    <x v="90"/>
    <x v="0"/>
    <x v="46"/>
    <x v="78"/>
    <x v="78"/>
    <x v="77"/>
    <x v="77"/>
    <x v="0"/>
    <x v="346"/>
    <x v="358"/>
    <x v="321"/>
    <x v="294"/>
    <x v="8"/>
    <x v="331"/>
    <x v="149"/>
    <x v="3"/>
    <x v="84"/>
    <x v="3"/>
    <x v="8"/>
    <x v="192"/>
    <x v="0"/>
    <x v="6"/>
    <x v="8"/>
    <x v="13"/>
    <x v="12"/>
    <x v="46"/>
  </r>
  <r>
    <x v="63"/>
    <x v="77"/>
    <x v="90"/>
    <x v="0"/>
    <x v="46"/>
    <x v="78"/>
    <x v="78"/>
    <x v="77"/>
    <x v="77"/>
    <x v="0"/>
    <x v="347"/>
    <x v="359"/>
    <x v="322"/>
    <x v="295"/>
    <x v="8"/>
    <x v="332"/>
    <x v="39"/>
    <x v="1"/>
    <x v="53"/>
    <x v="5"/>
    <x v="6"/>
    <x v="193"/>
    <x v="183"/>
    <x v="7"/>
    <x v="9"/>
    <x v="10"/>
    <x v="12"/>
    <x v="46"/>
  </r>
  <r>
    <x v="63"/>
    <x v="78"/>
    <x v="91"/>
    <x v="0"/>
    <x v="47"/>
    <x v="79"/>
    <x v="79"/>
    <x v="78"/>
    <x v="78"/>
    <x v="0"/>
    <x v="348"/>
    <x v="360"/>
    <x v="323"/>
    <x v="294"/>
    <x v="2"/>
    <x v="333"/>
    <x v="57"/>
    <x v="2"/>
    <x v="109"/>
    <x v="7"/>
    <x v="6"/>
    <x v="194"/>
    <x v="283"/>
    <x v="0"/>
    <x v="0"/>
    <x v="1"/>
    <x v="1"/>
    <x v="31"/>
  </r>
  <r>
    <x v="64"/>
    <x v="77"/>
    <x v="90"/>
    <x v="0"/>
    <x v="46"/>
    <x v="78"/>
    <x v="78"/>
    <x v="77"/>
    <x v="77"/>
    <x v="0"/>
    <x v="349"/>
    <x v="361"/>
    <x v="324"/>
    <x v="180"/>
    <x v="8"/>
    <x v="334"/>
    <x v="19"/>
    <x v="1"/>
    <x v="29"/>
    <x v="3"/>
    <x v="0"/>
    <x v="195"/>
    <x v="284"/>
    <x v="8"/>
    <x v="10"/>
    <x v="1"/>
    <x v="5"/>
    <x v="46"/>
  </r>
  <r>
    <x v="64"/>
    <x v="78"/>
    <x v="91"/>
    <x v="0"/>
    <x v="47"/>
    <x v="79"/>
    <x v="79"/>
    <x v="78"/>
    <x v="78"/>
    <x v="0"/>
    <x v="350"/>
    <x v="362"/>
    <x v="325"/>
    <x v="296"/>
    <x v="42"/>
    <x v="259"/>
    <x v="137"/>
    <x v="2"/>
    <x v="110"/>
    <x v="15"/>
    <x v="7"/>
    <x v="196"/>
    <x v="12"/>
    <x v="0"/>
    <x v="0"/>
    <x v="10"/>
    <x v="26"/>
    <x v="31"/>
  </r>
  <r>
    <x v="64"/>
    <x v="79"/>
    <x v="92"/>
    <x v="0"/>
    <x v="48"/>
    <x v="80"/>
    <x v="80"/>
    <x v="79"/>
    <x v="79"/>
    <x v="0"/>
    <x v="351"/>
    <x v="363"/>
    <x v="326"/>
    <x v="297"/>
    <x v="37"/>
    <x v="335"/>
    <x v="28"/>
    <x v="11"/>
    <x v="85"/>
    <x v="9"/>
    <x v="12"/>
    <x v="197"/>
    <x v="285"/>
    <x v="0"/>
    <x v="0"/>
    <x v="7"/>
    <x v="5"/>
    <x v="47"/>
  </r>
  <r>
    <x v="65"/>
    <x v="77"/>
    <x v="90"/>
    <x v="0"/>
    <x v="46"/>
    <x v="78"/>
    <x v="78"/>
    <x v="77"/>
    <x v="77"/>
    <x v="0"/>
    <x v="352"/>
    <x v="364"/>
    <x v="327"/>
    <x v="154"/>
    <x v="12"/>
    <x v="336"/>
    <x v="150"/>
    <x v="7"/>
    <x v="36"/>
    <x v="5"/>
    <x v="23"/>
    <x v="16"/>
    <x v="286"/>
    <x v="9"/>
    <x v="11"/>
    <x v="4"/>
    <x v="5"/>
    <x v="46"/>
  </r>
  <r>
    <x v="65"/>
    <x v="78"/>
    <x v="91"/>
    <x v="0"/>
    <x v="47"/>
    <x v="79"/>
    <x v="79"/>
    <x v="78"/>
    <x v="78"/>
    <x v="0"/>
    <x v="353"/>
    <x v="365"/>
    <x v="328"/>
    <x v="298"/>
    <x v="58"/>
    <x v="337"/>
    <x v="151"/>
    <x v="7"/>
    <x v="111"/>
    <x v="43"/>
    <x v="6"/>
    <x v="198"/>
    <x v="287"/>
    <x v="0"/>
    <x v="0"/>
    <x v="1"/>
    <x v="12"/>
    <x v="31"/>
  </r>
  <r>
    <x v="65"/>
    <x v="79"/>
    <x v="92"/>
    <x v="0"/>
    <x v="48"/>
    <x v="80"/>
    <x v="80"/>
    <x v="79"/>
    <x v="79"/>
    <x v="0"/>
    <x v="354"/>
    <x v="366"/>
    <x v="329"/>
    <x v="53"/>
    <x v="8"/>
    <x v="338"/>
    <x v="106"/>
    <x v="0"/>
    <x v="23"/>
    <x v="10"/>
    <x v="4"/>
    <x v="131"/>
    <x v="45"/>
    <x v="0"/>
    <x v="0"/>
    <x v="5"/>
    <x v="2"/>
    <x v="47"/>
  </r>
  <r>
    <x v="66"/>
    <x v="77"/>
    <x v="90"/>
    <x v="0"/>
    <x v="46"/>
    <x v="78"/>
    <x v="78"/>
    <x v="77"/>
    <x v="77"/>
    <x v="0"/>
    <x v="355"/>
    <x v="367"/>
    <x v="330"/>
    <x v="299"/>
    <x v="32"/>
    <x v="339"/>
    <x v="152"/>
    <x v="0"/>
    <x v="85"/>
    <x v="11"/>
    <x v="0"/>
    <x v="105"/>
    <x v="288"/>
    <x v="10"/>
    <x v="12"/>
    <x v="7"/>
    <x v="6"/>
    <x v="46"/>
  </r>
  <r>
    <x v="66"/>
    <x v="78"/>
    <x v="91"/>
    <x v="0"/>
    <x v="47"/>
    <x v="79"/>
    <x v="79"/>
    <x v="78"/>
    <x v="78"/>
    <x v="0"/>
    <x v="356"/>
    <x v="368"/>
    <x v="331"/>
    <x v="300"/>
    <x v="8"/>
    <x v="340"/>
    <x v="153"/>
    <x v="0"/>
    <x v="112"/>
    <x v="45"/>
    <x v="24"/>
    <x v="199"/>
    <x v="11"/>
    <x v="0"/>
    <x v="0"/>
    <x v="3"/>
    <x v="12"/>
    <x v="31"/>
  </r>
  <r>
    <x v="66"/>
    <x v="79"/>
    <x v="92"/>
    <x v="0"/>
    <x v="48"/>
    <x v="80"/>
    <x v="80"/>
    <x v="79"/>
    <x v="79"/>
    <x v="0"/>
    <x v="357"/>
    <x v="369"/>
    <x v="234"/>
    <x v="301"/>
    <x v="12"/>
    <x v="341"/>
    <x v="100"/>
    <x v="7"/>
    <x v="1"/>
    <x v="8"/>
    <x v="0"/>
    <x v="200"/>
    <x v="289"/>
    <x v="0"/>
    <x v="0"/>
    <x v="4"/>
    <x v="6"/>
    <x v="47"/>
  </r>
  <r>
    <x v="67"/>
    <x v="77"/>
    <x v="90"/>
    <x v="0"/>
    <x v="46"/>
    <x v="78"/>
    <x v="78"/>
    <x v="77"/>
    <x v="77"/>
    <x v="0"/>
    <x v="358"/>
    <x v="370"/>
    <x v="332"/>
    <x v="302"/>
    <x v="8"/>
    <x v="342"/>
    <x v="152"/>
    <x v="0"/>
    <x v="5"/>
    <x v="5"/>
    <x v="0"/>
    <x v="201"/>
    <x v="76"/>
    <x v="11"/>
    <x v="13"/>
    <x v="12"/>
    <x v="37"/>
    <x v="46"/>
  </r>
  <r>
    <x v="67"/>
    <x v="78"/>
    <x v="91"/>
    <x v="0"/>
    <x v="47"/>
    <x v="79"/>
    <x v="79"/>
    <x v="78"/>
    <x v="78"/>
    <x v="0"/>
    <x v="359"/>
    <x v="371"/>
    <x v="333"/>
    <x v="303"/>
    <x v="7"/>
    <x v="343"/>
    <x v="154"/>
    <x v="7"/>
    <x v="66"/>
    <x v="53"/>
    <x v="9"/>
    <x v="202"/>
    <x v="290"/>
    <x v="0"/>
    <x v="0"/>
    <x v="10"/>
    <x v="13"/>
    <x v="31"/>
  </r>
  <r>
    <x v="67"/>
    <x v="79"/>
    <x v="92"/>
    <x v="0"/>
    <x v="48"/>
    <x v="80"/>
    <x v="80"/>
    <x v="79"/>
    <x v="79"/>
    <x v="0"/>
    <x v="360"/>
    <x v="372"/>
    <x v="334"/>
    <x v="304"/>
    <x v="12"/>
    <x v="344"/>
    <x v="139"/>
    <x v="3"/>
    <x v="10"/>
    <x v="51"/>
    <x v="7"/>
    <x v="3"/>
    <x v="291"/>
    <x v="0"/>
    <x v="0"/>
    <x v="2"/>
    <x v="5"/>
    <x v="47"/>
  </r>
  <r>
    <x v="68"/>
    <x v="77"/>
    <x v="90"/>
    <x v="0"/>
    <x v="46"/>
    <x v="78"/>
    <x v="78"/>
    <x v="77"/>
    <x v="77"/>
    <x v="0"/>
    <x v="361"/>
    <x v="373"/>
    <x v="335"/>
    <x v="267"/>
    <x v="7"/>
    <x v="345"/>
    <x v="33"/>
    <x v="0"/>
    <x v="84"/>
    <x v="3"/>
    <x v="0"/>
    <x v="203"/>
    <x v="292"/>
    <x v="11"/>
    <x v="14"/>
    <x v="2"/>
    <x v="10"/>
    <x v="46"/>
  </r>
  <r>
    <x v="68"/>
    <x v="78"/>
    <x v="91"/>
    <x v="0"/>
    <x v="47"/>
    <x v="79"/>
    <x v="79"/>
    <x v="78"/>
    <x v="78"/>
    <x v="0"/>
    <x v="362"/>
    <x v="374"/>
    <x v="336"/>
    <x v="305"/>
    <x v="53"/>
    <x v="240"/>
    <x v="155"/>
    <x v="3"/>
    <x v="113"/>
    <x v="29"/>
    <x v="7"/>
    <x v="204"/>
    <x v="69"/>
    <x v="0"/>
    <x v="0"/>
    <x v="0"/>
    <x v="25"/>
    <x v="31"/>
  </r>
  <r>
    <x v="68"/>
    <x v="79"/>
    <x v="92"/>
    <x v="0"/>
    <x v="48"/>
    <x v="80"/>
    <x v="80"/>
    <x v="79"/>
    <x v="79"/>
    <x v="0"/>
    <x v="363"/>
    <x v="375"/>
    <x v="140"/>
    <x v="306"/>
    <x v="0"/>
    <x v="346"/>
    <x v="15"/>
    <x v="2"/>
    <x v="14"/>
    <x v="3"/>
    <x v="3"/>
    <x v="15"/>
    <x v="15"/>
    <x v="0"/>
    <x v="0"/>
    <x v="5"/>
    <x v="2"/>
    <x v="47"/>
  </r>
  <r>
    <x v="68"/>
    <x v="80"/>
    <x v="93"/>
    <x v="0"/>
    <x v="49"/>
    <x v="81"/>
    <x v="81"/>
    <x v="80"/>
    <x v="80"/>
    <x v="0"/>
    <x v="364"/>
    <x v="376"/>
    <x v="337"/>
    <x v="307"/>
    <x v="0"/>
    <x v="347"/>
    <x v="32"/>
    <x v="3"/>
    <x v="21"/>
    <x v="11"/>
    <x v="4"/>
    <x v="74"/>
    <x v="293"/>
    <x v="0"/>
    <x v="0"/>
    <x v="12"/>
    <x v="11"/>
    <x v="6"/>
  </r>
  <r>
    <x v="69"/>
    <x v="70"/>
    <x v="81"/>
    <x v="0"/>
    <x v="45"/>
    <x v="69"/>
    <x v="69"/>
    <x v="68"/>
    <x v="6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5"/>
  </r>
  <r>
    <x v="69"/>
    <x v="77"/>
    <x v="90"/>
    <x v="0"/>
    <x v="46"/>
    <x v="78"/>
    <x v="78"/>
    <x v="77"/>
    <x v="77"/>
    <x v="0"/>
    <x v="365"/>
    <x v="377"/>
    <x v="94"/>
    <x v="308"/>
    <x v="41"/>
    <x v="348"/>
    <x v="15"/>
    <x v="2"/>
    <x v="24"/>
    <x v="3"/>
    <x v="3"/>
    <x v="20"/>
    <x v="294"/>
    <x v="2"/>
    <x v="15"/>
    <x v="5"/>
    <x v="2"/>
    <x v="46"/>
  </r>
  <r>
    <x v="69"/>
    <x v="78"/>
    <x v="91"/>
    <x v="0"/>
    <x v="47"/>
    <x v="79"/>
    <x v="79"/>
    <x v="78"/>
    <x v="78"/>
    <x v="0"/>
    <x v="366"/>
    <x v="378"/>
    <x v="100"/>
    <x v="176"/>
    <x v="37"/>
    <x v="349"/>
    <x v="7"/>
    <x v="2"/>
    <x v="8"/>
    <x v="5"/>
    <x v="3"/>
    <x v="56"/>
    <x v="295"/>
    <x v="0"/>
    <x v="0"/>
    <x v="5"/>
    <x v="2"/>
    <x v="31"/>
  </r>
  <r>
    <x v="69"/>
    <x v="79"/>
    <x v="92"/>
    <x v="0"/>
    <x v="48"/>
    <x v="80"/>
    <x v="80"/>
    <x v="79"/>
    <x v="79"/>
    <x v="0"/>
    <x v="367"/>
    <x v="379"/>
    <x v="338"/>
    <x v="309"/>
    <x v="35"/>
    <x v="350"/>
    <x v="87"/>
    <x v="3"/>
    <x v="39"/>
    <x v="8"/>
    <x v="1"/>
    <x v="65"/>
    <x v="296"/>
    <x v="0"/>
    <x v="0"/>
    <x v="2"/>
    <x v="11"/>
    <x v="47"/>
  </r>
  <r>
    <x v="69"/>
    <x v="80"/>
    <x v="93"/>
    <x v="0"/>
    <x v="49"/>
    <x v="81"/>
    <x v="81"/>
    <x v="80"/>
    <x v="80"/>
    <x v="0"/>
    <x v="368"/>
    <x v="380"/>
    <x v="339"/>
    <x v="310"/>
    <x v="2"/>
    <x v="351"/>
    <x v="120"/>
    <x v="0"/>
    <x v="37"/>
    <x v="12"/>
    <x v="0"/>
    <x v="49"/>
    <x v="195"/>
    <x v="0"/>
    <x v="0"/>
    <x v="11"/>
    <x v="11"/>
    <x v="6"/>
  </r>
  <r>
    <x v="69"/>
    <x v="81"/>
    <x v="94"/>
    <x v="0"/>
    <x v="50"/>
    <x v="82"/>
    <x v="82"/>
    <x v="81"/>
    <x v="81"/>
    <x v="0"/>
    <x v="369"/>
    <x v="381"/>
    <x v="340"/>
    <x v="311"/>
    <x v="50"/>
    <x v="352"/>
    <x v="112"/>
    <x v="1"/>
    <x v="87"/>
    <x v="5"/>
    <x v="1"/>
    <x v="64"/>
    <x v="297"/>
    <x v="12"/>
    <x v="16"/>
    <x v="1"/>
    <x v="12"/>
    <x v="48"/>
  </r>
  <r>
    <x v="70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70"/>
    <x v="78"/>
    <x v="91"/>
    <x v="0"/>
    <x v="47"/>
    <x v="79"/>
    <x v="79"/>
    <x v="78"/>
    <x v="78"/>
    <x v="0"/>
    <x v="370"/>
    <x v="382"/>
    <x v="341"/>
    <x v="296"/>
    <x v="7"/>
    <x v="340"/>
    <x v="156"/>
    <x v="7"/>
    <x v="114"/>
    <x v="54"/>
    <x v="0"/>
    <x v="73"/>
    <x v="298"/>
    <x v="0"/>
    <x v="0"/>
    <x v="7"/>
    <x v="11"/>
    <x v="31"/>
  </r>
  <r>
    <x v="70"/>
    <x v="79"/>
    <x v="92"/>
    <x v="0"/>
    <x v="48"/>
    <x v="80"/>
    <x v="80"/>
    <x v="79"/>
    <x v="79"/>
    <x v="0"/>
    <x v="371"/>
    <x v="383"/>
    <x v="342"/>
    <x v="312"/>
    <x v="3"/>
    <x v="353"/>
    <x v="18"/>
    <x v="2"/>
    <x v="14"/>
    <x v="5"/>
    <x v="3"/>
    <x v="27"/>
    <x v="297"/>
    <x v="0"/>
    <x v="0"/>
    <x v="5"/>
    <x v="2"/>
    <x v="47"/>
  </r>
  <r>
    <x v="70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70"/>
    <x v="81"/>
    <x v="94"/>
    <x v="0"/>
    <x v="50"/>
    <x v="82"/>
    <x v="82"/>
    <x v="81"/>
    <x v="81"/>
    <x v="0"/>
    <x v="372"/>
    <x v="384"/>
    <x v="304"/>
    <x v="313"/>
    <x v="10"/>
    <x v="354"/>
    <x v="23"/>
    <x v="2"/>
    <x v="24"/>
    <x v="3"/>
    <x v="3"/>
    <x v="75"/>
    <x v="11"/>
    <x v="13"/>
    <x v="17"/>
    <x v="5"/>
    <x v="2"/>
    <x v="48"/>
  </r>
  <r>
    <x v="70"/>
    <x v="82"/>
    <x v="95"/>
    <x v="0"/>
    <x v="51"/>
    <x v="83"/>
    <x v="83"/>
    <x v="82"/>
    <x v="82"/>
    <x v="0"/>
    <x v="373"/>
    <x v="385"/>
    <x v="343"/>
    <x v="314"/>
    <x v="81"/>
    <x v="60"/>
    <x v="46"/>
    <x v="7"/>
    <x v="7"/>
    <x v="3"/>
    <x v="1"/>
    <x v="149"/>
    <x v="299"/>
    <x v="8"/>
    <x v="18"/>
    <x v="7"/>
    <x v="13"/>
    <x v="49"/>
  </r>
  <r>
    <x v="70"/>
    <x v="82"/>
    <x v="96"/>
    <x v="1"/>
    <x v="46"/>
    <x v="84"/>
    <x v="84"/>
    <x v="83"/>
    <x v="83"/>
    <x v="0"/>
    <x v="374"/>
    <x v="386"/>
    <x v="344"/>
    <x v="227"/>
    <x v="29"/>
    <x v="355"/>
    <x v="17"/>
    <x v="2"/>
    <x v="8"/>
    <x v="11"/>
    <x v="3"/>
    <x v="51"/>
    <x v="300"/>
    <x v="14"/>
    <x v="19"/>
    <x v="7"/>
    <x v="5"/>
    <x v="46"/>
  </r>
  <r>
    <x v="71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</r>
  <r>
    <x v="71"/>
    <x v="69"/>
    <x v="80"/>
    <x v="0"/>
    <x v="44"/>
    <x v="68"/>
    <x v="68"/>
    <x v="67"/>
    <x v="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4"/>
  </r>
  <r>
    <x v="71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71"/>
    <x v="78"/>
    <x v="91"/>
    <x v="0"/>
    <x v="47"/>
    <x v="79"/>
    <x v="79"/>
    <x v="78"/>
    <x v="78"/>
    <x v="0"/>
    <x v="375"/>
    <x v="387"/>
    <x v="345"/>
    <x v="315"/>
    <x v="81"/>
    <x v="290"/>
    <x v="157"/>
    <x v="7"/>
    <x v="115"/>
    <x v="55"/>
    <x v="1"/>
    <x v="205"/>
    <x v="125"/>
    <x v="0"/>
    <x v="0"/>
    <x v="4"/>
    <x v="3"/>
    <x v="31"/>
  </r>
  <r>
    <x v="71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71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71"/>
    <x v="82"/>
    <x v="95"/>
    <x v="0"/>
    <x v="51"/>
    <x v="83"/>
    <x v="83"/>
    <x v="82"/>
    <x v="82"/>
    <x v="0"/>
    <x v="376"/>
    <x v="388"/>
    <x v="248"/>
    <x v="316"/>
    <x v="52"/>
    <x v="356"/>
    <x v="18"/>
    <x v="2"/>
    <x v="14"/>
    <x v="3"/>
    <x v="3"/>
    <x v="20"/>
    <x v="166"/>
    <x v="2"/>
    <x v="20"/>
    <x v="5"/>
    <x v="2"/>
    <x v="49"/>
  </r>
  <r>
    <x v="71"/>
    <x v="82"/>
    <x v="96"/>
    <x v="1"/>
    <x v="46"/>
    <x v="84"/>
    <x v="84"/>
    <x v="83"/>
    <x v="8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71"/>
    <x v="83"/>
    <x v="97"/>
    <x v="0"/>
    <x v="52"/>
    <x v="85"/>
    <x v="85"/>
    <x v="84"/>
    <x v="84"/>
    <x v="0"/>
    <x v="377"/>
    <x v="389"/>
    <x v="346"/>
    <x v="317"/>
    <x v="55"/>
    <x v="357"/>
    <x v="112"/>
    <x v="7"/>
    <x v="45"/>
    <x v="5"/>
    <x v="4"/>
    <x v="36"/>
    <x v="301"/>
    <x v="15"/>
    <x v="21"/>
    <x v="5"/>
    <x v="5"/>
    <x v="50"/>
  </r>
  <r>
    <x v="72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72"/>
    <x v="78"/>
    <x v="91"/>
    <x v="0"/>
    <x v="47"/>
    <x v="79"/>
    <x v="79"/>
    <x v="78"/>
    <x v="78"/>
    <x v="0"/>
    <x v="378"/>
    <x v="390"/>
    <x v="347"/>
    <x v="158"/>
    <x v="30"/>
    <x v="358"/>
    <x v="158"/>
    <x v="0"/>
    <x v="116"/>
    <x v="2"/>
    <x v="0"/>
    <x v="206"/>
    <x v="302"/>
    <x v="0"/>
    <x v="0"/>
    <x v="4"/>
    <x v="2"/>
    <x v="31"/>
  </r>
  <r>
    <x v="72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72"/>
    <x v="81"/>
    <x v="94"/>
    <x v="0"/>
    <x v="50"/>
    <x v="82"/>
    <x v="82"/>
    <x v="81"/>
    <x v="8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8"/>
  </r>
  <r>
    <x v="72"/>
    <x v="83"/>
    <x v="97"/>
    <x v="0"/>
    <x v="52"/>
    <x v="85"/>
    <x v="85"/>
    <x v="84"/>
    <x v="84"/>
    <x v="0"/>
    <x v="379"/>
    <x v="391"/>
    <x v="348"/>
    <x v="318"/>
    <x v="26"/>
    <x v="359"/>
    <x v="62"/>
    <x v="1"/>
    <x v="91"/>
    <x v="3"/>
    <x v="0"/>
    <x v="36"/>
    <x v="303"/>
    <x v="16"/>
    <x v="22"/>
    <x v="5"/>
    <x v="12"/>
    <x v="50"/>
  </r>
  <r>
    <x v="72"/>
    <x v="84"/>
    <x v="98"/>
    <x v="0"/>
    <x v="51"/>
    <x v="86"/>
    <x v="86"/>
    <x v="85"/>
    <x v="85"/>
    <x v="0"/>
    <x v="380"/>
    <x v="392"/>
    <x v="349"/>
    <x v="319"/>
    <x v="37"/>
    <x v="214"/>
    <x v="15"/>
    <x v="2"/>
    <x v="14"/>
    <x v="3"/>
    <x v="3"/>
    <x v="15"/>
    <x v="15"/>
    <x v="0"/>
    <x v="0"/>
    <x v="2"/>
    <x v="2"/>
    <x v="49"/>
  </r>
  <r>
    <x v="73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73"/>
    <x v="78"/>
    <x v="91"/>
    <x v="0"/>
    <x v="47"/>
    <x v="79"/>
    <x v="79"/>
    <x v="78"/>
    <x v="78"/>
    <x v="0"/>
    <x v="381"/>
    <x v="393"/>
    <x v="350"/>
    <x v="320"/>
    <x v="32"/>
    <x v="360"/>
    <x v="44"/>
    <x v="0"/>
    <x v="107"/>
    <x v="17"/>
    <x v="23"/>
    <x v="207"/>
    <x v="302"/>
    <x v="0"/>
    <x v="0"/>
    <x v="5"/>
    <x v="6"/>
    <x v="31"/>
  </r>
  <r>
    <x v="73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73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73"/>
    <x v="83"/>
    <x v="97"/>
    <x v="0"/>
    <x v="52"/>
    <x v="85"/>
    <x v="85"/>
    <x v="84"/>
    <x v="84"/>
    <x v="0"/>
    <x v="382"/>
    <x v="394"/>
    <x v="351"/>
    <x v="10"/>
    <x v="55"/>
    <x v="361"/>
    <x v="159"/>
    <x v="2"/>
    <x v="55"/>
    <x v="5"/>
    <x v="4"/>
    <x v="179"/>
    <x v="304"/>
    <x v="17"/>
    <x v="23"/>
    <x v="1"/>
    <x v="5"/>
    <x v="50"/>
  </r>
  <r>
    <x v="73"/>
    <x v="84"/>
    <x v="98"/>
    <x v="0"/>
    <x v="51"/>
    <x v="86"/>
    <x v="86"/>
    <x v="85"/>
    <x v="85"/>
    <x v="0"/>
    <x v="383"/>
    <x v="395"/>
    <x v="352"/>
    <x v="321"/>
    <x v="82"/>
    <x v="362"/>
    <x v="7"/>
    <x v="2"/>
    <x v="19"/>
    <x v="5"/>
    <x v="1"/>
    <x v="56"/>
    <x v="305"/>
    <x v="13"/>
    <x v="24"/>
    <x v="2"/>
    <x v="2"/>
    <x v="49"/>
  </r>
  <r>
    <x v="74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74"/>
    <x v="78"/>
    <x v="91"/>
    <x v="0"/>
    <x v="47"/>
    <x v="79"/>
    <x v="79"/>
    <x v="78"/>
    <x v="78"/>
    <x v="0"/>
    <x v="384"/>
    <x v="396"/>
    <x v="353"/>
    <x v="322"/>
    <x v="8"/>
    <x v="239"/>
    <x v="160"/>
    <x v="10"/>
    <x v="117"/>
    <x v="10"/>
    <x v="2"/>
    <x v="152"/>
    <x v="306"/>
    <x v="0"/>
    <x v="0"/>
    <x v="2"/>
    <x v="5"/>
    <x v="31"/>
  </r>
  <r>
    <x v="74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</r>
  <r>
    <x v="74"/>
    <x v="83"/>
    <x v="97"/>
    <x v="0"/>
    <x v="52"/>
    <x v="85"/>
    <x v="85"/>
    <x v="84"/>
    <x v="84"/>
    <x v="0"/>
    <x v="385"/>
    <x v="397"/>
    <x v="354"/>
    <x v="35"/>
    <x v="32"/>
    <x v="363"/>
    <x v="18"/>
    <x v="2"/>
    <x v="14"/>
    <x v="3"/>
    <x v="3"/>
    <x v="20"/>
    <x v="307"/>
    <x v="0"/>
    <x v="0"/>
    <x v="5"/>
    <x v="2"/>
    <x v="50"/>
  </r>
  <r>
    <x v="74"/>
    <x v="84"/>
    <x v="98"/>
    <x v="0"/>
    <x v="51"/>
    <x v="86"/>
    <x v="86"/>
    <x v="85"/>
    <x v="85"/>
    <x v="0"/>
    <x v="386"/>
    <x v="398"/>
    <x v="355"/>
    <x v="41"/>
    <x v="74"/>
    <x v="364"/>
    <x v="15"/>
    <x v="2"/>
    <x v="24"/>
    <x v="3"/>
    <x v="3"/>
    <x v="20"/>
    <x v="308"/>
    <x v="0"/>
    <x v="0"/>
    <x v="5"/>
    <x v="2"/>
    <x v="49"/>
  </r>
  <r>
    <x v="74"/>
    <x v="85"/>
    <x v="99"/>
    <x v="0"/>
    <x v="53"/>
    <x v="87"/>
    <x v="87"/>
    <x v="86"/>
    <x v="86"/>
    <x v="0"/>
    <x v="387"/>
    <x v="399"/>
    <x v="356"/>
    <x v="323"/>
    <x v="3"/>
    <x v="183"/>
    <x v="161"/>
    <x v="1"/>
    <x v="7"/>
    <x v="5"/>
    <x v="2"/>
    <x v="208"/>
    <x v="309"/>
    <x v="14"/>
    <x v="25"/>
    <x v="4"/>
    <x v="6"/>
    <x v="51"/>
  </r>
  <r>
    <x v="74"/>
    <x v="85"/>
    <x v="100"/>
    <x v="0"/>
    <x v="54"/>
    <x v="88"/>
    <x v="88"/>
    <x v="87"/>
    <x v="87"/>
    <x v="0"/>
    <x v="388"/>
    <x v="400"/>
    <x v="357"/>
    <x v="222"/>
    <x v="81"/>
    <x v="285"/>
    <x v="162"/>
    <x v="2"/>
    <x v="0"/>
    <x v="3"/>
    <x v="29"/>
    <x v="209"/>
    <x v="7"/>
    <x v="16"/>
    <x v="26"/>
    <x v="23"/>
    <x v="23"/>
    <x v="52"/>
  </r>
  <r>
    <x v="75"/>
    <x v="78"/>
    <x v="91"/>
    <x v="0"/>
    <x v="47"/>
    <x v="79"/>
    <x v="79"/>
    <x v="78"/>
    <x v="78"/>
    <x v="0"/>
    <x v="389"/>
    <x v="401"/>
    <x v="358"/>
    <x v="82"/>
    <x v="81"/>
    <x v="365"/>
    <x v="163"/>
    <x v="10"/>
    <x v="118"/>
    <x v="20"/>
    <x v="27"/>
    <x v="210"/>
    <x v="267"/>
    <x v="0"/>
    <x v="0"/>
    <x v="1"/>
    <x v="11"/>
    <x v="31"/>
  </r>
  <r>
    <x v="75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75"/>
    <x v="83"/>
    <x v="97"/>
    <x v="0"/>
    <x v="52"/>
    <x v="85"/>
    <x v="85"/>
    <x v="84"/>
    <x v="8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0"/>
  </r>
  <r>
    <x v="75"/>
    <x v="84"/>
    <x v="98"/>
    <x v="0"/>
    <x v="51"/>
    <x v="86"/>
    <x v="86"/>
    <x v="85"/>
    <x v="8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9"/>
  </r>
  <r>
    <x v="75"/>
    <x v="85"/>
    <x v="99"/>
    <x v="0"/>
    <x v="53"/>
    <x v="87"/>
    <x v="87"/>
    <x v="86"/>
    <x v="86"/>
    <x v="0"/>
    <x v="390"/>
    <x v="402"/>
    <x v="359"/>
    <x v="82"/>
    <x v="51"/>
    <x v="366"/>
    <x v="18"/>
    <x v="2"/>
    <x v="50"/>
    <x v="3"/>
    <x v="2"/>
    <x v="83"/>
    <x v="34"/>
    <x v="0"/>
    <x v="0"/>
    <x v="5"/>
    <x v="2"/>
    <x v="51"/>
  </r>
  <r>
    <x v="75"/>
    <x v="85"/>
    <x v="100"/>
    <x v="0"/>
    <x v="54"/>
    <x v="88"/>
    <x v="88"/>
    <x v="87"/>
    <x v="87"/>
    <x v="0"/>
    <x v="391"/>
    <x v="403"/>
    <x v="257"/>
    <x v="324"/>
    <x v="3"/>
    <x v="320"/>
    <x v="146"/>
    <x v="1"/>
    <x v="61"/>
    <x v="5"/>
    <x v="33"/>
    <x v="211"/>
    <x v="216"/>
    <x v="15"/>
    <x v="19"/>
    <x v="10"/>
    <x v="38"/>
    <x v="52"/>
  </r>
  <r>
    <x v="75"/>
    <x v="86"/>
    <x v="101"/>
    <x v="0"/>
    <x v="55"/>
    <x v="89"/>
    <x v="89"/>
    <x v="88"/>
    <x v="88"/>
    <x v="0"/>
    <x v="392"/>
    <x v="404"/>
    <x v="360"/>
    <x v="325"/>
    <x v="48"/>
    <x v="367"/>
    <x v="54"/>
    <x v="0"/>
    <x v="19"/>
    <x v="3"/>
    <x v="1"/>
    <x v="154"/>
    <x v="310"/>
    <x v="16"/>
    <x v="27"/>
    <x v="2"/>
    <x v="2"/>
    <x v="53"/>
  </r>
  <r>
    <x v="75"/>
    <x v="86"/>
    <x v="102"/>
    <x v="0"/>
    <x v="56"/>
    <x v="90"/>
    <x v="90"/>
    <x v="89"/>
    <x v="89"/>
    <x v="0"/>
    <x v="393"/>
    <x v="405"/>
    <x v="361"/>
    <x v="326"/>
    <x v="2"/>
    <x v="368"/>
    <x v="109"/>
    <x v="2"/>
    <x v="119"/>
    <x v="4"/>
    <x v="23"/>
    <x v="212"/>
    <x v="155"/>
    <x v="0"/>
    <x v="0"/>
    <x v="2"/>
    <x v="12"/>
    <x v="54"/>
  </r>
  <r>
    <x v="76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76"/>
    <x v="78"/>
    <x v="91"/>
    <x v="0"/>
    <x v="47"/>
    <x v="79"/>
    <x v="79"/>
    <x v="78"/>
    <x v="78"/>
    <x v="0"/>
    <x v="394"/>
    <x v="406"/>
    <x v="362"/>
    <x v="327"/>
    <x v="58"/>
    <x v="369"/>
    <x v="164"/>
    <x v="2"/>
    <x v="120"/>
    <x v="14"/>
    <x v="2"/>
    <x v="213"/>
    <x v="132"/>
    <x v="0"/>
    <x v="0"/>
    <x v="5"/>
    <x v="11"/>
    <x v="31"/>
  </r>
  <r>
    <x v="76"/>
    <x v="85"/>
    <x v="100"/>
    <x v="0"/>
    <x v="54"/>
    <x v="88"/>
    <x v="88"/>
    <x v="87"/>
    <x v="87"/>
    <x v="0"/>
    <x v="395"/>
    <x v="407"/>
    <x v="363"/>
    <x v="79"/>
    <x v="8"/>
    <x v="370"/>
    <x v="165"/>
    <x v="1"/>
    <x v="121"/>
    <x v="3"/>
    <x v="28"/>
    <x v="167"/>
    <x v="222"/>
    <x v="8"/>
    <x v="28"/>
    <x v="7"/>
    <x v="8"/>
    <x v="52"/>
  </r>
  <r>
    <x v="76"/>
    <x v="86"/>
    <x v="101"/>
    <x v="0"/>
    <x v="55"/>
    <x v="89"/>
    <x v="89"/>
    <x v="88"/>
    <x v="88"/>
    <x v="0"/>
    <x v="396"/>
    <x v="408"/>
    <x v="92"/>
    <x v="328"/>
    <x v="83"/>
    <x v="371"/>
    <x v="41"/>
    <x v="2"/>
    <x v="42"/>
    <x v="3"/>
    <x v="3"/>
    <x v="8"/>
    <x v="311"/>
    <x v="18"/>
    <x v="29"/>
    <x v="4"/>
    <x v="5"/>
    <x v="53"/>
  </r>
  <r>
    <x v="76"/>
    <x v="86"/>
    <x v="102"/>
    <x v="0"/>
    <x v="56"/>
    <x v="90"/>
    <x v="90"/>
    <x v="89"/>
    <x v="89"/>
    <x v="0"/>
    <x v="397"/>
    <x v="409"/>
    <x v="364"/>
    <x v="329"/>
    <x v="0"/>
    <x v="372"/>
    <x v="74"/>
    <x v="7"/>
    <x v="122"/>
    <x v="11"/>
    <x v="4"/>
    <x v="214"/>
    <x v="312"/>
    <x v="0"/>
    <x v="0"/>
    <x v="2"/>
    <x v="12"/>
    <x v="54"/>
  </r>
  <r>
    <x v="77"/>
    <x v="78"/>
    <x v="91"/>
    <x v="0"/>
    <x v="47"/>
    <x v="79"/>
    <x v="79"/>
    <x v="78"/>
    <x v="78"/>
    <x v="0"/>
    <x v="398"/>
    <x v="410"/>
    <x v="365"/>
    <x v="281"/>
    <x v="58"/>
    <x v="373"/>
    <x v="166"/>
    <x v="0"/>
    <x v="86"/>
    <x v="42"/>
    <x v="6"/>
    <x v="215"/>
    <x v="313"/>
    <x v="0"/>
    <x v="0"/>
    <x v="5"/>
    <x v="5"/>
    <x v="31"/>
  </r>
  <r>
    <x v="77"/>
    <x v="85"/>
    <x v="100"/>
    <x v="0"/>
    <x v="54"/>
    <x v="88"/>
    <x v="88"/>
    <x v="87"/>
    <x v="87"/>
    <x v="0"/>
    <x v="399"/>
    <x v="411"/>
    <x v="366"/>
    <x v="330"/>
    <x v="42"/>
    <x v="374"/>
    <x v="167"/>
    <x v="0"/>
    <x v="64"/>
    <x v="3"/>
    <x v="34"/>
    <x v="216"/>
    <x v="143"/>
    <x v="19"/>
    <x v="30"/>
    <x v="21"/>
    <x v="39"/>
    <x v="52"/>
  </r>
  <r>
    <x v="77"/>
    <x v="86"/>
    <x v="101"/>
    <x v="0"/>
    <x v="55"/>
    <x v="89"/>
    <x v="89"/>
    <x v="88"/>
    <x v="88"/>
    <x v="0"/>
    <x v="400"/>
    <x v="412"/>
    <x v="286"/>
    <x v="331"/>
    <x v="34"/>
    <x v="375"/>
    <x v="18"/>
    <x v="2"/>
    <x v="14"/>
    <x v="3"/>
    <x v="3"/>
    <x v="20"/>
    <x v="314"/>
    <x v="2"/>
    <x v="31"/>
    <x v="5"/>
    <x v="2"/>
    <x v="53"/>
  </r>
  <r>
    <x v="77"/>
    <x v="86"/>
    <x v="102"/>
    <x v="0"/>
    <x v="56"/>
    <x v="90"/>
    <x v="90"/>
    <x v="89"/>
    <x v="89"/>
    <x v="0"/>
    <x v="401"/>
    <x v="413"/>
    <x v="355"/>
    <x v="332"/>
    <x v="2"/>
    <x v="376"/>
    <x v="15"/>
    <x v="2"/>
    <x v="24"/>
    <x v="3"/>
    <x v="3"/>
    <x v="20"/>
    <x v="298"/>
    <x v="0"/>
    <x v="0"/>
    <x v="5"/>
    <x v="2"/>
    <x v="54"/>
  </r>
  <r>
    <x v="78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78"/>
    <x v="78"/>
    <x v="91"/>
    <x v="0"/>
    <x v="47"/>
    <x v="79"/>
    <x v="79"/>
    <x v="78"/>
    <x v="78"/>
    <x v="0"/>
    <x v="402"/>
    <x v="414"/>
    <x v="367"/>
    <x v="333"/>
    <x v="10"/>
    <x v="377"/>
    <x v="158"/>
    <x v="7"/>
    <x v="123"/>
    <x v="8"/>
    <x v="1"/>
    <x v="217"/>
    <x v="315"/>
    <x v="0"/>
    <x v="0"/>
    <x v="2"/>
    <x v="2"/>
    <x v="31"/>
  </r>
  <r>
    <x v="78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78"/>
    <x v="85"/>
    <x v="100"/>
    <x v="0"/>
    <x v="54"/>
    <x v="88"/>
    <x v="88"/>
    <x v="87"/>
    <x v="87"/>
    <x v="0"/>
    <x v="403"/>
    <x v="415"/>
    <x v="368"/>
    <x v="267"/>
    <x v="2"/>
    <x v="378"/>
    <x v="79"/>
    <x v="0"/>
    <x v="122"/>
    <x v="5"/>
    <x v="35"/>
    <x v="218"/>
    <x v="84"/>
    <x v="20"/>
    <x v="32"/>
    <x v="8"/>
    <x v="40"/>
    <x v="52"/>
  </r>
  <r>
    <x v="78"/>
    <x v="86"/>
    <x v="102"/>
    <x v="0"/>
    <x v="56"/>
    <x v="90"/>
    <x v="90"/>
    <x v="89"/>
    <x v="89"/>
    <x v="0"/>
    <x v="404"/>
    <x v="416"/>
    <x v="369"/>
    <x v="245"/>
    <x v="10"/>
    <x v="193"/>
    <x v="168"/>
    <x v="0"/>
    <x v="64"/>
    <x v="10"/>
    <x v="24"/>
    <x v="219"/>
    <x v="316"/>
    <x v="0"/>
    <x v="0"/>
    <x v="12"/>
    <x v="11"/>
    <x v="54"/>
  </r>
  <r>
    <x v="79"/>
    <x v="78"/>
    <x v="91"/>
    <x v="0"/>
    <x v="47"/>
    <x v="79"/>
    <x v="79"/>
    <x v="78"/>
    <x v="78"/>
    <x v="0"/>
    <x v="405"/>
    <x v="417"/>
    <x v="370"/>
    <x v="334"/>
    <x v="12"/>
    <x v="379"/>
    <x v="164"/>
    <x v="2"/>
    <x v="124"/>
    <x v="32"/>
    <x v="4"/>
    <x v="220"/>
    <x v="180"/>
    <x v="0"/>
    <x v="0"/>
    <x v="2"/>
    <x v="12"/>
    <x v="31"/>
  </r>
  <r>
    <x v="79"/>
    <x v="85"/>
    <x v="100"/>
    <x v="0"/>
    <x v="54"/>
    <x v="88"/>
    <x v="88"/>
    <x v="87"/>
    <x v="87"/>
    <x v="0"/>
    <x v="406"/>
    <x v="418"/>
    <x v="371"/>
    <x v="335"/>
    <x v="4"/>
    <x v="380"/>
    <x v="169"/>
    <x v="1"/>
    <x v="125"/>
    <x v="5"/>
    <x v="36"/>
    <x v="221"/>
    <x v="317"/>
    <x v="11"/>
    <x v="33"/>
    <x v="39"/>
    <x v="25"/>
    <x v="52"/>
  </r>
  <r>
    <x v="79"/>
    <x v="86"/>
    <x v="102"/>
    <x v="0"/>
    <x v="56"/>
    <x v="90"/>
    <x v="90"/>
    <x v="89"/>
    <x v="89"/>
    <x v="0"/>
    <x v="407"/>
    <x v="419"/>
    <x v="372"/>
    <x v="336"/>
    <x v="58"/>
    <x v="381"/>
    <x v="74"/>
    <x v="2"/>
    <x v="126"/>
    <x v="4"/>
    <x v="7"/>
    <x v="92"/>
    <x v="318"/>
    <x v="0"/>
    <x v="0"/>
    <x v="2"/>
    <x v="11"/>
    <x v="54"/>
  </r>
  <r>
    <x v="80"/>
    <x v="78"/>
    <x v="91"/>
    <x v="0"/>
    <x v="47"/>
    <x v="79"/>
    <x v="79"/>
    <x v="78"/>
    <x v="78"/>
    <x v="0"/>
    <x v="408"/>
    <x v="420"/>
    <x v="373"/>
    <x v="337"/>
    <x v="8"/>
    <x v="382"/>
    <x v="84"/>
    <x v="0"/>
    <x v="127"/>
    <x v="40"/>
    <x v="4"/>
    <x v="222"/>
    <x v="6"/>
    <x v="0"/>
    <x v="0"/>
    <x v="1"/>
    <x v="11"/>
    <x v="31"/>
  </r>
  <r>
    <x v="80"/>
    <x v="85"/>
    <x v="100"/>
    <x v="0"/>
    <x v="54"/>
    <x v="88"/>
    <x v="88"/>
    <x v="87"/>
    <x v="87"/>
    <x v="0"/>
    <x v="409"/>
    <x v="421"/>
    <x v="374"/>
    <x v="337"/>
    <x v="2"/>
    <x v="383"/>
    <x v="8"/>
    <x v="2"/>
    <x v="14"/>
    <x v="3"/>
    <x v="3"/>
    <x v="27"/>
    <x v="319"/>
    <x v="0"/>
    <x v="0"/>
    <x v="5"/>
    <x v="5"/>
    <x v="52"/>
  </r>
  <r>
    <x v="80"/>
    <x v="86"/>
    <x v="102"/>
    <x v="0"/>
    <x v="56"/>
    <x v="90"/>
    <x v="90"/>
    <x v="89"/>
    <x v="89"/>
    <x v="0"/>
    <x v="410"/>
    <x v="422"/>
    <x v="375"/>
    <x v="172"/>
    <x v="58"/>
    <x v="384"/>
    <x v="170"/>
    <x v="7"/>
    <x v="128"/>
    <x v="13"/>
    <x v="6"/>
    <x v="223"/>
    <x v="320"/>
    <x v="0"/>
    <x v="0"/>
    <x v="2"/>
    <x v="10"/>
    <x v="54"/>
  </r>
  <r>
    <x v="81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81"/>
    <x v="78"/>
    <x v="91"/>
    <x v="0"/>
    <x v="47"/>
    <x v="79"/>
    <x v="79"/>
    <x v="78"/>
    <x v="78"/>
    <x v="0"/>
    <x v="411"/>
    <x v="423"/>
    <x v="376"/>
    <x v="338"/>
    <x v="58"/>
    <x v="142"/>
    <x v="109"/>
    <x v="7"/>
    <x v="120"/>
    <x v="51"/>
    <x v="8"/>
    <x v="224"/>
    <x v="11"/>
    <x v="0"/>
    <x v="0"/>
    <x v="2"/>
    <x v="6"/>
    <x v="31"/>
  </r>
  <r>
    <x v="81"/>
    <x v="85"/>
    <x v="100"/>
    <x v="0"/>
    <x v="54"/>
    <x v="88"/>
    <x v="88"/>
    <x v="87"/>
    <x v="87"/>
    <x v="0"/>
    <x v="412"/>
    <x v="424"/>
    <x v="377"/>
    <x v="339"/>
    <x v="30"/>
    <x v="385"/>
    <x v="51"/>
    <x v="7"/>
    <x v="127"/>
    <x v="3"/>
    <x v="37"/>
    <x v="225"/>
    <x v="116"/>
    <x v="21"/>
    <x v="34"/>
    <x v="28"/>
    <x v="17"/>
    <x v="52"/>
  </r>
  <r>
    <x v="81"/>
    <x v="86"/>
    <x v="101"/>
    <x v="0"/>
    <x v="55"/>
    <x v="89"/>
    <x v="89"/>
    <x v="88"/>
    <x v="8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3"/>
  </r>
  <r>
    <x v="81"/>
    <x v="86"/>
    <x v="102"/>
    <x v="0"/>
    <x v="56"/>
    <x v="90"/>
    <x v="90"/>
    <x v="89"/>
    <x v="89"/>
    <x v="0"/>
    <x v="413"/>
    <x v="425"/>
    <x v="378"/>
    <x v="340"/>
    <x v="7"/>
    <x v="76"/>
    <x v="171"/>
    <x v="1"/>
    <x v="46"/>
    <x v="12"/>
    <x v="8"/>
    <x v="226"/>
    <x v="321"/>
    <x v="0"/>
    <x v="0"/>
    <x v="10"/>
    <x v="5"/>
    <x v="54"/>
  </r>
  <r>
    <x v="81"/>
    <x v="87"/>
    <x v="103"/>
    <x v="0"/>
    <x v="57"/>
    <x v="91"/>
    <x v="91"/>
    <x v="90"/>
    <x v="90"/>
    <x v="0"/>
    <x v="414"/>
    <x v="426"/>
    <x v="379"/>
    <x v="333"/>
    <x v="51"/>
    <x v="181"/>
    <x v="172"/>
    <x v="7"/>
    <x v="91"/>
    <x v="4"/>
    <x v="7"/>
    <x v="227"/>
    <x v="322"/>
    <x v="0"/>
    <x v="0"/>
    <x v="4"/>
    <x v="11"/>
    <x v="55"/>
  </r>
  <r>
    <x v="82"/>
    <x v="78"/>
    <x v="91"/>
    <x v="0"/>
    <x v="47"/>
    <x v="79"/>
    <x v="79"/>
    <x v="78"/>
    <x v="78"/>
    <x v="0"/>
    <x v="415"/>
    <x v="427"/>
    <x v="380"/>
    <x v="9"/>
    <x v="12"/>
    <x v="379"/>
    <x v="26"/>
    <x v="2"/>
    <x v="50"/>
    <x v="11"/>
    <x v="3"/>
    <x v="31"/>
    <x v="295"/>
    <x v="0"/>
    <x v="0"/>
    <x v="5"/>
    <x v="2"/>
    <x v="31"/>
  </r>
  <r>
    <x v="82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82"/>
    <x v="82"/>
    <x v="95"/>
    <x v="0"/>
    <x v="51"/>
    <x v="83"/>
    <x v="83"/>
    <x v="82"/>
    <x v="8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9"/>
  </r>
  <r>
    <x v="82"/>
    <x v="85"/>
    <x v="99"/>
    <x v="0"/>
    <x v="53"/>
    <x v="87"/>
    <x v="87"/>
    <x v="86"/>
    <x v="8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1"/>
  </r>
  <r>
    <x v="82"/>
    <x v="85"/>
    <x v="100"/>
    <x v="0"/>
    <x v="54"/>
    <x v="88"/>
    <x v="88"/>
    <x v="87"/>
    <x v="87"/>
    <x v="0"/>
    <x v="416"/>
    <x v="428"/>
    <x v="381"/>
    <x v="341"/>
    <x v="12"/>
    <x v="244"/>
    <x v="173"/>
    <x v="5"/>
    <x v="129"/>
    <x v="11"/>
    <x v="38"/>
    <x v="228"/>
    <x v="68"/>
    <x v="22"/>
    <x v="35"/>
    <x v="37"/>
    <x v="41"/>
    <x v="52"/>
  </r>
  <r>
    <x v="82"/>
    <x v="86"/>
    <x v="102"/>
    <x v="0"/>
    <x v="56"/>
    <x v="90"/>
    <x v="90"/>
    <x v="89"/>
    <x v="89"/>
    <x v="0"/>
    <x v="417"/>
    <x v="429"/>
    <x v="382"/>
    <x v="342"/>
    <x v="30"/>
    <x v="386"/>
    <x v="41"/>
    <x v="2"/>
    <x v="42"/>
    <x v="3"/>
    <x v="3"/>
    <x v="8"/>
    <x v="323"/>
    <x v="0"/>
    <x v="0"/>
    <x v="5"/>
    <x v="2"/>
    <x v="54"/>
  </r>
  <r>
    <x v="82"/>
    <x v="87"/>
    <x v="103"/>
    <x v="0"/>
    <x v="57"/>
    <x v="91"/>
    <x v="91"/>
    <x v="90"/>
    <x v="90"/>
    <x v="0"/>
    <x v="418"/>
    <x v="430"/>
    <x v="199"/>
    <x v="343"/>
    <x v="3"/>
    <x v="387"/>
    <x v="18"/>
    <x v="2"/>
    <x v="14"/>
    <x v="3"/>
    <x v="3"/>
    <x v="20"/>
    <x v="295"/>
    <x v="0"/>
    <x v="0"/>
    <x v="5"/>
    <x v="2"/>
    <x v="55"/>
  </r>
  <r>
    <x v="83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</r>
  <r>
    <x v="83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83"/>
    <x v="85"/>
    <x v="100"/>
    <x v="0"/>
    <x v="54"/>
    <x v="88"/>
    <x v="88"/>
    <x v="87"/>
    <x v="87"/>
    <x v="0"/>
    <x v="419"/>
    <x v="431"/>
    <x v="383"/>
    <x v="344"/>
    <x v="7"/>
    <x v="358"/>
    <x v="18"/>
    <x v="2"/>
    <x v="42"/>
    <x v="3"/>
    <x v="3"/>
    <x v="83"/>
    <x v="324"/>
    <x v="0"/>
    <x v="0"/>
    <x v="5"/>
    <x v="5"/>
    <x v="52"/>
  </r>
  <r>
    <x v="83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83"/>
    <x v="87"/>
    <x v="103"/>
    <x v="0"/>
    <x v="57"/>
    <x v="91"/>
    <x v="91"/>
    <x v="90"/>
    <x v="90"/>
    <x v="0"/>
    <x v="420"/>
    <x v="432"/>
    <x v="384"/>
    <x v="345"/>
    <x v="32"/>
    <x v="388"/>
    <x v="55"/>
    <x v="0"/>
    <x v="45"/>
    <x v="32"/>
    <x v="4"/>
    <x v="21"/>
    <x v="325"/>
    <x v="0"/>
    <x v="0"/>
    <x v="5"/>
    <x v="5"/>
    <x v="55"/>
  </r>
  <r>
    <x v="83"/>
    <x v="88"/>
    <x v="104"/>
    <x v="0"/>
    <x v="58"/>
    <x v="92"/>
    <x v="92"/>
    <x v="91"/>
    <x v="91"/>
    <x v="0"/>
    <x v="421"/>
    <x v="433"/>
    <x v="385"/>
    <x v="346"/>
    <x v="74"/>
    <x v="389"/>
    <x v="65"/>
    <x v="0"/>
    <x v="20"/>
    <x v="3"/>
    <x v="2"/>
    <x v="148"/>
    <x v="326"/>
    <x v="15"/>
    <x v="36"/>
    <x v="7"/>
    <x v="2"/>
    <x v="56"/>
  </r>
  <r>
    <x v="83"/>
    <x v="88"/>
    <x v="105"/>
    <x v="0"/>
    <x v="48"/>
    <x v="93"/>
    <x v="93"/>
    <x v="92"/>
    <x v="92"/>
    <x v="0"/>
    <x v="422"/>
    <x v="434"/>
    <x v="386"/>
    <x v="347"/>
    <x v="74"/>
    <x v="390"/>
    <x v="83"/>
    <x v="1"/>
    <x v="36"/>
    <x v="10"/>
    <x v="4"/>
    <x v="65"/>
    <x v="327"/>
    <x v="0"/>
    <x v="0"/>
    <x v="1"/>
    <x v="6"/>
    <x v="47"/>
  </r>
  <r>
    <x v="83"/>
    <x v="88"/>
    <x v="106"/>
    <x v="0"/>
    <x v="17"/>
    <x v="94"/>
    <x v="94"/>
    <x v="93"/>
    <x v="93"/>
    <x v="0"/>
    <x v="423"/>
    <x v="435"/>
    <x v="387"/>
    <x v="204"/>
    <x v="42"/>
    <x v="105"/>
    <x v="174"/>
    <x v="7"/>
    <x v="130"/>
    <x v="7"/>
    <x v="27"/>
    <x v="229"/>
    <x v="328"/>
    <x v="0"/>
    <x v="0"/>
    <x v="9"/>
    <x v="26"/>
    <x v="17"/>
  </r>
  <r>
    <x v="83"/>
    <x v="88"/>
    <x v="107"/>
    <x v="1"/>
    <x v="48"/>
    <x v="95"/>
    <x v="95"/>
    <x v="94"/>
    <x v="94"/>
    <x v="0"/>
    <x v="424"/>
    <x v="436"/>
    <x v="388"/>
    <x v="109"/>
    <x v="84"/>
    <x v="391"/>
    <x v="22"/>
    <x v="2"/>
    <x v="22"/>
    <x v="1"/>
    <x v="2"/>
    <x v="23"/>
    <x v="329"/>
    <x v="0"/>
    <x v="0"/>
    <x v="5"/>
    <x v="2"/>
    <x v="47"/>
  </r>
  <r>
    <x v="83"/>
    <x v="89"/>
    <x v="108"/>
    <x v="1"/>
    <x v="48"/>
    <x v="96"/>
    <x v="96"/>
    <x v="95"/>
    <x v="95"/>
    <x v="0"/>
    <x v="425"/>
    <x v="337"/>
    <x v="113"/>
    <x v="348"/>
    <x v="85"/>
    <x v="392"/>
    <x v="15"/>
    <x v="2"/>
    <x v="14"/>
    <x v="3"/>
    <x v="3"/>
    <x v="15"/>
    <x v="15"/>
    <x v="0"/>
    <x v="0"/>
    <x v="5"/>
    <x v="2"/>
    <x v="47"/>
  </r>
  <r>
    <x v="83"/>
    <x v="88"/>
    <x v="109"/>
    <x v="1"/>
    <x v="17"/>
    <x v="96"/>
    <x v="96"/>
    <x v="95"/>
    <x v="95"/>
    <x v="0"/>
    <x v="426"/>
    <x v="437"/>
    <x v="389"/>
    <x v="349"/>
    <x v="79"/>
    <x v="393"/>
    <x v="71"/>
    <x v="1"/>
    <x v="28"/>
    <x v="1"/>
    <x v="1"/>
    <x v="64"/>
    <x v="330"/>
    <x v="0"/>
    <x v="0"/>
    <x v="2"/>
    <x v="11"/>
    <x v="17"/>
  </r>
  <r>
    <x v="8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84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84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84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84"/>
    <x v="87"/>
    <x v="103"/>
    <x v="0"/>
    <x v="57"/>
    <x v="91"/>
    <x v="91"/>
    <x v="90"/>
    <x v="90"/>
    <x v="0"/>
    <x v="427"/>
    <x v="438"/>
    <x v="286"/>
    <x v="350"/>
    <x v="42"/>
    <x v="90"/>
    <x v="15"/>
    <x v="2"/>
    <x v="14"/>
    <x v="3"/>
    <x v="3"/>
    <x v="15"/>
    <x v="15"/>
    <x v="0"/>
    <x v="0"/>
    <x v="5"/>
    <x v="2"/>
    <x v="55"/>
  </r>
  <r>
    <x v="84"/>
    <x v="88"/>
    <x v="104"/>
    <x v="0"/>
    <x v="58"/>
    <x v="92"/>
    <x v="92"/>
    <x v="91"/>
    <x v="91"/>
    <x v="0"/>
    <x v="428"/>
    <x v="439"/>
    <x v="35"/>
    <x v="351"/>
    <x v="3"/>
    <x v="394"/>
    <x v="8"/>
    <x v="2"/>
    <x v="24"/>
    <x v="3"/>
    <x v="3"/>
    <x v="70"/>
    <x v="331"/>
    <x v="2"/>
    <x v="37"/>
    <x v="2"/>
    <x v="2"/>
    <x v="56"/>
  </r>
  <r>
    <x v="84"/>
    <x v="88"/>
    <x v="105"/>
    <x v="0"/>
    <x v="48"/>
    <x v="93"/>
    <x v="93"/>
    <x v="92"/>
    <x v="92"/>
    <x v="0"/>
    <x v="429"/>
    <x v="440"/>
    <x v="390"/>
    <x v="352"/>
    <x v="35"/>
    <x v="395"/>
    <x v="55"/>
    <x v="1"/>
    <x v="1"/>
    <x v="35"/>
    <x v="1"/>
    <x v="99"/>
    <x v="332"/>
    <x v="0"/>
    <x v="0"/>
    <x v="2"/>
    <x v="11"/>
    <x v="47"/>
  </r>
  <r>
    <x v="84"/>
    <x v="88"/>
    <x v="106"/>
    <x v="0"/>
    <x v="17"/>
    <x v="94"/>
    <x v="94"/>
    <x v="93"/>
    <x v="93"/>
    <x v="0"/>
    <x v="430"/>
    <x v="441"/>
    <x v="391"/>
    <x v="151"/>
    <x v="42"/>
    <x v="396"/>
    <x v="175"/>
    <x v="0"/>
    <x v="131"/>
    <x v="17"/>
    <x v="29"/>
    <x v="225"/>
    <x v="183"/>
    <x v="0"/>
    <x v="0"/>
    <x v="10"/>
    <x v="6"/>
    <x v="17"/>
  </r>
  <r>
    <x v="84"/>
    <x v="88"/>
    <x v="107"/>
    <x v="1"/>
    <x v="48"/>
    <x v="95"/>
    <x v="95"/>
    <x v="94"/>
    <x v="94"/>
    <x v="0"/>
    <x v="431"/>
    <x v="442"/>
    <x v="131"/>
    <x v="353"/>
    <x v="86"/>
    <x v="397"/>
    <x v="15"/>
    <x v="2"/>
    <x v="14"/>
    <x v="3"/>
    <x v="3"/>
    <x v="15"/>
    <x v="15"/>
    <x v="0"/>
    <x v="0"/>
    <x v="5"/>
    <x v="2"/>
    <x v="47"/>
  </r>
  <r>
    <x v="84"/>
    <x v="88"/>
    <x v="109"/>
    <x v="1"/>
    <x v="17"/>
    <x v="96"/>
    <x v="96"/>
    <x v="95"/>
    <x v="95"/>
    <x v="0"/>
    <x v="432"/>
    <x v="443"/>
    <x v="392"/>
    <x v="354"/>
    <x v="87"/>
    <x v="398"/>
    <x v="21"/>
    <x v="2"/>
    <x v="20"/>
    <x v="3"/>
    <x v="2"/>
    <x v="50"/>
    <x v="333"/>
    <x v="0"/>
    <x v="0"/>
    <x v="5"/>
    <x v="11"/>
    <x v="17"/>
  </r>
  <r>
    <x v="84"/>
    <x v="90"/>
    <x v="110"/>
    <x v="0"/>
    <x v="59"/>
    <x v="97"/>
    <x v="97"/>
    <x v="96"/>
    <x v="96"/>
    <x v="0"/>
    <x v="433"/>
    <x v="444"/>
    <x v="393"/>
    <x v="355"/>
    <x v="41"/>
    <x v="399"/>
    <x v="40"/>
    <x v="2"/>
    <x v="4"/>
    <x v="10"/>
    <x v="3"/>
    <x v="9"/>
    <x v="334"/>
    <x v="0"/>
    <x v="0"/>
    <x v="11"/>
    <x v="5"/>
    <x v="57"/>
  </r>
  <r>
    <x v="84"/>
    <x v="90"/>
    <x v="111"/>
    <x v="0"/>
    <x v="60"/>
    <x v="98"/>
    <x v="98"/>
    <x v="97"/>
    <x v="97"/>
    <x v="0"/>
    <x v="434"/>
    <x v="445"/>
    <x v="394"/>
    <x v="160"/>
    <x v="53"/>
    <x v="400"/>
    <x v="150"/>
    <x v="7"/>
    <x v="36"/>
    <x v="0"/>
    <x v="2"/>
    <x v="182"/>
    <x v="335"/>
    <x v="0"/>
    <x v="0"/>
    <x v="5"/>
    <x v="11"/>
    <x v="58"/>
  </r>
  <r>
    <x v="84"/>
    <x v="90"/>
    <x v="112"/>
    <x v="1"/>
    <x v="46"/>
    <x v="99"/>
    <x v="99"/>
    <x v="98"/>
    <x v="98"/>
    <x v="0"/>
    <x v="435"/>
    <x v="446"/>
    <x v="395"/>
    <x v="222"/>
    <x v="88"/>
    <x v="401"/>
    <x v="41"/>
    <x v="2"/>
    <x v="8"/>
    <x v="3"/>
    <x v="3"/>
    <x v="30"/>
    <x v="336"/>
    <x v="23"/>
    <x v="38"/>
    <x v="4"/>
    <x v="5"/>
    <x v="46"/>
  </r>
  <r>
    <x v="8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8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85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85"/>
    <x v="87"/>
    <x v="103"/>
    <x v="0"/>
    <x v="57"/>
    <x v="91"/>
    <x v="91"/>
    <x v="90"/>
    <x v="9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5"/>
  </r>
  <r>
    <x v="85"/>
    <x v="88"/>
    <x v="105"/>
    <x v="0"/>
    <x v="48"/>
    <x v="93"/>
    <x v="93"/>
    <x v="92"/>
    <x v="92"/>
    <x v="0"/>
    <x v="436"/>
    <x v="447"/>
    <x v="396"/>
    <x v="356"/>
    <x v="32"/>
    <x v="402"/>
    <x v="15"/>
    <x v="2"/>
    <x v="24"/>
    <x v="3"/>
    <x v="3"/>
    <x v="20"/>
    <x v="337"/>
    <x v="0"/>
    <x v="0"/>
    <x v="5"/>
    <x v="2"/>
    <x v="47"/>
  </r>
  <r>
    <x v="85"/>
    <x v="88"/>
    <x v="106"/>
    <x v="0"/>
    <x v="17"/>
    <x v="94"/>
    <x v="94"/>
    <x v="93"/>
    <x v="93"/>
    <x v="0"/>
    <x v="437"/>
    <x v="448"/>
    <x v="27"/>
    <x v="338"/>
    <x v="2"/>
    <x v="403"/>
    <x v="15"/>
    <x v="2"/>
    <x v="14"/>
    <x v="3"/>
    <x v="3"/>
    <x v="15"/>
    <x v="15"/>
    <x v="0"/>
    <x v="0"/>
    <x v="5"/>
    <x v="2"/>
    <x v="17"/>
  </r>
  <r>
    <x v="85"/>
    <x v="88"/>
    <x v="107"/>
    <x v="1"/>
    <x v="48"/>
    <x v="95"/>
    <x v="95"/>
    <x v="94"/>
    <x v="9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85"/>
    <x v="90"/>
    <x v="110"/>
    <x v="0"/>
    <x v="59"/>
    <x v="97"/>
    <x v="97"/>
    <x v="96"/>
    <x v="96"/>
    <x v="0"/>
    <x v="438"/>
    <x v="412"/>
    <x v="24"/>
    <x v="357"/>
    <x v="52"/>
    <x v="404"/>
    <x v="15"/>
    <x v="2"/>
    <x v="14"/>
    <x v="3"/>
    <x v="3"/>
    <x v="15"/>
    <x v="15"/>
    <x v="0"/>
    <x v="0"/>
    <x v="5"/>
    <x v="2"/>
    <x v="57"/>
  </r>
  <r>
    <x v="85"/>
    <x v="90"/>
    <x v="111"/>
    <x v="0"/>
    <x v="60"/>
    <x v="98"/>
    <x v="98"/>
    <x v="97"/>
    <x v="97"/>
    <x v="0"/>
    <x v="439"/>
    <x v="275"/>
    <x v="27"/>
    <x v="199"/>
    <x v="32"/>
    <x v="405"/>
    <x v="15"/>
    <x v="2"/>
    <x v="14"/>
    <x v="3"/>
    <x v="3"/>
    <x v="15"/>
    <x v="15"/>
    <x v="0"/>
    <x v="0"/>
    <x v="5"/>
    <x v="2"/>
    <x v="58"/>
  </r>
  <r>
    <x v="85"/>
    <x v="90"/>
    <x v="112"/>
    <x v="1"/>
    <x v="46"/>
    <x v="99"/>
    <x v="99"/>
    <x v="98"/>
    <x v="98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46"/>
  </r>
  <r>
    <x v="85"/>
    <x v="91"/>
    <x v="113"/>
    <x v="0"/>
    <x v="61"/>
    <x v="100"/>
    <x v="100"/>
    <x v="99"/>
    <x v="99"/>
    <x v="0"/>
    <x v="440"/>
    <x v="449"/>
    <x v="397"/>
    <x v="358"/>
    <x v="76"/>
    <x v="188"/>
    <x v="8"/>
    <x v="2"/>
    <x v="42"/>
    <x v="5"/>
    <x v="3"/>
    <x v="93"/>
    <x v="338"/>
    <x v="13"/>
    <x v="39"/>
    <x v="5"/>
    <x v="5"/>
    <x v="59"/>
  </r>
  <r>
    <x v="85"/>
    <x v="91"/>
    <x v="114"/>
    <x v="0"/>
    <x v="62"/>
    <x v="101"/>
    <x v="101"/>
    <x v="100"/>
    <x v="100"/>
    <x v="0"/>
    <x v="441"/>
    <x v="450"/>
    <x v="398"/>
    <x v="359"/>
    <x v="21"/>
    <x v="406"/>
    <x v="1"/>
    <x v="0"/>
    <x v="90"/>
    <x v="5"/>
    <x v="2"/>
    <x v="170"/>
    <x v="339"/>
    <x v="18"/>
    <x v="40"/>
    <x v="10"/>
    <x v="11"/>
    <x v="60"/>
  </r>
  <r>
    <x v="85"/>
    <x v="91"/>
    <x v="115"/>
    <x v="1"/>
    <x v="47"/>
    <x v="102"/>
    <x v="102"/>
    <x v="101"/>
    <x v="101"/>
    <x v="0"/>
    <x v="442"/>
    <x v="451"/>
    <x v="4"/>
    <x v="88"/>
    <x v="34"/>
    <x v="407"/>
    <x v="50"/>
    <x v="2"/>
    <x v="38"/>
    <x v="10"/>
    <x v="0"/>
    <x v="95"/>
    <x v="340"/>
    <x v="0"/>
    <x v="0"/>
    <x v="5"/>
    <x v="2"/>
    <x v="31"/>
  </r>
  <r>
    <x v="8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86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86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86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86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8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86"/>
    <x v="91"/>
    <x v="113"/>
    <x v="0"/>
    <x v="61"/>
    <x v="100"/>
    <x v="100"/>
    <x v="99"/>
    <x v="99"/>
    <x v="0"/>
    <x v="443"/>
    <x v="452"/>
    <x v="399"/>
    <x v="360"/>
    <x v="82"/>
    <x v="408"/>
    <x v="16"/>
    <x v="1"/>
    <x v="31"/>
    <x v="3"/>
    <x v="3"/>
    <x v="79"/>
    <x v="341"/>
    <x v="8"/>
    <x v="41"/>
    <x v="2"/>
    <x v="11"/>
    <x v="59"/>
  </r>
  <r>
    <x v="86"/>
    <x v="91"/>
    <x v="114"/>
    <x v="0"/>
    <x v="62"/>
    <x v="101"/>
    <x v="101"/>
    <x v="100"/>
    <x v="100"/>
    <x v="0"/>
    <x v="444"/>
    <x v="453"/>
    <x v="400"/>
    <x v="361"/>
    <x v="10"/>
    <x v="409"/>
    <x v="158"/>
    <x v="3"/>
    <x v="26"/>
    <x v="3"/>
    <x v="13"/>
    <x v="230"/>
    <x v="342"/>
    <x v="17"/>
    <x v="42"/>
    <x v="12"/>
    <x v="6"/>
    <x v="60"/>
  </r>
  <r>
    <x v="86"/>
    <x v="91"/>
    <x v="115"/>
    <x v="1"/>
    <x v="47"/>
    <x v="102"/>
    <x v="102"/>
    <x v="101"/>
    <x v="101"/>
    <x v="0"/>
    <x v="445"/>
    <x v="454"/>
    <x v="401"/>
    <x v="222"/>
    <x v="89"/>
    <x v="410"/>
    <x v="17"/>
    <x v="1"/>
    <x v="1"/>
    <x v="5"/>
    <x v="2"/>
    <x v="85"/>
    <x v="343"/>
    <x v="0"/>
    <x v="0"/>
    <x v="5"/>
    <x v="2"/>
    <x v="31"/>
  </r>
  <r>
    <x v="8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87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52"/>
  </r>
  <r>
    <x v="87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87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87"/>
    <x v="90"/>
    <x v="110"/>
    <x v="0"/>
    <x v="59"/>
    <x v="97"/>
    <x v="97"/>
    <x v="96"/>
    <x v="9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7"/>
  </r>
  <r>
    <x v="87"/>
    <x v="91"/>
    <x v="113"/>
    <x v="0"/>
    <x v="61"/>
    <x v="100"/>
    <x v="100"/>
    <x v="99"/>
    <x v="99"/>
    <x v="0"/>
    <x v="446"/>
    <x v="455"/>
    <x v="402"/>
    <x v="362"/>
    <x v="73"/>
    <x v="411"/>
    <x v="48"/>
    <x v="1"/>
    <x v="1"/>
    <x v="3"/>
    <x v="4"/>
    <x v="4"/>
    <x v="344"/>
    <x v="18"/>
    <x v="12"/>
    <x v="4"/>
    <x v="2"/>
    <x v="59"/>
  </r>
  <r>
    <x v="87"/>
    <x v="91"/>
    <x v="114"/>
    <x v="0"/>
    <x v="62"/>
    <x v="101"/>
    <x v="101"/>
    <x v="100"/>
    <x v="100"/>
    <x v="0"/>
    <x v="447"/>
    <x v="456"/>
    <x v="403"/>
    <x v="363"/>
    <x v="43"/>
    <x v="412"/>
    <x v="102"/>
    <x v="6"/>
    <x v="79"/>
    <x v="3"/>
    <x v="4"/>
    <x v="200"/>
    <x v="345"/>
    <x v="16"/>
    <x v="43"/>
    <x v="4"/>
    <x v="13"/>
    <x v="60"/>
  </r>
  <r>
    <x v="87"/>
    <x v="91"/>
    <x v="115"/>
    <x v="1"/>
    <x v="47"/>
    <x v="102"/>
    <x v="102"/>
    <x v="101"/>
    <x v="101"/>
    <x v="0"/>
    <x v="448"/>
    <x v="457"/>
    <x v="404"/>
    <x v="268"/>
    <x v="44"/>
    <x v="413"/>
    <x v="1"/>
    <x v="1"/>
    <x v="33"/>
    <x v="12"/>
    <x v="2"/>
    <x v="4"/>
    <x v="346"/>
    <x v="0"/>
    <x v="0"/>
    <x v="2"/>
    <x v="11"/>
    <x v="31"/>
  </r>
  <r>
    <x v="88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88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88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88"/>
    <x v="88"/>
    <x v="104"/>
    <x v="0"/>
    <x v="58"/>
    <x v="92"/>
    <x v="92"/>
    <x v="91"/>
    <x v="9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6"/>
  </r>
  <r>
    <x v="88"/>
    <x v="90"/>
    <x v="112"/>
    <x v="1"/>
    <x v="46"/>
    <x v="99"/>
    <x v="99"/>
    <x v="98"/>
    <x v="98"/>
    <x v="0"/>
    <x v="449"/>
    <x v="458"/>
    <x v="405"/>
    <x v="364"/>
    <x v="31"/>
    <x v="414"/>
    <x v="21"/>
    <x v="2"/>
    <x v="24"/>
    <x v="3"/>
    <x v="3"/>
    <x v="8"/>
    <x v="347"/>
    <x v="14"/>
    <x v="44"/>
    <x v="2"/>
    <x v="5"/>
    <x v="46"/>
  </r>
  <r>
    <x v="88"/>
    <x v="91"/>
    <x v="113"/>
    <x v="0"/>
    <x v="61"/>
    <x v="100"/>
    <x v="100"/>
    <x v="99"/>
    <x v="99"/>
    <x v="0"/>
    <x v="450"/>
    <x v="459"/>
    <x v="406"/>
    <x v="268"/>
    <x v="24"/>
    <x v="415"/>
    <x v="18"/>
    <x v="2"/>
    <x v="14"/>
    <x v="3"/>
    <x v="3"/>
    <x v="20"/>
    <x v="348"/>
    <x v="0"/>
    <x v="0"/>
    <x v="5"/>
    <x v="2"/>
    <x v="59"/>
  </r>
  <r>
    <x v="88"/>
    <x v="91"/>
    <x v="114"/>
    <x v="0"/>
    <x v="62"/>
    <x v="101"/>
    <x v="101"/>
    <x v="100"/>
    <x v="100"/>
    <x v="0"/>
    <x v="451"/>
    <x v="460"/>
    <x v="20"/>
    <x v="62"/>
    <x v="81"/>
    <x v="416"/>
    <x v="18"/>
    <x v="2"/>
    <x v="24"/>
    <x v="3"/>
    <x v="3"/>
    <x v="27"/>
    <x v="349"/>
    <x v="0"/>
    <x v="0"/>
    <x v="5"/>
    <x v="2"/>
    <x v="60"/>
  </r>
  <r>
    <x v="88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88"/>
    <x v="92"/>
    <x v="116"/>
    <x v="1"/>
    <x v="46"/>
    <x v="103"/>
    <x v="103"/>
    <x v="102"/>
    <x v="102"/>
    <x v="0"/>
    <x v="452"/>
    <x v="461"/>
    <x v="73"/>
    <x v="167"/>
    <x v="27"/>
    <x v="417"/>
    <x v="15"/>
    <x v="2"/>
    <x v="14"/>
    <x v="3"/>
    <x v="3"/>
    <x v="15"/>
    <x v="15"/>
    <x v="0"/>
    <x v="0"/>
    <x v="5"/>
    <x v="2"/>
    <x v="46"/>
  </r>
  <r>
    <x v="89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89"/>
    <x v="91"/>
    <x v="114"/>
    <x v="0"/>
    <x v="62"/>
    <x v="101"/>
    <x v="101"/>
    <x v="100"/>
    <x v="100"/>
    <x v="0"/>
    <x v="453"/>
    <x v="462"/>
    <x v="407"/>
    <x v="365"/>
    <x v="47"/>
    <x v="108"/>
    <x v="176"/>
    <x v="0"/>
    <x v="73"/>
    <x v="3"/>
    <x v="3"/>
    <x v="150"/>
    <x v="350"/>
    <x v="1"/>
    <x v="45"/>
    <x v="1"/>
    <x v="6"/>
    <x v="60"/>
  </r>
  <r>
    <x v="89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89"/>
    <x v="93"/>
    <x v="117"/>
    <x v="1"/>
    <x v="62"/>
    <x v="103"/>
    <x v="103"/>
    <x v="102"/>
    <x v="102"/>
    <x v="0"/>
    <x v="454"/>
    <x v="463"/>
    <x v="408"/>
    <x v="162"/>
    <x v="90"/>
    <x v="418"/>
    <x v="26"/>
    <x v="2"/>
    <x v="14"/>
    <x v="3"/>
    <x v="2"/>
    <x v="83"/>
    <x v="351"/>
    <x v="0"/>
    <x v="0"/>
    <x v="5"/>
    <x v="2"/>
    <x v="60"/>
  </r>
  <r>
    <x v="89"/>
    <x v="94"/>
    <x v="118"/>
    <x v="0"/>
    <x v="63"/>
    <x v="104"/>
    <x v="104"/>
    <x v="103"/>
    <x v="103"/>
    <x v="0"/>
    <x v="455"/>
    <x v="464"/>
    <x v="409"/>
    <x v="366"/>
    <x v="0"/>
    <x v="238"/>
    <x v="20"/>
    <x v="2"/>
    <x v="17"/>
    <x v="6"/>
    <x v="4"/>
    <x v="164"/>
    <x v="352"/>
    <x v="0"/>
    <x v="0"/>
    <x v="2"/>
    <x v="11"/>
    <x v="61"/>
  </r>
  <r>
    <x v="90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</r>
  <r>
    <x v="90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90"/>
    <x v="86"/>
    <x v="101"/>
    <x v="0"/>
    <x v="55"/>
    <x v="89"/>
    <x v="89"/>
    <x v="88"/>
    <x v="8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3"/>
  </r>
  <r>
    <x v="90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90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90"/>
    <x v="91"/>
    <x v="114"/>
    <x v="0"/>
    <x v="62"/>
    <x v="101"/>
    <x v="101"/>
    <x v="100"/>
    <x v="100"/>
    <x v="0"/>
    <x v="456"/>
    <x v="465"/>
    <x v="410"/>
    <x v="367"/>
    <x v="17"/>
    <x v="419"/>
    <x v="27"/>
    <x v="0"/>
    <x v="3"/>
    <x v="3"/>
    <x v="0"/>
    <x v="231"/>
    <x v="353"/>
    <x v="1"/>
    <x v="46"/>
    <x v="4"/>
    <x v="10"/>
    <x v="60"/>
  </r>
  <r>
    <x v="90"/>
    <x v="93"/>
    <x v="117"/>
    <x v="1"/>
    <x v="62"/>
    <x v="103"/>
    <x v="103"/>
    <x v="102"/>
    <x v="102"/>
    <x v="0"/>
    <x v="457"/>
    <x v="466"/>
    <x v="411"/>
    <x v="368"/>
    <x v="70"/>
    <x v="420"/>
    <x v="21"/>
    <x v="2"/>
    <x v="14"/>
    <x v="3"/>
    <x v="2"/>
    <x v="8"/>
    <x v="354"/>
    <x v="13"/>
    <x v="47"/>
    <x v="5"/>
    <x v="5"/>
    <x v="60"/>
  </r>
  <r>
    <x v="90"/>
    <x v="94"/>
    <x v="118"/>
    <x v="0"/>
    <x v="63"/>
    <x v="104"/>
    <x v="104"/>
    <x v="103"/>
    <x v="103"/>
    <x v="0"/>
    <x v="458"/>
    <x v="461"/>
    <x v="113"/>
    <x v="369"/>
    <x v="37"/>
    <x v="421"/>
    <x v="15"/>
    <x v="2"/>
    <x v="14"/>
    <x v="3"/>
    <x v="3"/>
    <x v="15"/>
    <x v="15"/>
    <x v="0"/>
    <x v="0"/>
    <x v="5"/>
    <x v="2"/>
    <x v="61"/>
  </r>
  <r>
    <x v="90"/>
    <x v="95"/>
    <x v="119"/>
    <x v="1"/>
    <x v="62"/>
    <x v="105"/>
    <x v="105"/>
    <x v="104"/>
    <x v="104"/>
    <x v="0"/>
    <x v="459"/>
    <x v="467"/>
    <x v="70"/>
    <x v="168"/>
    <x v="27"/>
    <x v="422"/>
    <x v="15"/>
    <x v="2"/>
    <x v="14"/>
    <x v="3"/>
    <x v="3"/>
    <x v="15"/>
    <x v="15"/>
    <x v="0"/>
    <x v="0"/>
    <x v="5"/>
    <x v="2"/>
    <x v="60"/>
  </r>
  <r>
    <x v="90"/>
    <x v="96"/>
    <x v="120"/>
    <x v="1"/>
    <x v="61"/>
    <x v="105"/>
    <x v="105"/>
    <x v="104"/>
    <x v="104"/>
    <x v="0"/>
    <x v="460"/>
    <x v="468"/>
    <x v="412"/>
    <x v="370"/>
    <x v="91"/>
    <x v="423"/>
    <x v="177"/>
    <x v="2"/>
    <x v="50"/>
    <x v="3"/>
    <x v="3"/>
    <x v="26"/>
    <x v="355"/>
    <x v="1"/>
    <x v="34"/>
    <x v="5"/>
    <x v="5"/>
    <x v="59"/>
  </r>
  <r>
    <x v="91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91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91"/>
    <x v="90"/>
    <x v="111"/>
    <x v="0"/>
    <x v="60"/>
    <x v="98"/>
    <x v="98"/>
    <x v="97"/>
    <x v="97"/>
    <x v="0"/>
    <x v="461"/>
    <x v="469"/>
    <x v="413"/>
    <x v="371"/>
    <x v="10"/>
    <x v="424"/>
    <x v="178"/>
    <x v="7"/>
    <x v="126"/>
    <x v="51"/>
    <x v="8"/>
    <x v="141"/>
    <x v="356"/>
    <x v="0"/>
    <x v="0"/>
    <x v="12"/>
    <x v="11"/>
    <x v="58"/>
  </r>
  <r>
    <x v="91"/>
    <x v="91"/>
    <x v="114"/>
    <x v="0"/>
    <x v="62"/>
    <x v="101"/>
    <x v="101"/>
    <x v="100"/>
    <x v="100"/>
    <x v="0"/>
    <x v="462"/>
    <x v="470"/>
    <x v="277"/>
    <x v="372"/>
    <x v="26"/>
    <x v="425"/>
    <x v="26"/>
    <x v="1"/>
    <x v="24"/>
    <x v="3"/>
    <x v="3"/>
    <x v="75"/>
    <x v="129"/>
    <x v="0"/>
    <x v="0"/>
    <x v="5"/>
    <x v="2"/>
    <x v="60"/>
  </r>
  <r>
    <x v="91"/>
    <x v="91"/>
    <x v="115"/>
    <x v="1"/>
    <x v="47"/>
    <x v="102"/>
    <x v="102"/>
    <x v="101"/>
    <x v="101"/>
    <x v="0"/>
    <x v="463"/>
    <x v="471"/>
    <x v="414"/>
    <x v="223"/>
    <x v="71"/>
    <x v="426"/>
    <x v="71"/>
    <x v="2"/>
    <x v="23"/>
    <x v="1"/>
    <x v="4"/>
    <x v="191"/>
    <x v="357"/>
    <x v="0"/>
    <x v="0"/>
    <x v="5"/>
    <x v="12"/>
    <x v="31"/>
  </r>
  <r>
    <x v="91"/>
    <x v="93"/>
    <x v="117"/>
    <x v="1"/>
    <x v="62"/>
    <x v="103"/>
    <x v="103"/>
    <x v="102"/>
    <x v="102"/>
    <x v="0"/>
    <x v="464"/>
    <x v="77"/>
    <x v="72"/>
    <x v="17"/>
    <x v="40"/>
    <x v="427"/>
    <x v="15"/>
    <x v="2"/>
    <x v="14"/>
    <x v="3"/>
    <x v="3"/>
    <x v="15"/>
    <x v="15"/>
    <x v="0"/>
    <x v="0"/>
    <x v="5"/>
    <x v="2"/>
    <x v="60"/>
  </r>
  <r>
    <x v="91"/>
    <x v="94"/>
    <x v="118"/>
    <x v="0"/>
    <x v="63"/>
    <x v="104"/>
    <x v="104"/>
    <x v="103"/>
    <x v="103"/>
    <x v="0"/>
    <x v="465"/>
    <x v="472"/>
    <x v="415"/>
    <x v="373"/>
    <x v="37"/>
    <x v="112"/>
    <x v="5"/>
    <x v="0"/>
    <x v="17"/>
    <x v="32"/>
    <x v="1"/>
    <x v="17"/>
    <x v="109"/>
    <x v="0"/>
    <x v="0"/>
    <x v="24"/>
    <x v="11"/>
    <x v="61"/>
  </r>
  <r>
    <x v="91"/>
    <x v="96"/>
    <x v="120"/>
    <x v="1"/>
    <x v="61"/>
    <x v="105"/>
    <x v="105"/>
    <x v="104"/>
    <x v="104"/>
    <x v="0"/>
    <x v="30"/>
    <x v="473"/>
    <x v="29"/>
    <x v="30"/>
    <x v="16"/>
    <x v="29"/>
    <x v="15"/>
    <x v="2"/>
    <x v="14"/>
    <x v="3"/>
    <x v="3"/>
    <x v="15"/>
    <x v="15"/>
    <x v="0"/>
    <x v="0"/>
    <x v="5"/>
    <x v="2"/>
    <x v="59"/>
  </r>
  <r>
    <x v="91"/>
    <x v="97"/>
    <x v="121"/>
    <x v="0"/>
    <x v="64"/>
    <x v="106"/>
    <x v="106"/>
    <x v="105"/>
    <x v="105"/>
    <x v="0"/>
    <x v="466"/>
    <x v="474"/>
    <x v="416"/>
    <x v="370"/>
    <x v="51"/>
    <x v="428"/>
    <x v="139"/>
    <x v="7"/>
    <x v="19"/>
    <x v="11"/>
    <x v="23"/>
    <x v="232"/>
    <x v="157"/>
    <x v="0"/>
    <x v="0"/>
    <x v="2"/>
    <x v="10"/>
    <x v="62"/>
  </r>
  <r>
    <x v="92"/>
    <x v="90"/>
    <x v="111"/>
    <x v="0"/>
    <x v="60"/>
    <x v="98"/>
    <x v="98"/>
    <x v="97"/>
    <x v="97"/>
    <x v="0"/>
    <x v="467"/>
    <x v="475"/>
    <x v="417"/>
    <x v="100"/>
    <x v="3"/>
    <x v="429"/>
    <x v="179"/>
    <x v="0"/>
    <x v="68"/>
    <x v="42"/>
    <x v="23"/>
    <x v="233"/>
    <x v="358"/>
    <x v="0"/>
    <x v="0"/>
    <x v="4"/>
    <x v="6"/>
    <x v="58"/>
  </r>
  <r>
    <x v="92"/>
    <x v="91"/>
    <x v="114"/>
    <x v="0"/>
    <x v="62"/>
    <x v="101"/>
    <x v="101"/>
    <x v="100"/>
    <x v="100"/>
    <x v="0"/>
    <x v="468"/>
    <x v="476"/>
    <x v="418"/>
    <x v="374"/>
    <x v="52"/>
    <x v="430"/>
    <x v="49"/>
    <x v="1"/>
    <x v="13"/>
    <x v="3"/>
    <x v="4"/>
    <x v="99"/>
    <x v="359"/>
    <x v="15"/>
    <x v="48"/>
    <x v="7"/>
    <x v="5"/>
    <x v="60"/>
  </r>
  <r>
    <x v="92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92"/>
    <x v="93"/>
    <x v="117"/>
    <x v="1"/>
    <x v="62"/>
    <x v="103"/>
    <x v="103"/>
    <x v="102"/>
    <x v="10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</r>
  <r>
    <x v="92"/>
    <x v="94"/>
    <x v="118"/>
    <x v="0"/>
    <x v="63"/>
    <x v="104"/>
    <x v="104"/>
    <x v="103"/>
    <x v="103"/>
    <x v="0"/>
    <x v="469"/>
    <x v="477"/>
    <x v="419"/>
    <x v="375"/>
    <x v="37"/>
    <x v="431"/>
    <x v="83"/>
    <x v="2"/>
    <x v="4"/>
    <x v="7"/>
    <x v="2"/>
    <x v="234"/>
    <x v="360"/>
    <x v="0"/>
    <x v="0"/>
    <x v="1"/>
    <x v="5"/>
    <x v="61"/>
  </r>
  <r>
    <x v="92"/>
    <x v="97"/>
    <x v="121"/>
    <x v="0"/>
    <x v="64"/>
    <x v="106"/>
    <x v="106"/>
    <x v="105"/>
    <x v="105"/>
    <x v="0"/>
    <x v="470"/>
    <x v="308"/>
    <x v="314"/>
    <x v="376"/>
    <x v="12"/>
    <x v="432"/>
    <x v="26"/>
    <x v="2"/>
    <x v="14"/>
    <x v="3"/>
    <x v="3"/>
    <x v="70"/>
    <x v="361"/>
    <x v="0"/>
    <x v="0"/>
    <x v="5"/>
    <x v="2"/>
    <x v="62"/>
  </r>
  <r>
    <x v="92"/>
    <x v="98"/>
    <x v="122"/>
    <x v="1"/>
    <x v="52"/>
    <x v="107"/>
    <x v="107"/>
    <x v="106"/>
    <x v="106"/>
    <x v="0"/>
    <x v="471"/>
    <x v="478"/>
    <x v="420"/>
    <x v="377"/>
    <x v="92"/>
    <x v="433"/>
    <x v="22"/>
    <x v="2"/>
    <x v="50"/>
    <x v="5"/>
    <x v="3"/>
    <x v="68"/>
    <x v="362"/>
    <x v="2"/>
    <x v="49"/>
    <x v="5"/>
    <x v="2"/>
    <x v="50"/>
  </r>
  <r>
    <x v="92"/>
    <x v="98"/>
    <x v="123"/>
    <x v="0"/>
    <x v="65"/>
    <x v="108"/>
    <x v="108"/>
    <x v="107"/>
    <x v="107"/>
    <x v="0"/>
    <x v="472"/>
    <x v="479"/>
    <x v="421"/>
    <x v="378"/>
    <x v="52"/>
    <x v="434"/>
    <x v="86"/>
    <x v="2"/>
    <x v="42"/>
    <x v="5"/>
    <x v="3"/>
    <x v="36"/>
    <x v="363"/>
    <x v="0"/>
    <x v="0"/>
    <x v="7"/>
    <x v="10"/>
    <x v="63"/>
  </r>
  <r>
    <x v="93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93"/>
    <x v="90"/>
    <x v="111"/>
    <x v="0"/>
    <x v="60"/>
    <x v="98"/>
    <x v="98"/>
    <x v="97"/>
    <x v="97"/>
    <x v="0"/>
    <x v="473"/>
    <x v="480"/>
    <x v="422"/>
    <x v="379"/>
    <x v="53"/>
    <x v="435"/>
    <x v="180"/>
    <x v="7"/>
    <x v="132"/>
    <x v="7"/>
    <x v="3"/>
    <x v="235"/>
    <x v="364"/>
    <x v="0"/>
    <x v="0"/>
    <x v="5"/>
    <x v="6"/>
    <x v="58"/>
  </r>
  <r>
    <x v="93"/>
    <x v="90"/>
    <x v="112"/>
    <x v="1"/>
    <x v="46"/>
    <x v="99"/>
    <x v="99"/>
    <x v="98"/>
    <x v="98"/>
    <x v="0"/>
    <x v="474"/>
    <x v="481"/>
    <x v="423"/>
    <x v="380"/>
    <x v="50"/>
    <x v="436"/>
    <x v="64"/>
    <x v="1"/>
    <x v="7"/>
    <x v="5"/>
    <x v="1"/>
    <x v="148"/>
    <x v="365"/>
    <x v="24"/>
    <x v="50"/>
    <x v="4"/>
    <x v="5"/>
    <x v="46"/>
  </r>
  <r>
    <x v="93"/>
    <x v="91"/>
    <x v="114"/>
    <x v="0"/>
    <x v="62"/>
    <x v="101"/>
    <x v="101"/>
    <x v="100"/>
    <x v="100"/>
    <x v="0"/>
    <x v="475"/>
    <x v="482"/>
    <x v="424"/>
    <x v="381"/>
    <x v="73"/>
    <x v="437"/>
    <x v="106"/>
    <x v="2"/>
    <x v="89"/>
    <x v="3"/>
    <x v="2"/>
    <x v="45"/>
    <x v="366"/>
    <x v="3"/>
    <x v="48"/>
    <x v="4"/>
    <x v="11"/>
    <x v="60"/>
  </r>
  <r>
    <x v="93"/>
    <x v="94"/>
    <x v="118"/>
    <x v="0"/>
    <x v="63"/>
    <x v="104"/>
    <x v="104"/>
    <x v="103"/>
    <x v="103"/>
    <x v="0"/>
    <x v="476"/>
    <x v="483"/>
    <x v="425"/>
    <x v="116"/>
    <x v="42"/>
    <x v="438"/>
    <x v="181"/>
    <x v="6"/>
    <x v="133"/>
    <x v="15"/>
    <x v="13"/>
    <x v="236"/>
    <x v="286"/>
    <x v="0"/>
    <x v="0"/>
    <x v="4"/>
    <x v="13"/>
    <x v="61"/>
  </r>
  <r>
    <x v="93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</r>
  <r>
    <x v="93"/>
    <x v="98"/>
    <x v="122"/>
    <x v="1"/>
    <x v="52"/>
    <x v="107"/>
    <x v="107"/>
    <x v="106"/>
    <x v="106"/>
    <x v="0"/>
    <x v="477"/>
    <x v="484"/>
    <x v="72"/>
    <x v="382"/>
    <x v="93"/>
    <x v="439"/>
    <x v="15"/>
    <x v="2"/>
    <x v="14"/>
    <x v="3"/>
    <x v="3"/>
    <x v="15"/>
    <x v="15"/>
    <x v="0"/>
    <x v="0"/>
    <x v="5"/>
    <x v="2"/>
    <x v="50"/>
  </r>
  <r>
    <x v="93"/>
    <x v="98"/>
    <x v="123"/>
    <x v="0"/>
    <x v="65"/>
    <x v="108"/>
    <x v="108"/>
    <x v="107"/>
    <x v="107"/>
    <x v="0"/>
    <x v="478"/>
    <x v="485"/>
    <x v="426"/>
    <x v="383"/>
    <x v="36"/>
    <x v="440"/>
    <x v="121"/>
    <x v="0"/>
    <x v="90"/>
    <x v="9"/>
    <x v="4"/>
    <x v="231"/>
    <x v="367"/>
    <x v="0"/>
    <x v="0"/>
    <x v="1"/>
    <x v="2"/>
    <x v="63"/>
  </r>
  <r>
    <x v="93"/>
    <x v="99"/>
    <x v="124"/>
    <x v="1"/>
    <x v="46"/>
    <x v="109"/>
    <x v="109"/>
    <x v="108"/>
    <x v="108"/>
    <x v="0"/>
    <x v="479"/>
    <x v="486"/>
    <x v="70"/>
    <x v="320"/>
    <x v="74"/>
    <x v="441"/>
    <x v="15"/>
    <x v="2"/>
    <x v="14"/>
    <x v="3"/>
    <x v="3"/>
    <x v="15"/>
    <x v="15"/>
    <x v="0"/>
    <x v="0"/>
    <x v="5"/>
    <x v="2"/>
    <x v="46"/>
  </r>
  <r>
    <x v="93"/>
    <x v="100"/>
    <x v="125"/>
    <x v="1"/>
    <x v="60"/>
    <x v="109"/>
    <x v="109"/>
    <x v="108"/>
    <x v="108"/>
    <x v="0"/>
    <x v="480"/>
    <x v="487"/>
    <x v="427"/>
    <x v="384"/>
    <x v="82"/>
    <x v="442"/>
    <x v="46"/>
    <x v="2"/>
    <x v="90"/>
    <x v="3"/>
    <x v="1"/>
    <x v="165"/>
    <x v="368"/>
    <x v="0"/>
    <x v="0"/>
    <x v="7"/>
    <x v="5"/>
    <x v="58"/>
  </r>
  <r>
    <x v="94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9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94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94"/>
    <x v="88"/>
    <x v="105"/>
    <x v="0"/>
    <x v="48"/>
    <x v="93"/>
    <x v="93"/>
    <x v="92"/>
    <x v="92"/>
    <x v="0"/>
    <x v="481"/>
    <x v="488"/>
    <x v="428"/>
    <x v="127"/>
    <x v="12"/>
    <x v="242"/>
    <x v="100"/>
    <x v="2"/>
    <x v="7"/>
    <x v="14"/>
    <x v="1"/>
    <x v="121"/>
    <x v="369"/>
    <x v="0"/>
    <x v="0"/>
    <x v="4"/>
    <x v="12"/>
    <x v="47"/>
  </r>
  <r>
    <x v="94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94"/>
    <x v="90"/>
    <x v="112"/>
    <x v="1"/>
    <x v="46"/>
    <x v="99"/>
    <x v="99"/>
    <x v="98"/>
    <x v="98"/>
    <x v="0"/>
    <x v="482"/>
    <x v="489"/>
    <x v="429"/>
    <x v="385"/>
    <x v="76"/>
    <x v="443"/>
    <x v="56"/>
    <x v="2"/>
    <x v="2"/>
    <x v="3"/>
    <x v="0"/>
    <x v="149"/>
    <x v="370"/>
    <x v="9"/>
    <x v="51"/>
    <x v="4"/>
    <x v="11"/>
    <x v="46"/>
  </r>
  <r>
    <x v="94"/>
    <x v="91"/>
    <x v="114"/>
    <x v="0"/>
    <x v="62"/>
    <x v="101"/>
    <x v="101"/>
    <x v="100"/>
    <x v="100"/>
    <x v="0"/>
    <x v="483"/>
    <x v="96"/>
    <x v="72"/>
    <x v="386"/>
    <x v="28"/>
    <x v="444"/>
    <x v="15"/>
    <x v="2"/>
    <x v="14"/>
    <x v="3"/>
    <x v="3"/>
    <x v="15"/>
    <x v="15"/>
    <x v="0"/>
    <x v="0"/>
    <x v="5"/>
    <x v="2"/>
    <x v="60"/>
  </r>
  <r>
    <x v="94"/>
    <x v="94"/>
    <x v="118"/>
    <x v="0"/>
    <x v="63"/>
    <x v="104"/>
    <x v="104"/>
    <x v="103"/>
    <x v="103"/>
    <x v="0"/>
    <x v="484"/>
    <x v="490"/>
    <x v="430"/>
    <x v="387"/>
    <x v="37"/>
    <x v="445"/>
    <x v="182"/>
    <x v="2"/>
    <x v="30"/>
    <x v="54"/>
    <x v="2"/>
    <x v="237"/>
    <x v="371"/>
    <x v="0"/>
    <x v="0"/>
    <x v="0"/>
    <x v="12"/>
    <x v="61"/>
  </r>
  <r>
    <x v="94"/>
    <x v="98"/>
    <x v="123"/>
    <x v="0"/>
    <x v="65"/>
    <x v="108"/>
    <x v="108"/>
    <x v="107"/>
    <x v="107"/>
    <x v="0"/>
    <x v="485"/>
    <x v="491"/>
    <x v="431"/>
    <x v="84"/>
    <x v="12"/>
    <x v="446"/>
    <x v="106"/>
    <x v="0"/>
    <x v="20"/>
    <x v="1"/>
    <x v="2"/>
    <x v="238"/>
    <x v="372"/>
    <x v="0"/>
    <x v="0"/>
    <x v="4"/>
    <x v="11"/>
    <x v="63"/>
  </r>
  <r>
    <x v="94"/>
    <x v="100"/>
    <x v="125"/>
    <x v="1"/>
    <x v="60"/>
    <x v="109"/>
    <x v="109"/>
    <x v="108"/>
    <x v="108"/>
    <x v="0"/>
    <x v="486"/>
    <x v="492"/>
    <x v="308"/>
    <x v="388"/>
    <x v="50"/>
    <x v="447"/>
    <x v="18"/>
    <x v="2"/>
    <x v="14"/>
    <x v="3"/>
    <x v="3"/>
    <x v="20"/>
    <x v="34"/>
    <x v="0"/>
    <x v="0"/>
    <x v="5"/>
    <x v="2"/>
    <x v="58"/>
  </r>
  <r>
    <x v="9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95"/>
    <x v="88"/>
    <x v="105"/>
    <x v="0"/>
    <x v="48"/>
    <x v="93"/>
    <x v="93"/>
    <x v="92"/>
    <x v="92"/>
    <x v="0"/>
    <x v="487"/>
    <x v="493"/>
    <x v="432"/>
    <x v="299"/>
    <x v="55"/>
    <x v="19"/>
    <x v="37"/>
    <x v="2"/>
    <x v="39"/>
    <x v="18"/>
    <x v="4"/>
    <x v="25"/>
    <x v="373"/>
    <x v="0"/>
    <x v="0"/>
    <x v="5"/>
    <x v="12"/>
    <x v="47"/>
  </r>
  <r>
    <x v="95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95"/>
    <x v="90"/>
    <x v="112"/>
    <x v="1"/>
    <x v="46"/>
    <x v="99"/>
    <x v="99"/>
    <x v="98"/>
    <x v="98"/>
    <x v="0"/>
    <x v="488"/>
    <x v="494"/>
    <x v="433"/>
    <x v="108"/>
    <x v="35"/>
    <x v="448"/>
    <x v="54"/>
    <x v="1"/>
    <x v="22"/>
    <x v="5"/>
    <x v="2"/>
    <x v="149"/>
    <x v="374"/>
    <x v="25"/>
    <x v="52"/>
    <x v="10"/>
    <x v="5"/>
    <x v="46"/>
  </r>
  <r>
    <x v="95"/>
    <x v="94"/>
    <x v="118"/>
    <x v="0"/>
    <x v="63"/>
    <x v="104"/>
    <x v="104"/>
    <x v="103"/>
    <x v="103"/>
    <x v="0"/>
    <x v="489"/>
    <x v="495"/>
    <x v="434"/>
    <x v="389"/>
    <x v="42"/>
    <x v="449"/>
    <x v="37"/>
    <x v="1"/>
    <x v="23"/>
    <x v="42"/>
    <x v="3"/>
    <x v="239"/>
    <x v="176"/>
    <x v="0"/>
    <x v="0"/>
    <x v="1"/>
    <x v="11"/>
    <x v="61"/>
  </r>
  <r>
    <x v="95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</r>
  <r>
    <x v="95"/>
    <x v="98"/>
    <x v="123"/>
    <x v="0"/>
    <x v="65"/>
    <x v="108"/>
    <x v="108"/>
    <x v="107"/>
    <x v="107"/>
    <x v="0"/>
    <x v="490"/>
    <x v="496"/>
    <x v="435"/>
    <x v="297"/>
    <x v="8"/>
    <x v="72"/>
    <x v="106"/>
    <x v="3"/>
    <x v="8"/>
    <x v="6"/>
    <x v="3"/>
    <x v="166"/>
    <x v="375"/>
    <x v="0"/>
    <x v="0"/>
    <x v="10"/>
    <x v="5"/>
    <x v="63"/>
  </r>
  <r>
    <x v="9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96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96"/>
    <x v="88"/>
    <x v="105"/>
    <x v="0"/>
    <x v="48"/>
    <x v="93"/>
    <x v="93"/>
    <x v="92"/>
    <x v="92"/>
    <x v="0"/>
    <x v="491"/>
    <x v="497"/>
    <x v="436"/>
    <x v="188"/>
    <x v="36"/>
    <x v="450"/>
    <x v="128"/>
    <x v="7"/>
    <x v="87"/>
    <x v="10"/>
    <x v="23"/>
    <x v="240"/>
    <x v="376"/>
    <x v="0"/>
    <x v="0"/>
    <x v="5"/>
    <x v="5"/>
    <x v="47"/>
  </r>
  <r>
    <x v="96"/>
    <x v="90"/>
    <x v="111"/>
    <x v="0"/>
    <x v="60"/>
    <x v="98"/>
    <x v="98"/>
    <x v="97"/>
    <x v="97"/>
    <x v="0"/>
    <x v="492"/>
    <x v="498"/>
    <x v="437"/>
    <x v="86"/>
    <x v="53"/>
    <x v="451"/>
    <x v="42"/>
    <x v="0"/>
    <x v="9"/>
    <x v="12"/>
    <x v="2"/>
    <x v="180"/>
    <x v="377"/>
    <x v="0"/>
    <x v="0"/>
    <x v="5"/>
    <x v="6"/>
    <x v="58"/>
  </r>
  <r>
    <x v="96"/>
    <x v="90"/>
    <x v="112"/>
    <x v="1"/>
    <x v="46"/>
    <x v="99"/>
    <x v="99"/>
    <x v="98"/>
    <x v="98"/>
    <x v="0"/>
    <x v="493"/>
    <x v="499"/>
    <x v="438"/>
    <x v="390"/>
    <x v="35"/>
    <x v="452"/>
    <x v="30"/>
    <x v="2"/>
    <x v="4"/>
    <x v="3"/>
    <x v="2"/>
    <x v="241"/>
    <x v="378"/>
    <x v="26"/>
    <x v="53"/>
    <x v="3"/>
    <x v="12"/>
    <x v="46"/>
  </r>
  <r>
    <x v="96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96"/>
    <x v="94"/>
    <x v="118"/>
    <x v="0"/>
    <x v="63"/>
    <x v="104"/>
    <x v="104"/>
    <x v="103"/>
    <x v="103"/>
    <x v="0"/>
    <x v="494"/>
    <x v="500"/>
    <x v="439"/>
    <x v="253"/>
    <x v="42"/>
    <x v="453"/>
    <x v="183"/>
    <x v="1"/>
    <x v="17"/>
    <x v="17"/>
    <x v="4"/>
    <x v="117"/>
    <x v="379"/>
    <x v="0"/>
    <x v="0"/>
    <x v="5"/>
    <x v="11"/>
    <x v="61"/>
  </r>
  <r>
    <x v="96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</r>
  <r>
    <x v="96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</r>
  <r>
    <x v="96"/>
    <x v="100"/>
    <x v="125"/>
    <x v="1"/>
    <x v="60"/>
    <x v="109"/>
    <x v="109"/>
    <x v="108"/>
    <x v="108"/>
    <x v="0"/>
    <x v="30"/>
    <x v="179"/>
    <x v="29"/>
    <x v="30"/>
    <x v="16"/>
    <x v="29"/>
    <x v="15"/>
    <x v="2"/>
    <x v="14"/>
    <x v="3"/>
    <x v="3"/>
    <x v="15"/>
    <x v="15"/>
    <x v="0"/>
    <x v="0"/>
    <x v="5"/>
    <x v="2"/>
    <x v="58"/>
  </r>
  <r>
    <x v="97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9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97"/>
    <x v="85"/>
    <x v="99"/>
    <x v="0"/>
    <x v="53"/>
    <x v="87"/>
    <x v="87"/>
    <x v="86"/>
    <x v="8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1"/>
  </r>
  <r>
    <x v="97"/>
    <x v="88"/>
    <x v="105"/>
    <x v="0"/>
    <x v="48"/>
    <x v="93"/>
    <x v="93"/>
    <x v="92"/>
    <x v="92"/>
    <x v="0"/>
    <x v="495"/>
    <x v="501"/>
    <x v="440"/>
    <x v="391"/>
    <x v="12"/>
    <x v="454"/>
    <x v="26"/>
    <x v="2"/>
    <x v="14"/>
    <x v="3"/>
    <x v="3"/>
    <x v="70"/>
    <x v="380"/>
    <x v="0"/>
    <x v="0"/>
    <x v="5"/>
    <x v="2"/>
    <x v="47"/>
  </r>
  <r>
    <x v="97"/>
    <x v="90"/>
    <x v="111"/>
    <x v="0"/>
    <x v="60"/>
    <x v="98"/>
    <x v="98"/>
    <x v="97"/>
    <x v="97"/>
    <x v="0"/>
    <x v="496"/>
    <x v="502"/>
    <x v="441"/>
    <x v="392"/>
    <x v="58"/>
    <x v="455"/>
    <x v="176"/>
    <x v="1"/>
    <x v="38"/>
    <x v="1"/>
    <x v="4"/>
    <x v="99"/>
    <x v="381"/>
    <x v="0"/>
    <x v="0"/>
    <x v="5"/>
    <x v="5"/>
    <x v="58"/>
  </r>
  <r>
    <x v="97"/>
    <x v="90"/>
    <x v="112"/>
    <x v="1"/>
    <x v="46"/>
    <x v="99"/>
    <x v="99"/>
    <x v="98"/>
    <x v="98"/>
    <x v="0"/>
    <x v="497"/>
    <x v="503"/>
    <x v="442"/>
    <x v="390"/>
    <x v="48"/>
    <x v="437"/>
    <x v="31"/>
    <x v="1"/>
    <x v="4"/>
    <x v="3"/>
    <x v="1"/>
    <x v="52"/>
    <x v="382"/>
    <x v="19"/>
    <x v="54"/>
    <x v="7"/>
    <x v="12"/>
    <x v="46"/>
  </r>
  <r>
    <x v="97"/>
    <x v="91"/>
    <x v="114"/>
    <x v="0"/>
    <x v="62"/>
    <x v="101"/>
    <x v="101"/>
    <x v="100"/>
    <x v="100"/>
    <x v="0"/>
    <x v="498"/>
    <x v="504"/>
    <x v="443"/>
    <x v="393"/>
    <x v="35"/>
    <x v="456"/>
    <x v="34"/>
    <x v="1"/>
    <x v="23"/>
    <x v="3"/>
    <x v="2"/>
    <x v="41"/>
    <x v="383"/>
    <x v="27"/>
    <x v="23"/>
    <x v="12"/>
    <x v="11"/>
    <x v="60"/>
  </r>
  <r>
    <x v="97"/>
    <x v="94"/>
    <x v="118"/>
    <x v="0"/>
    <x v="63"/>
    <x v="104"/>
    <x v="104"/>
    <x v="103"/>
    <x v="103"/>
    <x v="0"/>
    <x v="499"/>
    <x v="505"/>
    <x v="293"/>
    <x v="194"/>
    <x v="42"/>
    <x v="457"/>
    <x v="28"/>
    <x v="1"/>
    <x v="10"/>
    <x v="26"/>
    <x v="2"/>
    <x v="16"/>
    <x v="319"/>
    <x v="0"/>
    <x v="0"/>
    <x v="23"/>
    <x v="11"/>
    <x v="61"/>
  </r>
  <r>
    <x v="97"/>
    <x v="96"/>
    <x v="120"/>
    <x v="1"/>
    <x v="61"/>
    <x v="105"/>
    <x v="105"/>
    <x v="104"/>
    <x v="104"/>
    <x v="0"/>
    <x v="500"/>
    <x v="506"/>
    <x v="313"/>
    <x v="394"/>
    <x v="43"/>
    <x v="458"/>
    <x v="23"/>
    <x v="2"/>
    <x v="50"/>
    <x v="3"/>
    <x v="1"/>
    <x v="8"/>
    <x v="384"/>
    <x v="1"/>
    <x v="55"/>
    <x v="5"/>
    <x v="12"/>
    <x v="59"/>
  </r>
  <r>
    <x v="97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</r>
  <r>
    <x v="97"/>
    <x v="101"/>
    <x v="126"/>
    <x v="0"/>
    <x v="66"/>
    <x v="110"/>
    <x v="110"/>
    <x v="109"/>
    <x v="109"/>
    <x v="0"/>
    <x v="501"/>
    <x v="507"/>
    <x v="444"/>
    <x v="395"/>
    <x v="30"/>
    <x v="459"/>
    <x v="184"/>
    <x v="6"/>
    <x v="17"/>
    <x v="51"/>
    <x v="6"/>
    <x v="242"/>
    <x v="385"/>
    <x v="0"/>
    <x v="0"/>
    <x v="39"/>
    <x v="11"/>
    <x v="64"/>
  </r>
  <r>
    <x v="97"/>
    <x v="101"/>
    <x v="127"/>
    <x v="0"/>
    <x v="67"/>
    <x v="111"/>
    <x v="111"/>
    <x v="110"/>
    <x v="110"/>
    <x v="0"/>
    <x v="502"/>
    <x v="508"/>
    <x v="445"/>
    <x v="308"/>
    <x v="37"/>
    <x v="460"/>
    <x v="66"/>
    <x v="2"/>
    <x v="20"/>
    <x v="6"/>
    <x v="3"/>
    <x v="191"/>
    <x v="386"/>
    <x v="0"/>
    <x v="0"/>
    <x v="5"/>
    <x v="2"/>
    <x v="65"/>
  </r>
  <r>
    <x v="98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98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98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98"/>
    <x v="90"/>
    <x v="111"/>
    <x v="0"/>
    <x v="60"/>
    <x v="98"/>
    <x v="98"/>
    <x v="97"/>
    <x v="97"/>
    <x v="0"/>
    <x v="503"/>
    <x v="509"/>
    <x v="446"/>
    <x v="396"/>
    <x v="3"/>
    <x v="461"/>
    <x v="128"/>
    <x v="1"/>
    <x v="36"/>
    <x v="51"/>
    <x v="2"/>
    <x v="240"/>
    <x v="387"/>
    <x v="0"/>
    <x v="0"/>
    <x v="2"/>
    <x v="2"/>
    <x v="58"/>
  </r>
  <r>
    <x v="98"/>
    <x v="90"/>
    <x v="112"/>
    <x v="1"/>
    <x v="46"/>
    <x v="99"/>
    <x v="99"/>
    <x v="98"/>
    <x v="98"/>
    <x v="0"/>
    <x v="504"/>
    <x v="510"/>
    <x v="447"/>
    <x v="252"/>
    <x v="48"/>
    <x v="462"/>
    <x v="185"/>
    <x v="1"/>
    <x v="45"/>
    <x v="3"/>
    <x v="3"/>
    <x v="243"/>
    <x v="388"/>
    <x v="28"/>
    <x v="56"/>
    <x v="11"/>
    <x v="5"/>
    <x v="46"/>
  </r>
  <r>
    <x v="98"/>
    <x v="91"/>
    <x v="114"/>
    <x v="0"/>
    <x v="62"/>
    <x v="101"/>
    <x v="101"/>
    <x v="100"/>
    <x v="100"/>
    <x v="0"/>
    <x v="505"/>
    <x v="511"/>
    <x v="448"/>
    <x v="291"/>
    <x v="71"/>
    <x v="463"/>
    <x v="114"/>
    <x v="1"/>
    <x v="55"/>
    <x v="5"/>
    <x v="3"/>
    <x v="104"/>
    <x v="389"/>
    <x v="15"/>
    <x v="57"/>
    <x v="39"/>
    <x v="10"/>
    <x v="60"/>
  </r>
  <r>
    <x v="98"/>
    <x v="94"/>
    <x v="118"/>
    <x v="0"/>
    <x v="63"/>
    <x v="104"/>
    <x v="104"/>
    <x v="103"/>
    <x v="103"/>
    <x v="0"/>
    <x v="506"/>
    <x v="512"/>
    <x v="449"/>
    <x v="397"/>
    <x v="32"/>
    <x v="464"/>
    <x v="38"/>
    <x v="2"/>
    <x v="85"/>
    <x v="33"/>
    <x v="2"/>
    <x v="105"/>
    <x v="288"/>
    <x v="0"/>
    <x v="0"/>
    <x v="4"/>
    <x v="12"/>
    <x v="61"/>
  </r>
  <r>
    <x v="98"/>
    <x v="96"/>
    <x v="120"/>
    <x v="1"/>
    <x v="61"/>
    <x v="105"/>
    <x v="105"/>
    <x v="104"/>
    <x v="104"/>
    <x v="0"/>
    <x v="507"/>
    <x v="513"/>
    <x v="286"/>
    <x v="89"/>
    <x v="74"/>
    <x v="465"/>
    <x v="15"/>
    <x v="2"/>
    <x v="14"/>
    <x v="3"/>
    <x v="3"/>
    <x v="15"/>
    <x v="15"/>
    <x v="0"/>
    <x v="0"/>
    <x v="5"/>
    <x v="2"/>
    <x v="59"/>
  </r>
  <r>
    <x v="98"/>
    <x v="98"/>
    <x v="122"/>
    <x v="1"/>
    <x v="52"/>
    <x v="107"/>
    <x v="107"/>
    <x v="106"/>
    <x v="10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0"/>
  </r>
  <r>
    <x v="98"/>
    <x v="101"/>
    <x v="126"/>
    <x v="0"/>
    <x v="66"/>
    <x v="110"/>
    <x v="110"/>
    <x v="109"/>
    <x v="109"/>
    <x v="0"/>
    <x v="508"/>
    <x v="514"/>
    <x v="450"/>
    <x v="398"/>
    <x v="36"/>
    <x v="466"/>
    <x v="176"/>
    <x v="2"/>
    <x v="90"/>
    <x v="6"/>
    <x v="7"/>
    <x v="121"/>
    <x v="390"/>
    <x v="0"/>
    <x v="0"/>
    <x v="4"/>
    <x v="5"/>
    <x v="64"/>
  </r>
  <r>
    <x v="98"/>
    <x v="101"/>
    <x v="127"/>
    <x v="0"/>
    <x v="67"/>
    <x v="111"/>
    <x v="111"/>
    <x v="110"/>
    <x v="110"/>
    <x v="0"/>
    <x v="30"/>
    <x v="515"/>
    <x v="29"/>
    <x v="30"/>
    <x v="16"/>
    <x v="29"/>
    <x v="15"/>
    <x v="2"/>
    <x v="14"/>
    <x v="3"/>
    <x v="3"/>
    <x v="15"/>
    <x v="15"/>
    <x v="0"/>
    <x v="0"/>
    <x v="5"/>
    <x v="2"/>
    <x v="65"/>
  </r>
  <r>
    <x v="99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99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99"/>
    <x v="90"/>
    <x v="111"/>
    <x v="0"/>
    <x v="60"/>
    <x v="98"/>
    <x v="98"/>
    <x v="97"/>
    <x v="97"/>
    <x v="0"/>
    <x v="509"/>
    <x v="516"/>
    <x v="94"/>
    <x v="399"/>
    <x v="32"/>
    <x v="19"/>
    <x v="18"/>
    <x v="2"/>
    <x v="14"/>
    <x v="3"/>
    <x v="3"/>
    <x v="20"/>
    <x v="391"/>
    <x v="0"/>
    <x v="0"/>
    <x v="5"/>
    <x v="2"/>
    <x v="58"/>
  </r>
  <r>
    <x v="99"/>
    <x v="90"/>
    <x v="112"/>
    <x v="1"/>
    <x v="46"/>
    <x v="99"/>
    <x v="99"/>
    <x v="98"/>
    <x v="98"/>
    <x v="0"/>
    <x v="510"/>
    <x v="517"/>
    <x v="451"/>
    <x v="335"/>
    <x v="35"/>
    <x v="467"/>
    <x v="112"/>
    <x v="0"/>
    <x v="91"/>
    <x v="0"/>
    <x v="1"/>
    <x v="77"/>
    <x v="392"/>
    <x v="29"/>
    <x v="58"/>
    <x v="0"/>
    <x v="3"/>
    <x v="46"/>
  </r>
  <r>
    <x v="99"/>
    <x v="91"/>
    <x v="114"/>
    <x v="0"/>
    <x v="62"/>
    <x v="101"/>
    <x v="101"/>
    <x v="100"/>
    <x v="100"/>
    <x v="0"/>
    <x v="511"/>
    <x v="518"/>
    <x v="452"/>
    <x v="277"/>
    <x v="27"/>
    <x v="468"/>
    <x v="40"/>
    <x v="0"/>
    <x v="4"/>
    <x v="3"/>
    <x v="4"/>
    <x v="79"/>
    <x v="393"/>
    <x v="3"/>
    <x v="27"/>
    <x v="2"/>
    <x v="13"/>
    <x v="60"/>
  </r>
  <r>
    <x v="99"/>
    <x v="94"/>
    <x v="118"/>
    <x v="0"/>
    <x v="63"/>
    <x v="104"/>
    <x v="104"/>
    <x v="103"/>
    <x v="103"/>
    <x v="0"/>
    <x v="512"/>
    <x v="519"/>
    <x v="453"/>
    <x v="400"/>
    <x v="4"/>
    <x v="214"/>
    <x v="15"/>
    <x v="2"/>
    <x v="14"/>
    <x v="3"/>
    <x v="3"/>
    <x v="15"/>
    <x v="15"/>
    <x v="0"/>
    <x v="0"/>
    <x v="5"/>
    <x v="2"/>
    <x v="61"/>
  </r>
  <r>
    <x v="99"/>
    <x v="101"/>
    <x v="126"/>
    <x v="0"/>
    <x v="66"/>
    <x v="110"/>
    <x v="110"/>
    <x v="109"/>
    <x v="109"/>
    <x v="0"/>
    <x v="513"/>
    <x v="520"/>
    <x v="454"/>
    <x v="191"/>
    <x v="82"/>
    <x v="469"/>
    <x v="87"/>
    <x v="7"/>
    <x v="91"/>
    <x v="51"/>
    <x v="4"/>
    <x v="16"/>
    <x v="394"/>
    <x v="0"/>
    <x v="0"/>
    <x v="10"/>
    <x v="2"/>
    <x v="64"/>
  </r>
  <r>
    <x v="99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</r>
  <r>
    <x v="99"/>
    <x v="102"/>
    <x v="128"/>
    <x v="0"/>
    <x v="68"/>
    <x v="112"/>
    <x v="112"/>
    <x v="111"/>
    <x v="111"/>
    <x v="0"/>
    <x v="514"/>
    <x v="521"/>
    <x v="455"/>
    <x v="232"/>
    <x v="36"/>
    <x v="266"/>
    <x v="19"/>
    <x v="1"/>
    <x v="49"/>
    <x v="11"/>
    <x v="0"/>
    <x v="244"/>
    <x v="395"/>
    <x v="0"/>
    <x v="0"/>
    <x v="5"/>
    <x v="2"/>
    <x v="66"/>
  </r>
  <r>
    <x v="100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100"/>
    <x v="88"/>
    <x v="105"/>
    <x v="0"/>
    <x v="48"/>
    <x v="93"/>
    <x v="93"/>
    <x v="92"/>
    <x v="92"/>
    <x v="0"/>
    <x v="515"/>
    <x v="522"/>
    <x v="456"/>
    <x v="208"/>
    <x v="21"/>
    <x v="470"/>
    <x v="18"/>
    <x v="2"/>
    <x v="14"/>
    <x v="3"/>
    <x v="3"/>
    <x v="20"/>
    <x v="396"/>
    <x v="0"/>
    <x v="0"/>
    <x v="5"/>
    <x v="2"/>
    <x v="47"/>
  </r>
  <r>
    <x v="100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00"/>
    <x v="90"/>
    <x v="112"/>
    <x v="1"/>
    <x v="46"/>
    <x v="99"/>
    <x v="99"/>
    <x v="98"/>
    <x v="98"/>
    <x v="0"/>
    <x v="516"/>
    <x v="523"/>
    <x v="85"/>
    <x v="401"/>
    <x v="48"/>
    <x v="471"/>
    <x v="15"/>
    <x v="2"/>
    <x v="14"/>
    <x v="3"/>
    <x v="3"/>
    <x v="15"/>
    <x v="15"/>
    <x v="0"/>
    <x v="0"/>
    <x v="5"/>
    <x v="2"/>
    <x v="46"/>
  </r>
  <r>
    <x v="100"/>
    <x v="91"/>
    <x v="114"/>
    <x v="0"/>
    <x v="62"/>
    <x v="101"/>
    <x v="101"/>
    <x v="100"/>
    <x v="100"/>
    <x v="0"/>
    <x v="517"/>
    <x v="338"/>
    <x v="306"/>
    <x v="402"/>
    <x v="58"/>
    <x v="472"/>
    <x v="15"/>
    <x v="2"/>
    <x v="14"/>
    <x v="3"/>
    <x v="3"/>
    <x v="15"/>
    <x v="15"/>
    <x v="0"/>
    <x v="0"/>
    <x v="5"/>
    <x v="2"/>
    <x v="60"/>
  </r>
  <r>
    <x v="100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</r>
  <r>
    <x v="100"/>
    <x v="96"/>
    <x v="120"/>
    <x v="1"/>
    <x v="61"/>
    <x v="105"/>
    <x v="105"/>
    <x v="104"/>
    <x v="10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9"/>
  </r>
  <r>
    <x v="100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</r>
  <r>
    <x v="100"/>
    <x v="101"/>
    <x v="126"/>
    <x v="0"/>
    <x v="66"/>
    <x v="110"/>
    <x v="110"/>
    <x v="109"/>
    <x v="109"/>
    <x v="0"/>
    <x v="518"/>
    <x v="524"/>
    <x v="304"/>
    <x v="403"/>
    <x v="35"/>
    <x v="473"/>
    <x v="26"/>
    <x v="2"/>
    <x v="24"/>
    <x v="3"/>
    <x v="3"/>
    <x v="83"/>
    <x v="397"/>
    <x v="0"/>
    <x v="0"/>
    <x v="5"/>
    <x v="2"/>
    <x v="64"/>
  </r>
  <r>
    <x v="100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</r>
  <r>
    <x v="100"/>
    <x v="102"/>
    <x v="128"/>
    <x v="0"/>
    <x v="68"/>
    <x v="112"/>
    <x v="112"/>
    <x v="111"/>
    <x v="111"/>
    <x v="0"/>
    <x v="519"/>
    <x v="525"/>
    <x v="457"/>
    <x v="233"/>
    <x v="12"/>
    <x v="474"/>
    <x v="18"/>
    <x v="2"/>
    <x v="14"/>
    <x v="3"/>
    <x v="3"/>
    <x v="20"/>
    <x v="398"/>
    <x v="0"/>
    <x v="0"/>
    <x v="5"/>
    <x v="2"/>
    <x v="66"/>
  </r>
  <r>
    <x v="100"/>
    <x v="103"/>
    <x v="129"/>
    <x v="0"/>
    <x v="48"/>
    <x v="113"/>
    <x v="113"/>
    <x v="112"/>
    <x v="112"/>
    <x v="0"/>
    <x v="520"/>
    <x v="526"/>
    <x v="458"/>
    <x v="213"/>
    <x v="74"/>
    <x v="475"/>
    <x v="84"/>
    <x v="2"/>
    <x v="28"/>
    <x v="39"/>
    <x v="0"/>
    <x v="218"/>
    <x v="399"/>
    <x v="0"/>
    <x v="0"/>
    <x v="4"/>
    <x v="12"/>
    <x v="47"/>
  </r>
  <r>
    <x v="101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01"/>
    <x v="88"/>
    <x v="105"/>
    <x v="0"/>
    <x v="48"/>
    <x v="93"/>
    <x v="93"/>
    <x v="92"/>
    <x v="92"/>
    <x v="0"/>
    <x v="521"/>
    <x v="527"/>
    <x v="308"/>
    <x v="165"/>
    <x v="26"/>
    <x v="476"/>
    <x v="15"/>
    <x v="2"/>
    <x v="14"/>
    <x v="3"/>
    <x v="3"/>
    <x v="15"/>
    <x v="15"/>
    <x v="0"/>
    <x v="0"/>
    <x v="5"/>
    <x v="2"/>
    <x v="47"/>
  </r>
  <r>
    <x v="10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01"/>
    <x v="90"/>
    <x v="112"/>
    <x v="1"/>
    <x v="46"/>
    <x v="99"/>
    <x v="99"/>
    <x v="98"/>
    <x v="98"/>
    <x v="0"/>
    <x v="522"/>
    <x v="528"/>
    <x v="459"/>
    <x v="404"/>
    <x v="52"/>
    <x v="477"/>
    <x v="43"/>
    <x v="2"/>
    <x v="22"/>
    <x v="5"/>
    <x v="2"/>
    <x v="149"/>
    <x v="400"/>
    <x v="30"/>
    <x v="59"/>
    <x v="1"/>
    <x v="6"/>
    <x v="46"/>
  </r>
  <r>
    <x v="101"/>
    <x v="91"/>
    <x v="114"/>
    <x v="0"/>
    <x v="62"/>
    <x v="101"/>
    <x v="101"/>
    <x v="100"/>
    <x v="100"/>
    <x v="0"/>
    <x v="523"/>
    <x v="529"/>
    <x v="460"/>
    <x v="405"/>
    <x v="36"/>
    <x v="478"/>
    <x v="60"/>
    <x v="2"/>
    <x v="28"/>
    <x v="3"/>
    <x v="4"/>
    <x v="203"/>
    <x v="401"/>
    <x v="23"/>
    <x v="42"/>
    <x v="3"/>
    <x v="6"/>
    <x v="60"/>
  </r>
  <r>
    <x v="101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</r>
  <r>
    <x v="101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</r>
  <r>
    <x v="101"/>
    <x v="101"/>
    <x v="126"/>
    <x v="0"/>
    <x v="66"/>
    <x v="110"/>
    <x v="110"/>
    <x v="109"/>
    <x v="109"/>
    <x v="0"/>
    <x v="524"/>
    <x v="530"/>
    <x v="461"/>
    <x v="228"/>
    <x v="76"/>
    <x v="479"/>
    <x v="114"/>
    <x v="7"/>
    <x v="2"/>
    <x v="14"/>
    <x v="23"/>
    <x v="234"/>
    <x v="402"/>
    <x v="0"/>
    <x v="0"/>
    <x v="5"/>
    <x v="2"/>
    <x v="64"/>
  </r>
  <r>
    <x v="101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</r>
  <r>
    <x v="101"/>
    <x v="102"/>
    <x v="130"/>
    <x v="0"/>
    <x v="69"/>
    <x v="114"/>
    <x v="114"/>
    <x v="113"/>
    <x v="113"/>
    <x v="0"/>
    <x v="525"/>
    <x v="531"/>
    <x v="462"/>
    <x v="140"/>
    <x v="82"/>
    <x v="480"/>
    <x v="60"/>
    <x v="0"/>
    <x v="38"/>
    <x v="3"/>
    <x v="4"/>
    <x v="203"/>
    <x v="403"/>
    <x v="0"/>
    <x v="0"/>
    <x v="3"/>
    <x v="11"/>
    <x v="67"/>
  </r>
  <r>
    <x v="101"/>
    <x v="102"/>
    <x v="128"/>
    <x v="0"/>
    <x v="68"/>
    <x v="112"/>
    <x v="112"/>
    <x v="111"/>
    <x v="1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6"/>
  </r>
  <r>
    <x v="101"/>
    <x v="103"/>
    <x v="129"/>
    <x v="0"/>
    <x v="48"/>
    <x v="113"/>
    <x v="113"/>
    <x v="112"/>
    <x v="112"/>
    <x v="0"/>
    <x v="526"/>
    <x v="532"/>
    <x v="118"/>
    <x v="270"/>
    <x v="10"/>
    <x v="481"/>
    <x v="8"/>
    <x v="2"/>
    <x v="50"/>
    <x v="11"/>
    <x v="3"/>
    <x v="93"/>
    <x v="404"/>
    <x v="0"/>
    <x v="0"/>
    <x v="5"/>
    <x v="2"/>
    <x v="47"/>
  </r>
  <r>
    <x v="10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02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10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02"/>
    <x v="90"/>
    <x v="112"/>
    <x v="1"/>
    <x v="46"/>
    <x v="99"/>
    <x v="99"/>
    <x v="98"/>
    <x v="98"/>
    <x v="0"/>
    <x v="527"/>
    <x v="533"/>
    <x v="463"/>
    <x v="357"/>
    <x v="48"/>
    <x v="482"/>
    <x v="10"/>
    <x v="2"/>
    <x v="2"/>
    <x v="3"/>
    <x v="3"/>
    <x v="154"/>
    <x v="405"/>
    <x v="31"/>
    <x v="60"/>
    <x v="7"/>
    <x v="10"/>
    <x v="46"/>
  </r>
  <r>
    <x v="102"/>
    <x v="91"/>
    <x v="114"/>
    <x v="0"/>
    <x v="62"/>
    <x v="101"/>
    <x v="101"/>
    <x v="100"/>
    <x v="100"/>
    <x v="0"/>
    <x v="528"/>
    <x v="534"/>
    <x v="464"/>
    <x v="406"/>
    <x v="14"/>
    <x v="161"/>
    <x v="118"/>
    <x v="2"/>
    <x v="89"/>
    <x v="5"/>
    <x v="0"/>
    <x v="245"/>
    <x v="406"/>
    <x v="4"/>
    <x v="61"/>
    <x v="1"/>
    <x v="3"/>
    <x v="60"/>
  </r>
  <r>
    <x v="102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</r>
  <r>
    <x v="102"/>
    <x v="101"/>
    <x v="126"/>
    <x v="0"/>
    <x v="66"/>
    <x v="110"/>
    <x v="110"/>
    <x v="109"/>
    <x v="109"/>
    <x v="0"/>
    <x v="529"/>
    <x v="535"/>
    <x v="465"/>
    <x v="390"/>
    <x v="52"/>
    <x v="464"/>
    <x v="111"/>
    <x v="6"/>
    <x v="17"/>
    <x v="51"/>
    <x v="26"/>
    <x v="124"/>
    <x v="1"/>
    <x v="0"/>
    <x v="0"/>
    <x v="5"/>
    <x v="2"/>
    <x v="64"/>
  </r>
  <r>
    <x v="102"/>
    <x v="102"/>
    <x v="130"/>
    <x v="0"/>
    <x v="69"/>
    <x v="114"/>
    <x v="114"/>
    <x v="113"/>
    <x v="113"/>
    <x v="0"/>
    <x v="530"/>
    <x v="536"/>
    <x v="466"/>
    <x v="407"/>
    <x v="83"/>
    <x v="78"/>
    <x v="144"/>
    <x v="3"/>
    <x v="81"/>
    <x v="3"/>
    <x v="23"/>
    <x v="246"/>
    <x v="407"/>
    <x v="0"/>
    <x v="0"/>
    <x v="40"/>
    <x v="3"/>
    <x v="67"/>
  </r>
  <r>
    <x v="102"/>
    <x v="102"/>
    <x v="128"/>
    <x v="0"/>
    <x v="68"/>
    <x v="112"/>
    <x v="112"/>
    <x v="111"/>
    <x v="1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6"/>
  </r>
  <r>
    <x v="102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02"/>
    <x v="104"/>
    <x v="131"/>
    <x v="0"/>
    <x v="70"/>
    <x v="115"/>
    <x v="115"/>
    <x v="114"/>
    <x v="114"/>
    <x v="0"/>
    <x v="531"/>
    <x v="537"/>
    <x v="467"/>
    <x v="408"/>
    <x v="81"/>
    <x v="304"/>
    <x v="118"/>
    <x v="2"/>
    <x v="16"/>
    <x v="5"/>
    <x v="8"/>
    <x v="247"/>
    <x v="408"/>
    <x v="0"/>
    <x v="0"/>
    <x v="39"/>
    <x v="10"/>
    <x v="68"/>
  </r>
  <r>
    <x v="102"/>
    <x v="104"/>
    <x v="132"/>
    <x v="0"/>
    <x v="71"/>
    <x v="116"/>
    <x v="116"/>
    <x v="115"/>
    <x v="115"/>
    <x v="0"/>
    <x v="141"/>
    <x v="538"/>
    <x v="468"/>
    <x v="364"/>
    <x v="30"/>
    <x v="483"/>
    <x v="54"/>
    <x v="1"/>
    <x v="24"/>
    <x v="5"/>
    <x v="0"/>
    <x v="7"/>
    <x v="192"/>
    <x v="0"/>
    <x v="0"/>
    <x v="0"/>
    <x v="42"/>
    <x v="69"/>
  </r>
  <r>
    <x v="103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03"/>
    <x v="90"/>
    <x v="112"/>
    <x v="1"/>
    <x v="46"/>
    <x v="99"/>
    <x v="99"/>
    <x v="98"/>
    <x v="98"/>
    <x v="0"/>
    <x v="532"/>
    <x v="539"/>
    <x v="469"/>
    <x v="130"/>
    <x v="35"/>
    <x v="484"/>
    <x v="107"/>
    <x v="0"/>
    <x v="87"/>
    <x v="11"/>
    <x v="4"/>
    <x v="164"/>
    <x v="409"/>
    <x v="30"/>
    <x v="62"/>
    <x v="3"/>
    <x v="2"/>
    <x v="46"/>
  </r>
  <r>
    <x v="103"/>
    <x v="91"/>
    <x v="114"/>
    <x v="0"/>
    <x v="62"/>
    <x v="101"/>
    <x v="101"/>
    <x v="100"/>
    <x v="100"/>
    <x v="0"/>
    <x v="533"/>
    <x v="540"/>
    <x v="247"/>
    <x v="140"/>
    <x v="53"/>
    <x v="485"/>
    <x v="18"/>
    <x v="2"/>
    <x v="14"/>
    <x v="3"/>
    <x v="3"/>
    <x v="20"/>
    <x v="410"/>
    <x v="0"/>
    <x v="0"/>
    <x v="5"/>
    <x v="2"/>
    <x v="60"/>
  </r>
  <r>
    <x v="103"/>
    <x v="101"/>
    <x v="126"/>
    <x v="0"/>
    <x v="66"/>
    <x v="110"/>
    <x v="110"/>
    <x v="109"/>
    <x v="109"/>
    <x v="0"/>
    <x v="534"/>
    <x v="541"/>
    <x v="470"/>
    <x v="210"/>
    <x v="82"/>
    <x v="486"/>
    <x v="37"/>
    <x v="7"/>
    <x v="73"/>
    <x v="6"/>
    <x v="26"/>
    <x v="124"/>
    <x v="411"/>
    <x v="0"/>
    <x v="0"/>
    <x v="2"/>
    <x v="2"/>
    <x v="64"/>
  </r>
  <r>
    <x v="103"/>
    <x v="102"/>
    <x v="130"/>
    <x v="0"/>
    <x v="69"/>
    <x v="114"/>
    <x v="114"/>
    <x v="113"/>
    <x v="113"/>
    <x v="0"/>
    <x v="535"/>
    <x v="542"/>
    <x v="471"/>
    <x v="222"/>
    <x v="94"/>
    <x v="487"/>
    <x v="100"/>
    <x v="2"/>
    <x v="30"/>
    <x v="3"/>
    <x v="1"/>
    <x v="182"/>
    <x v="412"/>
    <x v="0"/>
    <x v="0"/>
    <x v="5"/>
    <x v="2"/>
    <x v="67"/>
  </r>
  <r>
    <x v="103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03"/>
    <x v="104"/>
    <x v="131"/>
    <x v="0"/>
    <x v="70"/>
    <x v="115"/>
    <x v="115"/>
    <x v="114"/>
    <x v="114"/>
    <x v="0"/>
    <x v="536"/>
    <x v="543"/>
    <x v="354"/>
    <x v="409"/>
    <x v="41"/>
    <x v="378"/>
    <x v="26"/>
    <x v="1"/>
    <x v="14"/>
    <x v="3"/>
    <x v="3"/>
    <x v="83"/>
    <x v="360"/>
    <x v="0"/>
    <x v="0"/>
    <x v="5"/>
    <x v="2"/>
    <x v="68"/>
  </r>
  <r>
    <x v="103"/>
    <x v="104"/>
    <x v="132"/>
    <x v="0"/>
    <x v="71"/>
    <x v="116"/>
    <x v="116"/>
    <x v="115"/>
    <x v="115"/>
    <x v="0"/>
    <x v="537"/>
    <x v="544"/>
    <x v="472"/>
    <x v="224"/>
    <x v="42"/>
    <x v="488"/>
    <x v="40"/>
    <x v="0"/>
    <x v="8"/>
    <x v="6"/>
    <x v="0"/>
    <x v="232"/>
    <x v="408"/>
    <x v="0"/>
    <x v="0"/>
    <x v="7"/>
    <x v="40"/>
    <x v="69"/>
  </r>
  <r>
    <x v="104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104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04"/>
    <x v="90"/>
    <x v="112"/>
    <x v="1"/>
    <x v="46"/>
    <x v="99"/>
    <x v="99"/>
    <x v="98"/>
    <x v="98"/>
    <x v="0"/>
    <x v="538"/>
    <x v="545"/>
    <x v="473"/>
    <x v="130"/>
    <x v="35"/>
    <x v="489"/>
    <x v="62"/>
    <x v="2"/>
    <x v="2"/>
    <x v="5"/>
    <x v="1"/>
    <x v="14"/>
    <x v="413"/>
    <x v="12"/>
    <x v="63"/>
    <x v="1"/>
    <x v="11"/>
    <x v="46"/>
  </r>
  <r>
    <x v="104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</r>
  <r>
    <x v="104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</r>
  <r>
    <x v="104"/>
    <x v="101"/>
    <x v="126"/>
    <x v="0"/>
    <x v="66"/>
    <x v="110"/>
    <x v="110"/>
    <x v="109"/>
    <x v="109"/>
    <x v="0"/>
    <x v="539"/>
    <x v="546"/>
    <x v="474"/>
    <x v="79"/>
    <x v="25"/>
    <x v="490"/>
    <x v="107"/>
    <x v="0"/>
    <x v="91"/>
    <x v="6"/>
    <x v="1"/>
    <x v="45"/>
    <x v="414"/>
    <x v="0"/>
    <x v="0"/>
    <x v="5"/>
    <x v="2"/>
    <x v="64"/>
  </r>
  <r>
    <x v="104"/>
    <x v="102"/>
    <x v="130"/>
    <x v="0"/>
    <x v="69"/>
    <x v="114"/>
    <x v="114"/>
    <x v="113"/>
    <x v="113"/>
    <x v="0"/>
    <x v="540"/>
    <x v="547"/>
    <x v="475"/>
    <x v="410"/>
    <x v="83"/>
    <x v="236"/>
    <x v="149"/>
    <x v="1"/>
    <x v="36"/>
    <x v="3"/>
    <x v="1"/>
    <x v="248"/>
    <x v="415"/>
    <x v="0"/>
    <x v="0"/>
    <x v="10"/>
    <x v="6"/>
    <x v="67"/>
  </r>
  <r>
    <x v="104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04"/>
    <x v="104"/>
    <x v="131"/>
    <x v="0"/>
    <x v="70"/>
    <x v="115"/>
    <x v="115"/>
    <x v="114"/>
    <x v="114"/>
    <x v="0"/>
    <x v="541"/>
    <x v="548"/>
    <x v="476"/>
    <x v="213"/>
    <x v="81"/>
    <x v="491"/>
    <x v="71"/>
    <x v="1"/>
    <x v="10"/>
    <x v="0"/>
    <x v="8"/>
    <x v="4"/>
    <x v="416"/>
    <x v="0"/>
    <x v="0"/>
    <x v="39"/>
    <x v="11"/>
    <x v="68"/>
  </r>
  <r>
    <x v="104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</r>
  <r>
    <x v="10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105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05"/>
    <x v="90"/>
    <x v="112"/>
    <x v="1"/>
    <x v="46"/>
    <x v="99"/>
    <x v="99"/>
    <x v="98"/>
    <x v="98"/>
    <x v="0"/>
    <x v="144"/>
    <x v="549"/>
    <x v="477"/>
    <x v="411"/>
    <x v="35"/>
    <x v="492"/>
    <x v="126"/>
    <x v="1"/>
    <x v="1"/>
    <x v="3"/>
    <x v="4"/>
    <x v="66"/>
    <x v="417"/>
    <x v="32"/>
    <x v="64"/>
    <x v="39"/>
    <x v="12"/>
    <x v="46"/>
  </r>
  <r>
    <x v="105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</r>
  <r>
    <x v="105"/>
    <x v="101"/>
    <x v="126"/>
    <x v="0"/>
    <x v="66"/>
    <x v="110"/>
    <x v="110"/>
    <x v="109"/>
    <x v="109"/>
    <x v="0"/>
    <x v="542"/>
    <x v="550"/>
    <x v="478"/>
    <x v="376"/>
    <x v="82"/>
    <x v="493"/>
    <x v="38"/>
    <x v="7"/>
    <x v="87"/>
    <x v="10"/>
    <x v="23"/>
    <x v="245"/>
    <x v="418"/>
    <x v="0"/>
    <x v="0"/>
    <x v="5"/>
    <x v="5"/>
    <x v="64"/>
  </r>
  <r>
    <x v="105"/>
    <x v="102"/>
    <x v="130"/>
    <x v="0"/>
    <x v="69"/>
    <x v="114"/>
    <x v="114"/>
    <x v="113"/>
    <x v="113"/>
    <x v="0"/>
    <x v="543"/>
    <x v="551"/>
    <x v="227"/>
    <x v="232"/>
    <x v="20"/>
    <x v="324"/>
    <x v="149"/>
    <x v="2"/>
    <x v="36"/>
    <x v="3"/>
    <x v="1"/>
    <x v="182"/>
    <x v="155"/>
    <x v="0"/>
    <x v="0"/>
    <x v="3"/>
    <x v="6"/>
    <x v="67"/>
  </r>
  <r>
    <x v="105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05"/>
    <x v="104"/>
    <x v="131"/>
    <x v="0"/>
    <x v="70"/>
    <x v="115"/>
    <x v="115"/>
    <x v="114"/>
    <x v="114"/>
    <x v="0"/>
    <x v="544"/>
    <x v="552"/>
    <x v="266"/>
    <x v="278"/>
    <x v="75"/>
    <x v="494"/>
    <x v="66"/>
    <x v="2"/>
    <x v="38"/>
    <x v="3"/>
    <x v="27"/>
    <x v="41"/>
    <x v="419"/>
    <x v="0"/>
    <x v="0"/>
    <x v="5"/>
    <x v="12"/>
    <x v="68"/>
  </r>
  <r>
    <x v="105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</r>
  <r>
    <x v="105"/>
    <x v="105"/>
    <x v="133"/>
    <x v="0"/>
    <x v="46"/>
    <x v="117"/>
    <x v="117"/>
    <x v="116"/>
    <x v="116"/>
    <x v="0"/>
    <x v="545"/>
    <x v="553"/>
    <x v="479"/>
    <x v="384"/>
    <x v="8"/>
    <x v="446"/>
    <x v="186"/>
    <x v="0"/>
    <x v="10"/>
    <x v="3"/>
    <x v="3"/>
    <x v="249"/>
    <x v="46"/>
    <x v="33"/>
    <x v="65"/>
    <x v="7"/>
    <x v="10"/>
    <x v="46"/>
  </r>
  <r>
    <x v="10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06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10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06"/>
    <x v="90"/>
    <x v="112"/>
    <x v="1"/>
    <x v="46"/>
    <x v="99"/>
    <x v="99"/>
    <x v="98"/>
    <x v="98"/>
    <x v="0"/>
    <x v="507"/>
    <x v="554"/>
    <x v="276"/>
    <x v="412"/>
    <x v="81"/>
    <x v="495"/>
    <x v="15"/>
    <x v="2"/>
    <x v="14"/>
    <x v="3"/>
    <x v="3"/>
    <x v="15"/>
    <x v="15"/>
    <x v="0"/>
    <x v="0"/>
    <x v="2"/>
    <x v="2"/>
    <x v="46"/>
  </r>
  <r>
    <x v="106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</r>
  <r>
    <x v="106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06"/>
    <x v="101"/>
    <x v="126"/>
    <x v="0"/>
    <x v="66"/>
    <x v="110"/>
    <x v="110"/>
    <x v="109"/>
    <x v="109"/>
    <x v="0"/>
    <x v="546"/>
    <x v="555"/>
    <x v="480"/>
    <x v="104"/>
    <x v="41"/>
    <x v="496"/>
    <x v="8"/>
    <x v="2"/>
    <x v="14"/>
    <x v="3"/>
    <x v="3"/>
    <x v="27"/>
    <x v="385"/>
    <x v="0"/>
    <x v="0"/>
    <x v="5"/>
    <x v="2"/>
    <x v="64"/>
  </r>
  <r>
    <x v="106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</r>
  <r>
    <x v="106"/>
    <x v="102"/>
    <x v="130"/>
    <x v="0"/>
    <x v="69"/>
    <x v="114"/>
    <x v="114"/>
    <x v="113"/>
    <x v="113"/>
    <x v="0"/>
    <x v="547"/>
    <x v="556"/>
    <x v="3"/>
    <x v="413"/>
    <x v="24"/>
    <x v="497"/>
    <x v="187"/>
    <x v="7"/>
    <x v="79"/>
    <x v="3"/>
    <x v="3"/>
    <x v="250"/>
    <x v="241"/>
    <x v="0"/>
    <x v="0"/>
    <x v="3"/>
    <x v="6"/>
    <x v="67"/>
  </r>
  <r>
    <x v="106"/>
    <x v="104"/>
    <x v="131"/>
    <x v="0"/>
    <x v="70"/>
    <x v="115"/>
    <x v="115"/>
    <x v="114"/>
    <x v="114"/>
    <x v="0"/>
    <x v="548"/>
    <x v="557"/>
    <x v="437"/>
    <x v="414"/>
    <x v="17"/>
    <x v="498"/>
    <x v="165"/>
    <x v="7"/>
    <x v="134"/>
    <x v="5"/>
    <x v="22"/>
    <x v="221"/>
    <x v="109"/>
    <x v="0"/>
    <x v="0"/>
    <x v="11"/>
    <x v="30"/>
    <x v="68"/>
  </r>
  <r>
    <x v="106"/>
    <x v="105"/>
    <x v="133"/>
    <x v="0"/>
    <x v="46"/>
    <x v="117"/>
    <x v="117"/>
    <x v="116"/>
    <x v="116"/>
    <x v="0"/>
    <x v="549"/>
    <x v="558"/>
    <x v="113"/>
    <x v="367"/>
    <x v="42"/>
    <x v="24"/>
    <x v="15"/>
    <x v="2"/>
    <x v="14"/>
    <x v="3"/>
    <x v="3"/>
    <x v="15"/>
    <x v="15"/>
    <x v="0"/>
    <x v="0"/>
    <x v="5"/>
    <x v="2"/>
    <x v="46"/>
  </r>
  <r>
    <x v="106"/>
    <x v="106"/>
    <x v="134"/>
    <x v="0"/>
    <x v="72"/>
    <x v="118"/>
    <x v="118"/>
    <x v="117"/>
    <x v="117"/>
    <x v="0"/>
    <x v="550"/>
    <x v="559"/>
    <x v="481"/>
    <x v="415"/>
    <x v="95"/>
    <x v="499"/>
    <x v="150"/>
    <x v="2"/>
    <x v="85"/>
    <x v="11"/>
    <x v="3"/>
    <x v="182"/>
    <x v="420"/>
    <x v="0"/>
    <x v="0"/>
    <x v="1"/>
    <x v="2"/>
    <x v="70"/>
  </r>
  <r>
    <x v="106"/>
    <x v="106"/>
    <x v="135"/>
    <x v="0"/>
    <x v="73"/>
    <x v="119"/>
    <x v="119"/>
    <x v="118"/>
    <x v="118"/>
    <x v="0"/>
    <x v="551"/>
    <x v="560"/>
    <x v="482"/>
    <x v="416"/>
    <x v="96"/>
    <x v="500"/>
    <x v="164"/>
    <x v="2"/>
    <x v="9"/>
    <x v="3"/>
    <x v="2"/>
    <x v="251"/>
    <x v="421"/>
    <x v="0"/>
    <x v="0"/>
    <x v="4"/>
    <x v="2"/>
    <x v="71"/>
  </r>
  <r>
    <x v="10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07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07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07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107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</r>
  <r>
    <x v="107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</r>
  <r>
    <x v="107"/>
    <x v="101"/>
    <x v="126"/>
    <x v="0"/>
    <x v="66"/>
    <x v="110"/>
    <x v="110"/>
    <x v="109"/>
    <x v="10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4"/>
  </r>
  <r>
    <x v="107"/>
    <x v="102"/>
    <x v="130"/>
    <x v="0"/>
    <x v="69"/>
    <x v="114"/>
    <x v="114"/>
    <x v="113"/>
    <x v="113"/>
    <x v="0"/>
    <x v="552"/>
    <x v="561"/>
    <x v="483"/>
    <x v="326"/>
    <x v="47"/>
    <x v="501"/>
    <x v="188"/>
    <x v="1"/>
    <x v="26"/>
    <x v="5"/>
    <x v="0"/>
    <x v="153"/>
    <x v="422"/>
    <x v="0"/>
    <x v="0"/>
    <x v="39"/>
    <x v="11"/>
    <x v="67"/>
  </r>
  <r>
    <x v="107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07"/>
    <x v="104"/>
    <x v="131"/>
    <x v="0"/>
    <x v="70"/>
    <x v="115"/>
    <x v="115"/>
    <x v="114"/>
    <x v="114"/>
    <x v="0"/>
    <x v="553"/>
    <x v="562"/>
    <x v="484"/>
    <x v="417"/>
    <x v="41"/>
    <x v="402"/>
    <x v="114"/>
    <x v="0"/>
    <x v="9"/>
    <x v="3"/>
    <x v="12"/>
    <x v="252"/>
    <x v="423"/>
    <x v="0"/>
    <x v="0"/>
    <x v="11"/>
    <x v="26"/>
    <x v="68"/>
  </r>
  <r>
    <x v="107"/>
    <x v="105"/>
    <x v="133"/>
    <x v="0"/>
    <x v="46"/>
    <x v="117"/>
    <x v="117"/>
    <x v="116"/>
    <x v="11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107"/>
    <x v="106"/>
    <x v="134"/>
    <x v="0"/>
    <x v="72"/>
    <x v="118"/>
    <x v="118"/>
    <x v="117"/>
    <x v="117"/>
    <x v="0"/>
    <x v="554"/>
    <x v="563"/>
    <x v="485"/>
    <x v="195"/>
    <x v="72"/>
    <x v="502"/>
    <x v="161"/>
    <x v="2"/>
    <x v="2"/>
    <x v="3"/>
    <x v="3"/>
    <x v="85"/>
    <x v="424"/>
    <x v="0"/>
    <x v="0"/>
    <x v="2"/>
    <x v="2"/>
    <x v="70"/>
  </r>
  <r>
    <x v="107"/>
    <x v="106"/>
    <x v="135"/>
    <x v="0"/>
    <x v="73"/>
    <x v="119"/>
    <x v="119"/>
    <x v="118"/>
    <x v="118"/>
    <x v="0"/>
    <x v="555"/>
    <x v="564"/>
    <x v="486"/>
    <x v="326"/>
    <x v="97"/>
    <x v="503"/>
    <x v="139"/>
    <x v="1"/>
    <x v="33"/>
    <x v="5"/>
    <x v="3"/>
    <x v="86"/>
    <x v="152"/>
    <x v="0"/>
    <x v="0"/>
    <x v="2"/>
    <x v="2"/>
    <x v="71"/>
  </r>
  <r>
    <x v="107"/>
    <x v="107"/>
    <x v="136"/>
    <x v="0"/>
    <x v="72"/>
    <x v="120"/>
    <x v="120"/>
    <x v="119"/>
    <x v="119"/>
    <x v="0"/>
    <x v="556"/>
    <x v="565"/>
    <x v="487"/>
    <x v="418"/>
    <x v="8"/>
    <x v="248"/>
    <x v="92"/>
    <x v="2"/>
    <x v="10"/>
    <x v="3"/>
    <x v="2"/>
    <x v="244"/>
    <x v="379"/>
    <x v="0"/>
    <x v="0"/>
    <x v="1"/>
    <x v="2"/>
    <x v="70"/>
  </r>
  <r>
    <x v="107"/>
    <x v="107"/>
    <x v="137"/>
    <x v="0"/>
    <x v="73"/>
    <x v="121"/>
    <x v="121"/>
    <x v="120"/>
    <x v="120"/>
    <x v="0"/>
    <x v="557"/>
    <x v="566"/>
    <x v="488"/>
    <x v="419"/>
    <x v="3"/>
    <x v="504"/>
    <x v="172"/>
    <x v="0"/>
    <x v="13"/>
    <x v="5"/>
    <x v="3"/>
    <x v="227"/>
    <x v="358"/>
    <x v="0"/>
    <x v="0"/>
    <x v="4"/>
    <x v="10"/>
    <x v="71"/>
  </r>
  <r>
    <x v="108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108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08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</r>
  <r>
    <x v="108"/>
    <x v="101"/>
    <x v="126"/>
    <x v="0"/>
    <x v="66"/>
    <x v="110"/>
    <x v="110"/>
    <x v="109"/>
    <x v="10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4"/>
  </r>
  <r>
    <x v="108"/>
    <x v="102"/>
    <x v="130"/>
    <x v="0"/>
    <x v="69"/>
    <x v="114"/>
    <x v="114"/>
    <x v="113"/>
    <x v="113"/>
    <x v="0"/>
    <x v="558"/>
    <x v="567"/>
    <x v="489"/>
    <x v="420"/>
    <x v="83"/>
    <x v="505"/>
    <x v="189"/>
    <x v="2"/>
    <x v="84"/>
    <x v="3"/>
    <x v="3"/>
    <x v="253"/>
    <x v="425"/>
    <x v="0"/>
    <x v="0"/>
    <x v="14"/>
    <x v="11"/>
    <x v="67"/>
  </r>
  <r>
    <x v="10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08"/>
    <x v="104"/>
    <x v="131"/>
    <x v="0"/>
    <x v="70"/>
    <x v="115"/>
    <x v="115"/>
    <x v="114"/>
    <x v="114"/>
    <x v="0"/>
    <x v="559"/>
    <x v="568"/>
    <x v="490"/>
    <x v="421"/>
    <x v="76"/>
    <x v="506"/>
    <x v="190"/>
    <x v="7"/>
    <x v="135"/>
    <x v="11"/>
    <x v="27"/>
    <x v="254"/>
    <x v="426"/>
    <x v="0"/>
    <x v="0"/>
    <x v="24"/>
    <x v="8"/>
    <x v="68"/>
  </r>
  <r>
    <x v="108"/>
    <x v="105"/>
    <x v="133"/>
    <x v="0"/>
    <x v="46"/>
    <x v="117"/>
    <x v="117"/>
    <x v="116"/>
    <x v="11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108"/>
    <x v="106"/>
    <x v="135"/>
    <x v="0"/>
    <x v="73"/>
    <x v="119"/>
    <x v="119"/>
    <x v="118"/>
    <x v="1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</r>
  <r>
    <x v="108"/>
    <x v="107"/>
    <x v="136"/>
    <x v="0"/>
    <x v="72"/>
    <x v="120"/>
    <x v="120"/>
    <x v="119"/>
    <x v="119"/>
    <x v="0"/>
    <x v="560"/>
    <x v="569"/>
    <x v="491"/>
    <x v="278"/>
    <x v="30"/>
    <x v="507"/>
    <x v="94"/>
    <x v="1"/>
    <x v="84"/>
    <x v="11"/>
    <x v="23"/>
    <x v="248"/>
    <x v="427"/>
    <x v="0"/>
    <x v="0"/>
    <x v="12"/>
    <x v="5"/>
    <x v="70"/>
  </r>
  <r>
    <x v="108"/>
    <x v="107"/>
    <x v="137"/>
    <x v="0"/>
    <x v="73"/>
    <x v="121"/>
    <x v="121"/>
    <x v="120"/>
    <x v="120"/>
    <x v="0"/>
    <x v="561"/>
    <x v="570"/>
    <x v="492"/>
    <x v="266"/>
    <x v="53"/>
    <x v="508"/>
    <x v="109"/>
    <x v="0"/>
    <x v="25"/>
    <x v="5"/>
    <x v="1"/>
    <x v="133"/>
    <x v="428"/>
    <x v="0"/>
    <x v="0"/>
    <x v="3"/>
    <x v="5"/>
    <x v="71"/>
  </r>
  <r>
    <x v="109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09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109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09"/>
    <x v="102"/>
    <x v="130"/>
    <x v="0"/>
    <x v="69"/>
    <x v="114"/>
    <x v="114"/>
    <x v="113"/>
    <x v="113"/>
    <x v="0"/>
    <x v="228"/>
    <x v="571"/>
    <x v="72"/>
    <x v="422"/>
    <x v="32"/>
    <x v="509"/>
    <x v="15"/>
    <x v="2"/>
    <x v="14"/>
    <x v="3"/>
    <x v="3"/>
    <x v="15"/>
    <x v="15"/>
    <x v="0"/>
    <x v="0"/>
    <x v="5"/>
    <x v="2"/>
    <x v="67"/>
  </r>
  <r>
    <x v="109"/>
    <x v="104"/>
    <x v="131"/>
    <x v="0"/>
    <x v="70"/>
    <x v="115"/>
    <x v="115"/>
    <x v="114"/>
    <x v="114"/>
    <x v="0"/>
    <x v="562"/>
    <x v="572"/>
    <x v="493"/>
    <x v="165"/>
    <x v="60"/>
    <x v="510"/>
    <x v="191"/>
    <x v="10"/>
    <x v="75"/>
    <x v="5"/>
    <x v="22"/>
    <x v="255"/>
    <x v="207"/>
    <x v="0"/>
    <x v="0"/>
    <x v="9"/>
    <x v="30"/>
    <x v="68"/>
  </r>
  <r>
    <x v="109"/>
    <x v="107"/>
    <x v="136"/>
    <x v="0"/>
    <x v="72"/>
    <x v="120"/>
    <x v="120"/>
    <x v="119"/>
    <x v="119"/>
    <x v="0"/>
    <x v="563"/>
    <x v="573"/>
    <x v="494"/>
    <x v="411"/>
    <x v="3"/>
    <x v="172"/>
    <x v="94"/>
    <x v="1"/>
    <x v="15"/>
    <x v="5"/>
    <x v="1"/>
    <x v="179"/>
    <x v="429"/>
    <x v="0"/>
    <x v="0"/>
    <x v="12"/>
    <x v="5"/>
    <x v="70"/>
  </r>
  <r>
    <x v="109"/>
    <x v="107"/>
    <x v="137"/>
    <x v="0"/>
    <x v="73"/>
    <x v="121"/>
    <x v="121"/>
    <x v="120"/>
    <x v="120"/>
    <x v="0"/>
    <x v="564"/>
    <x v="574"/>
    <x v="310"/>
    <x v="224"/>
    <x v="10"/>
    <x v="511"/>
    <x v="60"/>
    <x v="1"/>
    <x v="15"/>
    <x v="5"/>
    <x v="1"/>
    <x v="28"/>
    <x v="402"/>
    <x v="0"/>
    <x v="0"/>
    <x v="9"/>
    <x v="12"/>
    <x v="71"/>
  </r>
  <r>
    <x v="109"/>
    <x v="108"/>
    <x v="138"/>
    <x v="0"/>
    <x v="74"/>
    <x v="122"/>
    <x v="122"/>
    <x v="121"/>
    <x v="121"/>
    <x v="0"/>
    <x v="565"/>
    <x v="575"/>
    <x v="495"/>
    <x v="423"/>
    <x v="26"/>
    <x v="269"/>
    <x v="185"/>
    <x v="1"/>
    <x v="91"/>
    <x v="3"/>
    <x v="2"/>
    <x v="243"/>
    <x v="430"/>
    <x v="0"/>
    <x v="0"/>
    <x v="10"/>
    <x v="2"/>
    <x v="72"/>
  </r>
  <r>
    <x v="110"/>
    <x v="102"/>
    <x v="130"/>
    <x v="0"/>
    <x v="69"/>
    <x v="114"/>
    <x v="114"/>
    <x v="113"/>
    <x v="11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7"/>
  </r>
  <r>
    <x v="110"/>
    <x v="104"/>
    <x v="131"/>
    <x v="0"/>
    <x v="70"/>
    <x v="115"/>
    <x v="115"/>
    <x v="114"/>
    <x v="114"/>
    <x v="0"/>
    <x v="566"/>
    <x v="576"/>
    <x v="496"/>
    <x v="60"/>
    <x v="15"/>
    <x v="512"/>
    <x v="192"/>
    <x v="5"/>
    <x v="135"/>
    <x v="0"/>
    <x v="30"/>
    <x v="256"/>
    <x v="431"/>
    <x v="0"/>
    <x v="0"/>
    <x v="9"/>
    <x v="3"/>
    <x v="68"/>
  </r>
  <r>
    <x v="110"/>
    <x v="107"/>
    <x v="136"/>
    <x v="0"/>
    <x v="72"/>
    <x v="120"/>
    <x v="120"/>
    <x v="119"/>
    <x v="119"/>
    <x v="0"/>
    <x v="567"/>
    <x v="577"/>
    <x v="497"/>
    <x v="156"/>
    <x v="53"/>
    <x v="513"/>
    <x v="19"/>
    <x v="1"/>
    <x v="39"/>
    <x v="3"/>
    <x v="1"/>
    <x v="41"/>
    <x v="432"/>
    <x v="0"/>
    <x v="0"/>
    <x v="1"/>
    <x v="11"/>
    <x v="70"/>
  </r>
  <r>
    <x v="110"/>
    <x v="107"/>
    <x v="137"/>
    <x v="0"/>
    <x v="73"/>
    <x v="121"/>
    <x v="121"/>
    <x v="120"/>
    <x v="120"/>
    <x v="0"/>
    <x v="568"/>
    <x v="578"/>
    <x v="498"/>
    <x v="424"/>
    <x v="10"/>
    <x v="514"/>
    <x v="171"/>
    <x v="2"/>
    <x v="136"/>
    <x v="3"/>
    <x v="1"/>
    <x v="257"/>
    <x v="61"/>
    <x v="0"/>
    <x v="0"/>
    <x v="10"/>
    <x v="2"/>
    <x v="71"/>
  </r>
  <r>
    <x v="110"/>
    <x v="108"/>
    <x v="138"/>
    <x v="0"/>
    <x v="74"/>
    <x v="122"/>
    <x v="122"/>
    <x v="121"/>
    <x v="121"/>
    <x v="0"/>
    <x v="569"/>
    <x v="579"/>
    <x v="249"/>
    <x v="304"/>
    <x v="27"/>
    <x v="515"/>
    <x v="26"/>
    <x v="2"/>
    <x v="14"/>
    <x v="3"/>
    <x v="3"/>
    <x v="70"/>
    <x v="188"/>
    <x v="0"/>
    <x v="0"/>
    <x v="5"/>
    <x v="2"/>
    <x v="72"/>
  </r>
  <r>
    <x v="111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11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11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11"/>
    <x v="104"/>
    <x v="131"/>
    <x v="0"/>
    <x v="70"/>
    <x v="115"/>
    <x v="115"/>
    <x v="114"/>
    <x v="114"/>
    <x v="0"/>
    <x v="570"/>
    <x v="580"/>
    <x v="499"/>
    <x v="425"/>
    <x v="77"/>
    <x v="516"/>
    <x v="193"/>
    <x v="0"/>
    <x v="9"/>
    <x v="0"/>
    <x v="8"/>
    <x v="258"/>
    <x v="234"/>
    <x v="0"/>
    <x v="0"/>
    <x v="2"/>
    <x v="10"/>
    <x v="68"/>
  </r>
  <r>
    <x v="111"/>
    <x v="107"/>
    <x v="136"/>
    <x v="0"/>
    <x v="72"/>
    <x v="120"/>
    <x v="120"/>
    <x v="119"/>
    <x v="119"/>
    <x v="0"/>
    <x v="571"/>
    <x v="581"/>
    <x v="500"/>
    <x v="426"/>
    <x v="7"/>
    <x v="517"/>
    <x v="40"/>
    <x v="0"/>
    <x v="13"/>
    <x v="3"/>
    <x v="1"/>
    <x v="46"/>
    <x v="433"/>
    <x v="0"/>
    <x v="0"/>
    <x v="2"/>
    <x v="2"/>
    <x v="70"/>
  </r>
  <r>
    <x v="111"/>
    <x v="107"/>
    <x v="137"/>
    <x v="0"/>
    <x v="73"/>
    <x v="121"/>
    <x v="121"/>
    <x v="120"/>
    <x v="120"/>
    <x v="0"/>
    <x v="572"/>
    <x v="582"/>
    <x v="24"/>
    <x v="197"/>
    <x v="21"/>
    <x v="381"/>
    <x v="15"/>
    <x v="2"/>
    <x v="14"/>
    <x v="3"/>
    <x v="3"/>
    <x v="15"/>
    <x v="15"/>
    <x v="0"/>
    <x v="0"/>
    <x v="5"/>
    <x v="2"/>
    <x v="71"/>
  </r>
  <r>
    <x v="111"/>
    <x v="108"/>
    <x v="138"/>
    <x v="0"/>
    <x v="74"/>
    <x v="122"/>
    <x v="122"/>
    <x v="121"/>
    <x v="121"/>
    <x v="0"/>
    <x v="573"/>
    <x v="583"/>
    <x v="501"/>
    <x v="427"/>
    <x v="17"/>
    <x v="518"/>
    <x v="54"/>
    <x v="2"/>
    <x v="42"/>
    <x v="3"/>
    <x v="2"/>
    <x v="165"/>
    <x v="434"/>
    <x v="0"/>
    <x v="0"/>
    <x v="5"/>
    <x v="11"/>
    <x v="72"/>
  </r>
  <r>
    <x v="111"/>
    <x v="109"/>
    <x v="139"/>
    <x v="0"/>
    <x v="70"/>
    <x v="123"/>
    <x v="123"/>
    <x v="122"/>
    <x v="122"/>
    <x v="0"/>
    <x v="574"/>
    <x v="584"/>
    <x v="502"/>
    <x v="428"/>
    <x v="3"/>
    <x v="519"/>
    <x v="26"/>
    <x v="2"/>
    <x v="50"/>
    <x v="3"/>
    <x v="2"/>
    <x v="93"/>
    <x v="435"/>
    <x v="0"/>
    <x v="0"/>
    <x v="1"/>
    <x v="2"/>
    <x v="68"/>
  </r>
  <r>
    <x v="111"/>
    <x v="109"/>
    <x v="140"/>
    <x v="0"/>
    <x v="75"/>
    <x v="124"/>
    <x v="124"/>
    <x v="123"/>
    <x v="123"/>
    <x v="0"/>
    <x v="575"/>
    <x v="585"/>
    <x v="503"/>
    <x v="429"/>
    <x v="27"/>
    <x v="508"/>
    <x v="65"/>
    <x v="2"/>
    <x v="7"/>
    <x v="5"/>
    <x v="3"/>
    <x v="18"/>
    <x v="436"/>
    <x v="0"/>
    <x v="0"/>
    <x v="5"/>
    <x v="2"/>
    <x v="73"/>
  </r>
  <r>
    <x v="111"/>
    <x v="110"/>
    <x v="141"/>
    <x v="0"/>
    <x v="70"/>
    <x v="125"/>
    <x v="125"/>
    <x v="124"/>
    <x v="124"/>
    <x v="0"/>
    <x v="576"/>
    <x v="586"/>
    <x v="504"/>
    <x v="228"/>
    <x v="30"/>
    <x v="520"/>
    <x v="70"/>
    <x v="5"/>
    <x v="1"/>
    <x v="5"/>
    <x v="27"/>
    <x v="3"/>
    <x v="437"/>
    <x v="0"/>
    <x v="0"/>
    <x v="8"/>
    <x v="6"/>
    <x v="68"/>
  </r>
  <r>
    <x v="11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1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12"/>
    <x v="104"/>
    <x v="131"/>
    <x v="0"/>
    <x v="70"/>
    <x v="115"/>
    <x v="115"/>
    <x v="114"/>
    <x v="114"/>
    <x v="0"/>
    <x v="577"/>
    <x v="587"/>
    <x v="505"/>
    <x v="380"/>
    <x v="20"/>
    <x v="521"/>
    <x v="87"/>
    <x v="2"/>
    <x v="22"/>
    <x v="5"/>
    <x v="1"/>
    <x v="131"/>
    <x v="316"/>
    <x v="0"/>
    <x v="0"/>
    <x v="5"/>
    <x v="11"/>
    <x v="68"/>
  </r>
  <r>
    <x v="112"/>
    <x v="107"/>
    <x v="136"/>
    <x v="0"/>
    <x v="72"/>
    <x v="120"/>
    <x v="120"/>
    <x v="119"/>
    <x v="119"/>
    <x v="0"/>
    <x v="578"/>
    <x v="588"/>
    <x v="506"/>
    <x v="102"/>
    <x v="81"/>
    <x v="522"/>
    <x v="38"/>
    <x v="2"/>
    <x v="29"/>
    <x v="5"/>
    <x v="4"/>
    <x v="248"/>
    <x v="438"/>
    <x v="0"/>
    <x v="0"/>
    <x v="3"/>
    <x v="2"/>
    <x v="70"/>
  </r>
  <r>
    <x v="112"/>
    <x v="107"/>
    <x v="137"/>
    <x v="0"/>
    <x v="73"/>
    <x v="121"/>
    <x v="121"/>
    <x v="120"/>
    <x v="1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</r>
  <r>
    <x v="112"/>
    <x v="108"/>
    <x v="138"/>
    <x v="0"/>
    <x v="74"/>
    <x v="122"/>
    <x v="122"/>
    <x v="121"/>
    <x v="121"/>
    <x v="0"/>
    <x v="579"/>
    <x v="589"/>
    <x v="27"/>
    <x v="416"/>
    <x v="17"/>
    <x v="523"/>
    <x v="18"/>
    <x v="2"/>
    <x v="50"/>
    <x v="3"/>
    <x v="3"/>
    <x v="70"/>
    <x v="439"/>
    <x v="0"/>
    <x v="0"/>
    <x v="5"/>
    <x v="2"/>
    <x v="72"/>
  </r>
  <r>
    <x v="112"/>
    <x v="109"/>
    <x v="139"/>
    <x v="0"/>
    <x v="70"/>
    <x v="123"/>
    <x v="123"/>
    <x v="122"/>
    <x v="122"/>
    <x v="0"/>
    <x v="30"/>
    <x v="77"/>
    <x v="29"/>
    <x v="30"/>
    <x v="16"/>
    <x v="29"/>
    <x v="15"/>
    <x v="2"/>
    <x v="14"/>
    <x v="3"/>
    <x v="3"/>
    <x v="15"/>
    <x v="15"/>
    <x v="0"/>
    <x v="0"/>
    <x v="5"/>
    <x v="2"/>
    <x v="68"/>
  </r>
  <r>
    <x v="112"/>
    <x v="109"/>
    <x v="140"/>
    <x v="0"/>
    <x v="75"/>
    <x v="124"/>
    <x v="124"/>
    <x v="123"/>
    <x v="123"/>
    <x v="0"/>
    <x v="580"/>
    <x v="590"/>
    <x v="507"/>
    <x v="216"/>
    <x v="19"/>
    <x v="524"/>
    <x v="22"/>
    <x v="2"/>
    <x v="50"/>
    <x v="3"/>
    <x v="3"/>
    <x v="8"/>
    <x v="440"/>
    <x v="0"/>
    <x v="0"/>
    <x v="5"/>
    <x v="2"/>
    <x v="73"/>
  </r>
  <r>
    <x v="112"/>
    <x v="110"/>
    <x v="141"/>
    <x v="0"/>
    <x v="70"/>
    <x v="125"/>
    <x v="125"/>
    <x v="124"/>
    <x v="124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68"/>
  </r>
  <r>
    <x v="113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13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13"/>
    <x v="104"/>
    <x v="131"/>
    <x v="0"/>
    <x v="70"/>
    <x v="115"/>
    <x v="115"/>
    <x v="114"/>
    <x v="114"/>
    <x v="0"/>
    <x v="581"/>
    <x v="591"/>
    <x v="38"/>
    <x v="430"/>
    <x v="94"/>
    <x v="525"/>
    <x v="26"/>
    <x v="2"/>
    <x v="24"/>
    <x v="3"/>
    <x v="3"/>
    <x v="83"/>
    <x v="441"/>
    <x v="0"/>
    <x v="0"/>
    <x v="5"/>
    <x v="2"/>
    <x v="68"/>
  </r>
  <r>
    <x v="113"/>
    <x v="107"/>
    <x v="136"/>
    <x v="0"/>
    <x v="72"/>
    <x v="120"/>
    <x v="120"/>
    <x v="119"/>
    <x v="119"/>
    <x v="0"/>
    <x v="483"/>
    <x v="226"/>
    <x v="72"/>
    <x v="197"/>
    <x v="28"/>
    <x v="346"/>
    <x v="15"/>
    <x v="2"/>
    <x v="14"/>
    <x v="3"/>
    <x v="3"/>
    <x v="15"/>
    <x v="15"/>
    <x v="0"/>
    <x v="0"/>
    <x v="5"/>
    <x v="2"/>
    <x v="70"/>
  </r>
  <r>
    <x v="113"/>
    <x v="109"/>
    <x v="140"/>
    <x v="0"/>
    <x v="75"/>
    <x v="124"/>
    <x v="124"/>
    <x v="123"/>
    <x v="123"/>
    <x v="0"/>
    <x v="30"/>
    <x v="592"/>
    <x v="29"/>
    <x v="30"/>
    <x v="16"/>
    <x v="29"/>
    <x v="15"/>
    <x v="2"/>
    <x v="14"/>
    <x v="3"/>
    <x v="3"/>
    <x v="15"/>
    <x v="15"/>
    <x v="0"/>
    <x v="0"/>
    <x v="5"/>
    <x v="2"/>
    <x v="73"/>
  </r>
  <r>
    <x v="113"/>
    <x v="110"/>
    <x v="141"/>
    <x v="0"/>
    <x v="70"/>
    <x v="125"/>
    <x v="125"/>
    <x v="124"/>
    <x v="1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13"/>
    <x v="111"/>
    <x v="142"/>
    <x v="1"/>
    <x v="46"/>
    <x v="126"/>
    <x v="126"/>
    <x v="125"/>
    <x v="125"/>
    <x v="0"/>
    <x v="582"/>
    <x v="593"/>
    <x v="508"/>
    <x v="431"/>
    <x v="76"/>
    <x v="526"/>
    <x v="161"/>
    <x v="2"/>
    <x v="91"/>
    <x v="3"/>
    <x v="2"/>
    <x v="18"/>
    <x v="442"/>
    <x v="34"/>
    <x v="66"/>
    <x v="1"/>
    <x v="2"/>
    <x v="46"/>
  </r>
  <r>
    <x v="113"/>
    <x v="112"/>
    <x v="143"/>
    <x v="1"/>
    <x v="46"/>
    <x v="127"/>
    <x v="127"/>
    <x v="126"/>
    <x v="126"/>
    <x v="0"/>
    <x v="583"/>
    <x v="594"/>
    <x v="24"/>
    <x v="254"/>
    <x v="50"/>
    <x v="527"/>
    <x v="18"/>
    <x v="2"/>
    <x v="14"/>
    <x v="3"/>
    <x v="3"/>
    <x v="20"/>
    <x v="176"/>
    <x v="0"/>
    <x v="0"/>
    <x v="5"/>
    <x v="11"/>
    <x v="46"/>
  </r>
  <r>
    <x v="113"/>
    <x v="111"/>
    <x v="144"/>
    <x v="1"/>
    <x v="9"/>
    <x v="127"/>
    <x v="127"/>
    <x v="126"/>
    <x v="126"/>
    <x v="0"/>
    <x v="584"/>
    <x v="595"/>
    <x v="509"/>
    <x v="432"/>
    <x v="55"/>
    <x v="528"/>
    <x v="194"/>
    <x v="2"/>
    <x v="14"/>
    <x v="3"/>
    <x v="3"/>
    <x v="259"/>
    <x v="15"/>
    <x v="0"/>
    <x v="0"/>
    <x v="5"/>
    <x v="2"/>
    <x v="9"/>
  </r>
  <r>
    <x v="11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14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14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14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14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14"/>
    <x v="111"/>
    <x v="142"/>
    <x v="1"/>
    <x v="46"/>
    <x v="126"/>
    <x v="126"/>
    <x v="125"/>
    <x v="125"/>
    <x v="0"/>
    <x v="585"/>
    <x v="596"/>
    <x v="510"/>
    <x v="208"/>
    <x v="50"/>
    <x v="529"/>
    <x v="185"/>
    <x v="2"/>
    <x v="87"/>
    <x v="3"/>
    <x v="2"/>
    <x v="4"/>
    <x v="443"/>
    <x v="22"/>
    <x v="67"/>
    <x v="12"/>
    <x v="5"/>
    <x v="46"/>
  </r>
  <r>
    <x v="114"/>
    <x v="111"/>
    <x v="144"/>
    <x v="1"/>
    <x v="9"/>
    <x v="127"/>
    <x v="127"/>
    <x v="126"/>
    <x v="126"/>
    <x v="0"/>
    <x v="586"/>
    <x v="597"/>
    <x v="511"/>
    <x v="433"/>
    <x v="33"/>
    <x v="530"/>
    <x v="63"/>
    <x v="2"/>
    <x v="19"/>
    <x v="3"/>
    <x v="2"/>
    <x v="23"/>
    <x v="444"/>
    <x v="0"/>
    <x v="0"/>
    <x v="10"/>
    <x v="2"/>
    <x v="9"/>
  </r>
  <r>
    <x v="11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15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15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15"/>
    <x v="111"/>
    <x v="142"/>
    <x v="1"/>
    <x v="46"/>
    <x v="126"/>
    <x v="126"/>
    <x v="125"/>
    <x v="125"/>
    <x v="0"/>
    <x v="587"/>
    <x v="598"/>
    <x v="512"/>
    <x v="434"/>
    <x v="50"/>
    <x v="531"/>
    <x v="148"/>
    <x v="2"/>
    <x v="2"/>
    <x v="5"/>
    <x v="3"/>
    <x v="208"/>
    <x v="445"/>
    <x v="12"/>
    <x v="68"/>
    <x v="2"/>
    <x v="5"/>
    <x v="46"/>
  </r>
  <r>
    <x v="115"/>
    <x v="111"/>
    <x v="144"/>
    <x v="1"/>
    <x v="9"/>
    <x v="127"/>
    <x v="127"/>
    <x v="126"/>
    <x v="126"/>
    <x v="0"/>
    <x v="588"/>
    <x v="599"/>
    <x v="513"/>
    <x v="269"/>
    <x v="98"/>
    <x v="532"/>
    <x v="13"/>
    <x v="2"/>
    <x v="42"/>
    <x v="3"/>
    <x v="3"/>
    <x v="30"/>
    <x v="446"/>
    <x v="0"/>
    <x v="0"/>
    <x v="4"/>
    <x v="2"/>
    <x v="9"/>
  </r>
  <r>
    <x v="11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1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16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16"/>
    <x v="111"/>
    <x v="142"/>
    <x v="1"/>
    <x v="46"/>
    <x v="126"/>
    <x v="126"/>
    <x v="125"/>
    <x v="125"/>
    <x v="0"/>
    <x v="589"/>
    <x v="600"/>
    <x v="514"/>
    <x v="435"/>
    <x v="50"/>
    <x v="533"/>
    <x v="9"/>
    <x v="1"/>
    <x v="7"/>
    <x v="5"/>
    <x v="3"/>
    <x v="1"/>
    <x v="447"/>
    <x v="35"/>
    <x v="69"/>
    <x v="7"/>
    <x v="11"/>
    <x v="46"/>
  </r>
  <r>
    <x v="116"/>
    <x v="111"/>
    <x v="144"/>
    <x v="1"/>
    <x v="9"/>
    <x v="127"/>
    <x v="127"/>
    <x v="126"/>
    <x v="126"/>
    <x v="0"/>
    <x v="590"/>
    <x v="601"/>
    <x v="515"/>
    <x v="317"/>
    <x v="20"/>
    <x v="534"/>
    <x v="63"/>
    <x v="2"/>
    <x v="50"/>
    <x v="3"/>
    <x v="3"/>
    <x v="47"/>
    <x v="448"/>
    <x v="0"/>
    <x v="0"/>
    <x v="4"/>
    <x v="2"/>
    <x v="9"/>
  </r>
  <r>
    <x v="117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17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117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17"/>
    <x v="111"/>
    <x v="142"/>
    <x v="1"/>
    <x v="46"/>
    <x v="126"/>
    <x v="126"/>
    <x v="125"/>
    <x v="125"/>
    <x v="0"/>
    <x v="591"/>
    <x v="602"/>
    <x v="516"/>
    <x v="321"/>
    <x v="50"/>
    <x v="535"/>
    <x v="161"/>
    <x v="2"/>
    <x v="4"/>
    <x v="11"/>
    <x v="3"/>
    <x v="48"/>
    <x v="449"/>
    <x v="26"/>
    <x v="70"/>
    <x v="12"/>
    <x v="11"/>
    <x v="46"/>
  </r>
  <r>
    <x v="117"/>
    <x v="111"/>
    <x v="144"/>
    <x v="1"/>
    <x v="9"/>
    <x v="127"/>
    <x v="127"/>
    <x v="126"/>
    <x v="126"/>
    <x v="0"/>
    <x v="592"/>
    <x v="603"/>
    <x v="517"/>
    <x v="291"/>
    <x v="83"/>
    <x v="369"/>
    <x v="41"/>
    <x v="2"/>
    <x v="42"/>
    <x v="3"/>
    <x v="3"/>
    <x v="8"/>
    <x v="450"/>
    <x v="0"/>
    <x v="0"/>
    <x v="5"/>
    <x v="12"/>
    <x v="9"/>
  </r>
  <r>
    <x v="118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11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18"/>
    <x v="111"/>
    <x v="142"/>
    <x v="1"/>
    <x v="46"/>
    <x v="126"/>
    <x v="126"/>
    <x v="125"/>
    <x v="125"/>
    <x v="0"/>
    <x v="593"/>
    <x v="604"/>
    <x v="518"/>
    <x v="436"/>
    <x v="50"/>
    <x v="536"/>
    <x v="43"/>
    <x v="2"/>
    <x v="22"/>
    <x v="3"/>
    <x v="2"/>
    <x v="24"/>
    <x v="451"/>
    <x v="36"/>
    <x v="16"/>
    <x v="4"/>
    <x v="2"/>
    <x v="46"/>
  </r>
  <r>
    <x v="118"/>
    <x v="111"/>
    <x v="144"/>
    <x v="1"/>
    <x v="9"/>
    <x v="127"/>
    <x v="127"/>
    <x v="126"/>
    <x v="126"/>
    <x v="0"/>
    <x v="594"/>
    <x v="605"/>
    <x v="519"/>
    <x v="437"/>
    <x v="17"/>
    <x v="417"/>
    <x v="13"/>
    <x v="2"/>
    <x v="24"/>
    <x v="3"/>
    <x v="3"/>
    <x v="68"/>
    <x v="452"/>
    <x v="0"/>
    <x v="0"/>
    <x v="4"/>
    <x v="2"/>
    <x v="9"/>
  </r>
  <r>
    <x v="119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</r>
  <r>
    <x v="119"/>
    <x v="102"/>
    <x v="130"/>
    <x v="0"/>
    <x v="69"/>
    <x v="114"/>
    <x v="114"/>
    <x v="113"/>
    <x v="11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7"/>
  </r>
  <r>
    <x v="119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19"/>
    <x v="111"/>
    <x v="142"/>
    <x v="1"/>
    <x v="46"/>
    <x v="126"/>
    <x v="126"/>
    <x v="125"/>
    <x v="125"/>
    <x v="0"/>
    <x v="595"/>
    <x v="606"/>
    <x v="520"/>
    <x v="438"/>
    <x v="50"/>
    <x v="537"/>
    <x v="80"/>
    <x v="2"/>
    <x v="2"/>
    <x v="3"/>
    <x v="3"/>
    <x v="69"/>
    <x v="453"/>
    <x v="19"/>
    <x v="71"/>
    <x v="39"/>
    <x v="11"/>
    <x v="46"/>
  </r>
  <r>
    <x v="119"/>
    <x v="111"/>
    <x v="144"/>
    <x v="1"/>
    <x v="9"/>
    <x v="127"/>
    <x v="127"/>
    <x v="126"/>
    <x v="126"/>
    <x v="0"/>
    <x v="596"/>
    <x v="607"/>
    <x v="521"/>
    <x v="439"/>
    <x v="24"/>
    <x v="538"/>
    <x v="13"/>
    <x v="2"/>
    <x v="42"/>
    <x v="5"/>
    <x v="3"/>
    <x v="26"/>
    <x v="454"/>
    <x v="0"/>
    <x v="0"/>
    <x v="1"/>
    <x v="11"/>
    <x v="9"/>
  </r>
  <r>
    <x v="120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20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20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</r>
  <r>
    <x v="120"/>
    <x v="111"/>
    <x v="142"/>
    <x v="1"/>
    <x v="46"/>
    <x v="126"/>
    <x v="126"/>
    <x v="125"/>
    <x v="125"/>
    <x v="0"/>
    <x v="597"/>
    <x v="608"/>
    <x v="522"/>
    <x v="77"/>
    <x v="76"/>
    <x v="539"/>
    <x v="48"/>
    <x v="2"/>
    <x v="90"/>
    <x v="3"/>
    <x v="2"/>
    <x v="87"/>
    <x v="455"/>
    <x v="30"/>
    <x v="72"/>
    <x v="12"/>
    <x v="12"/>
    <x v="46"/>
  </r>
  <r>
    <x v="120"/>
    <x v="111"/>
    <x v="144"/>
    <x v="1"/>
    <x v="9"/>
    <x v="127"/>
    <x v="127"/>
    <x v="126"/>
    <x v="126"/>
    <x v="0"/>
    <x v="598"/>
    <x v="609"/>
    <x v="523"/>
    <x v="440"/>
    <x v="73"/>
    <x v="185"/>
    <x v="21"/>
    <x v="2"/>
    <x v="24"/>
    <x v="3"/>
    <x v="3"/>
    <x v="8"/>
    <x v="456"/>
    <x v="0"/>
    <x v="0"/>
    <x v="5"/>
    <x v="2"/>
    <x v="9"/>
  </r>
  <r>
    <x v="121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2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21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</r>
  <r>
    <x v="121"/>
    <x v="107"/>
    <x v="136"/>
    <x v="0"/>
    <x v="72"/>
    <x v="120"/>
    <x v="120"/>
    <x v="119"/>
    <x v="1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0"/>
  </r>
  <r>
    <x v="121"/>
    <x v="111"/>
    <x v="142"/>
    <x v="1"/>
    <x v="46"/>
    <x v="126"/>
    <x v="126"/>
    <x v="125"/>
    <x v="125"/>
    <x v="0"/>
    <x v="599"/>
    <x v="610"/>
    <x v="524"/>
    <x v="268"/>
    <x v="35"/>
    <x v="540"/>
    <x v="54"/>
    <x v="1"/>
    <x v="91"/>
    <x v="5"/>
    <x v="2"/>
    <x v="69"/>
    <x v="457"/>
    <x v="37"/>
    <x v="73"/>
    <x v="7"/>
    <x v="12"/>
    <x v="46"/>
  </r>
  <r>
    <x v="121"/>
    <x v="111"/>
    <x v="144"/>
    <x v="1"/>
    <x v="9"/>
    <x v="127"/>
    <x v="127"/>
    <x v="126"/>
    <x v="126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"/>
  </r>
  <r>
    <x v="12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22"/>
    <x v="104"/>
    <x v="131"/>
    <x v="0"/>
    <x v="70"/>
    <x v="115"/>
    <x v="115"/>
    <x v="114"/>
    <x v="114"/>
    <x v="0"/>
    <x v="600"/>
    <x v="611"/>
    <x v="471"/>
    <x v="421"/>
    <x v="71"/>
    <x v="541"/>
    <x v="195"/>
    <x v="3"/>
    <x v="55"/>
    <x v="3"/>
    <x v="4"/>
    <x v="260"/>
    <x v="20"/>
    <x v="0"/>
    <x v="0"/>
    <x v="2"/>
    <x v="6"/>
    <x v="68"/>
  </r>
  <r>
    <x v="122"/>
    <x v="111"/>
    <x v="142"/>
    <x v="1"/>
    <x v="46"/>
    <x v="126"/>
    <x v="126"/>
    <x v="125"/>
    <x v="125"/>
    <x v="0"/>
    <x v="601"/>
    <x v="612"/>
    <x v="525"/>
    <x v="309"/>
    <x v="35"/>
    <x v="76"/>
    <x v="23"/>
    <x v="2"/>
    <x v="50"/>
    <x v="3"/>
    <x v="3"/>
    <x v="93"/>
    <x v="458"/>
    <x v="4"/>
    <x v="74"/>
    <x v="4"/>
    <x v="2"/>
    <x v="46"/>
  </r>
  <r>
    <x v="123"/>
    <x v="104"/>
    <x v="131"/>
    <x v="0"/>
    <x v="70"/>
    <x v="115"/>
    <x v="115"/>
    <x v="114"/>
    <x v="114"/>
    <x v="0"/>
    <x v="602"/>
    <x v="613"/>
    <x v="301"/>
    <x v="441"/>
    <x v="76"/>
    <x v="542"/>
    <x v="13"/>
    <x v="2"/>
    <x v="14"/>
    <x v="3"/>
    <x v="3"/>
    <x v="8"/>
    <x v="263"/>
    <x v="0"/>
    <x v="0"/>
    <x v="5"/>
    <x v="2"/>
    <x v="68"/>
  </r>
  <r>
    <x v="124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</r>
  <r>
    <x v="124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24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124"/>
    <x v="113"/>
    <x v="145"/>
    <x v="0"/>
    <x v="76"/>
    <x v="128"/>
    <x v="128"/>
    <x v="127"/>
    <x v="127"/>
    <x v="0"/>
    <x v="603"/>
    <x v="614"/>
    <x v="526"/>
    <x v="442"/>
    <x v="99"/>
    <x v="543"/>
    <x v="48"/>
    <x v="2"/>
    <x v="4"/>
    <x v="3"/>
    <x v="3"/>
    <x v="57"/>
    <x v="373"/>
    <x v="0"/>
    <x v="0"/>
    <x v="2"/>
    <x v="2"/>
    <x v="74"/>
  </r>
  <r>
    <x v="124"/>
    <x v="113"/>
    <x v="146"/>
    <x v="0"/>
    <x v="77"/>
    <x v="129"/>
    <x v="129"/>
    <x v="128"/>
    <x v="128"/>
    <x v="0"/>
    <x v="604"/>
    <x v="615"/>
    <x v="527"/>
    <x v="284"/>
    <x v="15"/>
    <x v="544"/>
    <x v="112"/>
    <x v="1"/>
    <x v="91"/>
    <x v="3"/>
    <x v="2"/>
    <x v="261"/>
    <x v="459"/>
    <x v="0"/>
    <x v="0"/>
    <x v="10"/>
    <x v="2"/>
    <x v="75"/>
  </r>
  <r>
    <x v="12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2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125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125"/>
    <x v="113"/>
    <x v="145"/>
    <x v="0"/>
    <x v="76"/>
    <x v="128"/>
    <x v="128"/>
    <x v="127"/>
    <x v="127"/>
    <x v="0"/>
    <x v="605"/>
    <x v="616"/>
    <x v="528"/>
    <x v="367"/>
    <x v="83"/>
    <x v="545"/>
    <x v="125"/>
    <x v="2"/>
    <x v="42"/>
    <x v="3"/>
    <x v="3"/>
    <x v="26"/>
    <x v="460"/>
    <x v="0"/>
    <x v="0"/>
    <x v="5"/>
    <x v="2"/>
    <x v="74"/>
  </r>
  <r>
    <x v="125"/>
    <x v="113"/>
    <x v="146"/>
    <x v="0"/>
    <x v="77"/>
    <x v="129"/>
    <x v="129"/>
    <x v="128"/>
    <x v="128"/>
    <x v="0"/>
    <x v="606"/>
    <x v="617"/>
    <x v="529"/>
    <x v="112"/>
    <x v="48"/>
    <x v="546"/>
    <x v="71"/>
    <x v="2"/>
    <x v="22"/>
    <x v="3"/>
    <x v="3"/>
    <x v="24"/>
    <x v="461"/>
    <x v="0"/>
    <x v="0"/>
    <x v="7"/>
    <x v="5"/>
    <x v="75"/>
  </r>
  <r>
    <x v="12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26"/>
    <x v="113"/>
    <x v="145"/>
    <x v="0"/>
    <x v="76"/>
    <x v="128"/>
    <x v="128"/>
    <x v="127"/>
    <x v="127"/>
    <x v="0"/>
    <x v="607"/>
    <x v="618"/>
    <x v="32"/>
    <x v="377"/>
    <x v="83"/>
    <x v="547"/>
    <x v="8"/>
    <x v="2"/>
    <x v="24"/>
    <x v="3"/>
    <x v="3"/>
    <x v="70"/>
    <x v="462"/>
    <x v="0"/>
    <x v="0"/>
    <x v="5"/>
    <x v="2"/>
    <x v="74"/>
  </r>
  <r>
    <x v="126"/>
    <x v="113"/>
    <x v="146"/>
    <x v="0"/>
    <x v="77"/>
    <x v="129"/>
    <x v="129"/>
    <x v="128"/>
    <x v="128"/>
    <x v="0"/>
    <x v="608"/>
    <x v="619"/>
    <x v="530"/>
    <x v="390"/>
    <x v="3"/>
    <x v="548"/>
    <x v="54"/>
    <x v="1"/>
    <x v="22"/>
    <x v="3"/>
    <x v="2"/>
    <x v="24"/>
    <x v="461"/>
    <x v="0"/>
    <x v="0"/>
    <x v="2"/>
    <x v="2"/>
    <x v="75"/>
  </r>
  <r>
    <x v="126"/>
    <x v="114"/>
    <x v="147"/>
    <x v="0"/>
    <x v="51"/>
    <x v="130"/>
    <x v="130"/>
    <x v="129"/>
    <x v="129"/>
    <x v="0"/>
    <x v="609"/>
    <x v="620"/>
    <x v="531"/>
    <x v="385"/>
    <x v="7"/>
    <x v="549"/>
    <x v="1"/>
    <x v="2"/>
    <x v="42"/>
    <x v="3"/>
    <x v="23"/>
    <x v="7"/>
    <x v="463"/>
    <x v="3"/>
    <x v="35"/>
    <x v="2"/>
    <x v="5"/>
    <x v="49"/>
  </r>
  <r>
    <x v="127"/>
    <x v="114"/>
    <x v="147"/>
    <x v="0"/>
    <x v="51"/>
    <x v="130"/>
    <x v="130"/>
    <x v="129"/>
    <x v="129"/>
    <x v="0"/>
    <x v="610"/>
    <x v="621"/>
    <x v="532"/>
    <x v="309"/>
    <x v="10"/>
    <x v="550"/>
    <x v="8"/>
    <x v="2"/>
    <x v="14"/>
    <x v="3"/>
    <x v="3"/>
    <x v="27"/>
    <x v="464"/>
    <x v="0"/>
    <x v="0"/>
    <x v="5"/>
    <x v="2"/>
    <x v="49"/>
  </r>
  <r>
    <x v="127"/>
    <x v="115"/>
    <x v="148"/>
    <x v="0"/>
    <x v="73"/>
    <x v="131"/>
    <x v="131"/>
    <x v="130"/>
    <x v="130"/>
    <x v="0"/>
    <x v="611"/>
    <x v="622"/>
    <x v="533"/>
    <x v="435"/>
    <x v="55"/>
    <x v="359"/>
    <x v="115"/>
    <x v="0"/>
    <x v="137"/>
    <x v="5"/>
    <x v="8"/>
    <x v="262"/>
    <x v="291"/>
    <x v="0"/>
    <x v="0"/>
    <x v="18"/>
    <x v="1"/>
    <x v="71"/>
  </r>
  <r>
    <x v="127"/>
    <x v="115"/>
    <x v="149"/>
    <x v="0"/>
    <x v="7"/>
    <x v="132"/>
    <x v="132"/>
    <x v="131"/>
    <x v="131"/>
    <x v="0"/>
    <x v="164"/>
    <x v="623"/>
    <x v="70"/>
    <x v="443"/>
    <x v="42"/>
    <x v="551"/>
    <x v="15"/>
    <x v="2"/>
    <x v="14"/>
    <x v="3"/>
    <x v="3"/>
    <x v="15"/>
    <x v="15"/>
    <x v="0"/>
    <x v="0"/>
    <x v="5"/>
    <x v="2"/>
    <x v="7"/>
  </r>
  <r>
    <x v="128"/>
    <x v="115"/>
    <x v="148"/>
    <x v="0"/>
    <x v="73"/>
    <x v="131"/>
    <x v="131"/>
    <x v="130"/>
    <x v="130"/>
    <x v="0"/>
    <x v="612"/>
    <x v="624"/>
    <x v="534"/>
    <x v="444"/>
    <x v="36"/>
    <x v="61"/>
    <x v="196"/>
    <x v="1"/>
    <x v="138"/>
    <x v="3"/>
    <x v="8"/>
    <x v="263"/>
    <x v="339"/>
    <x v="0"/>
    <x v="0"/>
    <x v="41"/>
    <x v="1"/>
    <x v="71"/>
  </r>
  <r>
    <x v="128"/>
    <x v="115"/>
    <x v="149"/>
    <x v="0"/>
    <x v="7"/>
    <x v="132"/>
    <x v="132"/>
    <x v="131"/>
    <x v="131"/>
    <x v="0"/>
    <x v="613"/>
    <x v="625"/>
    <x v="535"/>
    <x v="424"/>
    <x v="37"/>
    <x v="552"/>
    <x v="197"/>
    <x v="1"/>
    <x v="32"/>
    <x v="10"/>
    <x v="8"/>
    <x v="29"/>
    <x v="158"/>
    <x v="0"/>
    <x v="0"/>
    <x v="5"/>
    <x v="6"/>
    <x v="7"/>
  </r>
  <r>
    <x v="129"/>
    <x v="115"/>
    <x v="148"/>
    <x v="0"/>
    <x v="73"/>
    <x v="131"/>
    <x v="131"/>
    <x v="130"/>
    <x v="130"/>
    <x v="0"/>
    <x v="614"/>
    <x v="626"/>
    <x v="536"/>
    <x v="445"/>
    <x v="7"/>
    <x v="66"/>
    <x v="198"/>
    <x v="7"/>
    <x v="139"/>
    <x v="5"/>
    <x v="13"/>
    <x v="264"/>
    <x v="279"/>
    <x v="0"/>
    <x v="0"/>
    <x v="21"/>
    <x v="1"/>
    <x v="71"/>
  </r>
  <r>
    <x v="129"/>
    <x v="115"/>
    <x v="149"/>
    <x v="0"/>
    <x v="7"/>
    <x v="132"/>
    <x v="132"/>
    <x v="131"/>
    <x v="131"/>
    <x v="0"/>
    <x v="615"/>
    <x v="627"/>
    <x v="537"/>
    <x v="19"/>
    <x v="8"/>
    <x v="553"/>
    <x v="60"/>
    <x v="2"/>
    <x v="28"/>
    <x v="14"/>
    <x v="23"/>
    <x v="28"/>
    <x v="465"/>
    <x v="0"/>
    <x v="0"/>
    <x v="2"/>
    <x v="5"/>
    <x v="7"/>
  </r>
  <r>
    <x v="130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30"/>
    <x v="115"/>
    <x v="148"/>
    <x v="0"/>
    <x v="73"/>
    <x v="131"/>
    <x v="131"/>
    <x v="130"/>
    <x v="130"/>
    <x v="0"/>
    <x v="616"/>
    <x v="628"/>
    <x v="518"/>
    <x v="446"/>
    <x v="55"/>
    <x v="554"/>
    <x v="94"/>
    <x v="2"/>
    <x v="13"/>
    <x v="1"/>
    <x v="2"/>
    <x v="265"/>
    <x v="114"/>
    <x v="0"/>
    <x v="0"/>
    <x v="10"/>
    <x v="11"/>
    <x v="71"/>
  </r>
  <r>
    <x v="130"/>
    <x v="115"/>
    <x v="149"/>
    <x v="0"/>
    <x v="7"/>
    <x v="132"/>
    <x v="132"/>
    <x v="131"/>
    <x v="1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"/>
  </r>
  <r>
    <x v="130"/>
    <x v="116"/>
    <x v="150"/>
    <x v="0"/>
    <x v="73"/>
    <x v="133"/>
    <x v="133"/>
    <x v="132"/>
    <x v="132"/>
    <x v="0"/>
    <x v="617"/>
    <x v="629"/>
    <x v="538"/>
    <x v="447"/>
    <x v="81"/>
    <x v="555"/>
    <x v="199"/>
    <x v="7"/>
    <x v="140"/>
    <x v="11"/>
    <x v="13"/>
    <x v="215"/>
    <x v="135"/>
    <x v="0"/>
    <x v="0"/>
    <x v="20"/>
    <x v="25"/>
    <x v="71"/>
  </r>
  <r>
    <x v="131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31"/>
    <x v="115"/>
    <x v="148"/>
    <x v="0"/>
    <x v="73"/>
    <x v="131"/>
    <x v="131"/>
    <x v="130"/>
    <x v="130"/>
    <x v="0"/>
    <x v="618"/>
    <x v="630"/>
    <x v="539"/>
    <x v="448"/>
    <x v="89"/>
    <x v="349"/>
    <x v="18"/>
    <x v="2"/>
    <x v="24"/>
    <x v="3"/>
    <x v="3"/>
    <x v="27"/>
    <x v="466"/>
    <x v="0"/>
    <x v="0"/>
    <x v="5"/>
    <x v="2"/>
    <x v="71"/>
  </r>
  <r>
    <x v="131"/>
    <x v="116"/>
    <x v="150"/>
    <x v="0"/>
    <x v="73"/>
    <x v="133"/>
    <x v="133"/>
    <x v="132"/>
    <x v="132"/>
    <x v="0"/>
    <x v="619"/>
    <x v="631"/>
    <x v="540"/>
    <x v="449"/>
    <x v="100"/>
    <x v="556"/>
    <x v="1"/>
    <x v="0"/>
    <x v="7"/>
    <x v="3"/>
    <x v="4"/>
    <x v="69"/>
    <x v="357"/>
    <x v="0"/>
    <x v="0"/>
    <x v="1"/>
    <x v="11"/>
    <x v="71"/>
  </r>
  <r>
    <x v="131"/>
    <x v="117"/>
    <x v="151"/>
    <x v="0"/>
    <x v="78"/>
    <x v="134"/>
    <x v="134"/>
    <x v="133"/>
    <x v="133"/>
    <x v="0"/>
    <x v="620"/>
    <x v="632"/>
    <x v="541"/>
    <x v="450"/>
    <x v="77"/>
    <x v="557"/>
    <x v="26"/>
    <x v="2"/>
    <x v="14"/>
    <x v="3"/>
    <x v="2"/>
    <x v="83"/>
    <x v="467"/>
    <x v="0"/>
    <x v="0"/>
    <x v="5"/>
    <x v="2"/>
    <x v="76"/>
  </r>
  <r>
    <x v="131"/>
    <x v="117"/>
    <x v="152"/>
    <x v="0"/>
    <x v="79"/>
    <x v="135"/>
    <x v="135"/>
    <x v="134"/>
    <x v="134"/>
    <x v="0"/>
    <x v="621"/>
    <x v="633"/>
    <x v="249"/>
    <x v="451"/>
    <x v="19"/>
    <x v="558"/>
    <x v="15"/>
    <x v="2"/>
    <x v="14"/>
    <x v="3"/>
    <x v="3"/>
    <x v="15"/>
    <x v="15"/>
    <x v="0"/>
    <x v="0"/>
    <x v="5"/>
    <x v="2"/>
    <x v="77"/>
  </r>
  <r>
    <x v="131"/>
    <x v="117"/>
    <x v="153"/>
    <x v="0"/>
    <x v="9"/>
    <x v="136"/>
    <x v="136"/>
    <x v="135"/>
    <x v="135"/>
    <x v="0"/>
    <x v="622"/>
    <x v="634"/>
    <x v="542"/>
    <x v="452"/>
    <x v="73"/>
    <x v="559"/>
    <x v="125"/>
    <x v="2"/>
    <x v="14"/>
    <x v="11"/>
    <x v="3"/>
    <x v="30"/>
    <x v="468"/>
    <x v="0"/>
    <x v="0"/>
    <x v="2"/>
    <x v="2"/>
    <x v="9"/>
  </r>
  <r>
    <x v="131"/>
    <x v="117"/>
    <x v="154"/>
    <x v="0"/>
    <x v="9"/>
    <x v="137"/>
    <x v="137"/>
    <x v="136"/>
    <x v="136"/>
    <x v="0"/>
    <x v="623"/>
    <x v="635"/>
    <x v="543"/>
    <x v="46"/>
    <x v="81"/>
    <x v="56"/>
    <x v="15"/>
    <x v="2"/>
    <x v="14"/>
    <x v="3"/>
    <x v="3"/>
    <x v="15"/>
    <x v="15"/>
    <x v="0"/>
    <x v="0"/>
    <x v="5"/>
    <x v="2"/>
    <x v="9"/>
  </r>
  <r>
    <x v="131"/>
    <x v="118"/>
    <x v="155"/>
    <x v="0"/>
    <x v="73"/>
    <x v="138"/>
    <x v="138"/>
    <x v="137"/>
    <x v="137"/>
    <x v="0"/>
    <x v="30"/>
    <x v="636"/>
    <x v="29"/>
    <x v="30"/>
    <x v="16"/>
    <x v="29"/>
    <x v="15"/>
    <x v="2"/>
    <x v="14"/>
    <x v="3"/>
    <x v="3"/>
    <x v="15"/>
    <x v="15"/>
    <x v="0"/>
    <x v="0"/>
    <x v="5"/>
    <x v="2"/>
    <x v="71"/>
  </r>
  <r>
    <x v="131"/>
    <x v="119"/>
    <x v="156"/>
    <x v="0"/>
    <x v="79"/>
    <x v="139"/>
    <x v="139"/>
    <x v="138"/>
    <x v="138"/>
    <x v="0"/>
    <x v="624"/>
    <x v="637"/>
    <x v="544"/>
    <x v="318"/>
    <x v="49"/>
    <x v="560"/>
    <x v="18"/>
    <x v="2"/>
    <x v="14"/>
    <x v="3"/>
    <x v="3"/>
    <x v="20"/>
    <x v="469"/>
    <x v="0"/>
    <x v="0"/>
    <x v="5"/>
    <x v="2"/>
    <x v="77"/>
  </r>
  <r>
    <x v="13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32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</r>
  <r>
    <x v="132"/>
    <x v="116"/>
    <x v="150"/>
    <x v="0"/>
    <x v="73"/>
    <x v="133"/>
    <x v="133"/>
    <x v="132"/>
    <x v="132"/>
    <x v="0"/>
    <x v="625"/>
    <x v="638"/>
    <x v="545"/>
    <x v="413"/>
    <x v="55"/>
    <x v="561"/>
    <x v="88"/>
    <x v="0"/>
    <x v="26"/>
    <x v="3"/>
    <x v="23"/>
    <x v="266"/>
    <x v="470"/>
    <x v="0"/>
    <x v="0"/>
    <x v="14"/>
    <x v="5"/>
    <x v="71"/>
  </r>
  <r>
    <x v="132"/>
    <x v="117"/>
    <x v="151"/>
    <x v="0"/>
    <x v="78"/>
    <x v="134"/>
    <x v="134"/>
    <x v="133"/>
    <x v="133"/>
    <x v="0"/>
    <x v="626"/>
    <x v="639"/>
    <x v="32"/>
    <x v="453"/>
    <x v="47"/>
    <x v="562"/>
    <x v="8"/>
    <x v="2"/>
    <x v="14"/>
    <x v="3"/>
    <x v="3"/>
    <x v="27"/>
    <x v="281"/>
    <x v="0"/>
    <x v="0"/>
    <x v="5"/>
    <x v="2"/>
    <x v="76"/>
  </r>
  <r>
    <x v="132"/>
    <x v="117"/>
    <x v="153"/>
    <x v="0"/>
    <x v="9"/>
    <x v="136"/>
    <x v="136"/>
    <x v="135"/>
    <x v="135"/>
    <x v="0"/>
    <x v="627"/>
    <x v="640"/>
    <x v="546"/>
    <x v="210"/>
    <x v="0"/>
    <x v="60"/>
    <x v="7"/>
    <x v="2"/>
    <x v="20"/>
    <x v="56"/>
    <x v="3"/>
    <x v="13"/>
    <x v="471"/>
    <x v="0"/>
    <x v="0"/>
    <x v="1"/>
    <x v="2"/>
    <x v="9"/>
  </r>
  <r>
    <x v="132"/>
    <x v="117"/>
    <x v="154"/>
    <x v="0"/>
    <x v="9"/>
    <x v="137"/>
    <x v="137"/>
    <x v="136"/>
    <x v="136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"/>
  </r>
  <r>
    <x v="132"/>
    <x v="118"/>
    <x v="155"/>
    <x v="0"/>
    <x v="73"/>
    <x v="138"/>
    <x v="138"/>
    <x v="137"/>
    <x v="137"/>
    <x v="0"/>
    <x v="628"/>
    <x v="641"/>
    <x v="547"/>
    <x v="454"/>
    <x v="43"/>
    <x v="563"/>
    <x v="112"/>
    <x v="2"/>
    <x v="31"/>
    <x v="3"/>
    <x v="2"/>
    <x v="64"/>
    <x v="472"/>
    <x v="0"/>
    <x v="0"/>
    <x v="9"/>
    <x v="12"/>
    <x v="71"/>
  </r>
  <r>
    <x v="132"/>
    <x v="119"/>
    <x v="156"/>
    <x v="0"/>
    <x v="79"/>
    <x v="139"/>
    <x v="139"/>
    <x v="138"/>
    <x v="138"/>
    <x v="0"/>
    <x v="629"/>
    <x v="642"/>
    <x v="548"/>
    <x v="197"/>
    <x v="52"/>
    <x v="561"/>
    <x v="63"/>
    <x v="1"/>
    <x v="50"/>
    <x v="3"/>
    <x v="3"/>
    <x v="13"/>
    <x v="473"/>
    <x v="0"/>
    <x v="0"/>
    <x v="4"/>
    <x v="2"/>
    <x v="77"/>
  </r>
  <r>
    <x v="132"/>
    <x v="120"/>
    <x v="157"/>
    <x v="0"/>
    <x v="80"/>
    <x v="140"/>
    <x v="140"/>
    <x v="139"/>
    <x v="139"/>
    <x v="0"/>
    <x v="630"/>
    <x v="643"/>
    <x v="549"/>
    <x v="455"/>
    <x v="81"/>
    <x v="564"/>
    <x v="161"/>
    <x v="1"/>
    <x v="4"/>
    <x v="11"/>
    <x v="2"/>
    <x v="1"/>
    <x v="145"/>
    <x v="0"/>
    <x v="0"/>
    <x v="2"/>
    <x v="2"/>
    <x v="78"/>
  </r>
  <r>
    <x v="132"/>
    <x v="120"/>
    <x v="158"/>
    <x v="0"/>
    <x v="81"/>
    <x v="141"/>
    <x v="141"/>
    <x v="140"/>
    <x v="140"/>
    <x v="0"/>
    <x v="631"/>
    <x v="644"/>
    <x v="550"/>
    <x v="456"/>
    <x v="76"/>
    <x v="565"/>
    <x v="99"/>
    <x v="2"/>
    <x v="21"/>
    <x v="0"/>
    <x v="2"/>
    <x v="32"/>
    <x v="186"/>
    <x v="0"/>
    <x v="0"/>
    <x v="12"/>
    <x v="12"/>
    <x v="79"/>
  </r>
  <r>
    <x v="132"/>
    <x v="120"/>
    <x v="159"/>
    <x v="0"/>
    <x v="82"/>
    <x v="142"/>
    <x v="142"/>
    <x v="141"/>
    <x v="141"/>
    <x v="0"/>
    <x v="632"/>
    <x v="645"/>
    <x v="551"/>
    <x v="457"/>
    <x v="3"/>
    <x v="566"/>
    <x v="149"/>
    <x v="0"/>
    <x v="15"/>
    <x v="4"/>
    <x v="1"/>
    <x v="5"/>
    <x v="292"/>
    <x v="0"/>
    <x v="0"/>
    <x v="0"/>
    <x v="43"/>
    <x v="80"/>
  </r>
  <r>
    <x v="133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</r>
  <r>
    <x v="133"/>
    <x v="116"/>
    <x v="150"/>
    <x v="0"/>
    <x v="73"/>
    <x v="133"/>
    <x v="133"/>
    <x v="132"/>
    <x v="132"/>
    <x v="0"/>
    <x v="633"/>
    <x v="646"/>
    <x v="552"/>
    <x v="294"/>
    <x v="76"/>
    <x v="359"/>
    <x v="200"/>
    <x v="2"/>
    <x v="141"/>
    <x v="5"/>
    <x v="0"/>
    <x v="267"/>
    <x v="474"/>
    <x v="0"/>
    <x v="0"/>
    <x v="0"/>
    <x v="11"/>
    <x v="71"/>
  </r>
  <r>
    <x v="133"/>
    <x v="120"/>
    <x v="157"/>
    <x v="0"/>
    <x v="80"/>
    <x v="140"/>
    <x v="140"/>
    <x v="139"/>
    <x v="139"/>
    <x v="0"/>
    <x v="632"/>
    <x v="647"/>
    <x v="553"/>
    <x v="190"/>
    <x v="12"/>
    <x v="567"/>
    <x v="33"/>
    <x v="2"/>
    <x v="73"/>
    <x v="51"/>
    <x v="2"/>
    <x v="33"/>
    <x v="475"/>
    <x v="0"/>
    <x v="0"/>
    <x v="1"/>
    <x v="11"/>
    <x v="78"/>
  </r>
  <r>
    <x v="133"/>
    <x v="120"/>
    <x v="158"/>
    <x v="0"/>
    <x v="81"/>
    <x v="141"/>
    <x v="141"/>
    <x v="140"/>
    <x v="140"/>
    <x v="0"/>
    <x v="634"/>
    <x v="648"/>
    <x v="554"/>
    <x v="458"/>
    <x v="34"/>
    <x v="568"/>
    <x v="96"/>
    <x v="2"/>
    <x v="16"/>
    <x v="0"/>
    <x v="3"/>
    <x v="122"/>
    <x v="476"/>
    <x v="0"/>
    <x v="0"/>
    <x v="12"/>
    <x v="2"/>
    <x v="79"/>
  </r>
  <r>
    <x v="133"/>
    <x v="120"/>
    <x v="159"/>
    <x v="0"/>
    <x v="82"/>
    <x v="142"/>
    <x v="142"/>
    <x v="141"/>
    <x v="141"/>
    <x v="0"/>
    <x v="635"/>
    <x v="649"/>
    <x v="555"/>
    <x v="262"/>
    <x v="0"/>
    <x v="569"/>
    <x v="114"/>
    <x v="2"/>
    <x v="142"/>
    <x v="1"/>
    <x v="0"/>
    <x v="266"/>
    <x v="152"/>
    <x v="0"/>
    <x v="0"/>
    <x v="42"/>
    <x v="0"/>
    <x v="80"/>
  </r>
  <r>
    <x v="133"/>
    <x v="121"/>
    <x v="160"/>
    <x v="0"/>
    <x v="79"/>
    <x v="143"/>
    <x v="143"/>
    <x v="142"/>
    <x v="142"/>
    <x v="0"/>
    <x v="636"/>
    <x v="650"/>
    <x v="556"/>
    <x v="459"/>
    <x v="41"/>
    <x v="570"/>
    <x v="13"/>
    <x v="2"/>
    <x v="19"/>
    <x v="3"/>
    <x v="3"/>
    <x v="26"/>
    <x v="477"/>
    <x v="0"/>
    <x v="0"/>
    <x v="7"/>
    <x v="5"/>
    <x v="77"/>
  </r>
  <r>
    <x v="133"/>
    <x v="121"/>
    <x v="161"/>
    <x v="0"/>
    <x v="83"/>
    <x v="144"/>
    <x v="144"/>
    <x v="143"/>
    <x v="143"/>
    <x v="0"/>
    <x v="632"/>
    <x v="466"/>
    <x v="557"/>
    <x v="397"/>
    <x v="26"/>
    <x v="571"/>
    <x v="176"/>
    <x v="2"/>
    <x v="32"/>
    <x v="9"/>
    <x v="2"/>
    <x v="268"/>
    <x v="478"/>
    <x v="0"/>
    <x v="0"/>
    <x v="2"/>
    <x v="2"/>
    <x v="81"/>
  </r>
  <r>
    <x v="134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134"/>
    <x v="116"/>
    <x v="150"/>
    <x v="0"/>
    <x v="73"/>
    <x v="133"/>
    <x v="133"/>
    <x v="132"/>
    <x v="132"/>
    <x v="0"/>
    <x v="637"/>
    <x v="651"/>
    <x v="558"/>
    <x v="460"/>
    <x v="20"/>
    <x v="572"/>
    <x v="201"/>
    <x v="1"/>
    <x v="125"/>
    <x v="11"/>
    <x v="4"/>
    <x v="269"/>
    <x v="479"/>
    <x v="0"/>
    <x v="0"/>
    <x v="0"/>
    <x v="6"/>
    <x v="71"/>
  </r>
  <r>
    <x v="134"/>
    <x v="120"/>
    <x v="157"/>
    <x v="0"/>
    <x v="80"/>
    <x v="140"/>
    <x v="140"/>
    <x v="139"/>
    <x v="139"/>
    <x v="0"/>
    <x v="630"/>
    <x v="652"/>
    <x v="559"/>
    <x v="461"/>
    <x v="10"/>
    <x v="573"/>
    <x v="92"/>
    <x v="2"/>
    <x v="91"/>
    <x v="1"/>
    <x v="2"/>
    <x v="244"/>
    <x v="480"/>
    <x v="0"/>
    <x v="0"/>
    <x v="2"/>
    <x v="5"/>
    <x v="78"/>
  </r>
  <r>
    <x v="134"/>
    <x v="120"/>
    <x v="158"/>
    <x v="0"/>
    <x v="81"/>
    <x v="141"/>
    <x v="141"/>
    <x v="140"/>
    <x v="140"/>
    <x v="0"/>
    <x v="638"/>
    <x v="653"/>
    <x v="560"/>
    <x v="275"/>
    <x v="101"/>
    <x v="574"/>
    <x v="8"/>
    <x v="2"/>
    <x v="42"/>
    <x v="5"/>
    <x v="3"/>
    <x v="93"/>
    <x v="481"/>
    <x v="0"/>
    <x v="0"/>
    <x v="5"/>
    <x v="2"/>
    <x v="79"/>
  </r>
  <r>
    <x v="134"/>
    <x v="120"/>
    <x v="159"/>
    <x v="0"/>
    <x v="82"/>
    <x v="142"/>
    <x v="142"/>
    <x v="141"/>
    <x v="141"/>
    <x v="0"/>
    <x v="632"/>
    <x v="654"/>
    <x v="561"/>
    <x v="16"/>
    <x v="7"/>
    <x v="575"/>
    <x v="202"/>
    <x v="2"/>
    <x v="135"/>
    <x v="11"/>
    <x v="0"/>
    <x v="270"/>
    <x v="482"/>
    <x v="0"/>
    <x v="0"/>
    <x v="21"/>
    <x v="21"/>
    <x v="80"/>
  </r>
  <r>
    <x v="134"/>
    <x v="121"/>
    <x v="160"/>
    <x v="0"/>
    <x v="79"/>
    <x v="143"/>
    <x v="143"/>
    <x v="142"/>
    <x v="142"/>
    <x v="0"/>
    <x v="639"/>
    <x v="442"/>
    <x v="73"/>
    <x v="462"/>
    <x v="76"/>
    <x v="576"/>
    <x v="15"/>
    <x v="2"/>
    <x v="14"/>
    <x v="3"/>
    <x v="3"/>
    <x v="15"/>
    <x v="15"/>
    <x v="0"/>
    <x v="0"/>
    <x v="5"/>
    <x v="2"/>
    <x v="77"/>
  </r>
  <r>
    <x v="134"/>
    <x v="121"/>
    <x v="161"/>
    <x v="0"/>
    <x v="83"/>
    <x v="144"/>
    <x v="144"/>
    <x v="143"/>
    <x v="143"/>
    <x v="0"/>
    <x v="640"/>
    <x v="655"/>
    <x v="286"/>
    <x v="240"/>
    <x v="102"/>
    <x v="577"/>
    <x v="18"/>
    <x v="2"/>
    <x v="24"/>
    <x v="3"/>
    <x v="3"/>
    <x v="27"/>
    <x v="482"/>
    <x v="0"/>
    <x v="0"/>
    <x v="5"/>
    <x v="2"/>
    <x v="81"/>
  </r>
  <r>
    <x v="134"/>
    <x v="122"/>
    <x v="162"/>
    <x v="0"/>
    <x v="84"/>
    <x v="145"/>
    <x v="145"/>
    <x v="144"/>
    <x v="144"/>
    <x v="0"/>
    <x v="126"/>
    <x v="656"/>
    <x v="562"/>
    <x v="463"/>
    <x v="9"/>
    <x v="578"/>
    <x v="71"/>
    <x v="4"/>
    <x v="42"/>
    <x v="5"/>
    <x v="6"/>
    <x v="19"/>
    <x v="483"/>
    <x v="0"/>
    <x v="0"/>
    <x v="24"/>
    <x v="12"/>
    <x v="82"/>
  </r>
  <r>
    <x v="134"/>
    <x v="123"/>
    <x v="163"/>
    <x v="0"/>
    <x v="73"/>
    <x v="146"/>
    <x v="146"/>
    <x v="145"/>
    <x v="145"/>
    <x v="0"/>
    <x v="641"/>
    <x v="657"/>
    <x v="563"/>
    <x v="252"/>
    <x v="50"/>
    <x v="579"/>
    <x v="203"/>
    <x v="2"/>
    <x v="17"/>
    <x v="3"/>
    <x v="4"/>
    <x v="114"/>
    <x v="484"/>
    <x v="0"/>
    <x v="0"/>
    <x v="10"/>
    <x v="5"/>
    <x v="71"/>
  </r>
  <r>
    <x v="135"/>
    <x v="116"/>
    <x v="150"/>
    <x v="0"/>
    <x v="73"/>
    <x v="133"/>
    <x v="133"/>
    <x v="132"/>
    <x v="132"/>
    <x v="0"/>
    <x v="642"/>
    <x v="658"/>
    <x v="564"/>
    <x v="352"/>
    <x v="14"/>
    <x v="580"/>
    <x v="18"/>
    <x v="2"/>
    <x v="24"/>
    <x v="3"/>
    <x v="3"/>
    <x v="27"/>
    <x v="485"/>
    <x v="0"/>
    <x v="0"/>
    <x v="5"/>
    <x v="2"/>
    <x v="71"/>
  </r>
  <r>
    <x v="135"/>
    <x v="117"/>
    <x v="153"/>
    <x v="0"/>
    <x v="9"/>
    <x v="136"/>
    <x v="136"/>
    <x v="135"/>
    <x v="13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</r>
  <r>
    <x v="135"/>
    <x v="120"/>
    <x v="157"/>
    <x v="0"/>
    <x v="80"/>
    <x v="140"/>
    <x v="140"/>
    <x v="139"/>
    <x v="13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8"/>
  </r>
  <r>
    <x v="135"/>
    <x v="120"/>
    <x v="159"/>
    <x v="0"/>
    <x v="82"/>
    <x v="142"/>
    <x v="142"/>
    <x v="141"/>
    <x v="1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0"/>
  </r>
  <r>
    <x v="135"/>
    <x v="121"/>
    <x v="161"/>
    <x v="0"/>
    <x v="83"/>
    <x v="144"/>
    <x v="144"/>
    <x v="143"/>
    <x v="143"/>
    <x v="0"/>
    <x v="632"/>
    <x v="659"/>
    <x v="254"/>
    <x v="37"/>
    <x v="73"/>
    <x v="581"/>
    <x v="121"/>
    <x v="1"/>
    <x v="141"/>
    <x v="10"/>
    <x v="1"/>
    <x v="226"/>
    <x v="486"/>
    <x v="0"/>
    <x v="0"/>
    <x v="2"/>
    <x v="3"/>
    <x v="81"/>
  </r>
  <r>
    <x v="135"/>
    <x v="122"/>
    <x v="162"/>
    <x v="0"/>
    <x v="84"/>
    <x v="145"/>
    <x v="145"/>
    <x v="144"/>
    <x v="1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2"/>
  </r>
  <r>
    <x v="135"/>
    <x v="123"/>
    <x v="163"/>
    <x v="0"/>
    <x v="73"/>
    <x v="146"/>
    <x v="146"/>
    <x v="145"/>
    <x v="145"/>
    <x v="0"/>
    <x v="643"/>
    <x v="660"/>
    <x v="565"/>
    <x v="464"/>
    <x v="32"/>
    <x v="582"/>
    <x v="15"/>
    <x v="2"/>
    <x v="14"/>
    <x v="3"/>
    <x v="3"/>
    <x v="15"/>
    <x v="15"/>
    <x v="0"/>
    <x v="0"/>
    <x v="5"/>
    <x v="2"/>
    <x v="71"/>
  </r>
  <r>
    <x v="135"/>
    <x v="124"/>
    <x v="164"/>
    <x v="0"/>
    <x v="72"/>
    <x v="147"/>
    <x v="147"/>
    <x v="146"/>
    <x v="146"/>
    <x v="0"/>
    <x v="644"/>
    <x v="661"/>
    <x v="566"/>
    <x v="195"/>
    <x v="7"/>
    <x v="583"/>
    <x v="165"/>
    <x v="3"/>
    <x v="136"/>
    <x v="0"/>
    <x v="7"/>
    <x v="271"/>
    <x v="162"/>
    <x v="0"/>
    <x v="0"/>
    <x v="18"/>
    <x v="11"/>
    <x v="70"/>
  </r>
  <r>
    <x v="135"/>
    <x v="124"/>
    <x v="165"/>
    <x v="0"/>
    <x v="85"/>
    <x v="148"/>
    <x v="148"/>
    <x v="147"/>
    <x v="147"/>
    <x v="0"/>
    <x v="645"/>
    <x v="662"/>
    <x v="567"/>
    <x v="52"/>
    <x v="82"/>
    <x v="584"/>
    <x v="204"/>
    <x v="3"/>
    <x v="143"/>
    <x v="44"/>
    <x v="30"/>
    <x v="272"/>
    <x v="487"/>
    <x v="0"/>
    <x v="0"/>
    <x v="2"/>
    <x v="21"/>
    <x v="83"/>
  </r>
  <r>
    <x v="136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</r>
  <r>
    <x v="136"/>
    <x v="121"/>
    <x v="161"/>
    <x v="0"/>
    <x v="83"/>
    <x v="144"/>
    <x v="144"/>
    <x v="143"/>
    <x v="143"/>
    <x v="0"/>
    <x v="204"/>
    <x v="663"/>
    <x v="568"/>
    <x v="465"/>
    <x v="42"/>
    <x v="585"/>
    <x v="205"/>
    <x v="0"/>
    <x v="139"/>
    <x v="17"/>
    <x v="23"/>
    <x v="189"/>
    <x v="267"/>
    <x v="0"/>
    <x v="0"/>
    <x v="43"/>
    <x v="13"/>
    <x v="81"/>
  </r>
  <r>
    <x v="136"/>
    <x v="124"/>
    <x v="164"/>
    <x v="0"/>
    <x v="72"/>
    <x v="147"/>
    <x v="147"/>
    <x v="146"/>
    <x v="146"/>
    <x v="0"/>
    <x v="646"/>
    <x v="664"/>
    <x v="569"/>
    <x v="97"/>
    <x v="3"/>
    <x v="586"/>
    <x v="6"/>
    <x v="0"/>
    <x v="144"/>
    <x v="5"/>
    <x v="8"/>
    <x v="270"/>
    <x v="488"/>
    <x v="0"/>
    <x v="0"/>
    <x v="37"/>
    <x v="13"/>
    <x v="70"/>
  </r>
  <r>
    <x v="136"/>
    <x v="124"/>
    <x v="165"/>
    <x v="0"/>
    <x v="85"/>
    <x v="148"/>
    <x v="148"/>
    <x v="147"/>
    <x v="147"/>
    <x v="0"/>
    <x v="647"/>
    <x v="665"/>
    <x v="570"/>
    <x v="93"/>
    <x v="51"/>
    <x v="587"/>
    <x v="142"/>
    <x v="0"/>
    <x v="145"/>
    <x v="22"/>
    <x v="24"/>
    <x v="161"/>
    <x v="489"/>
    <x v="0"/>
    <x v="0"/>
    <x v="1"/>
    <x v="25"/>
    <x v="83"/>
  </r>
  <r>
    <x v="137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</r>
  <r>
    <x v="137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</r>
  <r>
    <x v="137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</r>
  <r>
    <x v="137"/>
    <x v="116"/>
    <x v="150"/>
    <x v="0"/>
    <x v="73"/>
    <x v="133"/>
    <x v="133"/>
    <x v="132"/>
    <x v="13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</r>
  <r>
    <x v="137"/>
    <x v="121"/>
    <x v="161"/>
    <x v="0"/>
    <x v="83"/>
    <x v="144"/>
    <x v="144"/>
    <x v="143"/>
    <x v="143"/>
    <x v="0"/>
    <x v="648"/>
    <x v="666"/>
    <x v="571"/>
    <x v="466"/>
    <x v="2"/>
    <x v="588"/>
    <x v="49"/>
    <x v="1"/>
    <x v="81"/>
    <x v="6"/>
    <x v="0"/>
    <x v="226"/>
    <x v="490"/>
    <x v="0"/>
    <x v="0"/>
    <x v="2"/>
    <x v="13"/>
    <x v="81"/>
  </r>
  <r>
    <x v="137"/>
    <x v="124"/>
    <x v="164"/>
    <x v="0"/>
    <x v="72"/>
    <x v="147"/>
    <x v="147"/>
    <x v="146"/>
    <x v="146"/>
    <x v="0"/>
    <x v="649"/>
    <x v="667"/>
    <x v="572"/>
    <x v="390"/>
    <x v="35"/>
    <x v="589"/>
    <x v="121"/>
    <x v="3"/>
    <x v="136"/>
    <x v="3"/>
    <x v="6"/>
    <x v="188"/>
    <x v="491"/>
    <x v="0"/>
    <x v="0"/>
    <x v="7"/>
    <x v="5"/>
    <x v="70"/>
  </r>
  <r>
    <x v="137"/>
    <x v="124"/>
    <x v="165"/>
    <x v="0"/>
    <x v="85"/>
    <x v="148"/>
    <x v="148"/>
    <x v="147"/>
    <x v="147"/>
    <x v="0"/>
    <x v="650"/>
    <x v="668"/>
    <x v="573"/>
    <x v="300"/>
    <x v="32"/>
    <x v="590"/>
    <x v="206"/>
    <x v="1"/>
    <x v="146"/>
    <x v="21"/>
    <x v="15"/>
    <x v="273"/>
    <x v="492"/>
    <x v="0"/>
    <x v="0"/>
    <x v="10"/>
    <x v="7"/>
    <x v="83"/>
  </r>
  <r>
    <x v="137"/>
    <x v="125"/>
    <x v="166"/>
    <x v="1"/>
    <x v="73"/>
    <x v="149"/>
    <x v="149"/>
    <x v="148"/>
    <x v="148"/>
    <x v="0"/>
    <x v="651"/>
    <x v="669"/>
    <x v="574"/>
    <x v="467"/>
    <x v="22"/>
    <x v="591"/>
    <x v="26"/>
    <x v="2"/>
    <x v="14"/>
    <x v="3"/>
    <x v="3"/>
    <x v="70"/>
    <x v="493"/>
    <x v="0"/>
    <x v="0"/>
    <x v="2"/>
    <x v="2"/>
    <x v="71"/>
  </r>
  <r>
    <x v="137"/>
    <x v="126"/>
    <x v="167"/>
    <x v="1"/>
    <x v="73"/>
    <x v="150"/>
    <x v="150"/>
    <x v="149"/>
    <x v="149"/>
    <x v="0"/>
    <x v="652"/>
    <x v="670"/>
    <x v="344"/>
    <x v="468"/>
    <x v="29"/>
    <x v="592"/>
    <x v="17"/>
    <x v="1"/>
    <x v="42"/>
    <x v="3"/>
    <x v="3"/>
    <x v="139"/>
    <x v="494"/>
    <x v="0"/>
    <x v="0"/>
    <x v="2"/>
    <x v="11"/>
    <x v="71"/>
  </r>
  <r>
    <x v="137"/>
    <x v="127"/>
    <x v="168"/>
    <x v="0"/>
    <x v="9"/>
    <x v="151"/>
    <x v="151"/>
    <x v="150"/>
    <x v="150"/>
    <x v="0"/>
    <x v="653"/>
    <x v="671"/>
    <x v="575"/>
    <x v="241"/>
    <x v="4"/>
    <x v="376"/>
    <x v="50"/>
    <x v="0"/>
    <x v="20"/>
    <x v="5"/>
    <x v="3"/>
    <x v="52"/>
    <x v="495"/>
    <x v="0"/>
    <x v="0"/>
    <x v="4"/>
    <x v="2"/>
    <x v="9"/>
  </r>
  <r>
    <x v="137"/>
    <x v="128"/>
    <x v="169"/>
    <x v="1"/>
    <x v="73"/>
    <x v="152"/>
    <x v="152"/>
    <x v="151"/>
    <x v="151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71"/>
  </r>
  <r>
    <x v="137"/>
    <x v="125"/>
    <x v="170"/>
    <x v="1"/>
    <x v="9"/>
    <x v="152"/>
    <x v="152"/>
    <x v="151"/>
    <x v="151"/>
    <x v="0"/>
    <x v="654"/>
    <x v="672"/>
    <x v="72"/>
    <x v="367"/>
    <x v="37"/>
    <x v="593"/>
    <x v="15"/>
    <x v="2"/>
    <x v="14"/>
    <x v="3"/>
    <x v="3"/>
    <x v="15"/>
    <x v="15"/>
    <x v="0"/>
    <x v="0"/>
    <x v="5"/>
    <x v="2"/>
    <x v="9"/>
  </r>
  <r>
    <x v="137"/>
    <x v="129"/>
    <x v="171"/>
    <x v="1"/>
    <x v="9"/>
    <x v="153"/>
    <x v="153"/>
    <x v="152"/>
    <x v="152"/>
    <x v="0"/>
    <x v="655"/>
    <x v="673"/>
    <x v="576"/>
    <x v="294"/>
    <x v="103"/>
    <x v="594"/>
    <x v="18"/>
    <x v="2"/>
    <x v="14"/>
    <x v="3"/>
    <x v="3"/>
    <x v="20"/>
    <x v="496"/>
    <x v="0"/>
    <x v="0"/>
    <x v="5"/>
    <x v="2"/>
    <x v="9"/>
  </r>
  <r>
    <x v="138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138"/>
    <x v="121"/>
    <x v="161"/>
    <x v="0"/>
    <x v="83"/>
    <x v="144"/>
    <x v="144"/>
    <x v="143"/>
    <x v="143"/>
    <x v="0"/>
    <x v="290"/>
    <x v="674"/>
    <x v="301"/>
    <x v="469"/>
    <x v="5"/>
    <x v="595"/>
    <x v="15"/>
    <x v="2"/>
    <x v="24"/>
    <x v="5"/>
    <x v="3"/>
    <x v="27"/>
    <x v="268"/>
    <x v="0"/>
    <x v="0"/>
    <x v="2"/>
    <x v="2"/>
    <x v="81"/>
  </r>
  <r>
    <x v="138"/>
    <x v="124"/>
    <x v="164"/>
    <x v="0"/>
    <x v="72"/>
    <x v="147"/>
    <x v="147"/>
    <x v="146"/>
    <x v="146"/>
    <x v="0"/>
    <x v="656"/>
    <x v="675"/>
    <x v="577"/>
    <x v="436"/>
    <x v="82"/>
    <x v="596"/>
    <x v="164"/>
    <x v="0"/>
    <x v="147"/>
    <x v="11"/>
    <x v="1"/>
    <x v="29"/>
    <x v="346"/>
    <x v="0"/>
    <x v="0"/>
    <x v="7"/>
    <x v="11"/>
    <x v="70"/>
  </r>
  <r>
    <x v="138"/>
    <x v="124"/>
    <x v="165"/>
    <x v="0"/>
    <x v="85"/>
    <x v="148"/>
    <x v="148"/>
    <x v="147"/>
    <x v="147"/>
    <x v="0"/>
    <x v="657"/>
    <x v="676"/>
    <x v="396"/>
    <x v="470"/>
    <x v="4"/>
    <x v="33"/>
    <x v="21"/>
    <x v="2"/>
    <x v="7"/>
    <x v="5"/>
    <x v="3"/>
    <x v="56"/>
    <x v="497"/>
    <x v="0"/>
    <x v="0"/>
    <x v="5"/>
    <x v="2"/>
    <x v="83"/>
  </r>
  <r>
    <x v="138"/>
    <x v="125"/>
    <x v="166"/>
    <x v="1"/>
    <x v="73"/>
    <x v="149"/>
    <x v="149"/>
    <x v="148"/>
    <x v="148"/>
    <x v="0"/>
    <x v="658"/>
    <x v="677"/>
    <x v="578"/>
    <x v="471"/>
    <x v="44"/>
    <x v="597"/>
    <x v="125"/>
    <x v="2"/>
    <x v="24"/>
    <x v="3"/>
    <x v="3"/>
    <x v="37"/>
    <x v="498"/>
    <x v="0"/>
    <x v="0"/>
    <x v="2"/>
    <x v="5"/>
    <x v="71"/>
  </r>
  <r>
    <x v="138"/>
    <x v="126"/>
    <x v="167"/>
    <x v="1"/>
    <x v="73"/>
    <x v="150"/>
    <x v="150"/>
    <x v="149"/>
    <x v="149"/>
    <x v="0"/>
    <x v="659"/>
    <x v="678"/>
    <x v="579"/>
    <x v="470"/>
    <x v="80"/>
    <x v="598"/>
    <x v="13"/>
    <x v="2"/>
    <x v="50"/>
    <x v="3"/>
    <x v="3"/>
    <x v="37"/>
    <x v="499"/>
    <x v="0"/>
    <x v="0"/>
    <x v="5"/>
    <x v="2"/>
    <x v="71"/>
  </r>
  <r>
    <x v="138"/>
    <x v="127"/>
    <x v="168"/>
    <x v="0"/>
    <x v="9"/>
    <x v="151"/>
    <x v="151"/>
    <x v="150"/>
    <x v="150"/>
    <x v="0"/>
    <x v="660"/>
    <x v="679"/>
    <x v="580"/>
    <x v="147"/>
    <x v="51"/>
    <x v="599"/>
    <x v="16"/>
    <x v="7"/>
    <x v="7"/>
    <x v="11"/>
    <x v="1"/>
    <x v="114"/>
    <x v="500"/>
    <x v="0"/>
    <x v="0"/>
    <x v="7"/>
    <x v="2"/>
    <x v="9"/>
  </r>
  <r>
    <x v="138"/>
    <x v="125"/>
    <x v="170"/>
    <x v="1"/>
    <x v="9"/>
    <x v="152"/>
    <x v="152"/>
    <x v="151"/>
    <x v="151"/>
    <x v="0"/>
    <x v="661"/>
    <x v="680"/>
    <x v="581"/>
    <x v="472"/>
    <x v="44"/>
    <x v="266"/>
    <x v="8"/>
    <x v="2"/>
    <x v="14"/>
    <x v="3"/>
    <x v="3"/>
    <x v="27"/>
    <x v="501"/>
    <x v="0"/>
    <x v="0"/>
    <x v="5"/>
    <x v="2"/>
    <x v="9"/>
  </r>
  <r>
    <x v="138"/>
    <x v="129"/>
    <x v="171"/>
    <x v="1"/>
    <x v="9"/>
    <x v="153"/>
    <x v="153"/>
    <x v="152"/>
    <x v="152"/>
    <x v="0"/>
    <x v="662"/>
    <x v="681"/>
    <x v="582"/>
    <x v="328"/>
    <x v="88"/>
    <x v="600"/>
    <x v="26"/>
    <x v="2"/>
    <x v="24"/>
    <x v="3"/>
    <x v="3"/>
    <x v="83"/>
    <x v="502"/>
    <x v="0"/>
    <x v="0"/>
    <x v="5"/>
    <x v="2"/>
    <x v="9"/>
  </r>
  <r>
    <x v="138"/>
    <x v="130"/>
    <x v="172"/>
    <x v="0"/>
    <x v="86"/>
    <x v="154"/>
    <x v="154"/>
    <x v="153"/>
    <x v="153"/>
    <x v="0"/>
    <x v="663"/>
    <x v="682"/>
    <x v="583"/>
    <x v="150"/>
    <x v="3"/>
    <x v="83"/>
    <x v="207"/>
    <x v="1"/>
    <x v="12"/>
    <x v="0"/>
    <x v="23"/>
    <x v="274"/>
    <x v="1"/>
    <x v="0"/>
    <x v="0"/>
    <x v="5"/>
    <x v="10"/>
    <x v="84"/>
  </r>
  <r>
    <x v="138"/>
    <x v="130"/>
    <x v="173"/>
    <x v="0"/>
    <x v="78"/>
    <x v="155"/>
    <x v="155"/>
    <x v="154"/>
    <x v="154"/>
    <x v="0"/>
    <x v="664"/>
    <x v="683"/>
    <x v="396"/>
    <x v="361"/>
    <x v="37"/>
    <x v="601"/>
    <x v="8"/>
    <x v="2"/>
    <x v="14"/>
    <x v="3"/>
    <x v="3"/>
    <x v="27"/>
    <x v="503"/>
    <x v="0"/>
    <x v="0"/>
    <x v="5"/>
    <x v="2"/>
    <x v="76"/>
  </r>
  <r>
    <x v="139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</r>
  <r>
    <x v="139"/>
    <x v="124"/>
    <x v="164"/>
    <x v="0"/>
    <x v="72"/>
    <x v="147"/>
    <x v="147"/>
    <x v="146"/>
    <x v="146"/>
    <x v="0"/>
    <x v="665"/>
    <x v="684"/>
    <x v="584"/>
    <x v="336"/>
    <x v="81"/>
    <x v="602"/>
    <x v="83"/>
    <x v="7"/>
    <x v="30"/>
    <x v="3"/>
    <x v="1"/>
    <x v="268"/>
    <x v="166"/>
    <x v="0"/>
    <x v="0"/>
    <x v="12"/>
    <x v="5"/>
    <x v="70"/>
  </r>
  <r>
    <x v="139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</r>
  <r>
    <x v="139"/>
    <x v="125"/>
    <x v="166"/>
    <x v="1"/>
    <x v="73"/>
    <x v="149"/>
    <x v="149"/>
    <x v="148"/>
    <x v="148"/>
    <x v="0"/>
    <x v="30"/>
    <x v="685"/>
    <x v="29"/>
    <x v="30"/>
    <x v="16"/>
    <x v="29"/>
    <x v="15"/>
    <x v="2"/>
    <x v="14"/>
    <x v="3"/>
    <x v="3"/>
    <x v="15"/>
    <x v="15"/>
    <x v="0"/>
    <x v="0"/>
    <x v="5"/>
    <x v="2"/>
    <x v="71"/>
  </r>
  <r>
    <x v="139"/>
    <x v="126"/>
    <x v="167"/>
    <x v="1"/>
    <x v="73"/>
    <x v="150"/>
    <x v="150"/>
    <x v="149"/>
    <x v="14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</r>
  <r>
    <x v="139"/>
    <x v="127"/>
    <x v="168"/>
    <x v="0"/>
    <x v="9"/>
    <x v="151"/>
    <x v="151"/>
    <x v="150"/>
    <x v="150"/>
    <x v="0"/>
    <x v="666"/>
    <x v="686"/>
    <x v="585"/>
    <x v="473"/>
    <x v="30"/>
    <x v="603"/>
    <x v="71"/>
    <x v="2"/>
    <x v="19"/>
    <x v="3"/>
    <x v="2"/>
    <x v="7"/>
    <x v="254"/>
    <x v="0"/>
    <x v="0"/>
    <x v="2"/>
    <x v="5"/>
    <x v="9"/>
  </r>
  <r>
    <x v="139"/>
    <x v="125"/>
    <x v="170"/>
    <x v="1"/>
    <x v="9"/>
    <x v="152"/>
    <x v="152"/>
    <x v="151"/>
    <x v="151"/>
    <x v="0"/>
    <x v="667"/>
    <x v="687"/>
    <x v="586"/>
    <x v="474"/>
    <x v="73"/>
    <x v="230"/>
    <x v="8"/>
    <x v="2"/>
    <x v="50"/>
    <x v="3"/>
    <x v="3"/>
    <x v="83"/>
    <x v="504"/>
    <x v="0"/>
    <x v="0"/>
    <x v="2"/>
    <x v="2"/>
    <x v="9"/>
  </r>
  <r>
    <x v="139"/>
    <x v="129"/>
    <x v="171"/>
    <x v="1"/>
    <x v="9"/>
    <x v="153"/>
    <x v="153"/>
    <x v="152"/>
    <x v="152"/>
    <x v="0"/>
    <x v="668"/>
    <x v="688"/>
    <x v="587"/>
    <x v="475"/>
    <x v="88"/>
    <x v="604"/>
    <x v="26"/>
    <x v="2"/>
    <x v="24"/>
    <x v="3"/>
    <x v="3"/>
    <x v="83"/>
    <x v="505"/>
    <x v="0"/>
    <x v="0"/>
    <x v="5"/>
    <x v="2"/>
    <x v="9"/>
  </r>
  <r>
    <x v="139"/>
    <x v="130"/>
    <x v="172"/>
    <x v="0"/>
    <x v="86"/>
    <x v="154"/>
    <x v="154"/>
    <x v="153"/>
    <x v="153"/>
    <x v="0"/>
    <x v="669"/>
    <x v="689"/>
    <x v="588"/>
    <x v="403"/>
    <x v="30"/>
    <x v="266"/>
    <x v="19"/>
    <x v="1"/>
    <x v="55"/>
    <x v="5"/>
    <x v="3"/>
    <x v="86"/>
    <x v="71"/>
    <x v="0"/>
    <x v="0"/>
    <x v="5"/>
    <x v="11"/>
    <x v="84"/>
  </r>
  <r>
    <x v="139"/>
    <x v="130"/>
    <x v="173"/>
    <x v="0"/>
    <x v="78"/>
    <x v="155"/>
    <x v="155"/>
    <x v="154"/>
    <x v="154"/>
    <x v="0"/>
    <x v="670"/>
    <x v="690"/>
    <x v="589"/>
    <x v="476"/>
    <x v="101"/>
    <x v="605"/>
    <x v="46"/>
    <x v="1"/>
    <x v="19"/>
    <x v="3"/>
    <x v="1"/>
    <x v="275"/>
    <x v="430"/>
    <x v="0"/>
    <x v="0"/>
    <x v="12"/>
    <x v="2"/>
    <x v="76"/>
  </r>
  <r>
    <x v="139"/>
    <x v="131"/>
    <x v="174"/>
    <x v="0"/>
    <x v="70"/>
    <x v="156"/>
    <x v="156"/>
    <x v="155"/>
    <x v="155"/>
    <x v="0"/>
    <x v="671"/>
    <x v="691"/>
    <x v="590"/>
    <x v="477"/>
    <x v="8"/>
    <x v="276"/>
    <x v="187"/>
    <x v="7"/>
    <x v="33"/>
    <x v="3"/>
    <x v="8"/>
    <x v="276"/>
    <x v="506"/>
    <x v="0"/>
    <x v="0"/>
    <x v="11"/>
    <x v="13"/>
    <x v="68"/>
  </r>
  <r>
    <x v="139"/>
    <x v="132"/>
    <x v="175"/>
    <x v="1"/>
    <x v="62"/>
    <x v="157"/>
    <x v="157"/>
    <x v="156"/>
    <x v="156"/>
    <x v="0"/>
    <x v="672"/>
    <x v="692"/>
    <x v="591"/>
    <x v="478"/>
    <x v="26"/>
    <x v="606"/>
    <x v="8"/>
    <x v="2"/>
    <x v="14"/>
    <x v="3"/>
    <x v="3"/>
    <x v="27"/>
    <x v="507"/>
    <x v="3"/>
    <x v="75"/>
    <x v="5"/>
    <x v="5"/>
    <x v="60"/>
  </r>
  <r>
    <x v="140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40"/>
    <x v="124"/>
    <x v="164"/>
    <x v="0"/>
    <x v="72"/>
    <x v="147"/>
    <x v="147"/>
    <x v="146"/>
    <x v="146"/>
    <x v="0"/>
    <x v="673"/>
    <x v="693"/>
    <x v="543"/>
    <x v="479"/>
    <x v="51"/>
    <x v="142"/>
    <x v="15"/>
    <x v="2"/>
    <x v="14"/>
    <x v="3"/>
    <x v="3"/>
    <x v="15"/>
    <x v="15"/>
    <x v="0"/>
    <x v="0"/>
    <x v="5"/>
    <x v="2"/>
    <x v="70"/>
  </r>
  <r>
    <x v="140"/>
    <x v="124"/>
    <x v="165"/>
    <x v="0"/>
    <x v="85"/>
    <x v="148"/>
    <x v="148"/>
    <x v="147"/>
    <x v="147"/>
    <x v="0"/>
    <x v="674"/>
    <x v="694"/>
    <x v="592"/>
    <x v="387"/>
    <x v="32"/>
    <x v="361"/>
    <x v="208"/>
    <x v="7"/>
    <x v="148"/>
    <x v="57"/>
    <x v="10"/>
    <x v="277"/>
    <x v="212"/>
    <x v="0"/>
    <x v="0"/>
    <x v="44"/>
    <x v="44"/>
    <x v="83"/>
  </r>
  <r>
    <x v="140"/>
    <x v="127"/>
    <x v="168"/>
    <x v="0"/>
    <x v="9"/>
    <x v="151"/>
    <x v="151"/>
    <x v="150"/>
    <x v="150"/>
    <x v="0"/>
    <x v="675"/>
    <x v="695"/>
    <x v="593"/>
    <x v="280"/>
    <x v="51"/>
    <x v="607"/>
    <x v="62"/>
    <x v="0"/>
    <x v="2"/>
    <x v="5"/>
    <x v="2"/>
    <x v="241"/>
    <x v="508"/>
    <x v="0"/>
    <x v="0"/>
    <x v="7"/>
    <x v="2"/>
    <x v="9"/>
  </r>
  <r>
    <x v="140"/>
    <x v="125"/>
    <x v="170"/>
    <x v="1"/>
    <x v="9"/>
    <x v="152"/>
    <x v="152"/>
    <x v="151"/>
    <x v="151"/>
    <x v="0"/>
    <x v="676"/>
    <x v="696"/>
    <x v="594"/>
    <x v="480"/>
    <x v="44"/>
    <x v="608"/>
    <x v="23"/>
    <x v="2"/>
    <x v="24"/>
    <x v="3"/>
    <x v="3"/>
    <x v="75"/>
    <x v="509"/>
    <x v="0"/>
    <x v="0"/>
    <x v="5"/>
    <x v="2"/>
    <x v="9"/>
  </r>
  <r>
    <x v="140"/>
    <x v="129"/>
    <x v="171"/>
    <x v="1"/>
    <x v="9"/>
    <x v="153"/>
    <x v="153"/>
    <x v="152"/>
    <x v="152"/>
    <x v="0"/>
    <x v="677"/>
    <x v="697"/>
    <x v="582"/>
    <x v="481"/>
    <x v="104"/>
    <x v="609"/>
    <x v="8"/>
    <x v="2"/>
    <x v="24"/>
    <x v="3"/>
    <x v="3"/>
    <x v="70"/>
    <x v="510"/>
    <x v="0"/>
    <x v="0"/>
    <x v="2"/>
    <x v="2"/>
    <x v="9"/>
  </r>
  <r>
    <x v="140"/>
    <x v="130"/>
    <x v="172"/>
    <x v="0"/>
    <x v="86"/>
    <x v="154"/>
    <x v="154"/>
    <x v="153"/>
    <x v="153"/>
    <x v="0"/>
    <x v="678"/>
    <x v="698"/>
    <x v="595"/>
    <x v="482"/>
    <x v="37"/>
    <x v="610"/>
    <x v="16"/>
    <x v="2"/>
    <x v="13"/>
    <x v="5"/>
    <x v="1"/>
    <x v="41"/>
    <x v="511"/>
    <x v="0"/>
    <x v="0"/>
    <x v="5"/>
    <x v="5"/>
    <x v="84"/>
  </r>
  <r>
    <x v="140"/>
    <x v="130"/>
    <x v="173"/>
    <x v="0"/>
    <x v="78"/>
    <x v="155"/>
    <x v="155"/>
    <x v="154"/>
    <x v="154"/>
    <x v="0"/>
    <x v="679"/>
    <x v="699"/>
    <x v="27"/>
    <x v="483"/>
    <x v="105"/>
    <x v="611"/>
    <x v="8"/>
    <x v="2"/>
    <x v="14"/>
    <x v="3"/>
    <x v="3"/>
    <x v="27"/>
    <x v="512"/>
    <x v="0"/>
    <x v="0"/>
    <x v="2"/>
    <x v="2"/>
    <x v="76"/>
  </r>
  <r>
    <x v="140"/>
    <x v="131"/>
    <x v="174"/>
    <x v="0"/>
    <x v="70"/>
    <x v="156"/>
    <x v="156"/>
    <x v="155"/>
    <x v="155"/>
    <x v="0"/>
    <x v="680"/>
    <x v="700"/>
    <x v="142"/>
    <x v="484"/>
    <x v="8"/>
    <x v="612"/>
    <x v="15"/>
    <x v="2"/>
    <x v="14"/>
    <x v="3"/>
    <x v="3"/>
    <x v="15"/>
    <x v="15"/>
    <x v="0"/>
    <x v="0"/>
    <x v="5"/>
    <x v="2"/>
    <x v="68"/>
  </r>
  <r>
    <x v="140"/>
    <x v="132"/>
    <x v="175"/>
    <x v="1"/>
    <x v="62"/>
    <x v="157"/>
    <x v="157"/>
    <x v="156"/>
    <x v="156"/>
    <x v="0"/>
    <x v="681"/>
    <x v="701"/>
    <x v="596"/>
    <x v="485"/>
    <x v="15"/>
    <x v="613"/>
    <x v="18"/>
    <x v="2"/>
    <x v="14"/>
    <x v="3"/>
    <x v="3"/>
    <x v="20"/>
    <x v="513"/>
    <x v="18"/>
    <x v="76"/>
    <x v="5"/>
    <x v="11"/>
    <x v="60"/>
  </r>
  <r>
    <x v="140"/>
    <x v="132"/>
    <x v="176"/>
    <x v="1"/>
    <x v="62"/>
    <x v="158"/>
    <x v="158"/>
    <x v="157"/>
    <x v="157"/>
    <x v="0"/>
    <x v="682"/>
    <x v="702"/>
    <x v="597"/>
    <x v="161"/>
    <x v="64"/>
    <x v="614"/>
    <x v="23"/>
    <x v="2"/>
    <x v="24"/>
    <x v="3"/>
    <x v="1"/>
    <x v="31"/>
    <x v="514"/>
    <x v="1"/>
    <x v="77"/>
    <x v="4"/>
    <x v="11"/>
    <x v="60"/>
  </r>
  <r>
    <x v="141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</r>
  <r>
    <x v="141"/>
    <x v="124"/>
    <x v="164"/>
    <x v="0"/>
    <x v="72"/>
    <x v="147"/>
    <x v="147"/>
    <x v="146"/>
    <x v="1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0"/>
  </r>
  <r>
    <x v="141"/>
    <x v="124"/>
    <x v="165"/>
    <x v="0"/>
    <x v="85"/>
    <x v="148"/>
    <x v="148"/>
    <x v="147"/>
    <x v="147"/>
    <x v="0"/>
    <x v="683"/>
    <x v="703"/>
    <x v="598"/>
    <x v="248"/>
    <x v="32"/>
    <x v="615"/>
    <x v="209"/>
    <x v="1"/>
    <x v="149"/>
    <x v="58"/>
    <x v="10"/>
    <x v="278"/>
    <x v="492"/>
    <x v="0"/>
    <x v="0"/>
    <x v="28"/>
    <x v="45"/>
    <x v="83"/>
  </r>
  <r>
    <x v="141"/>
    <x v="127"/>
    <x v="168"/>
    <x v="0"/>
    <x v="9"/>
    <x v="151"/>
    <x v="151"/>
    <x v="150"/>
    <x v="150"/>
    <x v="0"/>
    <x v="220"/>
    <x v="704"/>
    <x v="73"/>
    <x v="486"/>
    <x v="1"/>
    <x v="616"/>
    <x v="15"/>
    <x v="2"/>
    <x v="14"/>
    <x v="3"/>
    <x v="3"/>
    <x v="15"/>
    <x v="15"/>
    <x v="0"/>
    <x v="0"/>
    <x v="5"/>
    <x v="2"/>
    <x v="9"/>
  </r>
  <r>
    <x v="141"/>
    <x v="125"/>
    <x v="170"/>
    <x v="1"/>
    <x v="9"/>
    <x v="152"/>
    <x v="152"/>
    <x v="151"/>
    <x v="151"/>
    <x v="0"/>
    <x v="684"/>
    <x v="705"/>
    <x v="132"/>
    <x v="449"/>
    <x v="22"/>
    <x v="617"/>
    <x v="15"/>
    <x v="2"/>
    <x v="14"/>
    <x v="3"/>
    <x v="3"/>
    <x v="15"/>
    <x v="15"/>
    <x v="0"/>
    <x v="0"/>
    <x v="5"/>
    <x v="2"/>
    <x v="9"/>
  </r>
  <r>
    <x v="141"/>
    <x v="129"/>
    <x v="171"/>
    <x v="1"/>
    <x v="9"/>
    <x v="153"/>
    <x v="153"/>
    <x v="152"/>
    <x v="152"/>
    <x v="0"/>
    <x v="685"/>
    <x v="706"/>
    <x v="599"/>
    <x v="179"/>
    <x v="78"/>
    <x v="618"/>
    <x v="18"/>
    <x v="2"/>
    <x v="50"/>
    <x v="3"/>
    <x v="3"/>
    <x v="70"/>
    <x v="448"/>
    <x v="0"/>
    <x v="0"/>
    <x v="5"/>
    <x v="2"/>
    <x v="9"/>
  </r>
  <r>
    <x v="141"/>
    <x v="130"/>
    <x v="172"/>
    <x v="0"/>
    <x v="86"/>
    <x v="154"/>
    <x v="154"/>
    <x v="153"/>
    <x v="153"/>
    <x v="0"/>
    <x v="686"/>
    <x v="707"/>
    <x v="600"/>
    <x v="487"/>
    <x v="10"/>
    <x v="619"/>
    <x v="162"/>
    <x v="1"/>
    <x v="136"/>
    <x v="1"/>
    <x v="0"/>
    <x v="11"/>
    <x v="515"/>
    <x v="0"/>
    <x v="0"/>
    <x v="2"/>
    <x v="11"/>
    <x v="84"/>
  </r>
  <r>
    <x v="141"/>
    <x v="132"/>
    <x v="175"/>
    <x v="1"/>
    <x v="62"/>
    <x v="157"/>
    <x v="157"/>
    <x v="156"/>
    <x v="156"/>
    <x v="0"/>
    <x v="687"/>
    <x v="708"/>
    <x v="309"/>
    <x v="488"/>
    <x v="43"/>
    <x v="620"/>
    <x v="15"/>
    <x v="2"/>
    <x v="14"/>
    <x v="3"/>
    <x v="3"/>
    <x v="15"/>
    <x v="15"/>
    <x v="2"/>
    <x v="78"/>
    <x v="5"/>
    <x v="2"/>
    <x v="60"/>
  </r>
  <r>
    <x v="141"/>
    <x v="132"/>
    <x v="176"/>
    <x v="1"/>
    <x v="62"/>
    <x v="158"/>
    <x v="158"/>
    <x v="157"/>
    <x v="157"/>
    <x v="0"/>
    <x v="688"/>
    <x v="709"/>
    <x v="601"/>
    <x v="489"/>
    <x v="106"/>
    <x v="621"/>
    <x v="41"/>
    <x v="2"/>
    <x v="14"/>
    <x v="3"/>
    <x v="3"/>
    <x v="75"/>
    <x v="516"/>
    <x v="18"/>
    <x v="79"/>
    <x v="7"/>
    <x v="2"/>
    <x v="60"/>
  </r>
  <r>
    <x v="14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</r>
  <r>
    <x v="142"/>
    <x v="124"/>
    <x v="165"/>
    <x v="0"/>
    <x v="85"/>
    <x v="148"/>
    <x v="148"/>
    <x v="147"/>
    <x v="147"/>
    <x v="0"/>
    <x v="689"/>
    <x v="633"/>
    <x v="279"/>
    <x v="44"/>
    <x v="4"/>
    <x v="622"/>
    <x v="1"/>
    <x v="2"/>
    <x v="73"/>
    <x v="11"/>
    <x v="3"/>
    <x v="243"/>
    <x v="517"/>
    <x v="0"/>
    <x v="0"/>
    <x v="2"/>
    <x v="2"/>
    <x v="83"/>
  </r>
  <r>
    <x v="142"/>
    <x v="127"/>
    <x v="168"/>
    <x v="0"/>
    <x v="9"/>
    <x v="151"/>
    <x v="151"/>
    <x v="150"/>
    <x v="150"/>
    <x v="0"/>
    <x v="690"/>
    <x v="710"/>
    <x v="602"/>
    <x v="162"/>
    <x v="32"/>
    <x v="189"/>
    <x v="185"/>
    <x v="1"/>
    <x v="19"/>
    <x v="3"/>
    <x v="3"/>
    <x v="69"/>
    <x v="256"/>
    <x v="0"/>
    <x v="0"/>
    <x v="2"/>
    <x v="11"/>
    <x v="9"/>
  </r>
  <r>
    <x v="142"/>
    <x v="125"/>
    <x v="170"/>
    <x v="1"/>
    <x v="9"/>
    <x v="152"/>
    <x v="152"/>
    <x v="151"/>
    <x v="151"/>
    <x v="0"/>
    <x v="691"/>
    <x v="630"/>
    <x v="603"/>
    <x v="360"/>
    <x v="15"/>
    <x v="623"/>
    <x v="18"/>
    <x v="2"/>
    <x v="24"/>
    <x v="3"/>
    <x v="3"/>
    <x v="27"/>
    <x v="518"/>
    <x v="0"/>
    <x v="0"/>
    <x v="5"/>
    <x v="2"/>
    <x v="9"/>
  </r>
  <r>
    <x v="142"/>
    <x v="129"/>
    <x v="171"/>
    <x v="1"/>
    <x v="9"/>
    <x v="153"/>
    <x v="153"/>
    <x v="152"/>
    <x v="152"/>
    <x v="0"/>
    <x v="692"/>
    <x v="711"/>
    <x v="604"/>
    <x v="490"/>
    <x v="79"/>
    <x v="624"/>
    <x v="22"/>
    <x v="1"/>
    <x v="50"/>
    <x v="3"/>
    <x v="3"/>
    <x v="68"/>
    <x v="519"/>
    <x v="0"/>
    <x v="0"/>
    <x v="5"/>
    <x v="2"/>
    <x v="9"/>
  </r>
  <r>
    <x v="142"/>
    <x v="130"/>
    <x v="172"/>
    <x v="0"/>
    <x v="86"/>
    <x v="154"/>
    <x v="154"/>
    <x v="153"/>
    <x v="153"/>
    <x v="0"/>
    <x v="693"/>
    <x v="712"/>
    <x v="605"/>
    <x v="491"/>
    <x v="12"/>
    <x v="315"/>
    <x v="210"/>
    <x v="2"/>
    <x v="71"/>
    <x v="0"/>
    <x v="2"/>
    <x v="279"/>
    <x v="422"/>
    <x v="0"/>
    <x v="0"/>
    <x v="1"/>
    <x v="6"/>
    <x v="84"/>
  </r>
  <r>
    <x v="142"/>
    <x v="132"/>
    <x v="175"/>
    <x v="1"/>
    <x v="62"/>
    <x v="157"/>
    <x v="157"/>
    <x v="156"/>
    <x v="156"/>
    <x v="0"/>
    <x v="694"/>
    <x v="713"/>
    <x v="606"/>
    <x v="186"/>
    <x v="25"/>
    <x v="625"/>
    <x v="26"/>
    <x v="2"/>
    <x v="24"/>
    <x v="3"/>
    <x v="3"/>
    <x v="83"/>
    <x v="520"/>
    <x v="2"/>
    <x v="80"/>
    <x v="4"/>
    <x v="2"/>
    <x v="60"/>
  </r>
  <r>
    <x v="142"/>
    <x v="132"/>
    <x v="176"/>
    <x v="1"/>
    <x v="62"/>
    <x v="158"/>
    <x v="158"/>
    <x v="157"/>
    <x v="157"/>
    <x v="0"/>
    <x v="695"/>
    <x v="714"/>
    <x v="526"/>
    <x v="492"/>
    <x v="107"/>
    <x v="626"/>
    <x v="26"/>
    <x v="1"/>
    <x v="50"/>
    <x v="3"/>
    <x v="4"/>
    <x v="68"/>
    <x v="521"/>
    <x v="13"/>
    <x v="10"/>
    <x v="1"/>
    <x v="5"/>
    <x v="60"/>
  </r>
  <r>
    <x v="142"/>
    <x v="133"/>
    <x v="177"/>
    <x v="0"/>
    <x v="69"/>
    <x v="159"/>
    <x v="159"/>
    <x v="158"/>
    <x v="158"/>
    <x v="0"/>
    <x v="696"/>
    <x v="715"/>
    <x v="607"/>
    <x v="493"/>
    <x v="43"/>
    <x v="627"/>
    <x v="185"/>
    <x v="2"/>
    <x v="4"/>
    <x v="3"/>
    <x v="1"/>
    <x v="178"/>
    <x v="316"/>
    <x v="0"/>
    <x v="0"/>
    <x v="2"/>
    <x v="5"/>
    <x v="67"/>
  </r>
  <r>
    <x v="143"/>
    <x v="124"/>
    <x v="164"/>
    <x v="0"/>
    <x v="72"/>
    <x v="147"/>
    <x v="147"/>
    <x v="146"/>
    <x v="146"/>
    <x v="0"/>
    <x v="697"/>
    <x v="716"/>
    <x v="608"/>
    <x v="494"/>
    <x v="2"/>
    <x v="376"/>
    <x v="8"/>
    <x v="2"/>
    <x v="24"/>
    <x v="3"/>
    <x v="3"/>
    <x v="70"/>
    <x v="522"/>
    <x v="0"/>
    <x v="0"/>
    <x v="5"/>
    <x v="2"/>
    <x v="70"/>
  </r>
  <r>
    <x v="143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</r>
  <r>
    <x v="143"/>
    <x v="127"/>
    <x v="168"/>
    <x v="0"/>
    <x v="9"/>
    <x v="151"/>
    <x v="151"/>
    <x v="150"/>
    <x v="150"/>
    <x v="0"/>
    <x v="119"/>
    <x v="717"/>
    <x v="72"/>
    <x v="495"/>
    <x v="4"/>
    <x v="628"/>
    <x v="15"/>
    <x v="2"/>
    <x v="14"/>
    <x v="3"/>
    <x v="3"/>
    <x v="15"/>
    <x v="15"/>
    <x v="0"/>
    <x v="0"/>
    <x v="5"/>
    <x v="2"/>
    <x v="9"/>
  </r>
  <r>
    <x v="143"/>
    <x v="125"/>
    <x v="170"/>
    <x v="1"/>
    <x v="9"/>
    <x v="152"/>
    <x v="152"/>
    <x v="151"/>
    <x v="151"/>
    <x v="0"/>
    <x v="698"/>
    <x v="718"/>
    <x v="609"/>
    <x v="115"/>
    <x v="83"/>
    <x v="186"/>
    <x v="26"/>
    <x v="2"/>
    <x v="24"/>
    <x v="3"/>
    <x v="3"/>
    <x v="83"/>
    <x v="523"/>
    <x v="0"/>
    <x v="0"/>
    <x v="5"/>
    <x v="2"/>
    <x v="9"/>
  </r>
  <r>
    <x v="143"/>
    <x v="129"/>
    <x v="171"/>
    <x v="1"/>
    <x v="9"/>
    <x v="153"/>
    <x v="153"/>
    <x v="152"/>
    <x v="152"/>
    <x v="0"/>
    <x v="699"/>
    <x v="719"/>
    <x v="610"/>
    <x v="496"/>
    <x v="15"/>
    <x v="629"/>
    <x v="13"/>
    <x v="2"/>
    <x v="24"/>
    <x v="3"/>
    <x v="3"/>
    <x v="68"/>
    <x v="524"/>
    <x v="0"/>
    <x v="0"/>
    <x v="5"/>
    <x v="5"/>
    <x v="9"/>
  </r>
  <r>
    <x v="143"/>
    <x v="130"/>
    <x v="172"/>
    <x v="0"/>
    <x v="86"/>
    <x v="154"/>
    <x v="154"/>
    <x v="153"/>
    <x v="153"/>
    <x v="0"/>
    <x v="700"/>
    <x v="720"/>
    <x v="611"/>
    <x v="157"/>
    <x v="41"/>
    <x v="544"/>
    <x v="207"/>
    <x v="2"/>
    <x v="61"/>
    <x v="11"/>
    <x v="4"/>
    <x v="144"/>
    <x v="525"/>
    <x v="0"/>
    <x v="0"/>
    <x v="1"/>
    <x v="11"/>
    <x v="84"/>
  </r>
  <r>
    <x v="143"/>
    <x v="132"/>
    <x v="175"/>
    <x v="1"/>
    <x v="62"/>
    <x v="157"/>
    <x v="157"/>
    <x v="156"/>
    <x v="156"/>
    <x v="0"/>
    <x v="701"/>
    <x v="721"/>
    <x v="612"/>
    <x v="497"/>
    <x v="44"/>
    <x v="630"/>
    <x v="8"/>
    <x v="2"/>
    <x v="24"/>
    <x v="3"/>
    <x v="2"/>
    <x v="83"/>
    <x v="526"/>
    <x v="1"/>
    <x v="81"/>
    <x v="1"/>
    <x v="2"/>
    <x v="60"/>
  </r>
  <r>
    <x v="143"/>
    <x v="132"/>
    <x v="176"/>
    <x v="1"/>
    <x v="62"/>
    <x v="158"/>
    <x v="158"/>
    <x v="157"/>
    <x v="157"/>
    <x v="0"/>
    <x v="702"/>
    <x v="722"/>
    <x v="227"/>
    <x v="498"/>
    <x v="82"/>
    <x v="631"/>
    <x v="23"/>
    <x v="2"/>
    <x v="50"/>
    <x v="3"/>
    <x v="3"/>
    <x v="93"/>
    <x v="527"/>
    <x v="14"/>
    <x v="82"/>
    <x v="1"/>
    <x v="2"/>
    <x v="60"/>
  </r>
  <r>
    <x v="143"/>
    <x v="133"/>
    <x v="177"/>
    <x v="0"/>
    <x v="69"/>
    <x v="159"/>
    <x v="159"/>
    <x v="158"/>
    <x v="158"/>
    <x v="0"/>
    <x v="703"/>
    <x v="723"/>
    <x v="613"/>
    <x v="211"/>
    <x v="108"/>
    <x v="632"/>
    <x v="211"/>
    <x v="1"/>
    <x v="132"/>
    <x v="5"/>
    <x v="1"/>
    <x v="280"/>
    <x v="78"/>
    <x v="0"/>
    <x v="0"/>
    <x v="12"/>
    <x v="13"/>
    <x v="67"/>
  </r>
  <r>
    <x v="144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</r>
  <r>
    <x v="144"/>
    <x v="116"/>
    <x v="150"/>
    <x v="0"/>
    <x v="73"/>
    <x v="133"/>
    <x v="133"/>
    <x v="132"/>
    <x v="132"/>
    <x v="0"/>
    <x v="704"/>
    <x v="724"/>
    <x v="614"/>
    <x v="499"/>
    <x v="44"/>
    <x v="633"/>
    <x v="93"/>
    <x v="0"/>
    <x v="61"/>
    <x v="5"/>
    <x v="4"/>
    <x v="217"/>
    <x v="528"/>
    <x v="0"/>
    <x v="0"/>
    <x v="8"/>
    <x v="12"/>
    <x v="71"/>
  </r>
  <r>
    <x v="144"/>
    <x v="124"/>
    <x v="164"/>
    <x v="0"/>
    <x v="72"/>
    <x v="147"/>
    <x v="147"/>
    <x v="146"/>
    <x v="146"/>
    <x v="0"/>
    <x v="705"/>
    <x v="725"/>
    <x v="615"/>
    <x v="224"/>
    <x v="47"/>
    <x v="634"/>
    <x v="143"/>
    <x v="10"/>
    <x v="133"/>
    <x v="5"/>
    <x v="2"/>
    <x v="253"/>
    <x v="529"/>
    <x v="0"/>
    <x v="0"/>
    <x v="24"/>
    <x v="5"/>
    <x v="70"/>
  </r>
  <r>
    <x v="144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</r>
  <r>
    <x v="144"/>
    <x v="127"/>
    <x v="168"/>
    <x v="0"/>
    <x v="9"/>
    <x v="151"/>
    <x v="151"/>
    <x v="150"/>
    <x v="150"/>
    <x v="0"/>
    <x v="393"/>
    <x v="726"/>
    <x v="616"/>
    <x v="435"/>
    <x v="74"/>
    <x v="635"/>
    <x v="66"/>
    <x v="2"/>
    <x v="90"/>
    <x v="3"/>
    <x v="3"/>
    <x v="1"/>
    <x v="530"/>
    <x v="0"/>
    <x v="0"/>
    <x v="5"/>
    <x v="2"/>
    <x v="9"/>
  </r>
  <r>
    <x v="144"/>
    <x v="125"/>
    <x v="170"/>
    <x v="1"/>
    <x v="9"/>
    <x v="152"/>
    <x v="152"/>
    <x v="151"/>
    <x v="151"/>
    <x v="0"/>
    <x v="706"/>
    <x v="727"/>
    <x v="560"/>
    <x v="500"/>
    <x v="15"/>
    <x v="636"/>
    <x v="15"/>
    <x v="2"/>
    <x v="14"/>
    <x v="3"/>
    <x v="3"/>
    <x v="15"/>
    <x v="15"/>
    <x v="0"/>
    <x v="0"/>
    <x v="5"/>
    <x v="2"/>
    <x v="9"/>
  </r>
  <r>
    <x v="144"/>
    <x v="129"/>
    <x v="171"/>
    <x v="1"/>
    <x v="9"/>
    <x v="153"/>
    <x v="153"/>
    <x v="152"/>
    <x v="152"/>
    <x v="0"/>
    <x v="707"/>
    <x v="728"/>
    <x v="617"/>
    <x v="354"/>
    <x v="59"/>
    <x v="637"/>
    <x v="18"/>
    <x v="2"/>
    <x v="14"/>
    <x v="3"/>
    <x v="3"/>
    <x v="20"/>
    <x v="531"/>
    <x v="0"/>
    <x v="0"/>
    <x v="5"/>
    <x v="2"/>
    <x v="9"/>
  </r>
  <r>
    <x v="144"/>
    <x v="130"/>
    <x v="172"/>
    <x v="0"/>
    <x v="86"/>
    <x v="154"/>
    <x v="154"/>
    <x v="153"/>
    <x v="153"/>
    <x v="0"/>
    <x v="30"/>
    <x v="40"/>
    <x v="29"/>
    <x v="30"/>
    <x v="16"/>
    <x v="29"/>
    <x v="15"/>
    <x v="2"/>
    <x v="14"/>
    <x v="3"/>
    <x v="3"/>
    <x v="15"/>
    <x v="15"/>
    <x v="0"/>
    <x v="0"/>
    <x v="5"/>
    <x v="2"/>
    <x v="84"/>
  </r>
  <r>
    <x v="144"/>
    <x v="131"/>
    <x v="174"/>
    <x v="0"/>
    <x v="70"/>
    <x v="156"/>
    <x v="156"/>
    <x v="155"/>
    <x v="155"/>
    <x v="0"/>
    <x v="708"/>
    <x v="729"/>
    <x v="618"/>
    <x v="288"/>
    <x v="82"/>
    <x v="638"/>
    <x v="89"/>
    <x v="5"/>
    <x v="3"/>
    <x v="11"/>
    <x v="1"/>
    <x v="53"/>
    <x v="51"/>
    <x v="0"/>
    <x v="0"/>
    <x v="10"/>
    <x v="3"/>
    <x v="68"/>
  </r>
  <r>
    <x v="144"/>
    <x v="132"/>
    <x v="175"/>
    <x v="1"/>
    <x v="62"/>
    <x v="157"/>
    <x v="157"/>
    <x v="156"/>
    <x v="156"/>
    <x v="0"/>
    <x v="709"/>
    <x v="730"/>
    <x v="619"/>
    <x v="501"/>
    <x v="73"/>
    <x v="639"/>
    <x v="18"/>
    <x v="1"/>
    <x v="24"/>
    <x v="3"/>
    <x v="3"/>
    <x v="70"/>
    <x v="532"/>
    <x v="27"/>
    <x v="44"/>
    <x v="11"/>
    <x v="12"/>
    <x v="60"/>
  </r>
  <r>
    <x v="144"/>
    <x v="132"/>
    <x v="176"/>
    <x v="1"/>
    <x v="62"/>
    <x v="158"/>
    <x v="158"/>
    <x v="157"/>
    <x v="157"/>
    <x v="0"/>
    <x v="710"/>
    <x v="731"/>
    <x v="290"/>
    <x v="213"/>
    <x v="43"/>
    <x v="640"/>
    <x v="18"/>
    <x v="2"/>
    <x v="24"/>
    <x v="3"/>
    <x v="3"/>
    <x v="27"/>
    <x v="533"/>
    <x v="14"/>
    <x v="83"/>
    <x v="5"/>
    <x v="2"/>
    <x v="60"/>
  </r>
  <r>
    <x v="144"/>
    <x v="133"/>
    <x v="177"/>
    <x v="0"/>
    <x v="69"/>
    <x v="159"/>
    <x v="159"/>
    <x v="158"/>
    <x v="158"/>
    <x v="0"/>
    <x v="711"/>
    <x v="732"/>
    <x v="308"/>
    <x v="72"/>
    <x v="29"/>
    <x v="641"/>
    <x v="23"/>
    <x v="2"/>
    <x v="14"/>
    <x v="3"/>
    <x v="3"/>
    <x v="83"/>
    <x v="64"/>
    <x v="0"/>
    <x v="0"/>
    <x v="5"/>
    <x v="2"/>
    <x v="67"/>
  </r>
  <r>
    <x v="144"/>
    <x v="134"/>
    <x v="178"/>
    <x v="1"/>
    <x v="62"/>
    <x v="160"/>
    <x v="160"/>
    <x v="159"/>
    <x v="159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60"/>
  </r>
  <r>
    <x v="144"/>
    <x v="135"/>
    <x v="179"/>
    <x v="1"/>
    <x v="46"/>
    <x v="160"/>
    <x v="160"/>
    <x v="159"/>
    <x v="159"/>
    <x v="0"/>
    <x v="712"/>
    <x v="733"/>
    <x v="62"/>
    <x v="275"/>
    <x v="25"/>
    <x v="642"/>
    <x v="26"/>
    <x v="2"/>
    <x v="14"/>
    <x v="3"/>
    <x v="3"/>
    <x v="70"/>
    <x v="534"/>
    <x v="3"/>
    <x v="84"/>
    <x v="5"/>
    <x v="2"/>
    <x v="46"/>
  </r>
  <r>
    <x v="144"/>
    <x v="136"/>
    <x v="180"/>
    <x v="1"/>
    <x v="46"/>
    <x v="161"/>
    <x v="161"/>
    <x v="160"/>
    <x v="160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46"/>
  </r>
  <r>
    <x v="144"/>
    <x v="135"/>
    <x v="181"/>
    <x v="1"/>
    <x v="7"/>
    <x v="161"/>
    <x v="161"/>
    <x v="160"/>
    <x v="160"/>
    <x v="0"/>
    <x v="713"/>
    <x v="734"/>
    <x v="620"/>
    <x v="99"/>
    <x v="82"/>
    <x v="643"/>
    <x v="7"/>
    <x v="2"/>
    <x v="7"/>
    <x v="5"/>
    <x v="2"/>
    <x v="165"/>
    <x v="119"/>
    <x v="0"/>
    <x v="0"/>
    <x v="2"/>
    <x v="2"/>
    <x v="7"/>
  </r>
  <r>
    <x v="144"/>
    <x v="137"/>
    <x v="182"/>
    <x v="1"/>
    <x v="62"/>
    <x v="162"/>
    <x v="162"/>
    <x v="161"/>
    <x v="161"/>
    <x v="0"/>
    <x v="714"/>
    <x v="685"/>
    <x v="72"/>
    <x v="372"/>
    <x v="14"/>
    <x v="644"/>
    <x v="15"/>
    <x v="2"/>
    <x v="14"/>
    <x v="3"/>
    <x v="3"/>
    <x v="15"/>
    <x v="15"/>
    <x v="0"/>
    <x v="0"/>
    <x v="5"/>
    <x v="2"/>
    <x v="60"/>
  </r>
  <r>
    <x v="144"/>
    <x v="135"/>
    <x v="183"/>
    <x v="1"/>
    <x v="87"/>
    <x v="162"/>
    <x v="162"/>
    <x v="161"/>
    <x v="161"/>
    <x v="0"/>
    <x v="715"/>
    <x v="735"/>
    <x v="621"/>
    <x v="12"/>
    <x v="25"/>
    <x v="645"/>
    <x v="31"/>
    <x v="2"/>
    <x v="55"/>
    <x v="0"/>
    <x v="4"/>
    <x v="281"/>
    <x v="394"/>
    <x v="0"/>
    <x v="0"/>
    <x v="5"/>
    <x v="11"/>
    <x v="85"/>
  </r>
  <r>
    <x v="144"/>
    <x v="138"/>
    <x v="184"/>
    <x v="1"/>
    <x v="87"/>
    <x v="163"/>
    <x v="163"/>
    <x v="162"/>
    <x v="162"/>
    <x v="0"/>
    <x v="716"/>
    <x v="592"/>
    <x v="113"/>
    <x v="502"/>
    <x v="23"/>
    <x v="646"/>
    <x v="15"/>
    <x v="2"/>
    <x v="14"/>
    <x v="3"/>
    <x v="3"/>
    <x v="15"/>
    <x v="15"/>
    <x v="0"/>
    <x v="0"/>
    <x v="5"/>
    <x v="2"/>
    <x v="85"/>
  </r>
  <r>
    <x v="144"/>
    <x v="135"/>
    <x v="185"/>
    <x v="1"/>
    <x v="83"/>
    <x v="163"/>
    <x v="163"/>
    <x v="162"/>
    <x v="162"/>
    <x v="0"/>
    <x v="717"/>
    <x v="736"/>
    <x v="622"/>
    <x v="503"/>
    <x v="27"/>
    <x v="647"/>
    <x v="125"/>
    <x v="2"/>
    <x v="91"/>
    <x v="5"/>
    <x v="3"/>
    <x v="275"/>
    <x v="118"/>
    <x v="0"/>
    <x v="0"/>
    <x v="5"/>
    <x v="5"/>
    <x v="81"/>
  </r>
  <r>
    <x v="144"/>
    <x v="135"/>
    <x v="186"/>
    <x v="1"/>
    <x v="87"/>
    <x v="164"/>
    <x v="164"/>
    <x v="163"/>
    <x v="163"/>
    <x v="0"/>
    <x v="718"/>
    <x v="737"/>
    <x v="85"/>
    <x v="504"/>
    <x v="27"/>
    <x v="648"/>
    <x v="8"/>
    <x v="2"/>
    <x v="14"/>
    <x v="5"/>
    <x v="2"/>
    <x v="83"/>
    <x v="535"/>
    <x v="0"/>
    <x v="0"/>
    <x v="5"/>
    <x v="2"/>
    <x v="85"/>
  </r>
  <r>
    <x v="144"/>
    <x v="139"/>
    <x v="187"/>
    <x v="0"/>
    <x v="72"/>
    <x v="165"/>
    <x v="165"/>
    <x v="164"/>
    <x v="164"/>
    <x v="0"/>
    <x v="719"/>
    <x v="738"/>
    <x v="623"/>
    <x v="272"/>
    <x v="8"/>
    <x v="649"/>
    <x v="15"/>
    <x v="2"/>
    <x v="14"/>
    <x v="3"/>
    <x v="3"/>
    <x v="15"/>
    <x v="15"/>
    <x v="0"/>
    <x v="0"/>
    <x v="2"/>
    <x v="2"/>
    <x v="70"/>
  </r>
  <r>
    <x v="144"/>
    <x v="140"/>
    <x v="188"/>
    <x v="1"/>
    <x v="87"/>
    <x v="166"/>
    <x v="166"/>
    <x v="165"/>
    <x v="165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85"/>
  </r>
  <r>
    <x v="144"/>
    <x v="135"/>
    <x v="189"/>
    <x v="1"/>
    <x v="83"/>
    <x v="166"/>
    <x v="166"/>
    <x v="165"/>
    <x v="165"/>
    <x v="0"/>
    <x v="720"/>
    <x v="739"/>
    <x v="624"/>
    <x v="505"/>
    <x v="35"/>
    <x v="650"/>
    <x v="15"/>
    <x v="2"/>
    <x v="14"/>
    <x v="3"/>
    <x v="3"/>
    <x v="15"/>
    <x v="15"/>
    <x v="0"/>
    <x v="0"/>
    <x v="5"/>
    <x v="2"/>
    <x v="81"/>
  </r>
  <r>
    <x v="145"/>
    <x v="116"/>
    <x v="150"/>
    <x v="0"/>
    <x v="73"/>
    <x v="133"/>
    <x v="133"/>
    <x v="132"/>
    <x v="132"/>
    <x v="0"/>
    <x v="721"/>
    <x v="740"/>
    <x v="625"/>
    <x v="493"/>
    <x v="76"/>
    <x v="651"/>
    <x v="146"/>
    <x v="0"/>
    <x v="55"/>
    <x v="3"/>
    <x v="2"/>
    <x v="143"/>
    <x v="536"/>
    <x v="0"/>
    <x v="0"/>
    <x v="0"/>
    <x v="10"/>
    <x v="71"/>
  </r>
  <r>
    <x v="145"/>
    <x v="121"/>
    <x v="161"/>
    <x v="0"/>
    <x v="83"/>
    <x v="144"/>
    <x v="144"/>
    <x v="143"/>
    <x v="143"/>
    <x v="0"/>
    <x v="722"/>
    <x v="741"/>
    <x v="626"/>
    <x v="506"/>
    <x v="28"/>
    <x v="652"/>
    <x v="40"/>
    <x v="2"/>
    <x v="144"/>
    <x v="11"/>
    <x v="7"/>
    <x v="43"/>
    <x v="537"/>
    <x v="0"/>
    <x v="0"/>
    <x v="4"/>
    <x v="8"/>
    <x v="81"/>
  </r>
  <r>
    <x v="145"/>
    <x v="124"/>
    <x v="164"/>
    <x v="0"/>
    <x v="72"/>
    <x v="147"/>
    <x v="147"/>
    <x v="146"/>
    <x v="146"/>
    <x v="0"/>
    <x v="723"/>
    <x v="742"/>
    <x v="627"/>
    <x v="174"/>
    <x v="21"/>
    <x v="653"/>
    <x v="30"/>
    <x v="0"/>
    <x v="31"/>
    <x v="3"/>
    <x v="3"/>
    <x v="282"/>
    <x v="538"/>
    <x v="0"/>
    <x v="0"/>
    <x v="12"/>
    <x v="12"/>
    <x v="70"/>
  </r>
  <r>
    <x v="145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</r>
  <r>
    <x v="145"/>
    <x v="127"/>
    <x v="168"/>
    <x v="0"/>
    <x v="9"/>
    <x v="151"/>
    <x v="151"/>
    <x v="150"/>
    <x v="150"/>
    <x v="0"/>
    <x v="724"/>
    <x v="743"/>
    <x v="37"/>
    <x v="507"/>
    <x v="47"/>
    <x v="654"/>
    <x v="194"/>
    <x v="2"/>
    <x v="14"/>
    <x v="3"/>
    <x v="3"/>
    <x v="259"/>
    <x v="15"/>
    <x v="0"/>
    <x v="0"/>
    <x v="5"/>
    <x v="2"/>
    <x v="9"/>
  </r>
  <r>
    <x v="145"/>
    <x v="125"/>
    <x v="170"/>
    <x v="1"/>
    <x v="9"/>
    <x v="152"/>
    <x v="152"/>
    <x v="151"/>
    <x v="151"/>
    <x v="0"/>
    <x v="30"/>
    <x v="717"/>
    <x v="29"/>
    <x v="30"/>
    <x v="16"/>
    <x v="29"/>
    <x v="15"/>
    <x v="2"/>
    <x v="14"/>
    <x v="3"/>
    <x v="3"/>
    <x v="15"/>
    <x v="15"/>
    <x v="0"/>
    <x v="0"/>
    <x v="5"/>
    <x v="2"/>
    <x v="9"/>
  </r>
  <r>
    <x v="145"/>
    <x v="129"/>
    <x v="171"/>
    <x v="1"/>
    <x v="9"/>
    <x v="153"/>
    <x v="153"/>
    <x v="152"/>
    <x v="152"/>
    <x v="0"/>
    <x v="725"/>
    <x v="744"/>
    <x v="628"/>
    <x v="277"/>
    <x v="104"/>
    <x v="655"/>
    <x v="18"/>
    <x v="1"/>
    <x v="14"/>
    <x v="3"/>
    <x v="3"/>
    <x v="27"/>
    <x v="539"/>
    <x v="0"/>
    <x v="0"/>
    <x v="5"/>
    <x v="6"/>
    <x v="9"/>
  </r>
  <r>
    <x v="145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</r>
  <r>
    <x v="145"/>
    <x v="131"/>
    <x v="174"/>
    <x v="0"/>
    <x v="70"/>
    <x v="156"/>
    <x v="156"/>
    <x v="155"/>
    <x v="155"/>
    <x v="0"/>
    <x v="726"/>
    <x v="745"/>
    <x v="629"/>
    <x v="508"/>
    <x v="48"/>
    <x v="656"/>
    <x v="202"/>
    <x v="11"/>
    <x v="29"/>
    <x v="3"/>
    <x v="12"/>
    <x v="283"/>
    <x v="540"/>
    <x v="0"/>
    <x v="0"/>
    <x v="11"/>
    <x v="6"/>
    <x v="68"/>
  </r>
  <r>
    <x v="145"/>
    <x v="132"/>
    <x v="175"/>
    <x v="1"/>
    <x v="62"/>
    <x v="157"/>
    <x v="157"/>
    <x v="156"/>
    <x v="156"/>
    <x v="0"/>
    <x v="727"/>
    <x v="746"/>
    <x v="630"/>
    <x v="509"/>
    <x v="73"/>
    <x v="657"/>
    <x v="23"/>
    <x v="2"/>
    <x v="20"/>
    <x v="3"/>
    <x v="2"/>
    <x v="37"/>
    <x v="541"/>
    <x v="5"/>
    <x v="85"/>
    <x v="4"/>
    <x v="5"/>
    <x v="60"/>
  </r>
  <r>
    <x v="145"/>
    <x v="132"/>
    <x v="176"/>
    <x v="1"/>
    <x v="62"/>
    <x v="158"/>
    <x v="158"/>
    <x v="157"/>
    <x v="157"/>
    <x v="0"/>
    <x v="728"/>
    <x v="747"/>
    <x v="180"/>
    <x v="510"/>
    <x v="43"/>
    <x v="195"/>
    <x v="18"/>
    <x v="2"/>
    <x v="14"/>
    <x v="3"/>
    <x v="3"/>
    <x v="20"/>
    <x v="542"/>
    <x v="14"/>
    <x v="86"/>
    <x v="1"/>
    <x v="2"/>
    <x v="60"/>
  </r>
  <r>
    <x v="145"/>
    <x v="135"/>
    <x v="179"/>
    <x v="1"/>
    <x v="46"/>
    <x v="160"/>
    <x v="160"/>
    <x v="159"/>
    <x v="159"/>
    <x v="0"/>
    <x v="729"/>
    <x v="748"/>
    <x v="631"/>
    <x v="219"/>
    <x v="25"/>
    <x v="658"/>
    <x v="46"/>
    <x v="2"/>
    <x v="22"/>
    <x v="5"/>
    <x v="3"/>
    <x v="284"/>
    <x v="33"/>
    <x v="6"/>
    <x v="87"/>
    <x v="7"/>
    <x v="5"/>
    <x v="46"/>
  </r>
  <r>
    <x v="145"/>
    <x v="135"/>
    <x v="181"/>
    <x v="1"/>
    <x v="7"/>
    <x v="161"/>
    <x v="161"/>
    <x v="160"/>
    <x v="160"/>
    <x v="0"/>
    <x v="730"/>
    <x v="749"/>
    <x v="632"/>
    <x v="511"/>
    <x v="76"/>
    <x v="659"/>
    <x v="177"/>
    <x v="2"/>
    <x v="90"/>
    <x v="5"/>
    <x v="1"/>
    <x v="285"/>
    <x v="474"/>
    <x v="0"/>
    <x v="0"/>
    <x v="2"/>
    <x v="2"/>
    <x v="7"/>
  </r>
  <r>
    <x v="145"/>
    <x v="135"/>
    <x v="183"/>
    <x v="1"/>
    <x v="87"/>
    <x v="162"/>
    <x v="162"/>
    <x v="161"/>
    <x v="16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5"/>
  </r>
  <r>
    <x v="145"/>
    <x v="135"/>
    <x v="185"/>
    <x v="1"/>
    <x v="83"/>
    <x v="163"/>
    <x v="163"/>
    <x v="162"/>
    <x v="16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</r>
  <r>
    <x v="145"/>
    <x v="135"/>
    <x v="186"/>
    <x v="1"/>
    <x v="87"/>
    <x v="164"/>
    <x v="164"/>
    <x v="163"/>
    <x v="163"/>
    <x v="0"/>
    <x v="731"/>
    <x v="750"/>
    <x v="51"/>
    <x v="215"/>
    <x v="26"/>
    <x v="660"/>
    <x v="139"/>
    <x v="0"/>
    <x v="150"/>
    <x v="7"/>
    <x v="7"/>
    <x v="279"/>
    <x v="543"/>
    <x v="2"/>
    <x v="88"/>
    <x v="5"/>
    <x v="10"/>
    <x v="85"/>
  </r>
  <r>
    <x v="145"/>
    <x v="135"/>
    <x v="189"/>
    <x v="1"/>
    <x v="83"/>
    <x v="166"/>
    <x v="166"/>
    <x v="165"/>
    <x v="165"/>
    <x v="0"/>
    <x v="732"/>
    <x v="179"/>
    <x v="113"/>
    <x v="161"/>
    <x v="3"/>
    <x v="661"/>
    <x v="15"/>
    <x v="2"/>
    <x v="14"/>
    <x v="3"/>
    <x v="3"/>
    <x v="15"/>
    <x v="15"/>
    <x v="0"/>
    <x v="0"/>
    <x v="5"/>
    <x v="2"/>
    <x v="81"/>
  </r>
  <r>
    <x v="145"/>
    <x v="141"/>
    <x v="190"/>
    <x v="0"/>
    <x v="88"/>
    <x v="167"/>
    <x v="167"/>
    <x v="166"/>
    <x v="166"/>
    <x v="0"/>
    <x v="733"/>
    <x v="751"/>
    <x v="633"/>
    <x v="512"/>
    <x v="2"/>
    <x v="662"/>
    <x v="10"/>
    <x v="1"/>
    <x v="42"/>
    <x v="4"/>
    <x v="3"/>
    <x v="7"/>
    <x v="544"/>
    <x v="0"/>
    <x v="0"/>
    <x v="11"/>
    <x v="6"/>
    <x v="86"/>
  </r>
  <r>
    <x v="145"/>
    <x v="141"/>
    <x v="191"/>
    <x v="0"/>
    <x v="89"/>
    <x v="168"/>
    <x v="168"/>
    <x v="167"/>
    <x v="167"/>
    <x v="0"/>
    <x v="734"/>
    <x v="752"/>
    <x v="634"/>
    <x v="147"/>
    <x v="73"/>
    <x v="663"/>
    <x v="28"/>
    <x v="2"/>
    <x v="30"/>
    <x v="11"/>
    <x v="1"/>
    <x v="117"/>
    <x v="249"/>
    <x v="0"/>
    <x v="0"/>
    <x v="5"/>
    <x v="5"/>
    <x v="87"/>
  </r>
  <r>
    <x v="145"/>
    <x v="141"/>
    <x v="192"/>
    <x v="0"/>
    <x v="90"/>
    <x v="169"/>
    <x v="169"/>
    <x v="168"/>
    <x v="168"/>
    <x v="0"/>
    <x v="735"/>
    <x v="753"/>
    <x v="635"/>
    <x v="513"/>
    <x v="35"/>
    <x v="664"/>
    <x v="126"/>
    <x v="2"/>
    <x v="49"/>
    <x v="3"/>
    <x v="4"/>
    <x v="42"/>
    <x v="545"/>
    <x v="0"/>
    <x v="0"/>
    <x v="10"/>
    <x v="11"/>
    <x v="88"/>
  </r>
  <r>
    <x v="146"/>
    <x v="116"/>
    <x v="150"/>
    <x v="0"/>
    <x v="73"/>
    <x v="133"/>
    <x v="133"/>
    <x v="132"/>
    <x v="132"/>
    <x v="0"/>
    <x v="736"/>
    <x v="754"/>
    <x v="636"/>
    <x v="140"/>
    <x v="74"/>
    <x v="665"/>
    <x v="212"/>
    <x v="2"/>
    <x v="142"/>
    <x v="3"/>
    <x v="1"/>
    <x v="271"/>
    <x v="546"/>
    <x v="0"/>
    <x v="0"/>
    <x v="39"/>
    <x v="2"/>
    <x v="71"/>
  </r>
  <r>
    <x v="146"/>
    <x v="121"/>
    <x v="161"/>
    <x v="0"/>
    <x v="83"/>
    <x v="144"/>
    <x v="144"/>
    <x v="143"/>
    <x v="143"/>
    <x v="0"/>
    <x v="737"/>
    <x v="755"/>
    <x v="637"/>
    <x v="514"/>
    <x v="9"/>
    <x v="666"/>
    <x v="128"/>
    <x v="7"/>
    <x v="6"/>
    <x v="14"/>
    <x v="5"/>
    <x v="218"/>
    <x v="547"/>
    <x v="0"/>
    <x v="0"/>
    <x v="13"/>
    <x v="13"/>
    <x v="81"/>
  </r>
  <r>
    <x v="146"/>
    <x v="124"/>
    <x v="164"/>
    <x v="0"/>
    <x v="72"/>
    <x v="147"/>
    <x v="147"/>
    <x v="146"/>
    <x v="146"/>
    <x v="0"/>
    <x v="738"/>
    <x v="756"/>
    <x v="638"/>
    <x v="515"/>
    <x v="53"/>
    <x v="359"/>
    <x v="212"/>
    <x v="3"/>
    <x v="61"/>
    <x v="3"/>
    <x v="2"/>
    <x v="286"/>
    <x v="548"/>
    <x v="0"/>
    <x v="0"/>
    <x v="13"/>
    <x v="5"/>
    <x v="70"/>
  </r>
  <r>
    <x v="146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</r>
  <r>
    <x v="146"/>
    <x v="125"/>
    <x v="170"/>
    <x v="1"/>
    <x v="9"/>
    <x v="152"/>
    <x v="152"/>
    <x v="151"/>
    <x v="151"/>
    <x v="0"/>
    <x v="75"/>
    <x v="274"/>
    <x v="73"/>
    <x v="445"/>
    <x v="35"/>
    <x v="667"/>
    <x v="15"/>
    <x v="2"/>
    <x v="14"/>
    <x v="3"/>
    <x v="3"/>
    <x v="15"/>
    <x v="15"/>
    <x v="0"/>
    <x v="0"/>
    <x v="5"/>
    <x v="2"/>
    <x v="9"/>
  </r>
  <r>
    <x v="146"/>
    <x v="129"/>
    <x v="171"/>
    <x v="1"/>
    <x v="9"/>
    <x v="153"/>
    <x v="153"/>
    <x v="152"/>
    <x v="152"/>
    <x v="0"/>
    <x v="739"/>
    <x v="757"/>
    <x v="639"/>
    <x v="147"/>
    <x v="38"/>
    <x v="668"/>
    <x v="26"/>
    <x v="2"/>
    <x v="14"/>
    <x v="3"/>
    <x v="3"/>
    <x v="70"/>
    <x v="549"/>
    <x v="0"/>
    <x v="0"/>
    <x v="2"/>
    <x v="2"/>
    <x v="9"/>
  </r>
  <r>
    <x v="146"/>
    <x v="131"/>
    <x v="174"/>
    <x v="0"/>
    <x v="70"/>
    <x v="156"/>
    <x v="156"/>
    <x v="155"/>
    <x v="155"/>
    <x v="0"/>
    <x v="740"/>
    <x v="758"/>
    <x v="640"/>
    <x v="337"/>
    <x v="12"/>
    <x v="449"/>
    <x v="49"/>
    <x v="11"/>
    <x v="23"/>
    <x v="5"/>
    <x v="24"/>
    <x v="247"/>
    <x v="550"/>
    <x v="0"/>
    <x v="0"/>
    <x v="39"/>
    <x v="2"/>
    <x v="68"/>
  </r>
  <r>
    <x v="146"/>
    <x v="132"/>
    <x v="175"/>
    <x v="1"/>
    <x v="62"/>
    <x v="157"/>
    <x v="157"/>
    <x v="156"/>
    <x v="156"/>
    <x v="0"/>
    <x v="741"/>
    <x v="759"/>
    <x v="641"/>
    <x v="516"/>
    <x v="15"/>
    <x v="669"/>
    <x v="15"/>
    <x v="1"/>
    <x v="24"/>
    <x v="3"/>
    <x v="1"/>
    <x v="83"/>
    <x v="551"/>
    <x v="14"/>
    <x v="48"/>
    <x v="2"/>
    <x v="2"/>
    <x v="60"/>
  </r>
  <r>
    <x v="146"/>
    <x v="132"/>
    <x v="176"/>
    <x v="1"/>
    <x v="62"/>
    <x v="158"/>
    <x v="158"/>
    <x v="157"/>
    <x v="157"/>
    <x v="0"/>
    <x v="742"/>
    <x v="760"/>
    <x v="642"/>
    <x v="517"/>
    <x v="14"/>
    <x v="670"/>
    <x v="18"/>
    <x v="2"/>
    <x v="14"/>
    <x v="3"/>
    <x v="3"/>
    <x v="20"/>
    <x v="552"/>
    <x v="1"/>
    <x v="89"/>
    <x v="5"/>
    <x v="2"/>
    <x v="60"/>
  </r>
  <r>
    <x v="146"/>
    <x v="135"/>
    <x v="179"/>
    <x v="1"/>
    <x v="46"/>
    <x v="160"/>
    <x v="160"/>
    <x v="159"/>
    <x v="159"/>
    <x v="0"/>
    <x v="743"/>
    <x v="761"/>
    <x v="643"/>
    <x v="518"/>
    <x v="25"/>
    <x v="671"/>
    <x v="56"/>
    <x v="1"/>
    <x v="20"/>
    <x v="11"/>
    <x v="3"/>
    <x v="165"/>
    <x v="553"/>
    <x v="30"/>
    <x v="90"/>
    <x v="2"/>
    <x v="11"/>
    <x v="46"/>
  </r>
  <r>
    <x v="146"/>
    <x v="135"/>
    <x v="181"/>
    <x v="1"/>
    <x v="7"/>
    <x v="161"/>
    <x v="161"/>
    <x v="160"/>
    <x v="160"/>
    <x v="0"/>
    <x v="744"/>
    <x v="762"/>
    <x v="113"/>
    <x v="197"/>
    <x v="21"/>
    <x v="672"/>
    <x v="18"/>
    <x v="2"/>
    <x v="14"/>
    <x v="3"/>
    <x v="3"/>
    <x v="20"/>
    <x v="554"/>
    <x v="0"/>
    <x v="0"/>
    <x v="5"/>
    <x v="2"/>
    <x v="7"/>
  </r>
  <r>
    <x v="146"/>
    <x v="135"/>
    <x v="186"/>
    <x v="1"/>
    <x v="87"/>
    <x v="164"/>
    <x v="164"/>
    <x v="163"/>
    <x v="163"/>
    <x v="0"/>
    <x v="745"/>
    <x v="763"/>
    <x v="36"/>
    <x v="69"/>
    <x v="22"/>
    <x v="673"/>
    <x v="63"/>
    <x v="2"/>
    <x v="36"/>
    <x v="11"/>
    <x v="3"/>
    <x v="18"/>
    <x v="83"/>
    <x v="0"/>
    <x v="0"/>
    <x v="5"/>
    <x v="11"/>
    <x v="85"/>
  </r>
  <r>
    <x v="146"/>
    <x v="141"/>
    <x v="190"/>
    <x v="0"/>
    <x v="88"/>
    <x v="167"/>
    <x v="167"/>
    <x v="166"/>
    <x v="16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6"/>
  </r>
  <r>
    <x v="146"/>
    <x v="141"/>
    <x v="191"/>
    <x v="0"/>
    <x v="89"/>
    <x v="168"/>
    <x v="168"/>
    <x v="167"/>
    <x v="167"/>
    <x v="0"/>
    <x v="746"/>
    <x v="764"/>
    <x v="497"/>
    <x v="303"/>
    <x v="21"/>
    <x v="674"/>
    <x v="33"/>
    <x v="2"/>
    <x v="34"/>
    <x v="5"/>
    <x v="2"/>
    <x v="105"/>
    <x v="0"/>
    <x v="0"/>
    <x v="0"/>
    <x v="5"/>
    <x v="11"/>
    <x v="87"/>
  </r>
  <r>
    <x v="146"/>
    <x v="141"/>
    <x v="192"/>
    <x v="0"/>
    <x v="90"/>
    <x v="169"/>
    <x v="169"/>
    <x v="168"/>
    <x v="168"/>
    <x v="0"/>
    <x v="747"/>
    <x v="765"/>
    <x v="199"/>
    <x v="519"/>
    <x v="51"/>
    <x v="675"/>
    <x v="15"/>
    <x v="2"/>
    <x v="14"/>
    <x v="3"/>
    <x v="3"/>
    <x v="15"/>
    <x v="15"/>
    <x v="0"/>
    <x v="0"/>
    <x v="5"/>
    <x v="2"/>
    <x v="88"/>
  </r>
  <r>
    <x v="146"/>
    <x v="142"/>
    <x v="193"/>
    <x v="0"/>
    <x v="91"/>
    <x v="170"/>
    <x v="170"/>
    <x v="169"/>
    <x v="169"/>
    <x v="0"/>
    <x v="748"/>
    <x v="766"/>
    <x v="644"/>
    <x v="520"/>
    <x v="44"/>
    <x v="676"/>
    <x v="98"/>
    <x v="2"/>
    <x v="151"/>
    <x v="10"/>
    <x v="4"/>
    <x v="287"/>
    <x v="555"/>
    <x v="0"/>
    <x v="0"/>
    <x v="5"/>
    <x v="3"/>
    <x v="89"/>
  </r>
  <r>
    <x v="147"/>
    <x v="116"/>
    <x v="150"/>
    <x v="0"/>
    <x v="73"/>
    <x v="133"/>
    <x v="133"/>
    <x v="132"/>
    <x v="132"/>
    <x v="0"/>
    <x v="749"/>
    <x v="767"/>
    <x v="645"/>
    <x v="521"/>
    <x v="55"/>
    <x v="677"/>
    <x v="213"/>
    <x v="2"/>
    <x v="37"/>
    <x v="3"/>
    <x v="2"/>
    <x v="159"/>
    <x v="50"/>
    <x v="0"/>
    <x v="0"/>
    <x v="10"/>
    <x v="12"/>
    <x v="71"/>
  </r>
  <r>
    <x v="147"/>
    <x v="121"/>
    <x v="161"/>
    <x v="0"/>
    <x v="83"/>
    <x v="144"/>
    <x v="144"/>
    <x v="143"/>
    <x v="143"/>
    <x v="0"/>
    <x v="750"/>
    <x v="486"/>
    <x v="37"/>
    <x v="502"/>
    <x v="28"/>
    <x v="678"/>
    <x v="15"/>
    <x v="2"/>
    <x v="14"/>
    <x v="3"/>
    <x v="2"/>
    <x v="20"/>
    <x v="556"/>
    <x v="0"/>
    <x v="0"/>
    <x v="5"/>
    <x v="2"/>
    <x v="81"/>
  </r>
  <r>
    <x v="147"/>
    <x v="124"/>
    <x v="164"/>
    <x v="0"/>
    <x v="72"/>
    <x v="147"/>
    <x v="147"/>
    <x v="146"/>
    <x v="146"/>
    <x v="0"/>
    <x v="751"/>
    <x v="768"/>
    <x v="646"/>
    <x v="404"/>
    <x v="52"/>
    <x v="679"/>
    <x v="0"/>
    <x v="4"/>
    <x v="119"/>
    <x v="5"/>
    <x v="0"/>
    <x v="54"/>
    <x v="264"/>
    <x v="0"/>
    <x v="0"/>
    <x v="39"/>
    <x v="10"/>
    <x v="70"/>
  </r>
  <r>
    <x v="147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</r>
  <r>
    <x v="147"/>
    <x v="125"/>
    <x v="170"/>
    <x v="1"/>
    <x v="9"/>
    <x v="152"/>
    <x v="152"/>
    <x v="151"/>
    <x v="151"/>
    <x v="0"/>
    <x v="752"/>
    <x v="30"/>
    <x v="72"/>
    <x v="522"/>
    <x v="53"/>
    <x v="680"/>
    <x v="15"/>
    <x v="2"/>
    <x v="14"/>
    <x v="3"/>
    <x v="3"/>
    <x v="15"/>
    <x v="15"/>
    <x v="0"/>
    <x v="0"/>
    <x v="5"/>
    <x v="2"/>
    <x v="9"/>
  </r>
  <r>
    <x v="147"/>
    <x v="129"/>
    <x v="171"/>
    <x v="1"/>
    <x v="9"/>
    <x v="153"/>
    <x v="153"/>
    <x v="152"/>
    <x v="152"/>
    <x v="0"/>
    <x v="753"/>
    <x v="769"/>
    <x v="73"/>
    <x v="134"/>
    <x v="101"/>
    <x v="681"/>
    <x v="15"/>
    <x v="2"/>
    <x v="14"/>
    <x v="3"/>
    <x v="3"/>
    <x v="15"/>
    <x v="15"/>
    <x v="0"/>
    <x v="0"/>
    <x v="5"/>
    <x v="2"/>
    <x v="9"/>
  </r>
  <r>
    <x v="147"/>
    <x v="131"/>
    <x v="174"/>
    <x v="0"/>
    <x v="70"/>
    <x v="156"/>
    <x v="156"/>
    <x v="155"/>
    <x v="155"/>
    <x v="0"/>
    <x v="754"/>
    <x v="770"/>
    <x v="647"/>
    <x v="279"/>
    <x v="41"/>
    <x v="682"/>
    <x v="214"/>
    <x v="5"/>
    <x v="38"/>
    <x v="3"/>
    <x v="29"/>
    <x v="257"/>
    <x v="159"/>
    <x v="0"/>
    <x v="0"/>
    <x v="12"/>
    <x v="6"/>
    <x v="68"/>
  </r>
  <r>
    <x v="147"/>
    <x v="132"/>
    <x v="175"/>
    <x v="1"/>
    <x v="62"/>
    <x v="157"/>
    <x v="157"/>
    <x v="156"/>
    <x v="156"/>
    <x v="0"/>
    <x v="755"/>
    <x v="771"/>
    <x v="648"/>
    <x v="523"/>
    <x v="44"/>
    <x v="683"/>
    <x v="8"/>
    <x v="2"/>
    <x v="14"/>
    <x v="3"/>
    <x v="1"/>
    <x v="83"/>
    <x v="557"/>
    <x v="1"/>
    <x v="91"/>
    <x v="1"/>
    <x v="2"/>
    <x v="60"/>
  </r>
  <r>
    <x v="147"/>
    <x v="132"/>
    <x v="176"/>
    <x v="1"/>
    <x v="62"/>
    <x v="158"/>
    <x v="158"/>
    <x v="157"/>
    <x v="157"/>
    <x v="0"/>
    <x v="756"/>
    <x v="772"/>
    <x v="19"/>
    <x v="223"/>
    <x v="82"/>
    <x v="684"/>
    <x v="8"/>
    <x v="1"/>
    <x v="50"/>
    <x v="3"/>
    <x v="3"/>
    <x v="75"/>
    <x v="558"/>
    <x v="0"/>
    <x v="0"/>
    <x v="5"/>
    <x v="2"/>
    <x v="60"/>
  </r>
  <r>
    <x v="147"/>
    <x v="135"/>
    <x v="179"/>
    <x v="1"/>
    <x v="46"/>
    <x v="160"/>
    <x v="160"/>
    <x v="159"/>
    <x v="159"/>
    <x v="0"/>
    <x v="757"/>
    <x v="773"/>
    <x v="649"/>
    <x v="280"/>
    <x v="25"/>
    <x v="685"/>
    <x v="1"/>
    <x v="1"/>
    <x v="49"/>
    <x v="3"/>
    <x v="1"/>
    <x v="170"/>
    <x v="559"/>
    <x v="6"/>
    <x v="50"/>
    <x v="10"/>
    <x v="6"/>
    <x v="46"/>
  </r>
  <r>
    <x v="147"/>
    <x v="135"/>
    <x v="186"/>
    <x v="1"/>
    <x v="87"/>
    <x v="164"/>
    <x v="164"/>
    <x v="163"/>
    <x v="163"/>
    <x v="0"/>
    <x v="758"/>
    <x v="774"/>
    <x v="650"/>
    <x v="524"/>
    <x v="73"/>
    <x v="686"/>
    <x v="16"/>
    <x v="2"/>
    <x v="9"/>
    <x v="14"/>
    <x v="1"/>
    <x v="34"/>
    <x v="560"/>
    <x v="0"/>
    <x v="0"/>
    <x v="5"/>
    <x v="10"/>
    <x v="85"/>
  </r>
  <r>
    <x v="147"/>
    <x v="141"/>
    <x v="190"/>
    <x v="0"/>
    <x v="88"/>
    <x v="167"/>
    <x v="167"/>
    <x v="166"/>
    <x v="16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6"/>
  </r>
  <r>
    <x v="147"/>
    <x v="141"/>
    <x v="191"/>
    <x v="0"/>
    <x v="89"/>
    <x v="168"/>
    <x v="168"/>
    <x v="167"/>
    <x v="1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7"/>
  </r>
  <r>
    <x v="147"/>
    <x v="142"/>
    <x v="193"/>
    <x v="0"/>
    <x v="91"/>
    <x v="170"/>
    <x v="170"/>
    <x v="169"/>
    <x v="169"/>
    <x v="0"/>
    <x v="759"/>
    <x v="775"/>
    <x v="651"/>
    <x v="148"/>
    <x v="53"/>
    <x v="687"/>
    <x v="215"/>
    <x v="7"/>
    <x v="88"/>
    <x v="17"/>
    <x v="7"/>
    <x v="288"/>
    <x v="30"/>
    <x v="0"/>
    <x v="0"/>
    <x v="2"/>
    <x v="30"/>
    <x v="89"/>
  </r>
  <r>
    <x v="147"/>
    <x v="143"/>
    <x v="194"/>
    <x v="0"/>
    <x v="92"/>
    <x v="171"/>
    <x v="171"/>
    <x v="170"/>
    <x v="170"/>
    <x v="0"/>
    <x v="760"/>
    <x v="776"/>
    <x v="652"/>
    <x v="525"/>
    <x v="28"/>
    <x v="198"/>
    <x v="14"/>
    <x v="2"/>
    <x v="19"/>
    <x v="1"/>
    <x v="2"/>
    <x v="284"/>
    <x v="561"/>
    <x v="0"/>
    <x v="0"/>
    <x v="7"/>
    <x v="12"/>
    <x v="90"/>
  </r>
  <r>
    <x v="14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</r>
  <r>
    <x v="148"/>
    <x v="116"/>
    <x v="150"/>
    <x v="0"/>
    <x v="73"/>
    <x v="133"/>
    <x v="133"/>
    <x v="132"/>
    <x v="132"/>
    <x v="0"/>
    <x v="761"/>
    <x v="78"/>
    <x v="113"/>
    <x v="526"/>
    <x v="12"/>
    <x v="688"/>
    <x v="15"/>
    <x v="2"/>
    <x v="14"/>
    <x v="3"/>
    <x v="3"/>
    <x v="15"/>
    <x v="15"/>
    <x v="0"/>
    <x v="0"/>
    <x v="5"/>
    <x v="2"/>
    <x v="71"/>
  </r>
  <r>
    <x v="148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</r>
  <r>
    <x v="148"/>
    <x v="124"/>
    <x v="164"/>
    <x v="0"/>
    <x v="72"/>
    <x v="147"/>
    <x v="147"/>
    <x v="146"/>
    <x v="146"/>
    <x v="0"/>
    <x v="762"/>
    <x v="777"/>
    <x v="653"/>
    <x v="123"/>
    <x v="12"/>
    <x v="417"/>
    <x v="8"/>
    <x v="2"/>
    <x v="14"/>
    <x v="3"/>
    <x v="3"/>
    <x v="27"/>
    <x v="562"/>
    <x v="0"/>
    <x v="0"/>
    <x v="5"/>
    <x v="2"/>
    <x v="70"/>
  </r>
  <r>
    <x v="148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</r>
  <r>
    <x v="148"/>
    <x v="131"/>
    <x v="174"/>
    <x v="0"/>
    <x v="70"/>
    <x v="156"/>
    <x v="156"/>
    <x v="155"/>
    <x v="155"/>
    <x v="0"/>
    <x v="763"/>
    <x v="778"/>
    <x v="406"/>
    <x v="326"/>
    <x v="51"/>
    <x v="689"/>
    <x v="8"/>
    <x v="2"/>
    <x v="24"/>
    <x v="3"/>
    <x v="3"/>
    <x v="70"/>
    <x v="563"/>
    <x v="0"/>
    <x v="0"/>
    <x v="5"/>
    <x v="2"/>
    <x v="68"/>
  </r>
  <r>
    <x v="148"/>
    <x v="132"/>
    <x v="175"/>
    <x v="1"/>
    <x v="62"/>
    <x v="157"/>
    <x v="157"/>
    <x v="156"/>
    <x v="156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60"/>
  </r>
  <r>
    <x v="148"/>
    <x v="132"/>
    <x v="176"/>
    <x v="1"/>
    <x v="62"/>
    <x v="158"/>
    <x v="158"/>
    <x v="157"/>
    <x v="157"/>
    <x v="0"/>
    <x v="479"/>
    <x v="141"/>
    <x v="199"/>
    <x v="527"/>
    <x v="36"/>
    <x v="690"/>
    <x v="15"/>
    <x v="2"/>
    <x v="14"/>
    <x v="3"/>
    <x v="3"/>
    <x v="15"/>
    <x v="15"/>
    <x v="0"/>
    <x v="0"/>
    <x v="5"/>
    <x v="2"/>
    <x v="60"/>
  </r>
  <r>
    <x v="148"/>
    <x v="135"/>
    <x v="179"/>
    <x v="1"/>
    <x v="46"/>
    <x v="160"/>
    <x v="160"/>
    <x v="159"/>
    <x v="159"/>
    <x v="0"/>
    <x v="764"/>
    <x v="779"/>
    <x v="406"/>
    <x v="512"/>
    <x v="43"/>
    <x v="691"/>
    <x v="15"/>
    <x v="2"/>
    <x v="14"/>
    <x v="3"/>
    <x v="3"/>
    <x v="15"/>
    <x v="15"/>
    <x v="0"/>
    <x v="0"/>
    <x v="5"/>
    <x v="2"/>
    <x v="46"/>
  </r>
  <r>
    <x v="148"/>
    <x v="135"/>
    <x v="186"/>
    <x v="1"/>
    <x v="87"/>
    <x v="164"/>
    <x v="164"/>
    <x v="163"/>
    <x v="163"/>
    <x v="0"/>
    <x v="765"/>
    <x v="780"/>
    <x v="70"/>
    <x v="528"/>
    <x v="25"/>
    <x v="692"/>
    <x v="8"/>
    <x v="2"/>
    <x v="50"/>
    <x v="3"/>
    <x v="3"/>
    <x v="83"/>
    <x v="517"/>
    <x v="0"/>
    <x v="0"/>
    <x v="5"/>
    <x v="2"/>
    <x v="85"/>
  </r>
  <r>
    <x v="148"/>
    <x v="142"/>
    <x v="193"/>
    <x v="0"/>
    <x v="91"/>
    <x v="170"/>
    <x v="170"/>
    <x v="169"/>
    <x v="169"/>
    <x v="0"/>
    <x v="766"/>
    <x v="781"/>
    <x v="654"/>
    <x v="529"/>
    <x v="22"/>
    <x v="461"/>
    <x v="216"/>
    <x v="0"/>
    <x v="152"/>
    <x v="32"/>
    <x v="14"/>
    <x v="289"/>
    <x v="564"/>
    <x v="0"/>
    <x v="0"/>
    <x v="7"/>
    <x v="26"/>
    <x v="89"/>
  </r>
  <r>
    <x v="148"/>
    <x v="143"/>
    <x v="194"/>
    <x v="0"/>
    <x v="92"/>
    <x v="171"/>
    <x v="171"/>
    <x v="170"/>
    <x v="17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0"/>
  </r>
  <r>
    <x v="148"/>
    <x v="144"/>
    <x v="195"/>
    <x v="0"/>
    <x v="91"/>
    <x v="172"/>
    <x v="172"/>
    <x v="171"/>
    <x v="171"/>
    <x v="0"/>
    <x v="767"/>
    <x v="782"/>
    <x v="655"/>
    <x v="187"/>
    <x v="47"/>
    <x v="693"/>
    <x v="217"/>
    <x v="2"/>
    <x v="153"/>
    <x v="18"/>
    <x v="6"/>
    <x v="290"/>
    <x v="565"/>
    <x v="0"/>
    <x v="0"/>
    <x v="2"/>
    <x v="3"/>
    <x v="89"/>
  </r>
  <r>
    <x v="149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</r>
  <r>
    <x v="149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49"/>
    <x v="135"/>
    <x v="179"/>
    <x v="1"/>
    <x v="46"/>
    <x v="160"/>
    <x v="160"/>
    <x v="159"/>
    <x v="1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</r>
  <r>
    <x v="149"/>
    <x v="142"/>
    <x v="193"/>
    <x v="0"/>
    <x v="91"/>
    <x v="170"/>
    <x v="170"/>
    <x v="169"/>
    <x v="169"/>
    <x v="0"/>
    <x v="768"/>
    <x v="276"/>
    <x v="73"/>
    <x v="240"/>
    <x v="12"/>
    <x v="694"/>
    <x v="15"/>
    <x v="2"/>
    <x v="14"/>
    <x v="3"/>
    <x v="3"/>
    <x v="15"/>
    <x v="15"/>
    <x v="0"/>
    <x v="0"/>
    <x v="5"/>
    <x v="2"/>
    <x v="89"/>
  </r>
  <r>
    <x v="149"/>
    <x v="144"/>
    <x v="195"/>
    <x v="0"/>
    <x v="91"/>
    <x v="172"/>
    <x v="172"/>
    <x v="171"/>
    <x v="171"/>
    <x v="0"/>
    <x v="769"/>
    <x v="93"/>
    <x v="73"/>
    <x v="530"/>
    <x v="51"/>
    <x v="695"/>
    <x v="15"/>
    <x v="2"/>
    <x v="14"/>
    <x v="3"/>
    <x v="3"/>
    <x v="15"/>
    <x v="15"/>
    <x v="0"/>
    <x v="0"/>
    <x v="5"/>
    <x v="2"/>
    <x v="89"/>
  </r>
  <r>
    <x v="149"/>
    <x v="145"/>
    <x v="196"/>
    <x v="0"/>
    <x v="90"/>
    <x v="173"/>
    <x v="173"/>
    <x v="172"/>
    <x v="172"/>
    <x v="0"/>
    <x v="770"/>
    <x v="783"/>
    <x v="656"/>
    <x v="531"/>
    <x v="53"/>
    <x v="696"/>
    <x v="218"/>
    <x v="0"/>
    <x v="58"/>
    <x v="0"/>
    <x v="0"/>
    <x v="291"/>
    <x v="160"/>
    <x v="0"/>
    <x v="0"/>
    <x v="22"/>
    <x v="0"/>
    <x v="88"/>
  </r>
  <r>
    <x v="150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</r>
  <r>
    <x v="150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</r>
  <r>
    <x v="150"/>
    <x v="127"/>
    <x v="168"/>
    <x v="0"/>
    <x v="9"/>
    <x v="151"/>
    <x v="151"/>
    <x v="150"/>
    <x v="15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</r>
  <r>
    <x v="150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</r>
  <r>
    <x v="150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50"/>
    <x v="142"/>
    <x v="193"/>
    <x v="0"/>
    <x v="91"/>
    <x v="170"/>
    <x v="170"/>
    <x v="169"/>
    <x v="16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</r>
  <r>
    <x v="150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</r>
  <r>
    <x v="150"/>
    <x v="145"/>
    <x v="196"/>
    <x v="0"/>
    <x v="90"/>
    <x v="173"/>
    <x v="173"/>
    <x v="172"/>
    <x v="172"/>
    <x v="0"/>
    <x v="93"/>
    <x v="780"/>
    <x v="72"/>
    <x v="532"/>
    <x v="12"/>
    <x v="697"/>
    <x v="15"/>
    <x v="2"/>
    <x v="14"/>
    <x v="3"/>
    <x v="3"/>
    <x v="15"/>
    <x v="15"/>
    <x v="0"/>
    <x v="0"/>
    <x v="5"/>
    <x v="2"/>
    <x v="88"/>
  </r>
  <r>
    <x v="150"/>
    <x v="146"/>
    <x v="197"/>
    <x v="0"/>
    <x v="86"/>
    <x v="174"/>
    <x v="174"/>
    <x v="173"/>
    <x v="173"/>
    <x v="0"/>
    <x v="771"/>
    <x v="784"/>
    <x v="657"/>
    <x v="303"/>
    <x v="53"/>
    <x v="696"/>
    <x v="135"/>
    <x v="7"/>
    <x v="154"/>
    <x v="10"/>
    <x v="8"/>
    <x v="292"/>
    <x v="566"/>
    <x v="0"/>
    <x v="0"/>
    <x v="2"/>
    <x v="8"/>
    <x v="84"/>
  </r>
  <r>
    <x v="151"/>
    <x v="116"/>
    <x v="150"/>
    <x v="0"/>
    <x v="73"/>
    <x v="133"/>
    <x v="133"/>
    <x v="132"/>
    <x v="132"/>
    <x v="0"/>
    <x v="772"/>
    <x v="785"/>
    <x v="658"/>
    <x v="376"/>
    <x v="52"/>
    <x v="698"/>
    <x v="219"/>
    <x v="2"/>
    <x v="32"/>
    <x v="3"/>
    <x v="0"/>
    <x v="293"/>
    <x v="567"/>
    <x v="0"/>
    <x v="0"/>
    <x v="14"/>
    <x v="2"/>
    <x v="71"/>
  </r>
  <r>
    <x v="151"/>
    <x v="124"/>
    <x v="164"/>
    <x v="0"/>
    <x v="72"/>
    <x v="147"/>
    <x v="147"/>
    <x v="146"/>
    <x v="146"/>
    <x v="0"/>
    <x v="773"/>
    <x v="786"/>
    <x v="659"/>
    <x v="204"/>
    <x v="44"/>
    <x v="699"/>
    <x v="94"/>
    <x v="1"/>
    <x v="73"/>
    <x v="3"/>
    <x v="4"/>
    <x v="90"/>
    <x v="568"/>
    <x v="0"/>
    <x v="0"/>
    <x v="12"/>
    <x v="11"/>
    <x v="70"/>
  </r>
  <r>
    <x v="151"/>
    <x v="132"/>
    <x v="175"/>
    <x v="1"/>
    <x v="62"/>
    <x v="157"/>
    <x v="157"/>
    <x v="156"/>
    <x v="156"/>
    <x v="0"/>
    <x v="774"/>
    <x v="787"/>
    <x v="660"/>
    <x v="533"/>
    <x v="15"/>
    <x v="700"/>
    <x v="41"/>
    <x v="2"/>
    <x v="24"/>
    <x v="3"/>
    <x v="3"/>
    <x v="93"/>
    <x v="569"/>
    <x v="1"/>
    <x v="92"/>
    <x v="2"/>
    <x v="5"/>
    <x v="60"/>
  </r>
  <r>
    <x v="151"/>
    <x v="132"/>
    <x v="176"/>
    <x v="1"/>
    <x v="62"/>
    <x v="158"/>
    <x v="158"/>
    <x v="157"/>
    <x v="157"/>
    <x v="0"/>
    <x v="775"/>
    <x v="788"/>
    <x v="661"/>
    <x v="226"/>
    <x v="34"/>
    <x v="701"/>
    <x v="18"/>
    <x v="2"/>
    <x v="24"/>
    <x v="5"/>
    <x v="3"/>
    <x v="70"/>
    <x v="570"/>
    <x v="2"/>
    <x v="24"/>
    <x v="2"/>
    <x v="11"/>
    <x v="60"/>
  </r>
  <r>
    <x v="151"/>
    <x v="141"/>
    <x v="191"/>
    <x v="0"/>
    <x v="89"/>
    <x v="168"/>
    <x v="168"/>
    <x v="167"/>
    <x v="1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7"/>
  </r>
  <r>
    <x v="151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</r>
  <r>
    <x v="151"/>
    <x v="146"/>
    <x v="197"/>
    <x v="0"/>
    <x v="86"/>
    <x v="174"/>
    <x v="174"/>
    <x v="173"/>
    <x v="173"/>
    <x v="0"/>
    <x v="776"/>
    <x v="789"/>
    <x v="94"/>
    <x v="232"/>
    <x v="42"/>
    <x v="389"/>
    <x v="18"/>
    <x v="2"/>
    <x v="14"/>
    <x v="3"/>
    <x v="3"/>
    <x v="20"/>
    <x v="153"/>
    <x v="0"/>
    <x v="0"/>
    <x v="5"/>
    <x v="2"/>
    <x v="84"/>
  </r>
  <r>
    <x v="151"/>
    <x v="147"/>
    <x v="198"/>
    <x v="1"/>
    <x v="62"/>
    <x v="175"/>
    <x v="175"/>
    <x v="174"/>
    <x v="174"/>
    <x v="0"/>
    <x v="30"/>
    <x v="337"/>
    <x v="29"/>
    <x v="30"/>
    <x v="16"/>
    <x v="29"/>
    <x v="15"/>
    <x v="2"/>
    <x v="14"/>
    <x v="3"/>
    <x v="3"/>
    <x v="15"/>
    <x v="15"/>
    <x v="0"/>
    <x v="0"/>
    <x v="5"/>
    <x v="2"/>
    <x v="60"/>
  </r>
  <r>
    <x v="151"/>
    <x v="148"/>
    <x v="199"/>
    <x v="1"/>
    <x v="73"/>
    <x v="175"/>
    <x v="175"/>
    <x v="174"/>
    <x v="174"/>
    <x v="0"/>
    <x v="777"/>
    <x v="790"/>
    <x v="662"/>
    <x v="4"/>
    <x v="14"/>
    <x v="702"/>
    <x v="10"/>
    <x v="2"/>
    <x v="91"/>
    <x v="3"/>
    <x v="3"/>
    <x v="149"/>
    <x v="311"/>
    <x v="0"/>
    <x v="0"/>
    <x v="1"/>
    <x v="2"/>
    <x v="71"/>
  </r>
  <r>
    <x v="151"/>
    <x v="149"/>
    <x v="200"/>
    <x v="0"/>
    <x v="93"/>
    <x v="176"/>
    <x v="176"/>
    <x v="175"/>
    <x v="175"/>
    <x v="0"/>
    <x v="778"/>
    <x v="791"/>
    <x v="663"/>
    <x v="534"/>
    <x v="10"/>
    <x v="703"/>
    <x v="220"/>
    <x v="7"/>
    <x v="85"/>
    <x v="26"/>
    <x v="1"/>
    <x v="294"/>
    <x v="8"/>
    <x v="0"/>
    <x v="0"/>
    <x v="2"/>
    <x v="2"/>
    <x v="91"/>
  </r>
  <r>
    <x v="151"/>
    <x v="150"/>
    <x v="201"/>
    <x v="0"/>
    <x v="94"/>
    <x v="177"/>
    <x v="177"/>
    <x v="176"/>
    <x v="176"/>
    <x v="0"/>
    <x v="779"/>
    <x v="792"/>
    <x v="664"/>
    <x v="405"/>
    <x v="73"/>
    <x v="704"/>
    <x v="4"/>
    <x v="1"/>
    <x v="8"/>
    <x v="3"/>
    <x v="8"/>
    <x v="243"/>
    <x v="571"/>
    <x v="0"/>
    <x v="0"/>
    <x v="11"/>
    <x v="2"/>
    <x v="92"/>
  </r>
  <r>
    <x v="151"/>
    <x v="151"/>
    <x v="202"/>
    <x v="0"/>
    <x v="95"/>
    <x v="178"/>
    <x v="178"/>
    <x v="177"/>
    <x v="177"/>
    <x v="0"/>
    <x v="469"/>
    <x v="793"/>
    <x v="205"/>
    <x v="496"/>
    <x v="55"/>
    <x v="705"/>
    <x v="43"/>
    <x v="0"/>
    <x v="49"/>
    <x v="3"/>
    <x v="3"/>
    <x v="148"/>
    <x v="572"/>
    <x v="0"/>
    <x v="0"/>
    <x v="5"/>
    <x v="2"/>
    <x v="93"/>
  </r>
  <r>
    <x v="151"/>
    <x v="149"/>
    <x v="203"/>
    <x v="0"/>
    <x v="96"/>
    <x v="179"/>
    <x v="179"/>
    <x v="178"/>
    <x v="178"/>
    <x v="0"/>
    <x v="780"/>
    <x v="794"/>
    <x v="665"/>
    <x v="108"/>
    <x v="52"/>
    <x v="706"/>
    <x v="80"/>
    <x v="2"/>
    <x v="8"/>
    <x v="3"/>
    <x v="3"/>
    <x v="170"/>
    <x v="573"/>
    <x v="0"/>
    <x v="0"/>
    <x v="4"/>
    <x v="5"/>
    <x v="94"/>
  </r>
  <r>
    <x v="151"/>
    <x v="152"/>
    <x v="204"/>
    <x v="0"/>
    <x v="72"/>
    <x v="180"/>
    <x v="180"/>
    <x v="179"/>
    <x v="179"/>
    <x v="0"/>
    <x v="781"/>
    <x v="795"/>
    <x v="666"/>
    <x v="535"/>
    <x v="12"/>
    <x v="707"/>
    <x v="17"/>
    <x v="2"/>
    <x v="2"/>
    <x v="3"/>
    <x v="2"/>
    <x v="295"/>
    <x v="574"/>
    <x v="0"/>
    <x v="0"/>
    <x v="11"/>
    <x v="2"/>
    <x v="70"/>
  </r>
  <r>
    <x v="152"/>
    <x v="116"/>
    <x v="150"/>
    <x v="0"/>
    <x v="73"/>
    <x v="133"/>
    <x v="133"/>
    <x v="132"/>
    <x v="132"/>
    <x v="0"/>
    <x v="782"/>
    <x v="796"/>
    <x v="667"/>
    <x v="167"/>
    <x v="76"/>
    <x v="212"/>
    <x v="158"/>
    <x v="1"/>
    <x v="39"/>
    <x v="5"/>
    <x v="1"/>
    <x v="193"/>
    <x v="575"/>
    <x v="0"/>
    <x v="0"/>
    <x v="12"/>
    <x v="10"/>
    <x v="71"/>
  </r>
  <r>
    <x v="152"/>
    <x v="124"/>
    <x v="164"/>
    <x v="0"/>
    <x v="72"/>
    <x v="147"/>
    <x v="147"/>
    <x v="146"/>
    <x v="146"/>
    <x v="0"/>
    <x v="783"/>
    <x v="797"/>
    <x v="668"/>
    <x v="88"/>
    <x v="53"/>
    <x v="708"/>
    <x v="120"/>
    <x v="6"/>
    <x v="155"/>
    <x v="1"/>
    <x v="2"/>
    <x v="212"/>
    <x v="576"/>
    <x v="0"/>
    <x v="0"/>
    <x v="0"/>
    <x v="11"/>
    <x v="70"/>
  </r>
  <r>
    <x v="152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</r>
  <r>
    <x v="152"/>
    <x v="132"/>
    <x v="175"/>
    <x v="1"/>
    <x v="62"/>
    <x v="157"/>
    <x v="157"/>
    <x v="156"/>
    <x v="156"/>
    <x v="0"/>
    <x v="784"/>
    <x v="798"/>
    <x v="660"/>
    <x v="536"/>
    <x v="73"/>
    <x v="709"/>
    <x v="18"/>
    <x v="2"/>
    <x v="24"/>
    <x v="3"/>
    <x v="3"/>
    <x v="27"/>
    <x v="577"/>
    <x v="0"/>
    <x v="0"/>
    <x v="4"/>
    <x v="2"/>
    <x v="60"/>
  </r>
  <r>
    <x v="152"/>
    <x v="132"/>
    <x v="176"/>
    <x v="1"/>
    <x v="62"/>
    <x v="158"/>
    <x v="158"/>
    <x v="157"/>
    <x v="157"/>
    <x v="0"/>
    <x v="785"/>
    <x v="799"/>
    <x v="669"/>
    <x v="162"/>
    <x v="101"/>
    <x v="710"/>
    <x v="21"/>
    <x v="1"/>
    <x v="14"/>
    <x v="3"/>
    <x v="3"/>
    <x v="8"/>
    <x v="578"/>
    <x v="14"/>
    <x v="93"/>
    <x v="2"/>
    <x v="5"/>
    <x v="60"/>
  </r>
  <r>
    <x v="152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</r>
  <r>
    <x v="152"/>
    <x v="146"/>
    <x v="197"/>
    <x v="0"/>
    <x v="86"/>
    <x v="174"/>
    <x v="174"/>
    <x v="173"/>
    <x v="17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</r>
  <r>
    <x v="152"/>
    <x v="148"/>
    <x v="199"/>
    <x v="1"/>
    <x v="73"/>
    <x v="175"/>
    <x v="175"/>
    <x v="174"/>
    <x v="174"/>
    <x v="0"/>
    <x v="30"/>
    <x v="515"/>
    <x v="29"/>
    <x v="30"/>
    <x v="16"/>
    <x v="29"/>
    <x v="15"/>
    <x v="2"/>
    <x v="14"/>
    <x v="3"/>
    <x v="3"/>
    <x v="15"/>
    <x v="15"/>
    <x v="0"/>
    <x v="0"/>
    <x v="5"/>
    <x v="2"/>
    <x v="71"/>
  </r>
  <r>
    <x v="152"/>
    <x v="149"/>
    <x v="200"/>
    <x v="0"/>
    <x v="93"/>
    <x v="176"/>
    <x v="176"/>
    <x v="175"/>
    <x v="175"/>
    <x v="0"/>
    <x v="786"/>
    <x v="800"/>
    <x v="670"/>
    <x v="537"/>
    <x v="51"/>
    <x v="711"/>
    <x v="221"/>
    <x v="3"/>
    <x v="92"/>
    <x v="22"/>
    <x v="3"/>
    <x v="296"/>
    <x v="579"/>
    <x v="0"/>
    <x v="0"/>
    <x v="2"/>
    <x v="5"/>
    <x v="91"/>
  </r>
  <r>
    <x v="152"/>
    <x v="150"/>
    <x v="201"/>
    <x v="0"/>
    <x v="94"/>
    <x v="177"/>
    <x v="177"/>
    <x v="176"/>
    <x v="176"/>
    <x v="0"/>
    <x v="787"/>
    <x v="801"/>
    <x v="671"/>
    <x v="538"/>
    <x v="23"/>
    <x v="712"/>
    <x v="14"/>
    <x v="1"/>
    <x v="50"/>
    <x v="3"/>
    <x v="3"/>
    <x v="78"/>
    <x v="264"/>
    <x v="0"/>
    <x v="0"/>
    <x v="5"/>
    <x v="2"/>
    <x v="92"/>
  </r>
  <r>
    <x v="152"/>
    <x v="151"/>
    <x v="202"/>
    <x v="0"/>
    <x v="95"/>
    <x v="178"/>
    <x v="178"/>
    <x v="177"/>
    <x v="177"/>
    <x v="0"/>
    <x v="788"/>
    <x v="802"/>
    <x v="672"/>
    <x v="53"/>
    <x v="10"/>
    <x v="341"/>
    <x v="41"/>
    <x v="2"/>
    <x v="19"/>
    <x v="3"/>
    <x v="3"/>
    <x v="68"/>
    <x v="580"/>
    <x v="0"/>
    <x v="0"/>
    <x v="1"/>
    <x v="5"/>
    <x v="93"/>
  </r>
  <r>
    <x v="152"/>
    <x v="149"/>
    <x v="203"/>
    <x v="0"/>
    <x v="96"/>
    <x v="179"/>
    <x v="179"/>
    <x v="178"/>
    <x v="178"/>
    <x v="0"/>
    <x v="789"/>
    <x v="803"/>
    <x v="673"/>
    <x v="191"/>
    <x v="3"/>
    <x v="713"/>
    <x v="13"/>
    <x v="2"/>
    <x v="19"/>
    <x v="3"/>
    <x v="2"/>
    <x v="50"/>
    <x v="581"/>
    <x v="0"/>
    <x v="0"/>
    <x v="2"/>
    <x v="2"/>
    <x v="94"/>
  </r>
  <r>
    <x v="152"/>
    <x v="152"/>
    <x v="204"/>
    <x v="0"/>
    <x v="72"/>
    <x v="180"/>
    <x v="180"/>
    <x v="179"/>
    <x v="179"/>
    <x v="0"/>
    <x v="790"/>
    <x v="804"/>
    <x v="161"/>
    <x v="397"/>
    <x v="41"/>
    <x v="714"/>
    <x v="18"/>
    <x v="1"/>
    <x v="24"/>
    <x v="3"/>
    <x v="3"/>
    <x v="70"/>
    <x v="582"/>
    <x v="0"/>
    <x v="0"/>
    <x v="5"/>
    <x v="2"/>
    <x v="70"/>
  </r>
  <r>
    <x v="152"/>
    <x v="153"/>
    <x v="205"/>
    <x v="0"/>
    <x v="97"/>
    <x v="181"/>
    <x v="181"/>
    <x v="180"/>
    <x v="180"/>
    <x v="0"/>
    <x v="791"/>
    <x v="805"/>
    <x v="674"/>
    <x v="539"/>
    <x v="42"/>
    <x v="348"/>
    <x v="35"/>
    <x v="10"/>
    <x v="4"/>
    <x v="1"/>
    <x v="4"/>
    <x v="282"/>
    <x v="583"/>
    <x v="0"/>
    <x v="0"/>
    <x v="0"/>
    <x v="11"/>
    <x v="95"/>
  </r>
  <r>
    <x v="152"/>
    <x v="153"/>
    <x v="206"/>
    <x v="0"/>
    <x v="92"/>
    <x v="182"/>
    <x v="182"/>
    <x v="181"/>
    <x v="181"/>
    <x v="0"/>
    <x v="792"/>
    <x v="806"/>
    <x v="675"/>
    <x v="540"/>
    <x v="28"/>
    <x v="715"/>
    <x v="21"/>
    <x v="2"/>
    <x v="20"/>
    <x v="1"/>
    <x v="3"/>
    <x v="13"/>
    <x v="584"/>
    <x v="0"/>
    <x v="0"/>
    <x v="4"/>
    <x v="5"/>
    <x v="90"/>
  </r>
  <r>
    <x v="152"/>
    <x v="154"/>
    <x v="207"/>
    <x v="1"/>
    <x v="72"/>
    <x v="183"/>
    <x v="183"/>
    <x v="182"/>
    <x v="182"/>
    <x v="0"/>
    <x v="793"/>
    <x v="807"/>
    <x v="676"/>
    <x v="145"/>
    <x v="14"/>
    <x v="619"/>
    <x v="2"/>
    <x v="7"/>
    <x v="7"/>
    <x v="5"/>
    <x v="1"/>
    <x v="7"/>
    <x v="585"/>
    <x v="0"/>
    <x v="0"/>
    <x v="1"/>
    <x v="5"/>
    <x v="70"/>
  </r>
  <r>
    <x v="153"/>
    <x v="116"/>
    <x v="150"/>
    <x v="0"/>
    <x v="73"/>
    <x v="133"/>
    <x v="133"/>
    <x v="132"/>
    <x v="132"/>
    <x v="0"/>
    <x v="794"/>
    <x v="808"/>
    <x v="677"/>
    <x v="541"/>
    <x v="50"/>
    <x v="716"/>
    <x v="162"/>
    <x v="1"/>
    <x v="156"/>
    <x v="3"/>
    <x v="2"/>
    <x v="180"/>
    <x v="586"/>
    <x v="0"/>
    <x v="0"/>
    <x v="10"/>
    <x v="12"/>
    <x v="71"/>
  </r>
  <r>
    <x v="153"/>
    <x v="124"/>
    <x v="164"/>
    <x v="0"/>
    <x v="72"/>
    <x v="147"/>
    <x v="147"/>
    <x v="146"/>
    <x v="146"/>
    <x v="0"/>
    <x v="795"/>
    <x v="809"/>
    <x v="678"/>
    <x v="280"/>
    <x v="82"/>
    <x v="717"/>
    <x v="222"/>
    <x v="10"/>
    <x v="58"/>
    <x v="5"/>
    <x v="8"/>
    <x v="297"/>
    <x v="587"/>
    <x v="0"/>
    <x v="0"/>
    <x v="0"/>
    <x v="11"/>
    <x v="70"/>
  </r>
  <r>
    <x v="153"/>
    <x v="125"/>
    <x v="170"/>
    <x v="1"/>
    <x v="9"/>
    <x v="152"/>
    <x v="152"/>
    <x v="151"/>
    <x v="151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</r>
  <r>
    <x v="153"/>
    <x v="129"/>
    <x v="171"/>
    <x v="1"/>
    <x v="9"/>
    <x v="153"/>
    <x v="153"/>
    <x v="152"/>
    <x v="152"/>
    <x v="0"/>
    <x v="796"/>
    <x v="810"/>
    <x v="679"/>
    <x v="339"/>
    <x v="104"/>
    <x v="718"/>
    <x v="8"/>
    <x v="2"/>
    <x v="14"/>
    <x v="3"/>
    <x v="1"/>
    <x v="83"/>
    <x v="588"/>
    <x v="0"/>
    <x v="0"/>
    <x v="5"/>
    <x v="2"/>
    <x v="9"/>
  </r>
  <r>
    <x v="153"/>
    <x v="132"/>
    <x v="175"/>
    <x v="1"/>
    <x v="62"/>
    <x v="157"/>
    <x v="157"/>
    <x v="156"/>
    <x v="156"/>
    <x v="0"/>
    <x v="797"/>
    <x v="811"/>
    <x v="680"/>
    <x v="542"/>
    <x v="71"/>
    <x v="70"/>
    <x v="8"/>
    <x v="1"/>
    <x v="14"/>
    <x v="3"/>
    <x v="3"/>
    <x v="70"/>
    <x v="589"/>
    <x v="2"/>
    <x v="94"/>
    <x v="5"/>
    <x v="2"/>
    <x v="60"/>
  </r>
  <r>
    <x v="153"/>
    <x v="132"/>
    <x v="176"/>
    <x v="1"/>
    <x v="62"/>
    <x v="158"/>
    <x v="158"/>
    <x v="157"/>
    <x v="157"/>
    <x v="0"/>
    <x v="798"/>
    <x v="812"/>
    <x v="156"/>
    <x v="0"/>
    <x v="99"/>
    <x v="719"/>
    <x v="8"/>
    <x v="2"/>
    <x v="14"/>
    <x v="3"/>
    <x v="3"/>
    <x v="27"/>
    <x v="590"/>
    <x v="2"/>
    <x v="28"/>
    <x v="2"/>
    <x v="5"/>
    <x v="60"/>
  </r>
  <r>
    <x v="153"/>
    <x v="141"/>
    <x v="192"/>
    <x v="0"/>
    <x v="90"/>
    <x v="169"/>
    <x v="169"/>
    <x v="168"/>
    <x v="168"/>
    <x v="0"/>
    <x v="799"/>
    <x v="813"/>
    <x v="681"/>
    <x v="543"/>
    <x v="21"/>
    <x v="720"/>
    <x v="223"/>
    <x v="0"/>
    <x v="32"/>
    <x v="5"/>
    <x v="4"/>
    <x v="298"/>
    <x v="358"/>
    <x v="0"/>
    <x v="0"/>
    <x v="8"/>
    <x v="28"/>
    <x v="88"/>
  </r>
  <r>
    <x v="153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</r>
  <r>
    <x v="153"/>
    <x v="153"/>
    <x v="205"/>
    <x v="0"/>
    <x v="97"/>
    <x v="181"/>
    <x v="181"/>
    <x v="180"/>
    <x v="1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5"/>
  </r>
  <r>
    <x v="153"/>
    <x v="153"/>
    <x v="206"/>
    <x v="0"/>
    <x v="92"/>
    <x v="182"/>
    <x v="182"/>
    <x v="181"/>
    <x v="18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0"/>
  </r>
  <r>
    <x v="153"/>
    <x v="154"/>
    <x v="207"/>
    <x v="1"/>
    <x v="72"/>
    <x v="183"/>
    <x v="183"/>
    <x v="182"/>
    <x v="182"/>
    <x v="0"/>
    <x v="800"/>
    <x v="814"/>
    <x v="421"/>
    <x v="456"/>
    <x v="26"/>
    <x v="721"/>
    <x v="177"/>
    <x v="2"/>
    <x v="20"/>
    <x v="3"/>
    <x v="2"/>
    <x v="13"/>
    <x v="591"/>
    <x v="0"/>
    <x v="0"/>
    <x v="10"/>
    <x v="11"/>
    <x v="70"/>
  </r>
  <r>
    <x v="153"/>
    <x v="155"/>
    <x v="208"/>
    <x v="0"/>
    <x v="96"/>
    <x v="184"/>
    <x v="184"/>
    <x v="183"/>
    <x v="183"/>
    <x v="0"/>
    <x v="801"/>
    <x v="815"/>
    <x v="682"/>
    <x v="78"/>
    <x v="21"/>
    <x v="722"/>
    <x v="63"/>
    <x v="2"/>
    <x v="20"/>
    <x v="3"/>
    <x v="3"/>
    <x v="23"/>
    <x v="266"/>
    <x v="0"/>
    <x v="0"/>
    <x v="2"/>
    <x v="2"/>
    <x v="94"/>
  </r>
  <r>
    <x v="153"/>
    <x v="156"/>
    <x v="209"/>
    <x v="0"/>
    <x v="87"/>
    <x v="185"/>
    <x v="185"/>
    <x v="184"/>
    <x v="184"/>
    <x v="0"/>
    <x v="635"/>
    <x v="816"/>
    <x v="683"/>
    <x v="488"/>
    <x v="7"/>
    <x v="723"/>
    <x v="224"/>
    <x v="2"/>
    <x v="157"/>
    <x v="31"/>
    <x v="27"/>
    <x v="299"/>
    <x v="592"/>
    <x v="2"/>
    <x v="95"/>
    <x v="2"/>
    <x v="10"/>
    <x v="85"/>
  </r>
  <r>
    <x v="153"/>
    <x v="157"/>
    <x v="210"/>
    <x v="1"/>
    <x v="72"/>
    <x v="186"/>
    <x v="186"/>
    <x v="185"/>
    <x v="185"/>
    <x v="0"/>
    <x v="802"/>
    <x v="817"/>
    <x v="684"/>
    <x v="510"/>
    <x v="66"/>
    <x v="724"/>
    <x v="18"/>
    <x v="2"/>
    <x v="14"/>
    <x v="3"/>
    <x v="3"/>
    <x v="20"/>
    <x v="593"/>
    <x v="0"/>
    <x v="0"/>
    <x v="5"/>
    <x v="2"/>
    <x v="70"/>
  </r>
  <r>
    <x v="153"/>
    <x v="158"/>
    <x v="211"/>
    <x v="1"/>
    <x v="98"/>
    <x v="186"/>
    <x v="186"/>
    <x v="185"/>
    <x v="185"/>
    <x v="0"/>
    <x v="803"/>
    <x v="818"/>
    <x v="685"/>
    <x v="544"/>
    <x v="54"/>
    <x v="725"/>
    <x v="2"/>
    <x v="2"/>
    <x v="20"/>
    <x v="3"/>
    <x v="2"/>
    <x v="78"/>
    <x v="594"/>
    <x v="0"/>
    <x v="0"/>
    <x v="5"/>
    <x v="2"/>
    <x v="96"/>
  </r>
  <r>
    <x v="154"/>
    <x v="116"/>
    <x v="150"/>
    <x v="0"/>
    <x v="73"/>
    <x v="133"/>
    <x v="133"/>
    <x v="132"/>
    <x v="132"/>
    <x v="0"/>
    <x v="804"/>
    <x v="819"/>
    <x v="686"/>
    <x v="205"/>
    <x v="26"/>
    <x v="726"/>
    <x v="146"/>
    <x v="1"/>
    <x v="158"/>
    <x v="3"/>
    <x v="3"/>
    <x v="300"/>
    <x v="595"/>
    <x v="0"/>
    <x v="0"/>
    <x v="9"/>
    <x v="10"/>
    <x v="71"/>
  </r>
  <r>
    <x v="154"/>
    <x v="124"/>
    <x v="164"/>
    <x v="0"/>
    <x v="72"/>
    <x v="147"/>
    <x v="147"/>
    <x v="146"/>
    <x v="146"/>
    <x v="0"/>
    <x v="805"/>
    <x v="820"/>
    <x v="687"/>
    <x v="195"/>
    <x v="27"/>
    <x v="727"/>
    <x v="160"/>
    <x v="1"/>
    <x v="159"/>
    <x v="11"/>
    <x v="23"/>
    <x v="280"/>
    <x v="596"/>
    <x v="0"/>
    <x v="0"/>
    <x v="0"/>
    <x v="13"/>
    <x v="70"/>
  </r>
  <r>
    <x v="154"/>
    <x v="125"/>
    <x v="170"/>
    <x v="1"/>
    <x v="9"/>
    <x v="152"/>
    <x v="152"/>
    <x v="151"/>
    <x v="151"/>
    <x v="0"/>
    <x v="806"/>
    <x v="337"/>
    <x v="308"/>
    <x v="545"/>
    <x v="53"/>
    <x v="728"/>
    <x v="15"/>
    <x v="2"/>
    <x v="14"/>
    <x v="3"/>
    <x v="3"/>
    <x v="15"/>
    <x v="15"/>
    <x v="0"/>
    <x v="0"/>
    <x v="5"/>
    <x v="2"/>
    <x v="9"/>
  </r>
  <r>
    <x v="154"/>
    <x v="129"/>
    <x v="171"/>
    <x v="1"/>
    <x v="9"/>
    <x v="153"/>
    <x v="153"/>
    <x v="152"/>
    <x v="152"/>
    <x v="0"/>
    <x v="807"/>
    <x v="821"/>
    <x v="688"/>
    <x v="354"/>
    <x v="88"/>
    <x v="729"/>
    <x v="15"/>
    <x v="2"/>
    <x v="14"/>
    <x v="3"/>
    <x v="3"/>
    <x v="15"/>
    <x v="15"/>
    <x v="0"/>
    <x v="0"/>
    <x v="2"/>
    <x v="2"/>
    <x v="9"/>
  </r>
  <r>
    <x v="154"/>
    <x v="132"/>
    <x v="175"/>
    <x v="1"/>
    <x v="62"/>
    <x v="157"/>
    <x v="157"/>
    <x v="156"/>
    <x v="156"/>
    <x v="0"/>
    <x v="336"/>
    <x v="822"/>
    <x v="594"/>
    <x v="546"/>
    <x v="44"/>
    <x v="730"/>
    <x v="18"/>
    <x v="2"/>
    <x v="24"/>
    <x v="3"/>
    <x v="3"/>
    <x v="27"/>
    <x v="275"/>
    <x v="0"/>
    <x v="0"/>
    <x v="2"/>
    <x v="5"/>
    <x v="60"/>
  </r>
  <r>
    <x v="154"/>
    <x v="132"/>
    <x v="176"/>
    <x v="1"/>
    <x v="62"/>
    <x v="158"/>
    <x v="158"/>
    <x v="157"/>
    <x v="157"/>
    <x v="0"/>
    <x v="808"/>
    <x v="823"/>
    <x v="689"/>
    <x v="547"/>
    <x v="62"/>
    <x v="731"/>
    <x v="22"/>
    <x v="2"/>
    <x v="24"/>
    <x v="5"/>
    <x v="3"/>
    <x v="8"/>
    <x v="597"/>
    <x v="14"/>
    <x v="96"/>
    <x v="4"/>
    <x v="5"/>
    <x v="60"/>
  </r>
  <r>
    <x v="154"/>
    <x v="135"/>
    <x v="186"/>
    <x v="1"/>
    <x v="87"/>
    <x v="164"/>
    <x v="164"/>
    <x v="163"/>
    <x v="163"/>
    <x v="0"/>
    <x v="809"/>
    <x v="824"/>
    <x v="482"/>
    <x v="548"/>
    <x v="73"/>
    <x v="732"/>
    <x v="36"/>
    <x v="2"/>
    <x v="85"/>
    <x v="4"/>
    <x v="1"/>
    <x v="244"/>
    <x v="598"/>
    <x v="2"/>
    <x v="49"/>
    <x v="5"/>
    <x v="6"/>
    <x v="85"/>
  </r>
  <r>
    <x v="154"/>
    <x v="141"/>
    <x v="192"/>
    <x v="0"/>
    <x v="90"/>
    <x v="169"/>
    <x v="169"/>
    <x v="168"/>
    <x v="168"/>
    <x v="0"/>
    <x v="810"/>
    <x v="825"/>
    <x v="690"/>
    <x v="549"/>
    <x v="3"/>
    <x v="733"/>
    <x v="156"/>
    <x v="7"/>
    <x v="0"/>
    <x v="11"/>
    <x v="30"/>
    <x v="301"/>
    <x v="599"/>
    <x v="0"/>
    <x v="0"/>
    <x v="15"/>
    <x v="38"/>
    <x v="88"/>
  </r>
  <r>
    <x v="154"/>
    <x v="146"/>
    <x v="197"/>
    <x v="0"/>
    <x v="86"/>
    <x v="174"/>
    <x v="174"/>
    <x v="173"/>
    <x v="17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</r>
  <r>
    <x v="154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</r>
  <r>
    <x v="154"/>
    <x v="149"/>
    <x v="203"/>
    <x v="0"/>
    <x v="96"/>
    <x v="179"/>
    <x v="179"/>
    <x v="178"/>
    <x v="1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4"/>
  </r>
  <r>
    <x v="154"/>
    <x v="154"/>
    <x v="207"/>
    <x v="1"/>
    <x v="72"/>
    <x v="183"/>
    <x v="183"/>
    <x v="182"/>
    <x v="182"/>
    <x v="0"/>
    <x v="811"/>
    <x v="826"/>
    <x v="691"/>
    <x v="326"/>
    <x v="15"/>
    <x v="734"/>
    <x v="17"/>
    <x v="2"/>
    <x v="8"/>
    <x v="3"/>
    <x v="3"/>
    <x v="275"/>
    <x v="600"/>
    <x v="0"/>
    <x v="0"/>
    <x v="10"/>
    <x v="2"/>
    <x v="70"/>
  </r>
  <r>
    <x v="154"/>
    <x v="155"/>
    <x v="208"/>
    <x v="0"/>
    <x v="96"/>
    <x v="184"/>
    <x v="184"/>
    <x v="183"/>
    <x v="183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4"/>
  </r>
  <r>
    <x v="154"/>
    <x v="156"/>
    <x v="209"/>
    <x v="0"/>
    <x v="87"/>
    <x v="185"/>
    <x v="185"/>
    <x v="184"/>
    <x v="18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5"/>
  </r>
  <r>
    <x v="154"/>
    <x v="159"/>
    <x v="212"/>
    <x v="0"/>
    <x v="99"/>
    <x v="187"/>
    <x v="187"/>
    <x v="186"/>
    <x v="186"/>
    <x v="0"/>
    <x v="812"/>
    <x v="827"/>
    <x v="692"/>
    <x v="550"/>
    <x v="10"/>
    <x v="735"/>
    <x v="127"/>
    <x v="2"/>
    <x v="147"/>
    <x v="3"/>
    <x v="1"/>
    <x v="302"/>
    <x v="601"/>
    <x v="0"/>
    <x v="0"/>
    <x v="1"/>
    <x v="5"/>
    <x v="97"/>
  </r>
  <r>
    <x v="154"/>
    <x v="159"/>
    <x v="213"/>
    <x v="0"/>
    <x v="100"/>
    <x v="188"/>
    <x v="188"/>
    <x v="187"/>
    <x v="187"/>
    <x v="0"/>
    <x v="813"/>
    <x v="828"/>
    <x v="693"/>
    <x v="321"/>
    <x v="71"/>
    <x v="736"/>
    <x v="54"/>
    <x v="2"/>
    <x v="22"/>
    <x v="5"/>
    <x v="2"/>
    <x v="24"/>
    <x v="544"/>
    <x v="0"/>
    <x v="0"/>
    <x v="5"/>
    <x v="5"/>
    <x v="98"/>
  </r>
  <r>
    <x v="154"/>
    <x v="159"/>
    <x v="214"/>
    <x v="0"/>
    <x v="101"/>
    <x v="189"/>
    <x v="189"/>
    <x v="188"/>
    <x v="188"/>
    <x v="0"/>
    <x v="814"/>
    <x v="829"/>
    <x v="694"/>
    <x v="551"/>
    <x v="32"/>
    <x v="737"/>
    <x v="172"/>
    <x v="1"/>
    <x v="4"/>
    <x v="0"/>
    <x v="4"/>
    <x v="303"/>
    <x v="602"/>
    <x v="0"/>
    <x v="0"/>
    <x v="1"/>
    <x v="5"/>
    <x v="99"/>
  </r>
  <r>
    <x v="154"/>
    <x v="160"/>
    <x v="215"/>
    <x v="1"/>
    <x v="102"/>
    <x v="186"/>
    <x v="186"/>
    <x v="185"/>
    <x v="185"/>
    <x v="0"/>
    <x v="815"/>
    <x v="830"/>
    <x v="695"/>
    <x v="552"/>
    <x v="104"/>
    <x v="738"/>
    <x v="14"/>
    <x v="2"/>
    <x v="8"/>
    <x v="5"/>
    <x v="2"/>
    <x v="275"/>
    <x v="603"/>
    <x v="0"/>
    <x v="0"/>
    <x v="5"/>
    <x v="2"/>
    <x v="96"/>
  </r>
  <r>
    <x v="155"/>
    <x v="116"/>
    <x v="150"/>
    <x v="0"/>
    <x v="73"/>
    <x v="133"/>
    <x v="133"/>
    <x v="132"/>
    <x v="132"/>
    <x v="0"/>
    <x v="816"/>
    <x v="831"/>
    <x v="696"/>
    <x v="187"/>
    <x v="14"/>
    <x v="664"/>
    <x v="120"/>
    <x v="2"/>
    <x v="16"/>
    <x v="5"/>
    <x v="1"/>
    <x v="304"/>
    <x v="146"/>
    <x v="0"/>
    <x v="0"/>
    <x v="36"/>
    <x v="13"/>
    <x v="71"/>
  </r>
  <r>
    <x v="155"/>
    <x v="124"/>
    <x v="164"/>
    <x v="0"/>
    <x v="72"/>
    <x v="147"/>
    <x v="147"/>
    <x v="146"/>
    <x v="146"/>
    <x v="0"/>
    <x v="817"/>
    <x v="832"/>
    <x v="697"/>
    <x v="79"/>
    <x v="19"/>
    <x v="739"/>
    <x v="178"/>
    <x v="7"/>
    <x v="160"/>
    <x v="11"/>
    <x v="7"/>
    <x v="305"/>
    <x v="604"/>
    <x v="0"/>
    <x v="0"/>
    <x v="18"/>
    <x v="23"/>
    <x v="70"/>
  </r>
  <r>
    <x v="155"/>
    <x v="125"/>
    <x v="170"/>
    <x v="1"/>
    <x v="9"/>
    <x v="152"/>
    <x v="152"/>
    <x v="151"/>
    <x v="151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</r>
  <r>
    <x v="155"/>
    <x v="129"/>
    <x v="171"/>
    <x v="1"/>
    <x v="9"/>
    <x v="153"/>
    <x v="153"/>
    <x v="152"/>
    <x v="152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</r>
  <r>
    <x v="155"/>
    <x v="132"/>
    <x v="175"/>
    <x v="1"/>
    <x v="62"/>
    <x v="157"/>
    <x v="157"/>
    <x v="156"/>
    <x v="156"/>
    <x v="0"/>
    <x v="818"/>
    <x v="833"/>
    <x v="698"/>
    <x v="553"/>
    <x v="17"/>
    <x v="740"/>
    <x v="18"/>
    <x v="2"/>
    <x v="24"/>
    <x v="3"/>
    <x v="3"/>
    <x v="27"/>
    <x v="605"/>
    <x v="0"/>
    <x v="0"/>
    <x v="5"/>
    <x v="2"/>
    <x v="60"/>
  </r>
  <r>
    <x v="155"/>
    <x v="132"/>
    <x v="176"/>
    <x v="1"/>
    <x v="62"/>
    <x v="158"/>
    <x v="158"/>
    <x v="157"/>
    <x v="157"/>
    <x v="0"/>
    <x v="819"/>
    <x v="834"/>
    <x v="631"/>
    <x v="554"/>
    <x v="56"/>
    <x v="741"/>
    <x v="22"/>
    <x v="2"/>
    <x v="24"/>
    <x v="3"/>
    <x v="3"/>
    <x v="31"/>
    <x v="606"/>
    <x v="3"/>
    <x v="57"/>
    <x v="1"/>
    <x v="2"/>
    <x v="60"/>
  </r>
  <r>
    <x v="155"/>
    <x v="135"/>
    <x v="186"/>
    <x v="1"/>
    <x v="87"/>
    <x v="164"/>
    <x v="164"/>
    <x v="163"/>
    <x v="163"/>
    <x v="0"/>
    <x v="820"/>
    <x v="835"/>
    <x v="699"/>
    <x v="555"/>
    <x v="97"/>
    <x v="742"/>
    <x v="54"/>
    <x v="2"/>
    <x v="45"/>
    <x v="12"/>
    <x v="2"/>
    <x v="101"/>
    <x v="607"/>
    <x v="2"/>
    <x v="81"/>
    <x v="2"/>
    <x v="5"/>
    <x v="85"/>
  </r>
  <r>
    <x v="155"/>
    <x v="141"/>
    <x v="192"/>
    <x v="0"/>
    <x v="90"/>
    <x v="169"/>
    <x v="169"/>
    <x v="168"/>
    <x v="168"/>
    <x v="0"/>
    <x v="821"/>
    <x v="836"/>
    <x v="700"/>
    <x v="556"/>
    <x v="36"/>
    <x v="743"/>
    <x v="225"/>
    <x v="0"/>
    <x v="161"/>
    <x v="3"/>
    <x v="13"/>
    <x v="162"/>
    <x v="279"/>
    <x v="0"/>
    <x v="0"/>
    <x v="21"/>
    <x v="17"/>
    <x v="88"/>
  </r>
  <r>
    <x v="155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</r>
  <r>
    <x v="155"/>
    <x v="154"/>
    <x v="207"/>
    <x v="1"/>
    <x v="72"/>
    <x v="183"/>
    <x v="183"/>
    <x v="182"/>
    <x v="182"/>
    <x v="0"/>
    <x v="822"/>
    <x v="837"/>
    <x v="701"/>
    <x v="326"/>
    <x v="17"/>
    <x v="744"/>
    <x v="9"/>
    <x v="2"/>
    <x v="91"/>
    <x v="5"/>
    <x v="3"/>
    <x v="1"/>
    <x v="608"/>
    <x v="0"/>
    <x v="0"/>
    <x v="9"/>
    <x v="2"/>
    <x v="70"/>
  </r>
  <r>
    <x v="155"/>
    <x v="159"/>
    <x v="212"/>
    <x v="0"/>
    <x v="99"/>
    <x v="187"/>
    <x v="187"/>
    <x v="186"/>
    <x v="186"/>
    <x v="0"/>
    <x v="250"/>
    <x v="123"/>
    <x v="27"/>
    <x v="557"/>
    <x v="0"/>
    <x v="173"/>
    <x v="15"/>
    <x v="2"/>
    <x v="14"/>
    <x v="3"/>
    <x v="3"/>
    <x v="15"/>
    <x v="15"/>
    <x v="0"/>
    <x v="0"/>
    <x v="5"/>
    <x v="2"/>
    <x v="97"/>
  </r>
  <r>
    <x v="155"/>
    <x v="159"/>
    <x v="213"/>
    <x v="0"/>
    <x v="100"/>
    <x v="188"/>
    <x v="188"/>
    <x v="187"/>
    <x v="187"/>
    <x v="0"/>
    <x v="823"/>
    <x v="838"/>
    <x v="286"/>
    <x v="412"/>
    <x v="95"/>
    <x v="745"/>
    <x v="15"/>
    <x v="2"/>
    <x v="14"/>
    <x v="3"/>
    <x v="3"/>
    <x v="15"/>
    <x v="15"/>
    <x v="0"/>
    <x v="0"/>
    <x v="5"/>
    <x v="2"/>
    <x v="98"/>
  </r>
  <r>
    <x v="155"/>
    <x v="159"/>
    <x v="214"/>
    <x v="0"/>
    <x v="101"/>
    <x v="189"/>
    <x v="189"/>
    <x v="188"/>
    <x v="188"/>
    <x v="0"/>
    <x v="824"/>
    <x v="839"/>
    <x v="702"/>
    <x v="558"/>
    <x v="50"/>
    <x v="746"/>
    <x v="104"/>
    <x v="3"/>
    <x v="142"/>
    <x v="17"/>
    <x v="4"/>
    <x v="306"/>
    <x v="609"/>
    <x v="0"/>
    <x v="0"/>
    <x v="12"/>
    <x v="5"/>
    <x v="99"/>
  </r>
  <r>
    <x v="155"/>
    <x v="161"/>
    <x v="216"/>
    <x v="0"/>
    <x v="103"/>
    <x v="190"/>
    <x v="190"/>
    <x v="189"/>
    <x v="189"/>
    <x v="0"/>
    <x v="825"/>
    <x v="840"/>
    <x v="703"/>
    <x v="447"/>
    <x v="72"/>
    <x v="747"/>
    <x v="28"/>
    <x v="2"/>
    <x v="30"/>
    <x v="4"/>
    <x v="3"/>
    <x v="33"/>
    <x v="248"/>
    <x v="0"/>
    <x v="0"/>
    <x v="5"/>
    <x v="11"/>
    <x v="100"/>
  </r>
  <r>
    <x v="155"/>
    <x v="162"/>
    <x v="217"/>
    <x v="1"/>
    <x v="87"/>
    <x v="191"/>
    <x v="191"/>
    <x v="190"/>
    <x v="190"/>
    <x v="0"/>
    <x v="30"/>
    <x v="97"/>
    <x v="29"/>
    <x v="30"/>
    <x v="16"/>
    <x v="29"/>
    <x v="15"/>
    <x v="2"/>
    <x v="14"/>
    <x v="3"/>
    <x v="3"/>
    <x v="15"/>
    <x v="15"/>
    <x v="0"/>
    <x v="0"/>
    <x v="5"/>
    <x v="2"/>
    <x v="85"/>
  </r>
  <r>
    <x v="155"/>
    <x v="163"/>
    <x v="218"/>
    <x v="1"/>
    <x v="47"/>
    <x v="191"/>
    <x v="191"/>
    <x v="190"/>
    <x v="190"/>
    <x v="0"/>
    <x v="826"/>
    <x v="841"/>
    <x v="704"/>
    <x v="308"/>
    <x v="109"/>
    <x v="748"/>
    <x v="21"/>
    <x v="2"/>
    <x v="50"/>
    <x v="5"/>
    <x v="3"/>
    <x v="37"/>
    <x v="189"/>
    <x v="0"/>
    <x v="0"/>
    <x v="5"/>
    <x v="2"/>
    <x v="31"/>
  </r>
  <r>
    <x v="156"/>
    <x v="116"/>
    <x v="150"/>
    <x v="0"/>
    <x v="73"/>
    <x v="133"/>
    <x v="133"/>
    <x v="132"/>
    <x v="132"/>
    <x v="0"/>
    <x v="827"/>
    <x v="842"/>
    <x v="73"/>
    <x v="87"/>
    <x v="68"/>
    <x v="749"/>
    <x v="194"/>
    <x v="2"/>
    <x v="14"/>
    <x v="3"/>
    <x v="3"/>
    <x v="259"/>
    <x v="15"/>
    <x v="0"/>
    <x v="0"/>
    <x v="5"/>
    <x v="2"/>
    <x v="71"/>
  </r>
  <r>
    <x v="156"/>
    <x v="124"/>
    <x v="164"/>
    <x v="0"/>
    <x v="72"/>
    <x v="147"/>
    <x v="147"/>
    <x v="146"/>
    <x v="146"/>
    <x v="0"/>
    <x v="828"/>
    <x v="843"/>
    <x v="38"/>
    <x v="559"/>
    <x v="43"/>
    <x v="223"/>
    <x v="15"/>
    <x v="2"/>
    <x v="14"/>
    <x v="3"/>
    <x v="3"/>
    <x v="15"/>
    <x v="15"/>
    <x v="0"/>
    <x v="0"/>
    <x v="4"/>
    <x v="2"/>
    <x v="70"/>
  </r>
  <r>
    <x v="156"/>
    <x v="132"/>
    <x v="176"/>
    <x v="1"/>
    <x v="62"/>
    <x v="158"/>
    <x v="158"/>
    <x v="157"/>
    <x v="157"/>
    <x v="0"/>
    <x v="452"/>
    <x v="844"/>
    <x v="72"/>
    <x v="359"/>
    <x v="110"/>
    <x v="750"/>
    <x v="15"/>
    <x v="2"/>
    <x v="14"/>
    <x v="3"/>
    <x v="3"/>
    <x v="15"/>
    <x v="15"/>
    <x v="0"/>
    <x v="0"/>
    <x v="5"/>
    <x v="2"/>
    <x v="60"/>
  </r>
  <r>
    <x v="156"/>
    <x v="141"/>
    <x v="192"/>
    <x v="0"/>
    <x v="90"/>
    <x v="169"/>
    <x v="169"/>
    <x v="168"/>
    <x v="168"/>
    <x v="0"/>
    <x v="829"/>
    <x v="845"/>
    <x v="705"/>
    <x v="315"/>
    <x v="3"/>
    <x v="751"/>
    <x v="23"/>
    <x v="2"/>
    <x v="14"/>
    <x v="3"/>
    <x v="3"/>
    <x v="83"/>
    <x v="431"/>
    <x v="0"/>
    <x v="0"/>
    <x v="5"/>
    <x v="2"/>
    <x v="88"/>
  </r>
  <r>
    <x v="156"/>
    <x v="159"/>
    <x v="214"/>
    <x v="0"/>
    <x v="101"/>
    <x v="189"/>
    <x v="189"/>
    <x v="188"/>
    <x v="188"/>
    <x v="0"/>
    <x v="830"/>
    <x v="226"/>
    <x v="72"/>
    <x v="197"/>
    <x v="7"/>
    <x v="73"/>
    <x v="15"/>
    <x v="2"/>
    <x v="14"/>
    <x v="3"/>
    <x v="3"/>
    <x v="15"/>
    <x v="15"/>
    <x v="0"/>
    <x v="0"/>
    <x v="5"/>
    <x v="2"/>
    <x v="99"/>
  </r>
  <r>
    <x v="157"/>
    <x v="164"/>
    <x v="219"/>
    <x v="0"/>
    <x v="104"/>
    <x v="192"/>
    <x v="192"/>
    <x v="191"/>
    <x v="191"/>
    <x v="0"/>
    <x v="831"/>
    <x v="846"/>
    <x v="706"/>
    <x v="560"/>
    <x v="42"/>
    <x v="130"/>
    <x v="226"/>
    <x v="24"/>
    <x v="162"/>
    <x v="59"/>
    <x v="39"/>
    <x v="307"/>
    <x v="610"/>
    <x v="2"/>
    <x v="97"/>
    <x v="2"/>
    <x v="5"/>
    <x v="101"/>
  </r>
  <r>
    <x v="157"/>
    <x v="165"/>
    <x v="220"/>
    <x v="0"/>
    <x v="7"/>
    <x v="193"/>
    <x v="193"/>
    <x v="192"/>
    <x v="192"/>
    <x v="0"/>
    <x v="832"/>
    <x v="847"/>
    <x v="707"/>
    <x v="229"/>
    <x v="111"/>
    <x v="752"/>
    <x v="225"/>
    <x v="10"/>
    <x v="163"/>
    <x v="2"/>
    <x v="40"/>
    <x v="308"/>
    <x v="611"/>
    <x v="1"/>
    <x v="98"/>
    <x v="4"/>
    <x v="11"/>
    <x v="7"/>
  </r>
  <r>
    <x v="157"/>
    <x v="166"/>
    <x v="221"/>
    <x v="0"/>
    <x v="105"/>
    <x v="194"/>
    <x v="194"/>
    <x v="193"/>
    <x v="193"/>
    <x v="0"/>
    <x v="833"/>
    <x v="848"/>
    <x v="708"/>
    <x v="508"/>
    <x v="110"/>
    <x v="753"/>
    <x v="227"/>
    <x v="0"/>
    <x v="164"/>
    <x v="32"/>
    <x v="30"/>
    <x v="309"/>
    <x v="612"/>
    <x v="13"/>
    <x v="99"/>
    <x v="1"/>
    <x v="12"/>
    <x v="102"/>
  </r>
  <r>
    <x v="157"/>
    <x v="167"/>
    <x v="222"/>
    <x v="0"/>
    <x v="106"/>
    <x v="195"/>
    <x v="195"/>
    <x v="194"/>
    <x v="194"/>
    <x v="0"/>
    <x v="834"/>
    <x v="849"/>
    <x v="709"/>
    <x v="561"/>
    <x v="80"/>
    <x v="754"/>
    <x v="228"/>
    <x v="7"/>
    <x v="123"/>
    <x v="1"/>
    <x v="12"/>
    <x v="310"/>
    <x v="613"/>
    <x v="14"/>
    <x v="100"/>
    <x v="7"/>
    <x v="6"/>
    <x v="103"/>
  </r>
  <r>
    <x v="157"/>
    <x v="168"/>
    <x v="223"/>
    <x v="0"/>
    <x v="107"/>
    <x v="196"/>
    <x v="196"/>
    <x v="195"/>
    <x v="195"/>
    <x v="0"/>
    <x v="835"/>
    <x v="850"/>
    <x v="710"/>
    <x v="562"/>
    <x v="14"/>
    <x v="755"/>
    <x v="229"/>
    <x v="0"/>
    <x v="165"/>
    <x v="60"/>
    <x v="6"/>
    <x v="311"/>
    <x v="427"/>
    <x v="18"/>
    <x v="101"/>
    <x v="10"/>
    <x v="10"/>
    <x v="104"/>
  </r>
  <r>
    <x v="157"/>
    <x v="169"/>
    <x v="224"/>
    <x v="0"/>
    <x v="108"/>
    <x v="197"/>
    <x v="197"/>
    <x v="196"/>
    <x v="196"/>
    <x v="0"/>
    <x v="836"/>
    <x v="851"/>
    <x v="711"/>
    <x v="563"/>
    <x v="28"/>
    <x v="183"/>
    <x v="230"/>
    <x v="25"/>
    <x v="166"/>
    <x v="46"/>
    <x v="41"/>
    <x v="312"/>
    <x v="614"/>
    <x v="16"/>
    <x v="102"/>
    <x v="12"/>
    <x v="13"/>
    <x v="105"/>
  </r>
  <r>
    <x v="157"/>
    <x v="170"/>
    <x v="225"/>
    <x v="0"/>
    <x v="109"/>
    <x v="198"/>
    <x v="198"/>
    <x v="197"/>
    <x v="197"/>
    <x v="0"/>
    <x v="837"/>
    <x v="852"/>
    <x v="712"/>
    <x v="564"/>
    <x v="5"/>
    <x v="56"/>
    <x v="231"/>
    <x v="12"/>
    <x v="60"/>
    <x v="61"/>
    <x v="42"/>
    <x v="313"/>
    <x v="615"/>
    <x v="3"/>
    <x v="103"/>
    <x v="11"/>
    <x v="3"/>
    <x v="106"/>
  </r>
  <r>
    <x v="157"/>
    <x v="171"/>
    <x v="226"/>
    <x v="0"/>
    <x v="110"/>
    <x v="199"/>
    <x v="199"/>
    <x v="198"/>
    <x v="198"/>
    <x v="0"/>
    <x v="838"/>
    <x v="853"/>
    <x v="713"/>
    <x v="484"/>
    <x v="60"/>
    <x v="234"/>
    <x v="40"/>
    <x v="3"/>
    <x v="1"/>
    <x v="17"/>
    <x v="0"/>
    <x v="131"/>
    <x v="616"/>
    <x v="27"/>
    <x v="104"/>
    <x v="3"/>
    <x v="1"/>
    <x v="107"/>
  </r>
  <r>
    <x v="157"/>
    <x v="172"/>
    <x v="227"/>
    <x v="0"/>
    <x v="111"/>
    <x v="200"/>
    <x v="200"/>
    <x v="199"/>
    <x v="199"/>
    <x v="0"/>
    <x v="839"/>
    <x v="854"/>
    <x v="714"/>
    <x v="565"/>
    <x v="5"/>
    <x v="756"/>
    <x v="232"/>
    <x v="26"/>
    <x v="167"/>
    <x v="34"/>
    <x v="43"/>
    <x v="314"/>
    <x v="210"/>
    <x v="5"/>
    <x v="105"/>
    <x v="9"/>
    <x v="8"/>
    <x v="108"/>
  </r>
  <r>
    <x v="157"/>
    <x v="173"/>
    <x v="228"/>
    <x v="0"/>
    <x v="112"/>
    <x v="201"/>
    <x v="201"/>
    <x v="200"/>
    <x v="200"/>
    <x v="0"/>
    <x v="840"/>
    <x v="855"/>
    <x v="715"/>
    <x v="234"/>
    <x v="12"/>
    <x v="757"/>
    <x v="152"/>
    <x v="2"/>
    <x v="9"/>
    <x v="51"/>
    <x v="4"/>
    <x v="25"/>
    <x v="617"/>
    <x v="4"/>
    <x v="106"/>
    <x v="39"/>
    <x v="26"/>
    <x v="109"/>
  </r>
  <r>
    <x v="157"/>
    <x v="174"/>
    <x v="229"/>
    <x v="0"/>
    <x v="113"/>
    <x v="202"/>
    <x v="202"/>
    <x v="201"/>
    <x v="201"/>
    <x v="0"/>
    <x v="841"/>
    <x v="856"/>
    <x v="716"/>
    <x v="566"/>
    <x v="66"/>
    <x v="758"/>
    <x v="14"/>
    <x v="2"/>
    <x v="22"/>
    <x v="3"/>
    <x v="3"/>
    <x v="285"/>
    <x v="618"/>
    <x v="15"/>
    <x v="107"/>
    <x v="0"/>
    <x v="9"/>
    <x v="110"/>
  </r>
  <r>
    <x v="157"/>
    <x v="175"/>
    <x v="230"/>
    <x v="0"/>
    <x v="9"/>
    <x v="203"/>
    <x v="203"/>
    <x v="202"/>
    <x v="202"/>
    <x v="0"/>
    <x v="842"/>
    <x v="857"/>
    <x v="717"/>
    <x v="567"/>
    <x v="9"/>
    <x v="759"/>
    <x v="233"/>
    <x v="5"/>
    <x v="158"/>
    <x v="18"/>
    <x v="0"/>
    <x v="315"/>
    <x v="18"/>
    <x v="8"/>
    <x v="108"/>
    <x v="8"/>
    <x v="23"/>
    <x v="9"/>
  </r>
  <r>
    <x v="157"/>
    <x v="176"/>
    <x v="231"/>
    <x v="0"/>
    <x v="114"/>
    <x v="204"/>
    <x v="204"/>
    <x v="203"/>
    <x v="203"/>
    <x v="0"/>
    <x v="843"/>
    <x v="858"/>
    <x v="718"/>
    <x v="568"/>
    <x v="112"/>
    <x v="760"/>
    <x v="234"/>
    <x v="11"/>
    <x v="12"/>
    <x v="48"/>
    <x v="24"/>
    <x v="316"/>
    <x v="265"/>
    <x v="38"/>
    <x v="109"/>
    <x v="14"/>
    <x v="30"/>
    <x v="111"/>
  </r>
  <r>
    <x v="157"/>
    <x v="177"/>
    <x v="232"/>
    <x v="0"/>
    <x v="17"/>
    <x v="205"/>
    <x v="205"/>
    <x v="204"/>
    <x v="204"/>
    <x v="0"/>
    <x v="844"/>
    <x v="859"/>
    <x v="719"/>
    <x v="569"/>
    <x v="32"/>
    <x v="139"/>
    <x v="217"/>
    <x v="1"/>
    <x v="72"/>
    <x v="10"/>
    <x v="23"/>
    <x v="63"/>
    <x v="619"/>
    <x v="20"/>
    <x v="110"/>
    <x v="23"/>
    <x v="28"/>
    <x v="17"/>
  </r>
  <r>
    <x v="157"/>
    <x v="178"/>
    <x v="233"/>
    <x v="0"/>
    <x v="115"/>
    <x v="206"/>
    <x v="206"/>
    <x v="205"/>
    <x v="205"/>
    <x v="0"/>
    <x v="845"/>
    <x v="860"/>
    <x v="720"/>
    <x v="570"/>
    <x v="51"/>
    <x v="108"/>
    <x v="144"/>
    <x v="0"/>
    <x v="168"/>
    <x v="62"/>
    <x v="0"/>
    <x v="317"/>
    <x v="261"/>
    <x v="39"/>
    <x v="111"/>
    <x v="13"/>
    <x v="25"/>
    <x v="112"/>
  </r>
  <r>
    <x v="157"/>
    <x v="179"/>
    <x v="234"/>
    <x v="0"/>
    <x v="116"/>
    <x v="207"/>
    <x v="207"/>
    <x v="206"/>
    <x v="206"/>
    <x v="0"/>
    <x v="846"/>
    <x v="861"/>
    <x v="721"/>
    <x v="571"/>
    <x v="9"/>
    <x v="761"/>
    <x v="76"/>
    <x v="2"/>
    <x v="39"/>
    <x v="26"/>
    <x v="0"/>
    <x v="16"/>
    <x v="298"/>
    <x v="23"/>
    <x v="112"/>
    <x v="24"/>
    <x v="31"/>
    <x v="113"/>
  </r>
  <r>
    <x v="158"/>
    <x v="161"/>
    <x v="235"/>
    <x v="0"/>
    <x v="103"/>
    <x v="208"/>
    <x v="208"/>
    <x v="207"/>
    <x v="207"/>
    <x v="0"/>
    <x v="847"/>
    <x v="862"/>
    <x v="116"/>
    <x v="572"/>
    <x v="10"/>
    <x v="762"/>
    <x v="235"/>
    <x v="2"/>
    <x v="169"/>
    <x v="12"/>
    <x v="2"/>
    <x v="318"/>
    <x v="95"/>
    <x v="0"/>
    <x v="0"/>
    <x v="10"/>
    <x v="26"/>
    <x v="100"/>
  </r>
  <r>
    <x v="158"/>
    <x v="180"/>
    <x v="236"/>
    <x v="0"/>
    <x v="117"/>
    <x v="209"/>
    <x v="209"/>
    <x v="208"/>
    <x v="208"/>
    <x v="0"/>
    <x v="848"/>
    <x v="863"/>
    <x v="722"/>
    <x v="573"/>
    <x v="37"/>
    <x v="763"/>
    <x v="215"/>
    <x v="1"/>
    <x v="170"/>
    <x v="1"/>
    <x v="4"/>
    <x v="319"/>
    <x v="152"/>
    <x v="0"/>
    <x v="0"/>
    <x v="2"/>
    <x v="3"/>
    <x v="114"/>
  </r>
  <r>
    <x v="159"/>
    <x v="161"/>
    <x v="235"/>
    <x v="0"/>
    <x v="103"/>
    <x v="208"/>
    <x v="208"/>
    <x v="207"/>
    <x v="207"/>
    <x v="0"/>
    <x v="849"/>
    <x v="864"/>
    <x v="113"/>
    <x v="395"/>
    <x v="35"/>
    <x v="764"/>
    <x v="15"/>
    <x v="2"/>
    <x v="14"/>
    <x v="3"/>
    <x v="3"/>
    <x v="15"/>
    <x v="15"/>
    <x v="0"/>
    <x v="0"/>
    <x v="5"/>
    <x v="2"/>
    <x v="100"/>
  </r>
  <r>
    <x v="159"/>
    <x v="180"/>
    <x v="236"/>
    <x v="0"/>
    <x v="117"/>
    <x v="209"/>
    <x v="209"/>
    <x v="208"/>
    <x v="208"/>
    <x v="0"/>
    <x v="850"/>
    <x v="865"/>
    <x v="723"/>
    <x v="105"/>
    <x v="9"/>
    <x v="765"/>
    <x v="227"/>
    <x v="21"/>
    <x v="141"/>
    <x v="63"/>
    <x v="29"/>
    <x v="320"/>
    <x v="4"/>
    <x v="0"/>
    <x v="0"/>
    <x v="23"/>
    <x v="1"/>
    <x v="114"/>
  </r>
  <r>
    <x v="159"/>
    <x v="181"/>
    <x v="237"/>
    <x v="0"/>
    <x v="118"/>
    <x v="210"/>
    <x v="210"/>
    <x v="209"/>
    <x v="209"/>
    <x v="0"/>
    <x v="851"/>
    <x v="866"/>
    <x v="170"/>
    <x v="574"/>
    <x v="9"/>
    <x v="766"/>
    <x v="236"/>
    <x v="6"/>
    <x v="45"/>
    <x v="22"/>
    <x v="2"/>
    <x v="321"/>
    <x v="620"/>
    <x v="0"/>
    <x v="0"/>
    <x v="10"/>
    <x v="2"/>
    <x v="115"/>
  </r>
  <r>
    <x v="160"/>
    <x v="180"/>
    <x v="236"/>
    <x v="0"/>
    <x v="117"/>
    <x v="209"/>
    <x v="209"/>
    <x v="208"/>
    <x v="208"/>
    <x v="0"/>
    <x v="852"/>
    <x v="442"/>
    <x v="565"/>
    <x v="217"/>
    <x v="0"/>
    <x v="767"/>
    <x v="15"/>
    <x v="2"/>
    <x v="14"/>
    <x v="3"/>
    <x v="3"/>
    <x v="15"/>
    <x v="15"/>
    <x v="0"/>
    <x v="0"/>
    <x v="5"/>
    <x v="2"/>
    <x v="114"/>
  </r>
  <r>
    <x v="160"/>
    <x v="182"/>
    <x v="238"/>
    <x v="0"/>
    <x v="119"/>
    <x v="211"/>
    <x v="211"/>
    <x v="210"/>
    <x v="210"/>
    <x v="0"/>
    <x v="254"/>
    <x v="867"/>
    <x v="724"/>
    <x v="575"/>
    <x v="1"/>
    <x v="214"/>
    <x v="29"/>
    <x v="1"/>
    <x v="55"/>
    <x v="4"/>
    <x v="2"/>
    <x v="142"/>
    <x v="621"/>
    <x v="0"/>
    <x v="0"/>
    <x v="9"/>
    <x v="31"/>
    <x v="116"/>
  </r>
  <r>
    <x v="160"/>
    <x v="183"/>
    <x v="239"/>
    <x v="0"/>
    <x v="62"/>
    <x v="212"/>
    <x v="212"/>
    <x v="211"/>
    <x v="211"/>
    <x v="0"/>
    <x v="853"/>
    <x v="868"/>
    <x v="725"/>
    <x v="335"/>
    <x v="41"/>
    <x v="768"/>
    <x v="119"/>
    <x v="2"/>
    <x v="23"/>
    <x v="3"/>
    <x v="4"/>
    <x v="99"/>
    <x v="381"/>
    <x v="17"/>
    <x v="113"/>
    <x v="11"/>
    <x v="6"/>
    <x v="60"/>
  </r>
  <r>
    <x v="160"/>
    <x v="184"/>
    <x v="240"/>
    <x v="0"/>
    <x v="120"/>
    <x v="213"/>
    <x v="213"/>
    <x v="212"/>
    <x v="212"/>
    <x v="0"/>
    <x v="854"/>
    <x v="869"/>
    <x v="726"/>
    <x v="576"/>
    <x v="1"/>
    <x v="769"/>
    <x v="210"/>
    <x v="10"/>
    <x v="147"/>
    <x v="1"/>
    <x v="1"/>
    <x v="12"/>
    <x v="622"/>
    <x v="0"/>
    <x v="0"/>
    <x v="41"/>
    <x v="46"/>
    <x v="117"/>
  </r>
  <r>
    <x v="161"/>
    <x v="183"/>
    <x v="239"/>
    <x v="0"/>
    <x v="62"/>
    <x v="212"/>
    <x v="212"/>
    <x v="211"/>
    <x v="211"/>
    <x v="0"/>
    <x v="855"/>
    <x v="870"/>
    <x v="565"/>
    <x v="267"/>
    <x v="0"/>
    <x v="770"/>
    <x v="15"/>
    <x v="2"/>
    <x v="14"/>
    <x v="3"/>
    <x v="3"/>
    <x v="15"/>
    <x v="15"/>
    <x v="0"/>
    <x v="0"/>
    <x v="5"/>
    <x v="2"/>
    <x v="60"/>
  </r>
  <r>
    <x v="161"/>
    <x v="185"/>
    <x v="241"/>
    <x v="0"/>
    <x v="73"/>
    <x v="214"/>
    <x v="214"/>
    <x v="213"/>
    <x v="213"/>
    <x v="0"/>
    <x v="856"/>
    <x v="871"/>
    <x v="727"/>
    <x v="281"/>
    <x v="3"/>
    <x v="534"/>
    <x v="163"/>
    <x v="1"/>
    <x v="171"/>
    <x v="5"/>
    <x v="0"/>
    <x v="322"/>
    <x v="206"/>
    <x v="0"/>
    <x v="0"/>
    <x v="9"/>
    <x v="13"/>
    <x v="71"/>
  </r>
  <r>
    <x v="161"/>
    <x v="186"/>
    <x v="242"/>
    <x v="0"/>
    <x v="90"/>
    <x v="215"/>
    <x v="215"/>
    <x v="214"/>
    <x v="214"/>
    <x v="0"/>
    <x v="857"/>
    <x v="872"/>
    <x v="728"/>
    <x v="320"/>
    <x v="4"/>
    <x v="771"/>
    <x v="237"/>
    <x v="2"/>
    <x v="155"/>
    <x v="11"/>
    <x v="2"/>
    <x v="323"/>
    <x v="623"/>
    <x v="0"/>
    <x v="0"/>
    <x v="24"/>
    <x v="13"/>
    <x v="88"/>
  </r>
  <r>
    <x v="161"/>
    <x v="187"/>
    <x v="243"/>
    <x v="0"/>
    <x v="102"/>
    <x v="216"/>
    <x v="216"/>
    <x v="215"/>
    <x v="215"/>
    <x v="0"/>
    <x v="858"/>
    <x v="873"/>
    <x v="729"/>
    <x v="577"/>
    <x v="2"/>
    <x v="772"/>
    <x v="82"/>
    <x v="7"/>
    <x v="130"/>
    <x v="12"/>
    <x v="5"/>
    <x v="324"/>
    <x v="624"/>
    <x v="0"/>
    <x v="0"/>
    <x v="1"/>
    <x v="10"/>
    <x v="96"/>
  </r>
  <r>
    <x v="162"/>
    <x v="183"/>
    <x v="239"/>
    <x v="0"/>
    <x v="62"/>
    <x v="212"/>
    <x v="212"/>
    <x v="211"/>
    <x v="211"/>
    <x v="0"/>
    <x v="859"/>
    <x v="874"/>
    <x v="730"/>
    <x v="289"/>
    <x v="36"/>
    <x v="773"/>
    <x v="49"/>
    <x v="1"/>
    <x v="73"/>
    <x v="5"/>
    <x v="2"/>
    <x v="21"/>
    <x v="379"/>
    <x v="40"/>
    <x v="114"/>
    <x v="4"/>
    <x v="10"/>
    <x v="60"/>
  </r>
  <r>
    <x v="162"/>
    <x v="184"/>
    <x v="240"/>
    <x v="0"/>
    <x v="120"/>
    <x v="213"/>
    <x v="213"/>
    <x v="212"/>
    <x v="212"/>
    <x v="0"/>
    <x v="860"/>
    <x v="875"/>
    <x v="731"/>
    <x v="578"/>
    <x v="1"/>
    <x v="774"/>
    <x v="33"/>
    <x v="0"/>
    <x v="53"/>
    <x v="12"/>
    <x v="3"/>
    <x v="28"/>
    <x v="625"/>
    <x v="0"/>
    <x v="0"/>
    <x v="44"/>
    <x v="4"/>
    <x v="117"/>
  </r>
  <r>
    <x v="162"/>
    <x v="185"/>
    <x v="241"/>
    <x v="0"/>
    <x v="73"/>
    <x v="214"/>
    <x v="214"/>
    <x v="213"/>
    <x v="213"/>
    <x v="0"/>
    <x v="861"/>
    <x v="876"/>
    <x v="732"/>
    <x v="456"/>
    <x v="10"/>
    <x v="775"/>
    <x v="238"/>
    <x v="1"/>
    <x v="104"/>
    <x v="3"/>
    <x v="8"/>
    <x v="325"/>
    <x v="312"/>
    <x v="0"/>
    <x v="0"/>
    <x v="3"/>
    <x v="6"/>
    <x v="71"/>
  </r>
  <r>
    <x v="162"/>
    <x v="186"/>
    <x v="242"/>
    <x v="0"/>
    <x v="90"/>
    <x v="215"/>
    <x v="215"/>
    <x v="214"/>
    <x v="214"/>
    <x v="0"/>
    <x v="862"/>
    <x v="877"/>
    <x v="733"/>
    <x v="579"/>
    <x v="42"/>
    <x v="331"/>
    <x v="239"/>
    <x v="7"/>
    <x v="172"/>
    <x v="5"/>
    <x v="0"/>
    <x v="326"/>
    <x v="391"/>
    <x v="0"/>
    <x v="0"/>
    <x v="22"/>
    <x v="37"/>
    <x v="88"/>
  </r>
  <r>
    <x v="162"/>
    <x v="187"/>
    <x v="243"/>
    <x v="0"/>
    <x v="102"/>
    <x v="216"/>
    <x v="216"/>
    <x v="215"/>
    <x v="215"/>
    <x v="0"/>
    <x v="863"/>
    <x v="878"/>
    <x v="734"/>
    <x v="580"/>
    <x v="9"/>
    <x v="131"/>
    <x v="240"/>
    <x v="10"/>
    <x v="130"/>
    <x v="4"/>
    <x v="13"/>
    <x v="324"/>
    <x v="626"/>
    <x v="0"/>
    <x v="0"/>
    <x v="2"/>
    <x v="8"/>
    <x v="96"/>
  </r>
  <r>
    <x v="162"/>
    <x v="188"/>
    <x v="244"/>
    <x v="0"/>
    <x v="72"/>
    <x v="217"/>
    <x v="217"/>
    <x v="216"/>
    <x v="216"/>
    <x v="0"/>
    <x v="864"/>
    <x v="879"/>
    <x v="735"/>
    <x v="581"/>
    <x v="0"/>
    <x v="449"/>
    <x v="128"/>
    <x v="2"/>
    <x v="158"/>
    <x v="5"/>
    <x v="1"/>
    <x v="5"/>
    <x v="579"/>
    <x v="0"/>
    <x v="0"/>
    <x v="1"/>
    <x v="10"/>
    <x v="70"/>
  </r>
  <r>
    <x v="162"/>
    <x v="189"/>
    <x v="245"/>
    <x v="0"/>
    <x v="76"/>
    <x v="218"/>
    <x v="218"/>
    <x v="217"/>
    <x v="217"/>
    <x v="0"/>
    <x v="865"/>
    <x v="880"/>
    <x v="736"/>
    <x v="134"/>
    <x v="81"/>
    <x v="776"/>
    <x v="16"/>
    <x v="2"/>
    <x v="45"/>
    <x v="3"/>
    <x v="2"/>
    <x v="327"/>
    <x v="319"/>
    <x v="0"/>
    <x v="0"/>
    <x v="4"/>
    <x v="2"/>
    <x v="74"/>
  </r>
  <r>
    <x v="162"/>
    <x v="190"/>
    <x v="246"/>
    <x v="0"/>
    <x v="121"/>
    <x v="219"/>
    <x v="219"/>
    <x v="218"/>
    <x v="218"/>
    <x v="0"/>
    <x v="866"/>
    <x v="881"/>
    <x v="737"/>
    <x v="397"/>
    <x v="58"/>
    <x v="777"/>
    <x v="19"/>
    <x v="3"/>
    <x v="33"/>
    <x v="5"/>
    <x v="13"/>
    <x v="45"/>
    <x v="427"/>
    <x v="0"/>
    <x v="0"/>
    <x v="9"/>
    <x v="25"/>
    <x v="118"/>
  </r>
  <r>
    <x v="163"/>
    <x v="183"/>
    <x v="239"/>
    <x v="0"/>
    <x v="62"/>
    <x v="212"/>
    <x v="212"/>
    <x v="211"/>
    <x v="211"/>
    <x v="0"/>
    <x v="867"/>
    <x v="882"/>
    <x v="376"/>
    <x v="278"/>
    <x v="21"/>
    <x v="587"/>
    <x v="241"/>
    <x v="2"/>
    <x v="73"/>
    <x v="5"/>
    <x v="2"/>
    <x v="328"/>
    <x v="627"/>
    <x v="5"/>
    <x v="77"/>
    <x v="8"/>
    <x v="12"/>
    <x v="60"/>
  </r>
  <r>
    <x v="163"/>
    <x v="184"/>
    <x v="240"/>
    <x v="0"/>
    <x v="120"/>
    <x v="213"/>
    <x v="213"/>
    <x v="212"/>
    <x v="212"/>
    <x v="0"/>
    <x v="868"/>
    <x v="883"/>
    <x v="113"/>
    <x v="17"/>
    <x v="41"/>
    <x v="778"/>
    <x v="15"/>
    <x v="2"/>
    <x v="24"/>
    <x v="3"/>
    <x v="3"/>
    <x v="20"/>
    <x v="628"/>
    <x v="0"/>
    <x v="0"/>
    <x v="5"/>
    <x v="2"/>
    <x v="117"/>
  </r>
  <r>
    <x v="163"/>
    <x v="185"/>
    <x v="241"/>
    <x v="0"/>
    <x v="73"/>
    <x v="214"/>
    <x v="214"/>
    <x v="213"/>
    <x v="213"/>
    <x v="0"/>
    <x v="869"/>
    <x v="884"/>
    <x v="738"/>
    <x v="347"/>
    <x v="8"/>
    <x v="779"/>
    <x v="205"/>
    <x v="2"/>
    <x v="141"/>
    <x v="3"/>
    <x v="1"/>
    <x v="329"/>
    <x v="543"/>
    <x v="0"/>
    <x v="0"/>
    <x v="12"/>
    <x v="6"/>
    <x v="71"/>
  </r>
  <r>
    <x v="163"/>
    <x v="186"/>
    <x v="242"/>
    <x v="0"/>
    <x v="90"/>
    <x v="215"/>
    <x v="215"/>
    <x v="214"/>
    <x v="214"/>
    <x v="0"/>
    <x v="870"/>
    <x v="885"/>
    <x v="739"/>
    <x v="312"/>
    <x v="42"/>
    <x v="780"/>
    <x v="242"/>
    <x v="0"/>
    <x v="173"/>
    <x v="5"/>
    <x v="27"/>
    <x v="330"/>
    <x v="629"/>
    <x v="0"/>
    <x v="0"/>
    <x v="45"/>
    <x v="21"/>
    <x v="88"/>
  </r>
  <r>
    <x v="163"/>
    <x v="187"/>
    <x v="243"/>
    <x v="0"/>
    <x v="102"/>
    <x v="216"/>
    <x v="216"/>
    <x v="215"/>
    <x v="215"/>
    <x v="0"/>
    <x v="871"/>
    <x v="886"/>
    <x v="740"/>
    <x v="582"/>
    <x v="9"/>
    <x v="715"/>
    <x v="243"/>
    <x v="4"/>
    <x v="174"/>
    <x v="13"/>
    <x v="41"/>
    <x v="331"/>
    <x v="138"/>
    <x v="0"/>
    <x v="0"/>
    <x v="39"/>
    <x v="9"/>
    <x v="96"/>
  </r>
  <r>
    <x v="163"/>
    <x v="188"/>
    <x v="244"/>
    <x v="0"/>
    <x v="72"/>
    <x v="217"/>
    <x v="217"/>
    <x v="216"/>
    <x v="216"/>
    <x v="0"/>
    <x v="872"/>
    <x v="887"/>
    <x v="741"/>
    <x v="298"/>
    <x v="51"/>
    <x v="482"/>
    <x v="244"/>
    <x v="1"/>
    <x v="41"/>
    <x v="11"/>
    <x v="6"/>
    <x v="332"/>
    <x v="429"/>
    <x v="0"/>
    <x v="0"/>
    <x v="13"/>
    <x v="3"/>
    <x v="70"/>
  </r>
  <r>
    <x v="163"/>
    <x v="189"/>
    <x v="245"/>
    <x v="0"/>
    <x v="76"/>
    <x v="218"/>
    <x v="218"/>
    <x v="217"/>
    <x v="217"/>
    <x v="0"/>
    <x v="873"/>
    <x v="888"/>
    <x v="239"/>
    <x v="305"/>
    <x v="3"/>
    <x v="781"/>
    <x v="23"/>
    <x v="2"/>
    <x v="14"/>
    <x v="3"/>
    <x v="3"/>
    <x v="83"/>
    <x v="555"/>
    <x v="0"/>
    <x v="0"/>
    <x v="5"/>
    <x v="2"/>
    <x v="74"/>
  </r>
  <r>
    <x v="163"/>
    <x v="190"/>
    <x v="246"/>
    <x v="0"/>
    <x v="121"/>
    <x v="219"/>
    <x v="219"/>
    <x v="218"/>
    <x v="218"/>
    <x v="0"/>
    <x v="874"/>
    <x v="889"/>
    <x v="278"/>
    <x v="583"/>
    <x v="51"/>
    <x v="782"/>
    <x v="15"/>
    <x v="2"/>
    <x v="24"/>
    <x v="3"/>
    <x v="3"/>
    <x v="20"/>
    <x v="630"/>
    <x v="0"/>
    <x v="0"/>
    <x v="5"/>
    <x v="2"/>
    <x v="118"/>
  </r>
  <r>
    <x v="163"/>
    <x v="191"/>
    <x v="247"/>
    <x v="0"/>
    <x v="122"/>
    <x v="220"/>
    <x v="220"/>
    <x v="219"/>
    <x v="219"/>
    <x v="0"/>
    <x v="875"/>
    <x v="890"/>
    <x v="742"/>
    <x v="154"/>
    <x v="36"/>
    <x v="783"/>
    <x v="86"/>
    <x v="0"/>
    <x v="91"/>
    <x v="3"/>
    <x v="2"/>
    <x v="232"/>
    <x v="631"/>
    <x v="0"/>
    <x v="0"/>
    <x v="11"/>
    <x v="5"/>
    <x v="119"/>
  </r>
  <r>
    <x v="164"/>
    <x v="183"/>
    <x v="239"/>
    <x v="0"/>
    <x v="62"/>
    <x v="212"/>
    <x v="212"/>
    <x v="211"/>
    <x v="211"/>
    <x v="0"/>
    <x v="876"/>
    <x v="891"/>
    <x v="743"/>
    <x v="584"/>
    <x v="43"/>
    <x v="140"/>
    <x v="66"/>
    <x v="1"/>
    <x v="17"/>
    <x v="3"/>
    <x v="4"/>
    <x v="66"/>
    <x v="632"/>
    <x v="3"/>
    <x v="115"/>
    <x v="5"/>
    <x v="13"/>
    <x v="60"/>
  </r>
  <r>
    <x v="164"/>
    <x v="185"/>
    <x v="241"/>
    <x v="0"/>
    <x v="73"/>
    <x v="214"/>
    <x v="214"/>
    <x v="213"/>
    <x v="213"/>
    <x v="0"/>
    <x v="877"/>
    <x v="892"/>
    <x v="744"/>
    <x v="551"/>
    <x v="48"/>
    <x v="587"/>
    <x v="245"/>
    <x v="2"/>
    <x v="12"/>
    <x v="3"/>
    <x v="3"/>
    <x v="333"/>
    <x v="316"/>
    <x v="0"/>
    <x v="0"/>
    <x v="10"/>
    <x v="5"/>
    <x v="71"/>
  </r>
  <r>
    <x v="164"/>
    <x v="186"/>
    <x v="242"/>
    <x v="0"/>
    <x v="90"/>
    <x v="215"/>
    <x v="215"/>
    <x v="214"/>
    <x v="214"/>
    <x v="0"/>
    <x v="878"/>
    <x v="893"/>
    <x v="400"/>
    <x v="585"/>
    <x v="7"/>
    <x v="779"/>
    <x v="246"/>
    <x v="1"/>
    <x v="81"/>
    <x v="3"/>
    <x v="4"/>
    <x v="334"/>
    <x v="312"/>
    <x v="0"/>
    <x v="0"/>
    <x v="18"/>
    <x v="13"/>
    <x v="88"/>
  </r>
  <r>
    <x v="164"/>
    <x v="187"/>
    <x v="243"/>
    <x v="0"/>
    <x v="102"/>
    <x v="216"/>
    <x v="216"/>
    <x v="215"/>
    <x v="215"/>
    <x v="0"/>
    <x v="879"/>
    <x v="894"/>
    <x v="745"/>
    <x v="586"/>
    <x v="9"/>
    <x v="784"/>
    <x v="182"/>
    <x v="7"/>
    <x v="131"/>
    <x v="4"/>
    <x v="7"/>
    <x v="332"/>
    <x v="265"/>
    <x v="0"/>
    <x v="0"/>
    <x v="13"/>
    <x v="10"/>
    <x v="96"/>
  </r>
  <r>
    <x v="164"/>
    <x v="188"/>
    <x v="244"/>
    <x v="0"/>
    <x v="72"/>
    <x v="217"/>
    <x v="217"/>
    <x v="216"/>
    <x v="216"/>
    <x v="0"/>
    <x v="880"/>
    <x v="895"/>
    <x v="746"/>
    <x v="125"/>
    <x v="42"/>
    <x v="785"/>
    <x v="16"/>
    <x v="2"/>
    <x v="92"/>
    <x v="5"/>
    <x v="3"/>
    <x v="109"/>
    <x v="473"/>
    <x v="0"/>
    <x v="0"/>
    <x v="12"/>
    <x v="2"/>
    <x v="70"/>
  </r>
  <r>
    <x v="164"/>
    <x v="191"/>
    <x v="247"/>
    <x v="0"/>
    <x v="122"/>
    <x v="220"/>
    <x v="220"/>
    <x v="219"/>
    <x v="219"/>
    <x v="0"/>
    <x v="881"/>
    <x v="896"/>
    <x v="747"/>
    <x v="226"/>
    <x v="58"/>
    <x v="786"/>
    <x v="30"/>
    <x v="2"/>
    <x v="91"/>
    <x v="5"/>
    <x v="2"/>
    <x v="14"/>
    <x v="401"/>
    <x v="0"/>
    <x v="0"/>
    <x v="4"/>
    <x v="11"/>
    <x v="119"/>
  </r>
  <r>
    <x v="164"/>
    <x v="183"/>
    <x v="248"/>
    <x v="1"/>
    <x v="62"/>
    <x v="221"/>
    <x v="221"/>
    <x v="220"/>
    <x v="220"/>
    <x v="0"/>
    <x v="882"/>
    <x v="897"/>
    <x v="748"/>
    <x v="76"/>
    <x v="40"/>
    <x v="787"/>
    <x v="8"/>
    <x v="2"/>
    <x v="50"/>
    <x v="3"/>
    <x v="3"/>
    <x v="83"/>
    <x v="633"/>
    <x v="13"/>
    <x v="116"/>
    <x v="2"/>
    <x v="5"/>
    <x v="60"/>
  </r>
  <r>
    <x v="164"/>
    <x v="192"/>
    <x v="249"/>
    <x v="1"/>
    <x v="62"/>
    <x v="222"/>
    <x v="222"/>
    <x v="221"/>
    <x v="221"/>
    <x v="0"/>
    <x v="883"/>
    <x v="467"/>
    <x v="113"/>
    <x v="587"/>
    <x v="74"/>
    <x v="216"/>
    <x v="15"/>
    <x v="2"/>
    <x v="14"/>
    <x v="3"/>
    <x v="3"/>
    <x v="15"/>
    <x v="15"/>
    <x v="0"/>
    <x v="0"/>
    <x v="5"/>
    <x v="2"/>
    <x v="60"/>
  </r>
  <r>
    <x v="164"/>
    <x v="186"/>
    <x v="250"/>
    <x v="1"/>
    <x v="90"/>
    <x v="222"/>
    <x v="222"/>
    <x v="221"/>
    <x v="221"/>
    <x v="0"/>
    <x v="884"/>
    <x v="898"/>
    <x v="749"/>
    <x v="585"/>
    <x v="108"/>
    <x v="788"/>
    <x v="17"/>
    <x v="0"/>
    <x v="22"/>
    <x v="3"/>
    <x v="3"/>
    <x v="165"/>
    <x v="634"/>
    <x v="0"/>
    <x v="0"/>
    <x v="7"/>
    <x v="2"/>
    <x v="88"/>
  </r>
  <r>
    <x v="164"/>
    <x v="193"/>
    <x v="251"/>
    <x v="0"/>
    <x v="123"/>
    <x v="223"/>
    <x v="223"/>
    <x v="222"/>
    <x v="222"/>
    <x v="0"/>
    <x v="885"/>
    <x v="899"/>
    <x v="750"/>
    <x v="588"/>
    <x v="2"/>
    <x v="789"/>
    <x v="86"/>
    <x v="10"/>
    <x v="8"/>
    <x v="11"/>
    <x v="1"/>
    <x v="232"/>
    <x v="548"/>
    <x v="0"/>
    <x v="0"/>
    <x v="11"/>
    <x v="6"/>
    <x v="120"/>
  </r>
  <r>
    <x v="165"/>
    <x v="183"/>
    <x v="239"/>
    <x v="0"/>
    <x v="62"/>
    <x v="212"/>
    <x v="212"/>
    <x v="211"/>
    <x v="211"/>
    <x v="0"/>
    <x v="886"/>
    <x v="900"/>
    <x v="751"/>
    <x v="589"/>
    <x v="15"/>
    <x v="790"/>
    <x v="36"/>
    <x v="0"/>
    <x v="49"/>
    <x v="3"/>
    <x v="4"/>
    <x v="1"/>
    <x v="545"/>
    <x v="14"/>
    <x v="113"/>
    <x v="7"/>
    <x v="2"/>
    <x v="60"/>
  </r>
  <r>
    <x v="165"/>
    <x v="185"/>
    <x v="241"/>
    <x v="0"/>
    <x v="73"/>
    <x v="214"/>
    <x v="214"/>
    <x v="213"/>
    <x v="213"/>
    <x v="0"/>
    <x v="887"/>
    <x v="901"/>
    <x v="752"/>
    <x v="590"/>
    <x v="52"/>
    <x v="791"/>
    <x v="202"/>
    <x v="3"/>
    <x v="122"/>
    <x v="11"/>
    <x v="0"/>
    <x v="335"/>
    <x v="432"/>
    <x v="0"/>
    <x v="0"/>
    <x v="24"/>
    <x v="13"/>
    <x v="71"/>
  </r>
  <r>
    <x v="165"/>
    <x v="186"/>
    <x v="242"/>
    <x v="0"/>
    <x v="90"/>
    <x v="215"/>
    <x v="215"/>
    <x v="214"/>
    <x v="214"/>
    <x v="0"/>
    <x v="888"/>
    <x v="902"/>
    <x v="753"/>
    <x v="591"/>
    <x v="7"/>
    <x v="281"/>
    <x v="247"/>
    <x v="3"/>
    <x v="126"/>
    <x v="11"/>
    <x v="0"/>
    <x v="111"/>
    <x v="249"/>
    <x v="0"/>
    <x v="0"/>
    <x v="8"/>
    <x v="28"/>
    <x v="88"/>
  </r>
  <r>
    <x v="165"/>
    <x v="187"/>
    <x v="243"/>
    <x v="0"/>
    <x v="102"/>
    <x v="216"/>
    <x v="216"/>
    <x v="215"/>
    <x v="215"/>
    <x v="0"/>
    <x v="889"/>
    <x v="903"/>
    <x v="754"/>
    <x v="271"/>
    <x v="9"/>
    <x v="792"/>
    <x v="248"/>
    <x v="7"/>
    <x v="175"/>
    <x v="0"/>
    <x v="6"/>
    <x v="233"/>
    <x v="317"/>
    <x v="0"/>
    <x v="0"/>
    <x v="4"/>
    <x v="5"/>
    <x v="96"/>
  </r>
  <r>
    <x v="165"/>
    <x v="188"/>
    <x v="244"/>
    <x v="0"/>
    <x v="72"/>
    <x v="217"/>
    <x v="217"/>
    <x v="216"/>
    <x v="216"/>
    <x v="0"/>
    <x v="890"/>
    <x v="904"/>
    <x v="248"/>
    <x v="113"/>
    <x v="4"/>
    <x v="793"/>
    <x v="15"/>
    <x v="2"/>
    <x v="24"/>
    <x v="3"/>
    <x v="3"/>
    <x v="20"/>
    <x v="635"/>
    <x v="0"/>
    <x v="0"/>
    <x v="5"/>
    <x v="2"/>
    <x v="70"/>
  </r>
  <r>
    <x v="165"/>
    <x v="191"/>
    <x v="247"/>
    <x v="0"/>
    <x v="122"/>
    <x v="220"/>
    <x v="220"/>
    <x v="219"/>
    <x v="219"/>
    <x v="0"/>
    <x v="30"/>
    <x v="905"/>
    <x v="29"/>
    <x v="30"/>
    <x v="16"/>
    <x v="29"/>
    <x v="15"/>
    <x v="2"/>
    <x v="14"/>
    <x v="3"/>
    <x v="3"/>
    <x v="15"/>
    <x v="15"/>
    <x v="0"/>
    <x v="0"/>
    <x v="5"/>
    <x v="2"/>
    <x v="119"/>
  </r>
  <r>
    <x v="165"/>
    <x v="183"/>
    <x v="248"/>
    <x v="1"/>
    <x v="62"/>
    <x v="221"/>
    <x v="221"/>
    <x v="223"/>
    <x v="220"/>
    <x v="0"/>
    <x v="891"/>
    <x v="906"/>
    <x v="755"/>
    <x v="592"/>
    <x v="33"/>
    <x v="794"/>
    <x v="8"/>
    <x v="2"/>
    <x v="14"/>
    <x v="3"/>
    <x v="3"/>
    <x v="27"/>
    <x v="636"/>
    <x v="0"/>
    <x v="0"/>
    <x v="1"/>
    <x v="2"/>
    <x v="60"/>
  </r>
  <r>
    <x v="165"/>
    <x v="186"/>
    <x v="250"/>
    <x v="1"/>
    <x v="90"/>
    <x v="222"/>
    <x v="222"/>
    <x v="224"/>
    <x v="221"/>
    <x v="0"/>
    <x v="892"/>
    <x v="907"/>
    <x v="756"/>
    <x v="187"/>
    <x v="98"/>
    <x v="795"/>
    <x v="23"/>
    <x v="2"/>
    <x v="50"/>
    <x v="3"/>
    <x v="3"/>
    <x v="93"/>
    <x v="637"/>
    <x v="0"/>
    <x v="0"/>
    <x v="2"/>
    <x v="11"/>
    <x v="88"/>
  </r>
  <r>
    <x v="165"/>
    <x v="193"/>
    <x v="251"/>
    <x v="0"/>
    <x v="123"/>
    <x v="223"/>
    <x v="223"/>
    <x v="222"/>
    <x v="222"/>
    <x v="0"/>
    <x v="893"/>
    <x v="908"/>
    <x v="113"/>
    <x v="335"/>
    <x v="13"/>
    <x v="796"/>
    <x v="15"/>
    <x v="2"/>
    <x v="14"/>
    <x v="3"/>
    <x v="3"/>
    <x v="15"/>
    <x v="15"/>
    <x v="0"/>
    <x v="0"/>
    <x v="5"/>
    <x v="2"/>
    <x v="120"/>
  </r>
  <r>
    <x v="165"/>
    <x v="194"/>
    <x v="252"/>
    <x v="0"/>
    <x v="124"/>
    <x v="224"/>
    <x v="224"/>
    <x v="225"/>
    <x v="223"/>
    <x v="0"/>
    <x v="894"/>
    <x v="909"/>
    <x v="757"/>
    <x v="521"/>
    <x v="14"/>
    <x v="797"/>
    <x v="185"/>
    <x v="1"/>
    <x v="49"/>
    <x v="3"/>
    <x v="2"/>
    <x v="1"/>
    <x v="157"/>
    <x v="0"/>
    <x v="0"/>
    <x v="2"/>
    <x v="2"/>
    <x v="121"/>
  </r>
  <r>
    <x v="16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</r>
  <r>
    <x v="166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</r>
  <r>
    <x v="166"/>
    <x v="182"/>
    <x v="238"/>
    <x v="0"/>
    <x v="119"/>
    <x v="211"/>
    <x v="211"/>
    <x v="210"/>
    <x v="2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6"/>
  </r>
  <r>
    <x v="166"/>
    <x v="183"/>
    <x v="239"/>
    <x v="0"/>
    <x v="62"/>
    <x v="212"/>
    <x v="212"/>
    <x v="211"/>
    <x v="211"/>
    <x v="0"/>
    <x v="895"/>
    <x v="779"/>
    <x v="27"/>
    <x v="150"/>
    <x v="48"/>
    <x v="425"/>
    <x v="15"/>
    <x v="2"/>
    <x v="14"/>
    <x v="3"/>
    <x v="3"/>
    <x v="15"/>
    <x v="15"/>
    <x v="0"/>
    <x v="0"/>
    <x v="5"/>
    <x v="2"/>
    <x v="60"/>
  </r>
  <r>
    <x v="166"/>
    <x v="185"/>
    <x v="241"/>
    <x v="0"/>
    <x v="73"/>
    <x v="214"/>
    <x v="214"/>
    <x v="213"/>
    <x v="213"/>
    <x v="0"/>
    <x v="896"/>
    <x v="910"/>
    <x v="758"/>
    <x v="272"/>
    <x v="74"/>
    <x v="798"/>
    <x v="58"/>
    <x v="2"/>
    <x v="71"/>
    <x v="3"/>
    <x v="1"/>
    <x v="214"/>
    <x v="292"/>
    <x v="0"/>
    <x v="0"/>
    <x v="0"/>
    <x v="6"/>
    <x v="71"/>
  </r>
  <r>
    <x v="166"/>
    <x v="186"/>
    <x v="242"/>
    <x v="0"/>
    <x v="90"/>
    <x v="215"/>
    <x v="215"/>
    <x v="214"/>
    <x v="214"/>
    <x v="0"/>
    <x v="897"/>
    <x v="911"/>
    <x v="759"/>
    <x v="593"/>
    <x v="7"/>
    <x v="799"/>
    <x v="249"/>
    <x v="1"/>
    <x v="176"/>
    <x v="3"/>
    <x v="4"/>
    <x v="336"/>
    <x v="397"/>
    <x v="0"/>
    <x v="0"/>
    <x v="28"/>
    <x v="23"/>
    <x v="88"/>
  </r>
  <r>
    <x v="166"/>
    <x v="187"/>
    <x v="243"/>
    <x v="0"/>
    <x v="102"/>
    <x v="216"/>
    <x v="216"/>
    <x v="215"/>
    <x v="215"/>
    <x v="0"/>
    <x v="898"/>
    <x v="912"/>
    <x v="577"/>
    <x v="594"/>
    <x v="5"/>
    <x v="800"/>
    <x v="107"/>
    <x v="0"/>
    <x v="12"/>
    <x v="5"/>
    <x v="8"/>
    <x v="142"/>
    <x v="95"/>
    <x v="0"/>
    <x v="0"/>
    <x v="2"/>
    <x v="5"/>
    <x v="96"/>
  </r>
  <r>
    <x v="166"/>
    <x v="190"/>
    <x v="246"/>
    <x v="0"/>
    <x v="121"/>
    <x v="219"/>
    <x v="219"/>
    <x v="218"/>
    <x v="2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8"/>
  </r>
  <r>
    <x v="166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</r>
  <r>
    <x v="166"/>
    <x v="183"/>
    <x v="248"/>
    <x v="1"/>
    <x v="62"/>
    <x v="221"/>
    <x v="221"/>
    <x v="223"/>
    <x v="220"/>
    <x v="0"/>
    <x v="899"/>
    <x v="913"/>
    <x v="760"/>
    <x v="595"/>
    <x v="44"/>
    <x v="801"/>
    <x v="23"/>
    <x v="2"/>
    <x v="24"/>
    <x v="3"/>
    <x v="2"/>
    <x v="93"/>
    <x v="638"/>
    <x v="13"/>
    <x v="115"/>
    <x v="2"/>
    <x v="5"/>
    <x v="60"/>
  </r>
  <r>
    <x v="166"/>
    <x v="193"/>
    <x v="251"/>
    <x v="0"/>
    <x v="123"/>
    <x v="223"/>
    <x v="223"/>
    <x v="222"/>
    <x v="2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20"/>
  </r>
  <r>
    <x v="166"/>
    <x v="194"/>
    <x v="252"/>
    <x v="0"/>
    <x v="124"/>
    <x v="224"/>
    <x v="224"/>
    <x v="225"/>
    <x v="223"/>
    <x v="0"/>
    <x v="900"/>
    <x v="914"/>
    <x v="27"/>
    <x v="596"/>
    <x v="44"/>
    <x v="802"/>
    <x v="15"/>
    <x v="2"/>
    <x v="24"/>
    <x v="3"/>
    <x v="3"/>
    <x v="20"/>
    <x v="639"/>
    <x v="0"/>
    <x v="0"/>
    <x v="2"/>
    <x v="2"/>
    <x v="121"/>
  </r>
  <r>
    <x v="166"/>
    <x v="163"/>
    <x v="253"/>
    <x v="0"/>
    <x v="47"/>
    <x v="225"/>
    <x v="225"/>
    <x v="226"/>
    <x v="224"/>
    <x v="0"/>
    <x v="901"/>
    <x v="915"/>
    <x v="761"/>
    <x v="597"/>
    <x v="36"/>
    <x v="803"/>
    <x v="5"/>
    <x v="2"/>
    <x v="159"/>
    <x v="4"/>
    <x v="23"/>
    <x v="337"/>
    <x v="302"/>
    <x v="0"/>
    <x v="0"/>
    <x v="2"/>
    <x v="13"/>
    <x v="31"/>
  </r>
  <r>
    <x v="167"/>
    <x v="180"/>
    <x v="236"/>
    <x v="0"/>
    <x v="117"/>
    <x v="209"/>
    <x v="209"/>
    <x v="208"/>
    <x v="20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4"/>
  </r>
  <r>
    <x v="167"/>
    <x v="183"/>
    <x v="239"/>
    <x v="0"/>
    <x v="62"/>
    <x v="212"/>
    <x v="212"/>
    <x v="211"/>
    <x v="2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</r>
  <r>
    <x v="167"/>
    <x v="185"/>
    <x v="241"/>
    <x v="0"/>
    <x v="73"/>
    <x v="214"/>
    <x v="214"/>
    <x v="213"/>
    <x v="213"/>
    <x v="0"/>
    <x v="902"/>
    <x v="916"/>
    <x v="762"/>
    <x v="295"/>
    <x v="25"/>
    <x v="804"/>
    <x v="250"/>
    <x v="1"/>
    <x v="168"/>
    <x v="5"/>
    <x v="8"/>
    <x v="338"/>
    <x v="640"/>
    <x v="0"/>
    <x v="0"/>
    <x v="8"/>
    <x v="6"/>
    <x v="71"/>
  </r>
  <r>
    <x v="167"/>
    <x v="186"/>
    <x v="242"/>
    <x v="0"/>
    <x v="90"/>
    <x v="215"/>
    <x v="215"/>
    <x v="214"/>
    <x v="214"/>
    <x v="0"/>
    <x v="903"/>
    <x v="917"/>
    <x v="763"/>
    <x v="62"/>
    <x v="51"/>
    <x v="805"/>
    <x v="193"/>
    <x v="0"/>
    <x v="142"/>
    <x v="11"/>
    <x v="2"/>
    <x v="339"/>
    <x v="421"/>
    <x v="0"/>
    <x v="0"/>
    <x v="21"/>
    <x v="37"/>
    <x v="88"/>
  </r>
  <r>
    <x v="167"/>
    <x v="187"/>
    <x v="243"/>
    <x v="0"/>
    <x v="102"/>
    <x v="216"/>
    <x v="216"/>
    <x v="215"/>
    <x v="215"/>
    <x v="0"/>
    <x v="904"/>
    <x v="918"/>
    <x v="764"/>
    <x v="598"/>
    <x v="5"/>
    <x v="162"/>
    <x v="95"/>
    <x v="0"/>
    <x v="25"/>
    <x v="3"/>
    <x v="7"/>
    <x v="116"/>
    <x v="155"/>
    <x v="0"/>
    <x v="0"/>
    <x v="2"/>
    <x v="5"/>
    <x v="96"/>
  </r>
  <r>
    <x v="167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</r>
  <r>
    <x v="167"/>
    <x v="183"/>
    <x v="248"/>
    <x v="1"/>
    <x v="62"/>
    <x v="221"/>
    <x v="221"/>
    <x v="223"/>
    <x v="220"/>
    <x v="0"/>
    <x v="905"/>
    <x v="919"/>
    <x v="765"/>
    <x v="42"/>
    <x v="44"/>
    <x v="806"/>
    <x v="26"/>
    <x v="2"/>
    <x v="19"/>
    <x v="3"/>
    <x v="2"/>
    <x v="8"/>
    <x v="641"/>
    <x v="20"/>
    <x v="117"/>
    <x v="3"/>
    <x v="3"/>
    <x v="60"/>
  </r>
  <r>
    <x v="167"/>
    <x v="163"/>
    <x v="253"/>
    <x v="0"/>
    <x v="47"/>
    <x v="225"/>
    <x v="225"/>
    <x v="226"/>
    <x v="224"/>
    <x v="0"/>
    <x v="906"/>
    <x v="883"/>
    <x v="113"/>
    <x v="17"/>
    <x v="51"/>
    <x v="807"/>
    <x v="15"/>
    <x v="2"/>
    <x v="14"/>
    <x v="3"/>
    <x v="3"/>
    <x v="15"/>
    <x v="15"/>
    <x v="0"/>
    <x v="0"/>
    <x v="5"/>
    <x v="2"/>
    <x v="31"/>
  </r>
  <r>
    <x v="168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</r>
  <r>
    <x v="168"/>
    <x v="185"/>
    <x v="241"/>
    <x v="0"/>
    <x v="73"/>
    <x v="214"/>
    <x v="214"/>
    <x v="213"/>
    <x v="213"/>
    <x v="0"/>
    <x v="907"/>
    <x v="920"/>
    <x v="766"/>
    <x v="599"/>
    <x v="23"/>
    <x v="808"/>
    <x v="157"/>
    <x v="1"/>
    <x v="176"/>
    <x v="3"/>
    <x v="23"/>
    <x v="340"/>
    <x v="642"/>
    <x v="0"/>
    <x v="0"/>
    <x v="24"/>
    <x v="6"/>
    <x v="71"/>
  </r>
  <r>
    <x v="168"/>
    <x v="186"/>
    <x v="242"/>
    <x v="0"/>
    <x v="90"/>
    <x v="215"/>
    <x v="215"/>
    <x v="214"/>
    <x v="214"/>
    <x v="0"/>
    <x v="908"/>
    <x v="921"/>
    <x v="767"/>
    <x v="600"/>
    <x v="51"/>
    <x v="809"/>
    <x v="251"/>
    <x v="7"/>
    <x v="61"/>
    <x v="5"/>
    <x v="4"/>
    <x v="334"/>
    <x v="643"/>
    <x v="0"/>
    <x v="0"/>
    <x v="13"/>
    <x v="0"/>
    <x v="88"/>
  </r>
  <r>
    <x v="168"/>
    <x v="187"/>
    <x v="243"/>
    <x v="0"/>
    <x v="102"/>
    <x v="216"/>
    <x v="216"/>
    <x v="215"/>
    <x v="215"/>
    <x v="0"/>
    <x v="909"/>
    <x v="922"/>
    <x v="768"/>
    <x v="601"/>
    <x v="5"/>
    <x v="810"/>
    <x v="118"/>
    <x v="0"/>
    <x v="15"/>
    <x v="11"/>
    <x v="4"/>
    <x v="39"/>
    <x v="240"/>
    <x v="0"/>
    <x v="0"/>
    <x v="4"/>
    <x v="11"/>
    <x v="96"/>
  </r>
  <r>
    <x v="168"/>
    <x v="188"/>
    <x v="244"/>
    <x v="0"/>
    <x v="72"/>
    <x v="217"/>
    <x v="217"/>
    <x v="216"/>
    <x v="216"/>
    <x v="0"/>
    <x v="910"/>
    <x v="923"/>
    <x v="769"/>
    <x v="40"/>
    <x v="41"/>
    <x v="811"/>
    <x v="99"/>
    <x v="1"/>
    <x v="35"/>
    <x v="11"/>
    <x v="0"/>
    <x v="143"/>
    <x v="644"/>
    <x v="0"/>
    <x v="0"/>
    <x v="12"/>
    <x v="5"/>
    <x v="70"/>
  </r>
  <r>
    <x v="168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</r>
  <r>
    <x v="168"/>
    <x v="183"/>
    <x v="248"/>
    <x v="1"/>
    <x v="62"/>
    <x v="221"/>
    <x v="221"/>
    <x v="223"/>
    <x v="220"/>
    <x v="0"/>
    <x v="911"/>
    <x v="924"/>
    <x v="770"/>
    <x v="602"/>
    <x v="44"/>
    <x v="812"/>
    <x v="41"/>
    <x v="2"/>
    <x v="14"/>
    <x v="3"/>
    <x v="2"/>
    <x v="93"/>
    <x v="645"/>
    <x v="27"/>
    <x v="118"/>
    <x v="1"/>
    <x v="5"/>
    <x v="60"/>
  </r>
  <r>
    <x v="169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</r>
  <r>
    <x v="169"/>
    <x v="185"/>
    <x v="241"/>
    <x v="0"/>
    <x v="73"/>
    <x v="214"/>
    <x v="214"/>
    <x v="213"/>
    <x v="213"/>
    <x v="0"/>
    <x v="912"/>
    <x v="925"/>
    <x v="393"/>
    <x v="585"/>
    <x v="14"/>
    <x v="813"/>
    <x v="0"/>
    <x v="7"/>
    <x v="147"/>
    <x v="5"/>
    <x v="2"/>
    <x v="159"/>
    <x v="474"/>
    <x v="0"/>
    <x v="0"/>
    <x v="8"/>
    <x v="12"/>
    <x v="71"/>
  </r>
  <r>
    <x v="169"/>
    <x v="186"/>
    <x v="242"/>
    <x v="0"/>
    <x v="90"/>
    <x v="215"/>
    <x v="215"/>
    <x v="214"/>
    <x v="214"/>
    <x v="0"/>
    <x v="458"/>
    <x v="123"/>
    <x v="113"/>
    <x v="115"/>
    <x v="37"/>
    <x v="814"/>
    <x v="15"/>
    <x v="2"/>
    <x v="14"/>
    <x v="3"/>
    <x v="3"/>
    <x v="15"/>
    <x v="15"/>
    <x v="0"/>
    <x v="0"/>
    <x v="5"/>
    <x v="2"/>
    <x v="88"/>
  </r>
  <r>
    <x v="169"/>
    <x v="187"/>
    <x v="243"/>
    <x v="0"/>
    <x v="102"/>
    <x v="216"/>
    <x v="216"/>
    <x v="215"/>
    <x v="2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6"/>
  </r>
  <r>
    <x v="169"/>
    <x v="188"/>
    <x v="244"/>
    <x v="0"/>
    <x v="72"/>
    <x v="217"/>
    <x v="217"/>
    <x v="216"/>
    <x v="216"/>
    <x v="0"/>
    <x v="913"/>
    <x v="926"/>
    <x v="771"/>
    <x v="603"/>
    <x v="52"/>
    <x v="815"/>
    <x v="176"/>
    <x v="2"/>
    <x v="89"/>
    <x v="3"/>
    <x v="4"/>
    <x v="145"/>
    <x v="178"/>
    <x v="0"/>
    <x v="0"/>
    <x v="4"/>
    <x v="2"/>
    <x v="70"/>
  </r>
  <r>
    <x v="169"/>
    <x v="183"/>
    <x v="248"/>
    <x v="1"/>
    <x v="62"/>
    <x v="221"/>
    <x v="221"/>
    <x v="223"/>
    <x v="220"/>
    <x v="0"/>
    <x v="914"/>
    <x v="927"/>
    <x v="772"/>
    <x v="604"/>
    <x v="26"/>
    <x v="816"/>
    <x v="18"/>
    <x v="2"/>
    <x v="103"/>
    <x v="3"/>
    <x v="2"/>
    <x v="20"/>
    <x v="646"/>
    <x v="5"/>
    <x v="11"/>
    <x v="5"/>
    <x v="2"/>
    <x v="60"/>
  </r>
  <r>
    <x v="169"/>
    <x v="195"/>
    <x v="254"/>
    <x v="1"/>
    <x v="62"/>
    <x v="226"/>
    <x v="226"/>
    <x v="227"/>
    <x v="225"/>
    <x v="0"/>
    <x v="915"/>
    <x v="30"/>
    <x v="72"/>
    <x v="522"/>
    <x v="17"/>
    <x v="817"/>
    <x v="15"/>
    <x v="2"/>
    <x v="14"/>
    <x v="3"/>
    <x v="3"/>
    <x v="15"/>
    <x v="15"/>
    <x v="0"/>
    <x v="0"/>
    <x v="5"/>
    <x v="2"/>
    <x v="60"/>
  </r>
  <r>
    <x v="169"/>
    <x v="163"/>
    <x v="255"/>
    <x v="1"/>
    <x v="47"/>
    <x v="226"/>
    <x v="226"/>
    <x v="227"/>
    <x v="225"/>
    <x v="0"/>
    <x v="916"/>
    <x v="928"/>
    <x v="773"/>
    <x v="515"/>
    <x v="15"/>
    <x v="746"/>
    <x v="65"/>
    <x v="2"/>
    <x v="38"/>
    <x v="1"/>
    <x v="4"/>
    <x v="64"/>
    <x v="647"/>
    <x v="0"/>
    <x v="0"/>
    <x v="5"/>
    <x v="5"/>
    <x v="31"/>
  </r>
  <r>
    <x v="170"/>
    <x v="196"/>
    <x v="256"/>
    <x v="2"/>
    <x v="125"/>
    <x v="227"/>
    <x v="227"/>
    <x v="228"/>
    <x v="226"/>
    <x v="1"/>
    <x v="917"/>
    <x v="929"/>
    <x v="774"/>
    <x v="605"/>
    <x v="113"/>
    <x v="818"/>
    <x v="252"/>
    <x v="27"/>
    <x v="177"/>
    <x v="64"/>
    <x v="44"/>
    <x v="341"/>
    <x v="648"/>
    <x v="41"/>
    <x v="119"/>
    <x v="46"/>
    <x v="47"/>
    <x v="1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  <x v="0"/>
    <x v="1"/>
    <x v="0"/>
  </r>
  <r>
    <x v="0"/>
    <x v="2"/>
    <x v="2"/>
    <x v="0"/>
    <x v="2"/>
    <x v="0"/>
    <x v="0"/>
    <x v="0"/>
    <x v="0"/>
    <x v="0"/>
    <x v="2"/>
    <x v="2"/>
    <x v="2"/>
    <x v="2"/>
    <x v="2"/>
    <x v="2"/>
    <x v="2"/>
    <x v="2"/>
    <x v="2"/>
    <x v="1"/>
    <x v="2"/>
    <x v="2"/>
    <x v="2"/>
    <x v="0"/>
    <x v="0"/>
    <x v="2"/>
    <x v="2"/>
    <x v="2"/>
    <x v="0"/>
    <x v="1"/>
    <x v="0"/>
  </r>
  <r>
    <x v="0"/>
    <x v="3"/>
    <x v="3"/>
    <x v="0"/>
    <x v="3"/>
    <x v="1"/>
    <x v="1"/>
    <x v="1"/>
    <x v="1"/>
    <x v="0"/>
    <x v="3"/>
    <x v="3"/>
    <x v="3"/>
    <x v="3"/>
    <x v="3"/>
    <x v="3"/>
    <x v="3"/>
    <x v="0"/>
    <x v="3"/>
    <x v="2"/>
    <x v="2"/>
    <x v="3"/>
    <x v="3"/>
    <x v="0"/>
    <x v="0"/>
    <x v="3"/>
    <x v="2"/>
    <x v="3"/>
    <x v="1"/>
    <x v="2"/>
    <x v="1"/>
  </r>
  <r>
    <x v="0"/>
    <x v="4"/>
    <x v="4"/>
    <x v="0"/>
    <x v="4"/>
    <x v="2"/>
    <x v="2"/>
    <x v="2"/>
    <x v="2"/>
    <x v="0"/>
    <x v="4"/>
    <x v="4"/>
    <x v="4"/>
    <x v="4"/>
    <x v="2"/>
    <x v="4"/>
    <x v="4"/>
    <x v="0"/>
    <x v="4"/>
    <x v="3"/>
    <x v="2"/>
    <x v="4"/>
    <x v="4"/>
    <x v="0"/>
    <x v="0"/>
    <x v="4"/>
    <x v="3"/>
    <x v="4"/>
    <x v="1"/>
    <x v="3"/>
    <x v="2"/>
  </r>
  <r>
    <x v="0"/>
    <x v="5"/>
    <x v="5"/>
    <x v="0"/>
    <x v="5"/>
    <x v="2"/>
    <x v="2"/>
    <x v="2"/>
    <x v="2"/>
    <x v="0"/>
    <x v="5"/>
    <x v="5"/>
    <x v="5"/>
    <x v="5"/>
    <x v="4"/>
    <x v="5"/>
    <x v="5"/>
    <x v="2"/>
    <x v="5"/>
    <x v="0"/>
    <x v="1"/>
    <x v="5"/>
    <x v="5"/>
    <x v="0"/>
    <x v="0"/>
    <x v="5"/>
    <x v="2"/>
    <x v="5"/>
    <x v="1"/>
    <x v="4"/>
    <x v="2"/>
  </r>
  <r>
    <x v="1"/>
    <x v="0"/>
    <x v="0"/>
    <x v="0"/>
    <x v="0"/>
    <x v="0"/>
    <x v="0"/>
    <x v="0"/>
    <x v="0"/>
    <x v="0"/>
    <x v="6"/>
    <x v="6"/>
    <x v="6"/>
    <x v="6"/>
    <x v="5"/>
    <x v="6"/>
    <x v="6"/>
    <x v="0"/>
    <x v="6"/>
    <x v="4"/>
    <x v="2"/>
    <x v="6"/>
    <x v="6"/>
    <x v="0"/>
    <x v="0"/>
    <x v="6"/>
    <x v="4"/>
    <x v="0"/>
    <x v="0"/>
    <x v="0"/>
    <x v="0"/>
  </r>
  <r>
    <x v="1"/>
    <x v="1"/>
    <x v="1"/>
    <x v="0"/>
    <x v="1"/>
    <x v="0"/>
    <x v="0"/>
    <x v="0"/>
    <x v="0"/>
    <x v="0"/>
    <x v="7"/>
    <x v="7"/>
    <x v="7"/>
    <x v="7"/>
    <x v="6"/>
    <x v="7"/>
    <x v="7"/>
    <x v="3"/>
    <x v="7"/>
    <x v="5"/>
    <x v="3"/>
    <x v="7"/>
    <x v="7"/>
    <x v="0"/>
    <x v="0"/>
    <x v="7"/>
    <x v="1"/>
    <x v="1"/>
    <x v="0"/>
    <x v="1"/>
    <x v="0"/>
  </r>
  <r>
    <x v="1"/>
    <x v="2"/>
    <x v="2"/>
    <x v="0"/>
    <x v="2"/>
    <x v="0"/>
    <x v="0"/>
    <x v="0"/>
    <x v="0"/>
    <x v="0"/>
    <x v="8"/>
    <x v="8"/>
    <x v="8"/>
    <x v="8"/>
    <x v="5"/>
    <x v="8"/>
    <x v="8"/>
    <x v="2"/>
    <x v="8"/>
    <x v="3"/>
    <x v="3"/>
    <x v="8"/>
    <x v="8"/>
    <x v="0"/>
    <x v="0"/>
    <x v="2"/>
    <x v="2"/>
    <x v="2"/>
    <x v="0"/>
    <x v="1"/>
    <x v="0"/>
  </r>
  <r>
    <x v="1"/>
    <x v="3"/>
    <x v="3"/>
    <x v="0"/>
    <x v="3"/>
    <x v="1"/>
    <x v="1"/>
    <x v="1"/>
    <x v="1"/>
    <x v="0"/>
    <x v="9"/>
    <x v="9"/>
    <x v="9"/>
    <x v="9"/>
    <x v="7"/>
    <x v="9"/>
    <x v="9"/>
    <x v="1"/>
    <x v="9"/>
    <x v="6"/>
    <x v="3"/>
    <x v="9"/>
    <x v="9"/>
    <x v="0"/>
    <x v="0"/>
    <x v="4"/>
    <x v="5"/>
    <x v="3"/>
    <x v="1"/>
    <x v="2"/>
    <x v="1"/>
  </r>
  <r>
    <x v="1"/>
    <x v="4"/>
    <x v="4"/>
    <x v="0"/>
    <x v="4"/>
    <x v="2"/>
    <x v="2"/>
    <x v="2"/>
    <x v="2"/>
    <x v="0"/>
    <x v="10"/>
    <x v="10"/>
    <x v="10"/>
    <x v="10"/>
    <x v="5"/>
    <x v="10"/>
    <x v="10"/>
    <x v="2"/>
    <x v="10"/>
    <x v="3"/>
    <x v="3"/>
    <x v="10"/>
    <x v="10"/>
    <x v="0"/>
    <x v="0"/>
    <x v="5"/>
    <x v="3"/>
    <x v="4"/>
    <x v="1"/>
    <x v="3"/>
    <x v="2"/>
  </r>
  <r>
    <x v="1"/>
    <x v="5"/>
    <x v="5"/>
    <x v="0"/>
    <x v="5"/>
    <x v="2"/>
    <x v="2"/>
    <x v="2"/>
    <x v="2"/>
    <x v="0"/>
    <x v="11"/>
    <x v="11"/>
    <x v="11"/>
    <x v="11"/>
    <x v="5"/>
    <x v="11"/>
    <x v="11"/>
    <x v="2"/>
    <x v="11"/>
    <x v="7"/>
    <x v="4"/>
    <x v="11"/>
    <x v="11"/>
    <x v="0"/>
    <x v="0"/>
    <x v="5"/>
    <x v="2"/>
    <x v="5"/>
    <x v="1"/>
    <x v="4"/>
    <x v="2"/>
  </r>
  <r>
    <x v="2"/>
    <x v="0"/>
    <x v="0"/>
    <x v="0"/>
    <x v="0"/>
    <x v="0"/>
    <x v="0"/>
    <x v="0"/>
    <x v="0"/>
    <x v="0"/>
    <x v="12"/>
    <x v="12"/>
    <x v="12"/>
    <x v="12"/>
    <x v="6"/>
    <x v="12"/>
    <x v="12"/>
    <x v="2"/>
    <x v="12"/>
    <x v="0"/>
    <x v="1"/>
    <x v="12"/>
    <x v="12"/>
    <x v="0"/>
    <x v="0"/>
    <x v="8"/>
    <x v="0"/>
    <x v="0"/>
    <x v="0"/>
    <x v="0"/>
    <x v="0"/>
  </r>
  <r>
    <x v="2"/>
    <x v="1"/>
    <x v="1"/>
    <x v="0"/>
    <x v="1"/>
    <x v="0"/>
    <x v="0"/>
    <x v="0"/>
    <x v="0"/>
    <x v="0"/>
    <x v="13"/>
    <x v="13"/>
    <x v="13"/>
    <x v="13"/>
    <x v="6"/>
    <x v="13"/>
    <x v="13"/>
    <x v="2"/>
    <x v="8"/>
    <x v="5"/>
    <x v="2"/>
    <x v="13"/>
    <x v="13"/>
    <x v="0"/>
    <x v="0"/>
    <x v="5"/>
    <x v="6"/>
    <x v="1"/>
    <x v="0"/>
    <x v="1"/>
    <x v="0"/>
  </r>
  <r>
    <x v="2"/>
    <x v="3"/>
    <x v="3"/>
    <x v="0"/>
    <x v="3"/>
    <x v="1"/>
    <x v="1"/>
    <x v="1"/>
    <x v="1"/>
    <x v="0"/>
    <x v="14"/>
    <x v="14"/>
    <x v="14"/>
    <x v="14"/>
    <x v="8"/>
    <x v="14"/>
    <x v="14"/>
    <x v="0"/>
    <x v="13"/>
    <x v="8"/>
    <x v="4"/>
    <x v="14"/>
    <x v="14"/>
    <x v="0"/>
    <x v="0"/>
    <x v="4"/>
    <x v="5"/>
    <x v="3"/>
    <x v="1"/>
    <x v="2"/>
    <x v="1"/>
  </r>
  <r>
    <x v="2"/>
    <x v="4"/>
    <x v="4"/>
    <x v="0"/>
    <x v="4"/>
    <x v="2"/>
    <x v="2"/>
    <x v="2"/>
    <x v="2"/>
    <x v="0"/>
    <x v="15"/>
    <x v="15"/>
    <x v="15"/>
    <x v="15"/>
    <x v="2"/>
    <x v="15"/>
    <x v="15"/>
    <x v="2"/>
    <x v="14"/>
    <x v="3"/>
    <x v="3"/>
    <x v="15"/>
    <x v="15"/>
    <x v="0"/>
    <x v="0"/>
    <x v="5"/>
    <x v="2"/>
    <x v="4"/>
    <x v="1"/>
    <x v="3"/>
    <x v="2"/>
  </r>
  <r>
    <x v="2"/>
    <x v="5"/>
    <x v="5"/>
    <x v="0"/>
    <x v="5"/>
    <x v="2"/>
    <x v="2"/>
    <x v="2"/>
    <x v="2"/>
    <x v="0"/>
    <x v="16"/>
    <x v="16"/>
    <x v="16"/>
    <x v="16"/>
    <x v="5"/>
    <x v="16"/>
    <x v="16"/>
    <x v="2"/>
    <x v="15"/>
    <x v="9"/>
    <x v="0"/>
    <x v="16"/>
    <x v="16"/>
    <x v="1"/>
    <x v="1"/>
    <x v="5"/>
    <x v="2"/>
    <x v="5"/>
    <x v="1"/>
    <x v="4"/>
    <x v="2"/>
  </r>
  <r>
    <x v="3"/>
    <x v="0"/>
    <x v="0"/>
    <x v="0"/>
    <x v="0"/>
    <x v="0"/>
    <x v="0"/>
    <x v="0"/>
    <x v="0"/>
    <x v="0"/>
    <x v="17"/>
    <x v="17"/>
    <x v="17"/>
    <x v="17"/>
    <x v="9"/>
    <x v="17"/>
    <x v="5"/>
    <x v="2"/>
    <x v="16"/>
    <x v="3"/>
    <x v="2"/>
    <x v="17"/>
    <x v="17"/>
    <x v="0"/>
    <x v="0"/>
    <x v="9"/>
    <x v="7"/>
    <x v="0"/>
    <x v="0"/>
    <x v="0"/>
    <x v="0"/>
  </r>
  <r>
    <x v="3"/>
    <x v="1"/>
    <x v="1"/>
    <x v="0"/>
    <x v="1"/>
    <x v="0"/>
    <x v="0"/>
    <x v="0"/>
    <x v="0"/>
    <x v="0"/>
    <x v="18"/>
    <x v="18"/>
    <x v="18"/>
    <x v="18"/>
    <x v="5"/>
    <x v="18"/>
    <x v="17"/>
    <x v="2"/>
    <x v="17"/>
    <x v="5"/>
    <x v="2"/>
    <x v="18"/>
    <x v="18"/>
    <x v="0"/>
    <x v="0"/>
    <x v="10"/>
    <x v="8"/>
    <x v="1"/>
    <x v="0"/>
    <x v="1"/>
    <x v="0"/>
  </r>
  <r>
    <x v="3"/>
    <x v="3"/>
    <x v="3"/>
    <x v="0"/>
    <x v="3"/>
    <x v="1"/>
    <x v="1"/>
    <x v="1"/>
    <x v="1"/>
    <x v="0"/>
    <x v="19"/>
    <x v="19"/>
    <x v="19"/>
    <x v="19"/>
    <x v="10"/>
    <x v="19"/>
    <x v="14"/>
    <x v="2"/>
    <x v="17"/>
    <x v="10"/>
    <x v="3"/>
    <x v="19"/>
    <x v="19"/>
    <x v="0"/>
    <x v="0"/>
    <x v="5"/>
    <x v="2"/>
    <x v="3"/>
    <x v="1"/>
    <x v="2"/>
    <x v="1"/>
  </r>
  <r>
    <x v="3"/>
    <x v="4"/>
    <x v="4"/>
    <x v="0"/>
    <x v="4"/>
    <x v="2"/>
    <x v="2"/>
    <x v="2"/>
    <x v="2"/>
    <x v="0"/>
    <x v="20"/>
    <x v="20"/>
    <x v="20"/>
    <x v="20"/>
    <x v="5"/>
    <x v="20"/>
    <x v="18"/>
    <x v="2"/>
    <x v="14"/>
    <x v="3"/>
    <x v="3"/>
    <x v="20"/>
    <x v="20"/>
    <x v="0"/>
    <x v="0"/>
    <x v="5"/>
    <x v="2"/>
    <x v="4"/>
    <x v="1"/>
    <x v="3"/>
    <x v="2"/>
  </r>
  <r>
    <x v="3"/>
    <x v="5"/>
    <x v="5"/>
    <x v="0"/>
    <x v="5"/>
    <x v="2"/>
    <x v="2"/>
    <x v="2"/>
    <x v="2"/>
    <x v="0"/>
    <x v="21"/>
    <x v="21"/>
    <x v="21"/>
    <x v="21"/>
    <x v="5"/>
    <x v="21"/>
    <x v="19"/>
    <x v="1"/>
    <x v="5"/>
    <x v="4"/>
    <x v="0"/>
    <x v="21"/>
    <x v="6"/>
    <x v="0"/>
    <x v="0"/>
    <x v="5"/>
    <x v="2"/>
    <x v="5"/>
    <x v="1"/>
    <x v="4"/>
    <x v="2"/>
  </r>
  <r>
    <x v="4"/>
    <x v="0"/>
    <x v="0"/>
    <x v="0"/>
    <x v="0"/>
    <x v="0"/>
    <x v="0"/>
    <x v="0"/>
    <x v="0"/>
    <x v="0"/>
    <x v="22"/>
    <x v="22"/>
    <x v="22"/>
    <x v="22"/>
    <x v="6"/>
    <x v="22"/>
    <x v="20"/>
    <x v="2"/>
    <x v="18"/>
    <x v="0"/>
    <x v="2"/>
    <x v="21"/>
    <x v="21"/>
    <x v="0"/>
    <x v="0"/>
    <x v="11"/>
    <x v="9"/>
    <x v="0"/>
    <x v="0"/>
    <x v="0"/>
    <x v="0"/>
  </r>
  <r>
    <x v="4"/>
    <x v="1"/>
    <x v="1"/>
    <x v="0"/>
    <x v="1"/>
    <x v="0"/>
    <x v="0"/>
    <x v="0"/>
    <x v="0"/>
    <x v="0"/>
    <x v="23"/>
    <x v="23"/>
    <x v="23"/>
    <x v="23"/>
    <x v="11"/>
    <x v="13"/>
    <x v="21"/>
    <x v="1"/>
    <x v="19"/>
    <x v="11"/>
    <x v="3"/>
    <x v="22"/>
    <x v="22"/>
    <x v="0"/>
    <x v="0"/>
    <x v="5"/>
    <x v="10"/>
    <x v="1"/>
    <x v="0"/>
    <x v="1"/>
    <x v="0"/>
  </r>
  <r>
    <x v="4"/>
    <x v="3"/>
    <x v="3"/>
    <x v="0"/>
    <x v="3"/>
    <x v="1"/>
    <x v="1"/>
    <x v="1"/>
    <x v="1"/>
    <x v="0"/>
    <x v="24"/>
    <x v="24"/>
    <x v="15"/>
    <x v="24"/>
    <x v="12"/>
    <x v="23"/>
    <x v="22"/>
    <x v="2"/>
    <x v="20"/>
    <x v="4"/>
    <x v="1"/>
    <x v="23"/>
    <x v="23"/>
    <x v="0"/>
    <x v="0"/>
    <x v="5"/>
    <x v="2"/>
    <x v="3"/>
    <x v="1"/>
    <x v="2"/>
    <x v="1"/>
  </r>
  <r>
    <x v="4"/>
    <x v="4"/>
    <x v="4"/>
    <x v="0"/>
    <x v="4"/>
    <x v="2"/>
    <x v="2"/>
    <x v="2"/>
    <x v="2"/>
    <x v="0"/>
    <x v="25"/>
    <x v="25"/>
    <x v="24"/>
    <x v="25"/>
    <x v="13"/>
    <x v="24"/>
    <x v="15"/>
    <x v="2"/>
    <x v="14"/>
    <x v="3"/>
    <x v="3"/>
    <x v="15"/>
    <x v="15"/>
    <x v="0"/>
    <x v="0"/>
    <x v="5"/>
    <x v="2"/>
    <x v="4"/>
    <x v="1"/>
    <x v="3"/>
    <x v="2"/>
  </r>
  <r>
    <x v="4"/>
    <x v="5"/>
    <x v="5"/>
    <x v="0"/>
    <x v="5"/>
    <x v="2"/>
    <x v="2"/>
    <x v="2"/>
    <x v="2"/>
    <x v="0"/>
    <x v="26"/>
    <x v="26"/>
    <x v="25"/>
    <x v="26"/>
    <x v="13"/>
    <x v="25"/>
    <x v="7"/>
    <x v="2"/>
    <x v="4"/>
    <x v="1"/>
    <x v="3"/>
    <x v="24"/>
    <x v="24"/>
    <x v="0"/>
    <x v="0"/>
    <x v="5"/>
    <x v="2"/>
    <x v="5"/>
    <x v="1"/>
    <x v="4"/>
    <x v="2"/>
  </r>
  <r>
    <x v="5"/>
    <x v="6"/>
    <x v="6"/>
    <x v="0"/>
    <x v="6"/>
    <x v="3"/>
    <x v="3"/>
    <x v="3"/>
    <x v="3"/>
    <x v="0"/>
    <x v="27"/>
    <x v="27"/>
    <x v="26"/>
    <x v="27"/>
    <x v="5"/>
    <x v="26"/>
    <x v="11"/>
    <x v="4"/>
    <x v="21"/>
    <x v="12"/>
    <x v="5"/>
    <x v="25"/>
    <x v="25"/>
    <x v="0"/>
    <x v="0"/>
    <x v="11"/>
    <x v="2"/>
    <x v="6"/>
    <x v="2"/>
    <x v="5"/>
    <x v="3"/>
  </r>
  <r>
    <x v="5"/>
    <x v="7"/>
    <x v="7"/>
    <x v="1"/>
    <x v="3"/>
    <x v="4"/>
    <x v="4"/>
    <x v="4"/>
    <x v="4"/>
    <x v="0"/>
    <x v="28"/>
    <x v="28"/>
    <x v="27"/>
    <x v="28"/>
    <x v="14"/>
    <x v="27"/>
    <x v="15"/>
    <x v="2"/>
    <x v="14"/>
    <x v="3"/>
    <x v="3"/>
    <x v="15"/>
    <x v="15"/>
    <x v="0"/>
    <x v="0"/>
    <x v="5"/>
    <x v="2"/>
    <x v="3"/>
    <x v="1"/>
    <x v="2"/>
    <x v="1"/>
  </r>
  <r>
    <x v="5"/>
    <x v="8"/>
    <x v="8"/>
    <x v="1"/>
    <x v="7"/>
    <x v="5"/>
    <x v="5"/>
    <x v="5"/>
    <x v="5"/>
    <x v="0"/>
    <x v="29"/>
    <x v="29"/>
    <x v="28"/>
    <x v="29"/>
    <x v="15"/>
    <x v="28"/>
    <x v="23"/>
    <x v="2"/>
    <x v="22"/>
    <x v="5"/>
    <x v="3"/>
    <x v="26"/>
    <x v="26"/>
    <x v="0"/>
    <x v="0"/>
    <x v="5"/>
    <x v="2"/>
    <x v="7"/>
    <x v="0"/>
    <x v="6"/>
    <x v="0"/>
  </r>
  <r>
    <x v="5"/>
    <x v="9"/>
    <x v="9"/>
    <x v="1"/>
    <x v="7"/>
    <x v="6"/>
    <x v="6"/>
    <x v="5"/>
    <x v="5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</r>
  <r>
    <x v="5"/>
    <x v="0"/>
    <x v="10"/>
    <x v="1"/>
    <x v="0"/>
    <x v="7"/>
    <x v="7"/>
    <x v="6"/>
    <x v="6"/>
    <x v="0"/>
    <x v="31"/>
    <x v="31"/>
    <x v="30"/>
    <x v="31"/>
    <x v="17"/>
    <x v="30"/>
    <x v="13"/>
    <x v="2"/>
    <x v="8"/>
    <x v="3"/>
    <x v="3"/>
    <x v="22"/>
    <x v="27"/>
    <x v="0"/>
    <x v="0"/>
    <x v="5"/>
    <x v="2"/>
    <x v="0"/>
    <x v="0"/>
    <x v="0"/>
    <x v="0"/>
  </r>
  <r>
    <x v="5"/>
    <x v="10"/>
    <x v="11"/>
    <x v="0"/>
    <x v="8"/>
    <x v="8"/>
    <x v="8"/>
    <x v="7"/>
    <x v="7"/>
    <x v="0"/>
    <x v="32"/>
    <x v="32"/>
    <x v="31"/>
    <x v="32"/>
    <x v="5"/>
    <x v="31"/>
    <x v="10"/>
    <x v="2"/>
    <x v="23"/>
    <x v="6"/>
    <x v="4"/>
    <x v="4"/>
    <x v="28"/>
    <x v="0"/>
    <x v="0"/>
    <x v="2"/>
    <x v="11"/>
    <x v="8"/>
    <x v="0"/>
    <x v="6"/>
    <x v="0"/>
  </r>
  <r>
    <x v="5"/>
    <x v="11"/>
    <x v="12"/>
    <x v="1"/>
    <x v="9"/>
    <x v="9"/>
    <x v="9"/>
    <x v="8"/>
    <x v="8"/>
    <x v="0"/>
    <x v="33"/>
    <x v="33"/>
    <x v="32"/>
    <x v="33"/>
    <x v="18"/>
    <x v="32"/>
    <x v="18"/>
    <x v="2"/>
    <x v="24"/>
    <x v="3"/>
    <x v="3"/>
    <x v="27"/>
    <x v="29"/>
    <x v="0"/>
    <x v="0"/>
    <x v="5"/>
    <x v="2"/>
    <x v="9"/>
    <x v="1"/>
    <x v="3"/>
    <x v="2"/>
  </r>
  <r>
    <x v="5"/>
    <x v="12"/>
    <x v="13"/>
    <x v="1"/>
    <x v="5"/>
    <x v="10"/>
    <x v="10"/>
    <x v="9"/>
    <x v="9"/>
    <x v="0"/>
    <x v="34"/>
    <x v="34"/>
    <x v="27"/>
    <x v="34"/>
    <x v="19"/>
    <x v="33"/>
    <x v="15"/>
    <x v="2"/>
    <x v="14"/>
    <x v="3"/>
    <x v="3"/>
    <x v="15"/>
    <x v="15"/>
    <x v="0"/>
    <x v="0"/>
    <x v="5"/>
    <x v="2"/>
    <x v="5"/>
    <x v="1"/>
    <x v="4"/>
    <x v="2"/>
  </r>
  <r>
    <x v="5"/>
    <x v="13"/>
    <x v="14"/>
    <x v="0"/>
    <x v="10"/>
    <x v="11"/>
    <x v="11"/>
    <x v="10"/>
    <x v="10"/>
    <x v="0"/>
    <x v="35"/>
    <x v="35"/>
    <x v="33"/>
    <x v="35"/>
    <x v="1"/>
    <x v="34"/>
    <x v="24"/>
    <x v="2"/>
    <x v="25"/>
    <x v="5"/>
    <x v="2"/>
    <x v="28"/>
    <x v="30"/>
    <x v="0"/>
    <x v="0"/>
    <x v="2"/>
    <x v="12"/>
    <x v="10"/>
    <x v="1"/>
    <x v="4"/>
    <x v="2"/>
  </r>
  <r>
    <x v="6"/>
    <x v="6"/>
    <x v="6"/>
    <x v="0"/>
    <x v="6"/>
    <x v="3"/>
    <x v="3"/>
    <x v="3"/>
    <x v="3"/>
    <x v="0"/>
    <x v="36"/>
    <x v="36"/>
    <x v="34"/>
    <x v="36"/>
    <x v="5"/>
    <x v="35"/>
    <x v="25"/>
    <x v="0"/>
    <x v="26"/>
    <x v="8"/>
    <x v="5"/>
    <x v="29"/>
    <x v="31"/>
    <x v="0"/>
    <x v="0"/>
    <x v="10"/>
    <x v="12"/>
    <x v="6"/>
    <x v="2"/>
    <x v="5"/>
    <x v="3"/>
  </r>
  <r>
    <x v="6"/>
    <x v="8"/>
    <x v="8"/>
    <x v="1"/>
    <x v="7"/>
    <x v="5"/>
    <x v="5"/>
    <x v="5"/>
    <x v="5"/>
    <x v="0"/>
    <x v="37"/>
    <x v="37"/>
    <x v="35"/>
    <x v="14"/>
    <x v="19"/>
    <x v="36"/>
    <x v="26"/>
    <x v="2"/>
    <x v="22"/>
    <x v="3"/>
    <x v="2"/>
    <x v="30"/>
    <x v="32"/>
    <x v="0"/>
    <x v="0"/>
    <x v="5"/>
    <x v="2"/>
    <x v="7"/>
    <x v="0"/>
    <x v="6"/>
    <x v="0"/>
  </r>
  <r>
    <x v="6"/>
    <x v="0"/>
    <x v="10"/>
    <x v="1"/>
    <x v="0"/>
    <x v="7"/>
    <x v="7"/>
    <x v="6"/>
    <x v="6"/>
    <x v="0"/>
    <x v="38"/>
    <x v="38"/>
    <x v="36"/>
    <x v="37"/>
    <x v="20"/>
    <x v="37"/>
    <x v="26"/>
    <x v="2"/>
    <x v="19"/>
    <x v="3"/>
    <x v="3"/>
    <x v="31"/>
    <x v="33"/>
    <x v="0"/>
    <x v="0"/>
    <x v="4"/>
    <x v="2"/>
    <x v="0"/>
    <x v="0"/>
    <x v="0"/>
    <x v="0"/>
  </r>
  <r>
    <x v="6"/>
    <x v="10"/>
    <x v="11"/>
    <x v="0"/>
    <x v="8"/>
    <x v="8"/>
    <x v="8"/>
    <x v="7"/>
    <x v="7"/>
    <x v="0"/>
    <x v="39"/>
    <x v="39"/>
    <x v="37"/>
    <x v="38"/>
    <x v="1"/>
    <x v="38"/>
    <x v="15"/>
    <x v="2"/>
    <x v="14"/>
    <x v="3"/>
    <x v="3"/>
    <x v="15"/>
    <x v="15"/>
    <x v="0"/>
    <x v="0"/>
    <x v="5"/>
    <x v="2"/>
    <x v="8"/>
    <x v="0"/>
    <x v="6"/>
    <x v="0"/>
  </r>
  <r>
    <x v="6"/>
    <x v="11"/>
    <x v="12"/>
    <x v="1"/>
    <x v="9"/>
    <x v="9"/>
    <x v="9"/>
    <x v="8"/>
    <x v="8"/>
    <x v="0"/>
    <x v="30"/>
    <x v="40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6"/>
    <x v="12"/>
    <x v="13"/>
    <x v="1"/>
    <x v="5"/>
    <x v="10"/>
    <x v="10"/>
    <x v="9"/>
    <x v="9"/>
    <x v="0"/>
    <x v="40"/>
    <x v="41"/>
    <x v="38"/>
    <x v="39"/>
    <x v="21"/>
    <x v="39"/>
    <x v="18"/>
    <x v="2"/>
    <x v="24"/>
    <x v="3"/>
    <x v="3"/>
    <x v="27"/>
    <x v="34"/>
    <x v="0"/>
    <x v="0"/>
    <x v="5"/>
    <x v="2"/>
    <x v="5"/>
    <x v="1"/>
    <x v="4"/>
    <x v="2"/>
  </r>
  <r>
    <x v="6"/>
    <x v="13"/>
    <x v="14"/>
    <x v="0"/>
    <x v="10"/>
    <x v="11"/>
    <x v="11"/>
    <x v="10"/>
    <x v="10"/>
    <x v="0"/>
    <x v="41"/>
    <x v="42"/>
    <x v="39"/>
    <x v="40"/>
    <x v="1"/>
    <x v="40"/>
    <x v="27"/>
    <x v="2"/>
    <x v="27"/>
    <x v="12"/>
    <x v="2"/>
    <x v="32"/>
    <x v="35"/>
    <x v="0"/>
    <x v="0"/>
    <x v="5"/>
    <x v="13"/>
    <x v="10"/>
    <x v="1"/>
    <x v="4"/>
    <x v="2"/>
  </r>
  <r>
    <x v="6"/>
    <x v="14"/>
    <x v="15"/>
    <x v="0"/>
    <x v="9"/>
    <x v="12"/>
    <x v="12"/>
    <x v="11"/>
    <x v="11"/>
    <x v="0"/>
    <x v="42"/>
    <x v="43"/>
    <x v="40"/>
    <x v="41"/>
    <x v="13"/>
    <x v="41"/>
    <x v="28"/>
    <x v="3"/>
    <x v="28"/>
    <x v="6"/>
    <x v="2"/>
    <x v="33"/>
    <x v="36"/>
    <x v="0"/>
    <x v="0"/>
    <x v="12"/>
    <x v="11"/>
    <x v="9"/>
    <x v="1"/>
    <x v="3"/>
    <x v="2"/>
  </r>
  <r>
    <x v="6"/>
    <x v="15"/>
    <x v="16"/>
    <x v="0"/>
    <x v="1"/>
    <x v="13"/>
    <x v="13"/>
    <x v="12"/>
    <x v="12"/>
    <x v="0"/>
    <x v="43"/>
    <x v="44"/>
    <x v="41"/>
    <x v="42"/>
    <x v="5"/>
    <x v="42"/>
    <x v="19"/>
    <x v="1"/>
    <x v="21"/>
    <x v="9"/>
    <x v="2"/>
    <x v="34"/>
    <x v="37"/>
    <x v="0"/>
    <x v="0"/>
    <x v="12"/>
    <x v="14"/>
    <x v="1"/>
    <x v="0"/>
    <x v="1"/>
    <x v="0"/>
  </r>
  <r>
    <x v="7"/>
    <x v="6"/>
    <x v="6"/>
    <x v="0"/>
    <x v="6"/>
    <x v="3"/>
    <x v="3"/>
    <x v="3"/>
    <x v="3"/>
    <x v="0"/>
    <x v="44"/>
    <x v="45"/>
    <x v="42"/>
    <x v="43"/>
    <x v="6"/>
    <x v="43"/>
    <x v="29"/>
    <x v="1"/>
    <x v="29"/>
    <x v="11"/>
    <x v="6"/>
    <x v="25"/>
    <x v="38"/>
    <x v="0"/>
    <x v="0"/>
    <x v="2"/>
    <x v="6"/>
    <x v="6"/>
    <x v="2"/>
    <x v="5"/>
    <x v="3"/>
  </r>
  <r>
    <x v="7"/>
    <x v="8"/>
    <x v="8"/>
    <x v="1"/>
    <x v="7"/>
    <x v="5"/>
    <x v="5"/>
    <x v="5"/>
    <x v="5"/>
    <x v="0"/>
    <x v="45"/>
    <x v="46"/>
    <x v="43"/>
    <x v="44"/>
    <x v="14"/>
    <x v="44"/>
    <x v="30"/>
    <x v="2"/>
    <x v="30"/>
    <x v="1"/>
    <x v="7"/>
    <x v="35"/>
    <x v="36"/>
    <x v="0"/>
    <x v="0"/>
    <x v="4"/>
    <x v="5"/>
    <x v="7"/>
    <x v="0"/>
    <x v="6"/>
    <x v="0"/>
  </r>
  <r>
    <x v="7"/>
    <x v="0"/>
    <x v="10"/>
    <x v="1"/>
    <x v="0"/>
    <x v="7"/>
    <x v="7"/>
    <x v="6"/>
    <x v="6"/>
    <x v="0"/>
    <x v="46"/>
    <x v="47"/>
    <x v="44"/>
    <x v="45"/>
    <x v="22"/>
    <x v="45"/>
    <x v="31"/>
    <x v="2"/>
    <x v="31"/>
    <x v="5"/>
    <x v="4"/>
    <x v="36"/>
    <x v="39"/>
    <x v="0"/>
    <x v="0"/>
    <x v="1"/>
    <x v="6"/>
    <x v="0"/>
    <x v="0"/>
    <x v="0"/>
    <x v="0"/>
  </r>
  <r>
    <x v="7"/>
    <x v="12"/>
    <x v="13"/>
    <x v="1"/>
    <x v="5"/>
    <x v="10"/>
    <x v="10"/>
    <x v="9"/>
    <x v="9"/>
    <x v="0"/>
    <x v="47"/>
    <x v="48"/>
    <x v="45"/>
    <x v="46"/>
    <x v="23"/>
    <x v="46"/>
    <x v="26"/>
    <x v="2"/>
    <x v="8"/>
    <x v="5"/>
    <x v="3"/>
    <x v="37"/>
    <x v="40"/>
    <x v="0"/>
    <x v="0"/>
    <x v="5"/>
    <x v="2"/>
    <x v="5"/>
    <x v="1"/>
    <x v="4"/>
    <x v="2"/>
  </r>
  <r>
    <x v="7"/>
    <x v="13"/>
    <x v="14"/>
    <x v="0"/>
    <x v="10"/>
    <x v="11"/>
    <x v="11"/>
    <x v="10"/>
    <x v="10"/>
    <x v="0"/>
    <x v="48"/>
    <x v="49"/>
    <x v="46"/>
    <x v="47"/>
    <x v="9"/>
    <x v="47"/>
    <x v="32"/>
    <x v="0"/>
    <x v="32"/>
    <x v="4"/>
    <x v="3"/>
    <x v="38"/>
    <x v="41"/>
    <x v="0"/>
    <x v="0"/>
    <x v="5"/>
    <x v="12"/>
    <x v="10"/>
    <x v="1"/>
    <x v="4"/>
    <x v="2"/>
  </r>
  <r>
    <x v="7"/>
    <x v="14"/>
    <x v="15"/>
    <x v="0"/>
    <x v="9"/>
    <x v="12"/>
    <x v="12"/>
    <x v="11"/>
    <x v="11"/>
    <x v="0"/>
    <x v="49"/>
    <x v="50"/>
    <x v="47"/>
    <x v="48"/>
    <x v="13"/>
    <x v="48"/>
    <x v="33"/>
    <x v="3"/>
    <x v="33"/>
    <x v="13"/>
    <x v="2"/>
    <x v="16"/>
    <x v="42"/>
    <x v="0"/>
    <x v="0"/>
    <x v="10"/>
    <x v="6"/>
    <x v="9"/>
    <x v="1"/>
    <x v="3"/>
    <x v="2"/>
  </r>
  <r>
    <x v="7"/>
    <x v="15"/>
    <x v="16"/>
    <x v="0"/>
    <x v="1"/>
    <x v="13"/>
    <x v="13"/>
    <x v="12"/>
    <x v="12"/>
    <x v="0"/>
    <x v="50"/>
    <x v="51"/>
    <x v="48"/>
    <x v="49"/>
    <x v="13"/>
    <x v="49"/>
    <x v="34"/>
    <x v="0"/>
    <x v="34"/>
    <x v="8"/>
    <x v="4"/>
    <x v="39"/>
    <x v="43"/>
    <x v="0"/>
    <x v="0"/>
    <x v="13"/>
    <x v="15"/>
    <x v="1"/>
    <x v="0"/>
    <x v="1"/>
    <x v="0"/>
  </r>
  <r>
    <x v="8"/>
    <x v="6"/>
    <x v="6"/>
    <x v="0"/>
    <x v="6"/>
    <x v="3"/>
    <x v="3"/>
    <x v="3"/>
    <x v="3"/>
    <x v="0"/>
    <x v="51"/>
    <x v="52"/>
    <x v="49"/>
    <x v="50"/>
    <x v="11"/>
    <x v="50"/>
    <x v="33"/>
    <x v="5"/>
    <x v="35"/>
    <x v="9"/>
    <x v="6"/>
    <x v="40"/>
    <x v="44"/>
    <x v="0"/>
    <x v="0"/>
    <x v="2"/>
    <x v="3"/>
    <x v="6"/>
    <x v="2"/>
    <x v="5"/>
    <x v="3"/>
  </r>
  <r>
    <x v="8"/>
    <x v="8"/>
    <x v="8"/>
    <x v="1"/>
    <x v="7"/>
    <x v="5"/>
    <x v="5"/>
    <x v="5"/>
    <x v="5"/>
    <x v="0"/>
    <x v="52"/>
    <x v="53"/>
    <x v="50"/>
    <x v="51"/>
    <x v="24"/>
    <x v="51"/>
    <x v="35"/>
    <x v="2"/>
    <x v="9"/>
    <x v="11"/>
    <x v="2"/>
    <x v="41"/>
    <x v="45"/>
    <x v="0"/>
    <x v="0"/>
    <x v="4"/>
    <x v="2"/>
    <x v="7"/>
    <x v="0"/>
    <x v="6"/>
    <x v="0"/>
  </r>
  <r>
    <x v="8"/>
    <x v="0"/>
    <x v="10"/>
    <x v="1"/>
    <x v="0"/>
    <x v="7"/>
    <x v="7"/>
    <x v="6"/>
    <x v="6"/>
    <x v="0"/>
    <x v="53"/>
    <x v="54"/>
    <x v="51"/>
    <x v="52"/>
    <x v="17"/>
    <x v="52"/>
    <x v="36"/>
    <x v="2"/>
    <x v="31"/>
    <x v="5"/>
    <x v="2"/>
    <x v="42"/>
    <x v="46"/>
    <x v="0"/>
    <x v="0"/>
    <x v="10"/>
    <x v="12"/>
    <x v="0"/>
    <x v="0"/>
    <x v="0"/>
    <x v="0"/>
  </r>
  <r>
    <x v="8"/>
    <x v="10"/>
    <x v="11"/>
    <x v="0"/>
    <x v="8"/>
    <x v="8"/>
    <x v="8"/>
    <x v="7"/>
    <x v="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"/>
    <x v="0"/>
    <x v="6"/>
    <x v="0"/>
  </r>
  <r>
    <x v="8"/>
    <x v="12"/>
    <x v="13"/>
    <x v="1"/>
    <x v="5"/>
    <x v="10"/>
    <x v="10"/>
    <x v="9"/>
    <x v="9"/>
    <x v="0"/>
    <x v="54"/>
    <x v="56"/>
    <x v="52"/>
    <x v="53"/>
    <x v="25"/>
    <x v="53"/>
    <x v="13"/>
    <x v="2"/>
    <x v="19"/>
    <x v="3"/>
    <x v="3"/>
    <x v="26"/>
    <x v="47"/>
    <x v="0"/>
    <x v="0"/>
    <x v="5"/>
    <x v="2"/>
    <x v="5"/>
    <x v="1"/>
    <x v="4"/>
    <x v="2"/>
  </r>
  <r>
    <x v="8"/>
    <x v="13"/>
    <x v="14"/>
    <x v="0"/>
    <x v="10"/>
    <x v="11"/>
    <x v="11"/>
    <x v="10"/>
    <x v="10"/>
    <x v="0"/>
    <x v="55"/>
    <x v="57"/>
    <x v="53"/>
    <x v="54"/>
    <x v="9"/>
    <x v="54"/>
    <x v="37"/>
    <x v="1"/>
    <x v="18"/>
    <x v="4"/>
    <x v="2"/>
    <x v="43"/>
    <x v="12"/>
    <x v="0"/>
    <x v="0"/>
    <x v="5"/>
    <x v="13"/>
    <x v="10"/>
    <x v="1"/>
    <x v="4"/>
    <x v="2"/>
  </r>
  <r>
    <x v="8"/>
    <x v="14"/>
    <x v="15"/>
    <x v="0"/>
    <x v="9"/>
    <x v="12"/>
    <x v="12"/>
    <x v="11"/>
    <x v="11"/>
    <x v="0"/>
    <x v="56"/>
    <x v="58"/>
    <x v="54"/>
    <x v="55"/>
    <x v="5"/>
    <x v="55"/>
    <x v="38"/>
    <x v="3"/>
    <x v="36"/>
    <x v="4"/>
    <x v="2"/>
    <x v="21"/>
    <x v="48"/>
    <x v="0"/>
    <x v="0"/>
    <x v="10"/>
    <x v="11"/>
    <x v="9"/>
    <x v="1"/>
    <x v="3"/>
    <x v="2"/>
  </r>
  <r>
    <x v="8"/>
    <x v="15"/>
    <x v="16"/>
    <x v="0"/>
    <x v="1"/>
    <x v="13"/>
    <x v="13"/>
    <x v="12"/>
    <x v="12"/>
    <x v="0"/>
    <x v="57"/>
    <x v="59"/>
    <x v="55"/>
    <x v="56"/>
    <x v="13"/>
    <x v="56"/>
    <x v="39"/>
    <x v="6"/>
    <x v="37"/>
    <x v="5"/>
    <x v="8"/>
    <x v="44"/>
    <x v="49"/>
    <x v="0"/>
    <x v="0"/>
    <x v="9"/>
    <x v="16"/>
    <x v="1"/>
    <x v="0"/>
    <x v="1"/>
    <x v="0"/>
  </r>
  <r>
    <x v="9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</r>
  <r>
    <x v="9"/>
    <x v="6"/>
    <x v="6"/>
    <x v="0"/>
    <x v="6"/>
    <x v="3"/>
    <x v="3"/>
    <x v="3"/>
    <x v="3"/>
    <x v="0"/>
    <x v="58"/>
    <x v="60"/>
    <x v="56"/>
    <x v="57"/>
    <x v="6"/>
    <x v="57"/>
    <x v="19"/>
    <x v="2"/>
    <x v="38"/>
    <x v="1"/>
    <x v="0"/>
    <x v="45"/>
    <x v="20"/>
    <x v="0"/>
    <x v="0"/>
    <x v="2"/>
    <x v="5"/>
    <x v="6"/>
    <x v="2"/>
    <x v="5"/>
    <x v="3"/>
  </r>
  <r>
    <x v="9"/>
    <x v="8"/>
    <x v="8"/>
    <x v="1"/>
    <x v="7"/>
    <x v="5"/>
    <x v="5"/>
    <x v="5"/>
    <x v="5"/>
    <x v="0"/>
    <x v="59"/>
    <x v="61"/>
    <x v="57"/>
    <x v="58"/>
    <x v="26"/>
    <x v="58"/>
    <x v="40"/>
    <x v="2"/>
    <x v="39"/>
    <x v="11"/>
    <x v="2"/>
    <x v="46"/>
    <x v="50"/>
    <x v="0"/>
    <x v="0"/>
    <x v="10"/>
    <x v="2"/>
    <x v="7"/>
    <x v="0"/>
    <x v="6"/>
    <x v="0"/>
  </r>
  <r>
    <x v="9"/>
    <x v="0"/>
    <x v="10"/>
    <x v="1"/>
    <x v="0"/>
    <x v="7"/>
    <x v="7"/>
    <x v="6"/>
    <x v="6"/>
    <x v="0"/>
    <x v="60"/>
    <x v="62"/>
    <x v="58"/>
    <x v="59"/>
    <x v="27"/>
    <x v="59"/>
    <x v="13"/>
    <x v="2"/>
    <x v="8"/>
    <x v="3"/>
    <x v="2"/>
    <x v="47"/>
    <x v="51"/>
    <x v="0"/>
    <x v="0"/>
    <x v="4"/>
    <x v="6"/>
    <x v="0"/>
    <x v="0"/>
    <x v="0"/>
    <x v="0"/>
  </r>
  <r>
    <x v="9"/>
    <x v="12"/>
    <x v="13"/>
    <x v="1"/>
    <x v="5"/>
    <x v="10"/>
    <x v="10"/>
    <x v="9"/>
    <x v="9"/>
    <x v="0"/>
    <x v="30"/>
    <x v="63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</r>
  <r>
    <x v="9"/>
    <x v="13"/>
    <x v="14"/>
    <x v="0"/>
    <x v="10"/>
    <x v="11"/>
    <x v="11"/>
    <x v="10"/>
    <x v="10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10"/>
    <x v="1"/>
    <x v="4"/>
    <x v="2"/>
  </r>
  <r>
    <x v="9"/>
    <x v="14"/>
    <x v="15"/>
    <x v="0"/>
    <x v="9"/>
    <x v="12"/>
    <x v="12"/>
    <x v="11"/>
    <x v="11"/>
    <x v="0"/>
    <x v="61"/>
    <x v="64"/>
    <x v="59"/>
    <x v="60"/>
    <x v="5"/>
    <x v="60"/>
    <x v="36"/>
    <x v="7"/>
    <x v="20"/>
    <x v="0"/>
    <x v="2"/>
    <x v="48"/>
    <x v="52"/>
    <x v="0"/>
    <x v="0"/>
    <x v="5"/>
    <x v="2"/>
    <x v="9"/>
    <x v="1"/>
    <x v="3"/>
    <x v="2"/>
  </r>
  <r>
    <x v="9"/>
    <x v="15"/>
    <x v="16"/>
    <x v="0"/>
    <x v="1"/>
    <x v="13"/>
    <x v="13"/>
    <x v="12"/>
    <x v="12"/>
    <x v="0"/>
    <x v="62"/>
    <x v="65"/>
    <x v="60"/>
    <x v="61"/>
    <x v="28"/>
    <x v="61"/>
    <x v="37"/>
    <x v="0"/>
    <x v="40"/>
    <x v="14"/>
    <x v="7"/>
    <x v="49"/>
    <x v="53"/>
    <x v="0"/>
    <x v="0"/>
    <x v="9"/>
    <x v="17"/>
    <x v="1"/>
    <x v="0"/>
    <x v="1"/>
    <x v="0"/>
  </r>
  <r>
    <x v="9"/>
    <x v="16"/>
    <x v="17"/>
    <x v="0"/>
    <x v="3"/>
    <x v="14"/>
    <x v="14"/>
    <x v="13"/>
    <x v="13"/>
    <x v="0"/>
    <x v="63"/>
    <x v="66"/>
    <x v="61"/>
    <x v="62"/>
    <x v="27"/>
    <x v="62"/>
    <x v="41"/>
    <x v="2"/>
    <x v="8"/>
    <x v="11"/>
    <x v="3"/>
    <x v="50"/>
    <x v="54"/>
    <x v="0"/>
    <x v="0"/>
    <x v="5"/>
    <x v="2"/>
    <x v="3"/>
    <x v="1"/>
    <x v="2"/>
    <x v="1"/>
  </r>
  <r>
    <x v="9"/>
    <x v="17"/>
    <x v="18"/>
    <x v="1"/>
    <x v="10"/>
    <x v="15"/>
    <x v="15"/>
    <x v="14"/>
    <x v="14"/>
    <x v="0"/>
    <x v="64"/>
    <x v="67"/>
    <x v="62"/>
    <x v="63"/>
    <x v="29"/>
    <x v="63"/>
    <x v="7"/>
    <x v="2"/>
    <x v="7"/>
    <x v="5"/>
    <x v="3"/>
    <x v="51"/>
    <x v="55"/>
    <x v="0"/>
    <x v="0"/>
    <x v="5"/>
    <x v="2"/>
    <x v="10"/>
    <x v="1"/>
    <x v="4"/>
    <x v="2"/>
  </r>
  <r>
    <x v="9"/>
    <x v="18"/>
    <x v="19"/>
    <x v="0"/>
    <x v="11"/>
    <x v="16"/>
    <x v="16"/>
    <x v="15"/>
    <x v="15"/>
    <x v="0"/>
    <x v="65"/>
    <x v="68"/>
    <x v="63"/>
    <x v="64"/>
    <x v="6"/>
    <x v="64"/>
    <x v="9"/>
    <x v="8"/>
    <x v="20"/>
    <x v="4"/>
    <x v="4"/>
    <x v="52"/>
    <x v="56"/>
    <x v="2"/>
    <x v="2"/>
    <x v="14"/>
    <x v="18"/>
    <x v="11"/>
    <x v="2"/>
    <x v="4"/>
    <x v="2"/>
  </r>
  <r>
    <x v="9"/>
    <x v="19"/>
    <x v="20"/>
    <x v="0"/>
    <x v="12"/>
    <x v="17"/>
    <x v="17"/>
    <x v="16"/>
    <x v="16"/>
    <x v="0"/>
    <x v="66"/>
    <x v="69"/>
    <x v="64"/>
    <x v="65"/>
    <x v="30"/>
    <x v="65"/>
    <x v="42"/>
    <x v="2"/>
    <x v="41"/>
    <x v="4"/>
    <x v="0"/>
    <x v="53"/>
    <x v="57"/>
    <x v="0"/>
    <x v="0"/>
    <x v="5"/>
    <x v="2"/>
    <x v="12"/>
    <x v="1"/>
    <x v="3"/>
    <x v="2"/>
  </r>
  <r>
    <x v="10"/>
    <x v="6"/>
    <x v="6"/>
    <x v="0"/>
    <x v="6"/>
    <x v="3"/>
    <x v="3"/>
    <x v="3"/>
    <x v="3"/>
    <x v="0"/>
    <x v="67"/>
    <x v="70"/>
    <x v="65"/>
    <x v="66"/>
    <x v="13"/>
    <x v="66"/>
    <x v="23"/>
    <x v="2"/>
    <x v="42"/>
    <x v="5"/>
    <x v="3"/>
    <x v="8"/>
    <x v="10"/>
    <x v="0"/>
    <x v="0"/>
    <x v="5"/>
    <x v="5"/>
    <x v="6"/>
    <x v="2"/>
    <x v="5"/>
    <x v="3"/>
  </r>
  <r>
    <x v="10"/>
    <x v="8"/>
    <x v="8"/>
    <x v="1"/>
    <x v="7"/>
    <x v="5"/>
    <x v="5"/>
    <x v="5"/>
    <x v="5"/>
    <x v="0"/>
    <x v="68"/>
    <x v="71"/>
    <x v="66"/>
    <x v="67"/>
    <x v="31"/>
    <x v="67"/>
    <x v="43"/>
    <x v="2"/>
    <x v="13"/>
    <x v="3"/>
    <x v="4"/>
    <x v="4"/>
    <x v="58"/>
    <x v="0"/>
    <x v="0"/>
    <x v="2"/>
    <x v="5"/>
    <x v="7"/>
    <x v="0"/>
    <x v="6"/>
    <x v="0"/>
  </r>
  <r>
    <x v="10"/>
    <x v="0"/>
    <x v="10"/>
    <x v="1"/>
    <x v="0"/>
    <x v="7"/>
    <x v="7"/>
    <x v="6"/>
    <x v="6"/>
    <x v="0"/>
    <x v="69"/>
    <x v="72"/>
    <x v="67"/>
    <x v="68"/>
    <x v="26"/>
    <x v="68"/>
    <x v="36"/>
    <x v="0"/>
    <x v="33"/>
    <x v="5"/>
    <x v="3"/>
    <x v="52"/>
    <x v="59"/>
    <x v="0"/>
    <x v="0"/>
    <x v="5"/>
    <x v="6"/>
    <x v="0"/>
    <x v="0"/>
    <x v="0"/>
    <x v="0"/>
  </r>
  <r>
    <x v="10"/>
    <x v="14"/>
    <x v="15"/>
    <x v="0"/>
    <x v="9"/>
    <x v="12"/>
    <x v="12"/>
    <x v="11"/>
    <x v="11"/>
    <x v="0"/>
    <x v="70"/>
    <x v="73"/>
    <x v="68"/>
    <x v="69"/>
    <x v="32"/>
    <x v="69"/>
    <x v="44"/>
    <x v="6"/>
    <x v="16"/>
    <x v="14"/>
    <x v="1"/>
    <x v="54"/>
    <x v="60"/>
    <x v="0"/>
    <x v="0"/>
    <x v="11"/>
    <x v="5"/>
    <x v="9"/>
    <x v="1"/>
    <x v="3"/>
    <x v="2"/>
  </r>
  <r>
    <x v="10"/>
    <x v="15"/>
    <x v="16"/>
    <x v="0"/>
    <x v="1"/>
    <x v="13"/>
    <x v="13"/>
    <x v="12"/>
    <x v="12"/>
    <x v="0"/>
    <x v="71"/>
    <x v="74"/>
    <x v="69"/>
    <x v="70"/>
    <x v="0"/>
    <x v="9"/>
    <x v="45"/>
    <x v="8"/>
    <x v="43"/>
    <x v="15"/>
    <x v="9"/>
    <x v="55"/>
    <x v="61"/>
    <x v="0"/>
    <x v="0"/>
    <x v="15"/>
    <x v="19"/>
    <x v="1"/>
    <x v="0"/>
    <x v="1"/>
    <x v="0"/>
  </r>
  <r>
    <x v="10"/>
    <x v="16"/>
    <x v="17"/>
    <x v="0"/>
    <x v="3"/>
    <x v="14"/>
    <x v="14"/>
    <x v="13"/>
    <x v="13"/>
    <x v="0"/>
    <x v="72"/>
    <x v="75"/>
    <x v="70"/>
    <x v="36"/>
    <x v="33"/>
    <x v="70"/>
    <x v="15"/>
    <x v="2"/>
    <x v="24"/>
    <x v="3"/>
    <x v="3"/>
    <x v="20"/>
    <x v="62"/>
    <x v="0"/>
    <x v="0"/>
    <x v="5"/>
    <x v="2"/>
    <x v="3"/>
    <x v="1"/>
    <x v="2"/>
    <x v="1"/>
  </r>
  <r>
    <x v="10"/>
    <x v="17"/>
    <x v="18"/>
    <x v="1"/>
    <x v="10"/>
    <x v="15"/>
    <x v="15"/>
    <x v="14"/>
    <x v="14"/>
    <x v="0"/>
    <x v="73"/>
    <x v="76"/>
    <x v="71"/>
    <x v="71"/>
    <x v="34"/>
    <x v="71"/>
    <x v="7"/>
    <x v="2"/>
    <x v="8"/>
    <x v="5"/>
    <x v="3"/>
    <x v="56"/>
    <x v="63"/>
    <x v="0"/>
    <x v="0"/>
    <x v="5"/>
    <x v="2"/>
    <x v="10"/>
    <x v="1"/>
    <x v="4"/>
    <x v="2"/>
  </r>
  <r>
    <x v="10"/>
    <x v="18"/>
    <x v="19"/>
    <x v="0"/>
    <x v="11"/>
    <x v="16"/>
    <x v="16"/>
    <x v="15"/>
    <x v="15"/>
    <x v="0"/>
    <x v="74"/>
    <x v="77"/>
    <x v="72"/>
    <x v="17"/>
    <x v="13"/>
    <x v="72"/>
    <x v="15"/>
    <x v="2"/>
    <x v="14"/>
    <x v="3"/>
    <x v="3"/>
    <x v="15"/>
    <x v="15"/>
    <x v="0"/>
    <x v="0"/>
    <x v="5"/>
    <x v="2"/>
    <x v="11"/>
    <x v="2"/>
    <x v="4"/>
    <x v="2"/>
  </r>
  <r>
    <x v="10"/>
    <x v="19"/>
    <x v="20"/>
    <x v="0"/>
    <x v="12"/>
    <x v="17"/>
    <x v="17"/>
    <x v="16"/>
    <x v="16"/>
    <x v="0"/>
    <x v="75"/>
    <x v="78"/>
    <x v="73"/>
    <x v="72"/>
    <x v="35"/>
    <x v="73"/>
    <x v="15"/>
    <x v="2"/>
    <x v="14"/>
    <x v="3"/>
    <x v="3"/>
    <x v="15"/>
    <x v="15"/>
    <x v="0"/>
    <x v="0"/>
    <x v="5"/>
    <x v="2"/>
    <x v="12"/>
    <x v="1"/>
    <x v="3"/>
    <x v="2"/>
  </r>
  <r>
    <x v="10"/>
    <x v="20"/>
    <x v="21"/>
    <x v="0"/>
    <x v="13"/>
    <x v="18"/>
    <x v="18"/>
    <x v="17"/>
    <x v="17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</r>
  <r>
    <x v="10"/>
    <x v="21"/>
    <x v="22"/>
    <x v="0"/>
    <x v="14"/>
    <x v="19"/>
    <x v="19"/>
    <x v="18"/>
    <x v="18"/>
    <x v="0"/>
    <x v="76"/>
    <x v="80"/>
    <x v="74"/>
    <x v="73"/>
    <x v="2"/>
    <x v="74"/>
    <x v="46"/>
    <x v="0"/>
    <x v="23"/>
    <x v="12"/>
    <x v="4"/>
    <x v="57"/>
    <x v="64"/>
    <x v="0"/>
    <x v="0"/>
    <x v="5"/>
    <x v="2"/>
    <x v="14"/>
    <x v="2"/>
    <x v="7"/>
    <x v="3"/>
  </r>
  <r>
    <x v="10"/>
    <x v="22"/>
    <x v="23"/>
    <x v="0"/>
    <x v="13"/>
    <x v="19"/>
    <x v="19"/>
    <x v="18"/>
    <x v="18"/>
    <x v="0"/>
    <x v="77"/>
    <x v="81"/>
    <x v="75"/>
    <x v="74"/>
    <x v="5"/>
    <x v="56"/>
    <x v="41"/>
    <x v="1"/>
    <x v="19"/>
    <x v="0"/>
    <x v="2"/>
    <x v="22"/>
    <x v="65"/>
    <x v="0"/>
    <x v="0"/>
    <x v="2"/>
    <x v="12"/>
    <x v="13"/>
    <x v="2"/>
    <x v="7"/>
    <x v="3"/>
  </r>
  <r>
    <x v="10"/>
    <x v="23"/>
    <x v="24"/>
    <x v="0"/>
    <x v="6"/>
    <x v="19"/>
    <x v="19"/>
    <x v="18"/>
    <x v="18"/>
    <x v="0"/>
    <x v="78"/>
    <x v="82"/>
    <x v="76"/>
    <x v="75"/>
    <x v="5"/>
    <x v="75"/>
    <x v="47"/>
    <x v="9"/>
    <x v="44"/>
    <x v="16"/>
    <x v="10"/>
    <x v="58"/>
    <x v="66"/>
    <x v="0"/>
    <x v="0"/>
    <x v="14"/>
    <x v="8"/>
    <x v="6"/>
    <x v="2"/>
    <x v="5"/>
    <x v="3"/>
  </r>
  <r>
    <x v="10"/>
    <x v="24"/>
    <x v="25"/>
    <x v="0"/>
    <x v="15"/>
    <x v="20"/>
    <x v="20"/>
    <x v="19"/>
    <x v="19"/>
    <x v="0"/>
    <x v="79"/>
    <x v="83"/>
    <x v="77"/>
    <x v="76"/>
    <x v="21"/>
    <x v="76"/>
    <x v="9"/>
    <x v="2"/>
    <x v="32"/>
    <x v="4"/>
    <x v="0"/>
    <x v="35"/>
    <x v="67"/>
    <x v="0"/>
    <x v="0"/>
    <x v="7"/>
    <x v="11"/>
    <x v="15"/>
    <x v="1"/>
    <x v="2"/>
    <x v="1"/>
  </r>
  <r>
    <x v="10"/>
    <x v="25"/>
    <x v="26"/>
    <x v="0"/>
    <x v="16"/>
    <x v="20"/>
    <x v="20"/>
    <x v="19"/>
    <x v="19"/>
    <x v="0"/>
    <x v="80"/>
    <x v="84"/>
    <x v="78"/>
    <x v="77"/>
    <x v="12"/>
    <x v="77"/>
    <x v="46"/>
    <x v="2"/>
    <x v="45"/>
    <x v="3"/>
    <x v="3"/>
    <x v="7"/>
    <x v="68"/>
    <x v="0"/>
    <x v="0"/>
    <x v="5"/>
    <x v="5"/>
    <x v="16"/>
    <x v="1"/>
    <x v="2"/>
    <x v="1"/>
  </r>
  <r>
    <x v="10"/>
    <x v="3"/>
    <x v="27"/>
    <x v="0"/>
    <x v="3"/>
    <x v="20"/>
    <x v="20"/>
    <x v="19"/>
    <x v="19"/>
    <x v="0"/>
    <x v="81"/>
    <x v="85"/>
    <x v="79"/>
    <x v="78"/>
    <x v="36"/>
    <x v="78"/>
    <x v="22"/>
    <x v="2"/>
    <x v="22"/>
    <x v="3"/>
    <x v="3"/>
    <x v="50"/>
    <x v="69"/>
    <x v="0"/>
    <x v="0"/>
    <x v="5"/>
    <x v="2"/>
    <x v="3"/>
    <x v="1"/>
    <x v="2"/>
    <x v="1"/>
  </r>
  <r>
    <x v="10"/>
    <x v="26"/>
    <x v="28"/>
    <x v="1"/>
    <x v="17"/>
    <x v="7"/>
    <x v="7"/>
    <x v="6"/>
    <x v="6"/>
    <x v="0"/>
    <x v="82"/>
    <x v="86"/>
    <x v="80"/>
    <x v="79"/>
    <x v="22"/>
    <x v="79"/>
    <x v="48"/>
    <x v="2"/>
    <x v="33"/>
    <x v="5"/>
    <x v="3"/>
    <x v="52"/>
    <x v="70"/>
    <x v="0"/>
    <x v="0"/>
    <x v="4"/>
    <x v="2"/>
    <x v="17"/>
    <x v="0"/>
    <x v="0"/>
    <x v="0"/>
  </r>
  <r>
    <x v="10"/>
    <x v="27"/>
    <x v="29"/>
    <x v="0"/>
    <x v="11"/>
    <x v="21"/>
    <x v="21"/>
    <x v="20"/>
    <x v="20"/>
    <x v="0"/>
    <x v="83"/>
    <x v="87"/>
    <x v="81"/>
    <x v="80"/>
    <x v="11"/>
    <x v="80"/>
    <x v="49"/>
    <x v="10"/>
    <x v="10"/>
    <x v="17"/>
    <x v="0"/>
    <x v="59"/>
    <x v="71"/>
    <x v="0"/>
    <x v="0"/>
    <x v="10"/>
    <x v="16"/>
    <x v="11"/>
    <x v="2"/>
    <x v="4"/>
    <x v="2"/>
  </r>
  <r>
    <x v="11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</r>
  <r>
    <x v="11"/>
    <x v="0"/>
    <x v="10"/>
    <x v="1"/>
    <x v="0"/>
    <x v="7"/>
    <x v="7"/>
    <x v="6"/>
    <x v="6"/>
    <x v="0"/>
    <x v="84"/>
    <x v="88"/>
    <x v="82"/>
    <x v="81"/>
    <x v="15"/>
    <x v="81"/>
    <x v="50"/>
    <x v="2"/>
    <x v="39"/>
    <x v="4"/>
    <x v="1"/>
    <x v="60"/>
    <x v="72"/>
    <x v="0"/>
    <x v="0"/>
    <x v="9"/>
    <x v="3"/>
    <x v="0"/>
    <x v="0"/>
    <x v="0"/>
    <x v="0"/>
  </r>
  <r>
    <x v="11"/>
    <x v="14"/>
    <x v="15"/>
    <x v="0"/>
    <x v="9"/>
    <x v="12"/>
    <x v="12"/>
    <x v="11"/>
    <x v="11"/>
    <x v="0"/>
    <x v="85"/>
    <x v="89"/>
    <x v="83"/>
    <x v="82"/>
    <x v="12"/>
    <x v="82"/>
    <x v="51"/>
    <x v="11"/>
    <x v="46"/>
    <x v="18"/>
    <x v="4"/>
    <x v="61"/>
    <x v="40"/>
    <x v="0"/>
    <x v="0"/>
    <x v="11"/>
    <x v="6"/>
    <x v="9"/>
    <x v="1"/>
    <x v="3"/>
    <x v="2"/>
  </r>
  <r>
    <x v="11"/>
    <x v="15"/>
    <x v="16"/>
    <x v="0"/>
    <x v="1"/>
    <x v="13"/>
    <x v="13"/>
    <x v="12"/>
    <x v="12"/>
    <x v="0"/>
    <x v="86"/>
    <x v="90"/>
    <x v="84"/>
    <x v="83"/>
    <x v="37"/>
    <x v="83"/>
    <x v="52"/>
    <x v="12"/>
    <x v="47"/>
    <x v="19"/>
    <x v="11"/>
    <x v="62"/>
    <x v="73"/>
    <x v="0"/>
    <x v="0"/>
    <x v="16"/>
    <x v="20"/>
    <x v="1"/>
    <x v="0"/>
    <x v="1"/>
    <x v="0"/>
  </r>
  <r>
    <x v="11"/>
    <x v="17"/>
    <x v="18"/>
    <x v="1"/>
    <x v="10"/>
    <x v="15"/>
    <x v="15"/>
    <x v="14"/>
    <x v="14"/>
    <x v="0"/>
    <x v="87"/>
    <x v="91"/>
    <x v="85"/>
    <x v="84"/>
    <x v="38"/>
    <x v="84"/>
    <x v="18"/>
    <x v="2"/>
    <x v="14"/>
    <x v="3"/>
    <x v="3"/>
    <x v="20"/>
    <x v="74"/>
    <x v="0"/>
    <x v="0"/>
    <x v="5"/>
    <x v="2"/>
    <x v="10"/>
    <x v="1"/>
    <x v="4"/>
    <x v="2"/>
  </r>
  <r>
    <x v="11"/>
    <x v="21"/>
    <x v="22"/>
    <x v="0"/>
    <x v="14"/>
    <x v="19"/>
    <x v="19"/>
    <x v="18"/>
    <x v="18"/>
    <x v="0"/>
    <x v="88"/>
    <x v="92"/>
    <x v="86"/>
    <x v="79"/>
    <x v="12"/>
    <x v="85"/>
    <x v="53"/>
    <x v="3"/>
    <x v="48"/>
    <x v="20"/>
    <x v="12"/>
    <x v="63"/>
    <x v="75"/>
    <x v="0"/>
    <x v="0"/>
    <x v="12"/>
    <x v="2"/>
    <x v="14"/>
    <x v="2"/>
    <x v="7"/>
    <x v="3"/>
  </r>
  <r>
    <x v="11"/>
    <x v="22"/>
    <x v="23"/>
    <x v="0"/>
    <x v="13"/>
    <x v="19"/>
    <x v="19"/>
    <x v="18"/>
    <x v="18"/>
    <x v="0"/>
    <x v="89"/>
    <x v="93"/>
    <x v="72"/>
    <x v="85"/>
    <x v="39"/>
    <x v="86"/>
    <x v="15"/>
    <x v="2"/>
    <x v="14"/>
    <x v="3"/>
    <x v="3"/>
    <x v="15"/>
    <x v="15"/>
    <x v="0"/>
    <x v="0"/>
    <x v="5"/>
    <x v="2"/>
    <x v="13"/>
    <x v="2"/>
    <x v="7"/>
    <x v="3"/>
  </r>
  <r>
    <x v="11"/>
    <x v="23"/>
    <x v="24"/>
    <x v="0"/>
    <x v="6"/>
    <x v="19"/>
    <x v="19"/>
    <x v="18"/>
    <x v="18"/>
    <x v="0"/>
    <x v="90"/>
    <x v="94"/>
    <x v="87"/>
    <x v="86"/>
    <x v="6"/>
    <x v="87"/>
    <x v="18"/>
    <x v="2"/>
    <x v="14"/>
    <x v="3"/>
    <x v="3"/>
    <x v="20"/>
    <x v="38"/>
    <x v="0"/>
    <x v="0"/>
    <x v="5"/>
    <x v="2"/>
    <x v="6"/>
    <x v="2"/>
    <x v="5"/>
    <x v="3"/>
  </r>
  <r>
    <x v="11"/>
    <x v="24"/>
    <x v="25"/>
    <x v="0"/>
    <x v="15"/>
    <x v="20"/>
    <x v="20"/>
    <x v="19"/>
    <x v="19"/>
    <x v="0"/>
    <x v="91"/>
    <x v="95"/>
    <x v="88"/>
    <x v="87"/>
    <x v="36"/>
    <x v="88"/>
    <x v="54"/>
    <x v="2"/>
    <x v="28"/>
    <x v="12"/>
    <x v="4"/>
    <x v="64"/>
    <x v="76"/>
    <x v="0"/>
    <x v="0"/>
    <x v="2"/>
    <x v="12"/>
    <x v="15"/>
    <x v="1"/>
    <x v="2"/>
    <x v="1"/>
  </r>
  <r>
    <x v="11"/>
    <x v="25"/>
    <x v="26"/>
    <x v="0"/>
    <x v="16"/>
    <x v="20"/>
    <x v="20"/>
    <x v="19"/>
    <x v="19"/>
    <x v="0"/>
    <x v="92"/>
    <x v="96"/>
    <x v="70"/>
    <x v="88"/>
    <x v="12"/>
    <x v="73"/>
    <x v="15"/>
    <x v="2"/>
    <x v="14"/>
    <x v="3"/>
    <x v="3"/>
    <x v="15"/>
    <x v="15"/>
    <x v="0"/>
    <x v="0"/>
    <x v="5"/>
    <x v="2"/>
    <x v="16"/>
    <x v="1"/>
    <x v="2"/>
    <x v="1"/>
  </r>
  <r>
    <x v="11"/>
    <x v="3"/>
    <x v="27"/>
    <x v="0"/>
    <x v="3"/>
    <x v="20"/>
    <x v="20"/>
    <x v="19"/>
    <x v="19"/>
    <x v="0"/>
    <x v="93"/>
    <x v="97"/>
    <x v="72"/>
    <x v="89"/>
    <x v="12"/>
    <x v="89"/>
    <x v="15"/>
    <x v="2"/>
    <x v="24"/>
    <x v="3"/>
    <x v="3"/>
    <x v="20"/>
    <x v="77"/>
    <x v="0"/>
    <x v="0"/>
    <x v="5"/>
    <x v="2"/>
    <x v="3"/>
    <x v="1"/>
    <x v="2"/>
    <x v="1"/>
  </r>
  <r>
    <x v="11"/>
    <x v="27"/>
    <x v="29"/>
    <x v="0"/>
    <x v="11"/>
    <x v="21"/>
    <x v="21"/>
    <x v="20"/>
    <x v="20"/>
    <x v="0"/>
    <x v="94"/>
    <x v="98"/>
    <x v="89"/>
    <x v="90"/>
    <x v="11"/>
    <x v="90"/>
    <x v="55"/>
    <x v="13"/>
    <x v="49"/>
    <x v="8"/>
    <x v="13"/>
    <x v="65"/>
    <x v="78"/>
    <x v="0"/>
    <x v="0"/>
    <x v="14"/>
    <x v="21"/>
    <x v="11"/>
    <x v="2"/>
    <x v="4"/>
    <x v="2"/>
  </r>
  <r>
    <x v="11"/>
    <x v="26"/>
    <x v="30"/>
    <x v="1"/>
    <x v="17"/>
    <x v="22"/>
    <x v="22"/>
    <x v="21"/>
    <x v="21"/>
    <x v="0"/>
    <x v="95"/>
    <x v="99"/>
    <x v="90"/>
    <x v="91"/>
    <x v="40"/>
    <x v="91"/>
    <x v="48"/>
    <x v="2"/>
    <x v="39"/>
    <x v="5"/>
    <x v="2"/>
    <x v="66"/>
    <x v="79"/>
    <x v="0"/>
    <x v="0"/>
    <x v="1"/>
    <x v="2"/>
    <x v="17"/>
    <x v="0"/>
    <x v="0"/>
    <x v="0"/>
  </r>
  <r>
    <x v="12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2"/>
    <x v="20"/>
    <x v="15"/>
    <x v="0"/>
    <x v="0"/>
    <x v="5"/>
    <x v="2"/>
    <x v="5"/>
    <x v="1"/>
    <x v="4"/>
    <x v="2"/>
  </r>
  <r>
    <x v="12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</r>
  <r>
    <x v="12"/>
    <x v="0"/>
    <x v="10"/>
    <x v="1"/>
    <x v="0"/>
    <x v="7"/>
    <x v="7"/>
    <x v="6"/>
    <x v="6"/>
    <x v="0"/>
    <x v="96"/>
    <x v="100"/>
    <x v="91"/>
    <x v="92"/>
    <x v="20"/>
    <x v="92"/>
    <x v="19"/>
    <x v="2"/>
    <x v="17"/>
    <x v="11"/>
    <x v="3"/>
    <x v="67"/>
    <x v="80"/>
    <x v="0"/>
    <x v="0"/>
    <x v="1"/>
    <x v="13"/>
    <x v="0"/>
    <x v="0"/>
    <x v="0"/>
    <x v="0"/>
  </r>
  <r>
    <x v="12"/>
    <x v="14"/>
    <x v="15"/>
    <x v="0"/>
    <x v="9"/>
    <x v="12"/>
    <x v="12"/>
    <x v="11"/>
    <x v="11"/>
    <x v="0"/>
    <x v="97"/>
    <x v="101"/>
    <x v="92"/>
    <x v="93"/>
    <x v="41"/>
    <x v="93"/>
    <x v="41"/>
    <x v="2"/>
    <x v="50"/>
    <x v="5"/>
    <x v="2"/>
    <x v="68"/>
    <x v="81"/>
    <x v="0"/>
    <x v="0"/>
    <x v="5"/>
    <x v="2"/>
    <x v="9"/>
    <x v="1"/>
    <x v="3"/>
    <x v="2"/>
  </r>
  <r>
    <x v="12"/>
    <x v="15"/>
    <x v="16"/>
    <x v="0"/>
    <x v="1"/>
    <x v="13"/>
    <x v="13"/>
    <x v="12"/>
    <x v="12"/>
    <x v="0"/>
    <x v="98"/>
    <x v="102"/>
    <x v="93"/>
    <x v="94"/>
    <x v="42"/>
    <x v="94"/>
    <x v="56"/>
    <x v="2"/>
    <x v="1"/>
    <x v="0"/>
    <x v="2"/>
    <x v="69"/>
    <x v="82"/>
    <x v="0"/>
    <x v="0"/>
    <x v="2"/>
    <x v="5"/>
    <x v="1"/>
    <x v="0"/>
    <x v="1"/>
    <x v="0"/>
  </r>
  <r>
    <x v="12"/>
    <x v="17"/>
    <x v="18"/>
    <x v="1"/>
    <x v="10"/>
    <x v="15"/>
    <x v="15"/>
    <x v="14"/>
    <x v="14"/>
    <x v="0"/>
    <x v="99"/>
    <x v="103"/>
    <x v="94"/>
    <x v="95"/>
    <x v="19"/>
    <x v="95"/>
    <x v="26"/>
    <x v="2"/>
    <x v="14"/>
    <x v="3"/>
    <x v="3"/>
    <x v="70"/>
    <x v="83"/>
    <x v="0"/>
    <x v="0"/>
    <x v="5"/>
    <x v="2"/>
    <x v="10"/>
    <x v="1"/>
    <x v="4"/>
    <x v="2"/>
  </r>
  <r>
    <x v="12"/>
    <x v="21"/>
    <x v="22"/>
    <x v="0"/>
    <x v="14"/>
    <x v="19"/>
    <x v="19"/>
    <x v="18"/>
    <x v="18"/>
    <x v="0"/>
    <x v="100"/>
    <x v="104"/>
    <x v="95"/>
    <x v="96"/>
    <x v="36"/>
    <x v="96"/>
    <x v="57"/>
    <x v="8"/>
    <x v="51"/>
    <x v="21"/>
    <x v="14"/>
    <x v="71"/>
    <x v="84"/>
    <x v="0"/>
    <x v="0"/>
    <x v="7"/>
    <x v="2"/>
    <x v="14"/>
    <x v="2"/>
    <x v="7"/>
    <x v="3"/>
  </r>
  <r>
    <x v="12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</r>
  <r>
    <x v="12"/>
    <x v="24"/>
    <x v="25"/>
    <x v="0"/>
    <x v="15"/>
    <x v="20"/>
    <x v="20"/>
    <x v="19"/>
    <x v="19"/>
    <x v="0"/>
    <x v="101"/>
    <x v="105"/>
    <x v="96"/>
    <x v="97"/>
    <x v="43"/>
    <x v="97"/>
    <x v="58"/>
    <x v="0"/>
    <x v="52"/>
    <x v="22"/>
    <x v="12"/>
    <x v="72"/>
    <x v="85"/>
    <x v="0"/>
    <x v="0"/>
    <x v="8"/>
    <x v="3"/>
    <x v="15"/>
    <x v="1"/>
    <x v="2"/>
    <x v="1"/>
  </r>
  <r>
    <x v="12"/>
    <x v="27"/>
    <x v="29"/>
    <x v="0"/>
    <x v="11"/>
    <x v="21"/>
    <x v="21"/>
    <x v="20"/>
    <x v="20"/>
    <x v="0"/>
    <x v="102"/>
    <x v="106"/>
    <x v="97"/>
    <x v="98"/>
    <x v="39"/>
    <x v="98"/>
    <x v="59"/>
    <x v="14"/>
    <x v="53"/>
    <x v="23"/>
    <x v="14"/>
    <x v="73"/>
    <x v="86"/>
    <x v="3"/>
    <x v="3"/>
    <x v="17"/>
    <x v="22"/>
    <x v="11"/>
    <x v="2"/>
    <x v="4"/>
    <x v="2"/>
  </r>
  <r>
    <x v="12"/>
    <x v="26"/>
    <x v="30"/>
    <x v="1"/>
    <x v="17"/>
    <x v="22"/>
    <x v="22"/>
    <x v="21"/>
    <x v="21"/>
    <x v="0"/>
    <x v="103"/>
    <x v="107"/>
    <x v="98"/>
    <x v="99"/>
    <x v="40"/>
    <x v="99"/>
    <x v="60"/>
    <x v="2"/>
    <x v="11"/>
    <x v="12"/>
    <x v="1"/>
    <x v="74"/>
    <x v="87"/>
    <x v="0"/>
    <x v="0"/>
    <x v="2"/>
    <x v="3"/>
    <x v="17"/>
    <x v="0"/>
    <x v="0"/>
    <x v="0"/>
  </r>
  <r>
    <x v="12"/>
    <x v="28"/>
    <x v="31"/>
    <x v="1"/>
    <x v="9"/>
    <x v="15"/>
    <x v="15"/>
    <x v="14"/>
    <x v="14"/>
    <x v="0"/>
    <x v="104"/>
    <x v="108"/>
    <x v="99"/>
    <x v="100"/>
    <x v="44"/>
    <x v="100"/>
    <x v="23"/>
    <x v="2"/>
    <x v="14"/>
    <x v="5"/>
    <x v="3"/>
    <x v="75"/>
    <x v="88"/>
    <x v="0"/>
    <x v="0"/>
    <x v="2"/>
    <x v="2"/>
    <x v="9"/>
    <x v="1"/>
    <x v="3"/>
    <x v="2"/>
  </r>
  <r>
    <x v="12"/>
    <x v="29"/>
    <x v="32"/>
    <x v="1"/>
    <x v="11"/>
    <x v="15"/>
    <x v="15"/>
    <x v="14"/>
    <x v="14"/>
    <x v="0"/>
    <x v="105"/>
    <x v="109"/>
    <x v="100"/>
    <x v="101"/>
    <x v="18"/>
    <x v="101"/>
    <x v="26"/>
    <x v="2"/>
    <x v="14"/>
    <x v="3"/>
    <x v="3"/>
    <x v="70"/>
    <x v="89"/>
    <x v="0"/>
    <x v="0"/>
    <x v="5"/>
    <x v="2"/>
    <x v="11"/>
    <x v="2"/>
    <x v="4"/>
    <x v="2"/>
  </r>
  <r>
    <x v="12"/>
    <x v="26"/>
    <x v="33"/>
    <x v="0"/>
    <x v="17"/>
    <x v="23"/>
    <x v="23"/>
    <x v="22"/>
    <x v="22"/>
    <x v="0"/>
    <x v="106"/>
    <x v="110"/>
    <x v="101"/>
    <x v="102"/>
    <x v="42"/>
    <x v="102"/>
    <x v="61"/>
    <x v="15"/>
    <x v="54"/>
    <x v="15"/>
    <x v="15"/>
    <x v="76"/>
    <x v="13"/>
    <x v="0"/>
    <x v="0"/>
    <x v="18"/>
    <x v="9"/>
    <x v="17"/>
    <x v="0"/>
    <x v="0"/>
    <x v="0"/>
  </r>
  <r>
    <x v="12"/>
    <x v="30"/>
    <x v="34"/>
    <x v="0"/>
    <x v="18"/>
    <x v="24"/>
    <x v="24"/>
    <x v="23"/>
    <x v="23"/>
    <x v="0"/>
    <x v="107"/>
    <x v="111"/>
    <x v="102"/>
    <x v="103"/>
    <x v="13"/>
    <x v="103"/>
    <x v="62"/>
    <x v="1"/>
    <x v="22"/>
    <x v="13"/>
    <x v="2"/>
    <x v="77"/>
    <x v="90"/>
    <x v="0"/>
    <x v="0"/>
    <x v="5"/>
    <x v="13"/>
    <x v="18"/>
    <x v="0"/>
    <x v="6"/>
    <x v="0"/>
  </r>
  <r>
    <x v="12"/>
    <x v="31"/>
    <x v="35"/>
    <x v="0"/>
    <x v="19"/>
    <x v="25"/>
    <x v="25"/>
    <x v="24"/>
    <x v="24"/>
    <x v="0"/>
    <x v="108"/>
    <x v="112"/>
    <x v="103"/>
    <x v="104"/>
    <x v="9"/>
    <x v="104"/>
    <x v="63"/>
    <x v="0"/>
    <x v="14"/>
    <x v="11"/>
    <x v="3"/>
    <x v="78"/>
    <x v="91"/>
    <x v="0"/>
    <x v="0"/>
    <x v="5"/>
    <x v="5"/>
    <x v="19"/>
    <x v="1"/>
    <x v="2"/>
    <x v="1"/>
  </r>
  <r>
    <x v="12"/>
    <x v="32"/>
    <x v="36"/>
    <x v="0"/>
    <x v="20"/>
    <x v="25"/>
    <x v="25"/>
    <x v="24"/>
    <x v="24"/>
    <x v="0"/>
    <x v="109"/>
    <x v="113"/>
    <x v="104"/>
    <x v="105"/>
    <x v="5"/>
    <x v="105"/>
    <x v="64"/>
    <x v="0"/>
    <x v="50"/>
    <x v="5"/>
    <x v="2"/>
    <x v="51"/>
    <x v="92"/>
    <x v="0"/>
    <x v="0"/>
    <x v="5"/>
    <x v="12"/>
    <x v="20"/>
    <x v="1"/>
    <x v="2"/>
    <x v="1"/>
  </r>
  <r>
    <x v="12"/>
    <x v="29"/>
    <x v="37"/>
    <x v="0"/>
    <x v="13"/>
    <x v="26"/>
    <x v="26"/>
    <x v="25"/>
    <x v="25"/>
    <x v="0"/>
    <x v="110"/>
    <x v="114"/>
    <x v="105"/>
    <x v="106"/>
    <x v="13"/>
    <x v="106"/>
    <x v="65"/>
    <x v="6"/>
    <x v="7"/>
    <x v="4"/>
    <x v="1"/>
    <x v="4"/>
    <x v="93"/>
    <x v="0"/>
    <x v="0"/>
    <x v="1"/>
    <x v="9"/>
    <x v="13"/>
    <x v="2"/>
    <x v="7"/>
    <x v="3"/>
  </r>
  <r>
    <x v="13"/>
    <x v="0"/>
    <x v="10"/>
    <x v="1"/>
    <x v="0"/>
    <x v="7"/>
    <x v="7"/>
    <x v="6"/>
    <x v="6"/>
    <x v="0"/>
    <x v="111"/>
    <x v="115"/>
    <x v="106"/>
    <x v="107"/>
    <x v="24"/>
    <x v="107"/>
    <x v="66"/>
    <x v="1"/>
    <x v="55"/>
    <x v="11"/>
    <x v="3"/>
    <x v="79"/>
    <x v="94"/>
    <x v="0"/>
    <x v="0"/>
    <x v="7"/>
    <x v="23"/>
    <x v="0"/>
    <x v="0"/>
    <x v="0"/>
    <x v="0"/>
  </r>
  <r>
    <x v="13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</r>
  <r>
    <x v="13"/>
    <x v="21"/>
    <x v="22"/>
    <x v="0"/>
    <x v="14"/>
    <x v="19"/>
    <x v="19"/>
    <x v="18"/>
    <x v="18"/>
    <x v="0"/>
    <x v="112"/>
    <x v="116"/>
    <x v="107"/>
    <x v="108"/>
    <x v="36"/>
    <x v="108"/>
    <x v="67"/>
    <x v="16"/>
    <x v="56"/>
    <x v="24"/>
    <x v="16"/>
    <x v="80"/>
    <x v="95"/>
    <x v="2"/>
    <x v="3"/>
    <x v="18"/>
    <x v="2"/>
    <x v="14"/>
    <x v="2"/>
    <x v="7"/>
    <x v="3"/>
  </r>
  <r>
    <x v="13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</r>
  <r>
    <x v="13"/>
    <x v="24"/>
    <x v="25"/>
    <x v="0"/>
    <x v="15"/>
    <x v="20"/>
    <x v="20"/>
    <x v="19"/>
    <x v="19"/>
    <x v="0"/>
    <x v="113"/>
    <x v="117"/>
    <x v="94"/>
    <x v="109"/>
    <x v="27"/>
    <x v="109"/>
    <x v="15"/>
    <x v="2"/>
    <x v="24"/>
    <x v="3"/>
    <x v="3"/>
    <x v="20"/>
    <x v="96"/>
    <x v="0"/>
    <x v="0"/>
    <x v="5"/>
    <x v="2"/>
    <x v="15"/>
    <x v="1"/>
    <x v="2"/>
    <x v="1"/>
  </r>
  <r>
    <x v="13"/>
    <x v="27"/>
    <x v="29"/>
    <x v="0"/>
    <x v="11"/>
    <x v="21"/>
    <x v="21"/>
    <x v="20"/>
    <x v="20"/>
    <x v="0"/>
    <x v="114"/>
    <x v="118"/>
    <x v="108"/>
    <x v="110"/>
    <x v="11"/>
    <x v="106"/>
    <x v="68"/>
    <x v="17"/>
    <x v="57"/>
    <x v="25"/>
    <x v="17"/>
    <x v="81"/>
    <x v="97"/>
    <x v="4"/>
    <x v="3"/>
    <x v="19"/>
    <x v="24"/>
    <x v="11"/>
    <x v="2"/>
    <x v="4"/>
    <x v="2"/>
  </r>
  <r>
    <x v="13"/>
    <x v="26"/>
    <x v="30"/>
    <x v="1"/>
    <x v="17"/>
    <x v="22"/>
    <x v="22"/>
    <x v="21"/>
    <x v="21"/>
    <x v="0"/>
    <x v="115"/>
    <x v="119"/>
    <x v="109"/>
    <x v="111"/>
    <x v="45"/>
    <x v="110"/>
    <x v="12"/>
    <x v="0"/>
    <x v="58"/>
    <x v="12"/>
    <x v="4"/>
    <x v="82"/>
    <x v="98"/>
    <x v="0"/>
    <x v="0"/>
    <x v="1"/>
    <x v="5"/>
    <x v="17"/>
    <x v="0"/>
    <x v="0"/>
    <x v="0"/>
  </r>
  <r>
    <x v="13"/>
    <x v="28"/>
    <x v="31"/>
    <x v="1"/>
    <x v="9"/>
    <x v="15"/>
    <x v="15"/>
    <x v="14"/>
    <x v="14"/>
    <x v="0"/>
    <x v="116"/>
    <x v="120"/>
    <x v="110"/>
    <x v="112"/>
    <x v="46"/>
    <x v="111"/>
    <x v="18"/>
    <x v="2"/>
    <x v="24"/>
    <x v="5"/>
    <x v="2"/>
    <x v="83"/>
    <x v="99"/>
    <x v="0"/>
    <x v="0"/>
    <x v="2"/>
    <x v="2"/>
    <x v="9"/>
    <x v="1"/>
    <x v="3"/>
    <x v="2"/>
  </r>
  <r>
    <x v="13"/>
    <x v="29"/>
    <x v="32"/>
    <x v="1"/>
    <x v="11"/>
    <x v="15"/>
    <x v="15"/>
    <x v="14"/>
    <x v="14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13"/>
    <x v="26"/>
    <x v="33"/>
    <x v="0"/>
    <x v="17"/>
    <x v="23"/>
    <x v="23"/>
    <x v="22"/>
    <x v="22"/>
    <x v="0"/>
    <x v="117"/>
    <x v="121"/>
    <x v="111"/>
    <x v="113"/>
    <x v="8"/>
    <x v="112"/>
    <x v="69"/>
    <x v="6"/>
    <x v="59"/>
    <x v="26"/>
    <x v="13"/>
    <x v="84"/>
    <x v="100"/>
    <x v="0"/>
    <x v="0"/>
    <x v="10"/>
    <x v="11"/>
    <x v="17"/>
    <x v="0"/>
    <x v="0"/>
    <x v="0"/>
  </r>
  <r>
    <x v="13"/>
    <x v="30"/>
    <x v="34"/>
    <x v="0"/>
    <x v="18"/>
    <x v="24"/>
    <x v="24"/>
    <x v="23"/>
    <x v="23"/>
    <x v="0"/>
    <x v="118"/>
    <x v="122"/>
    <x v="112"/>
    <x v="114"/>
    <x v="6"/>
    <x v="113"/>
    <x v="46"/>
    <x v="2"/>
    <x v="8"/>
    <x v="8"/>
    <x v="2"/>
    <x v="85"/>
    <x v="13"/>
    <x v="0"/>
    <x v="0"/>
    <x v="2"/>
    <x v="25"/>
    <x v="18"/>
    <x v="0"/>
    <x v="6"/>
    <x v="0"/>
  </r>
  <r>
    <x v="13"/>
    <x v="31"/>
    <x v="35"/>
    <x v="0"/>
    <x v="19"/>
    <x v="25"/>
    <x v="25"/>
    <x v="24"/>
    <x v="24"/>
    <x v="0"/>
    <x v="119"/>
    <x v="123"/>
    <x v="113"/>
    <x v="115"/>
    <x v="13"/>
    <x v="114"/>
    <x v="15"/>
    <x v="2"/>
    <x v="14"/>
    <x v="3"/>
    <x v="3"/>
    <x v="15"/>
    <x v="15"/>
    <x v="0"/>
    <x v="0"/>
    <x v="5"/>
    <x v="2"/>
    <x v="19"/>
    <x v="1"/>
    <x v="2"/>
    <x v="1"/>
  </r>
  <r>
    <x v="13"/>
    <x v="32"/>
    <x v="36"/>
    <x v="0"/>
    <x v="20"/>
    <x v="25"/>
    <x v="25"/>
    <x v="24"/>
    <x v="24"/>
    <x v="0"/>
    <x v="120"/>
    <x v="124"/>
    <x v="114"/>
    <x v="116"/>
    <x v="13"/>
    <x v="115"/>
    <x v="70"/>
    <x v="3"/>
    <x v="8"/>
    <x v="12"/>
    <x v="0"/>
    <x v="86"/>
    <x v="101"/>
    <x v="0"/>
    <x v="0"/>
    <x v="7"/>
    <x v="11"/>
    <x v="20"/>
    <x v="1"/>
    <x v="2"/>
    <x v="1"/>
  </r>
  <r>
    <x v="13"/>
    <x v="29"/>
    <x v="37"/>
    <x v="0"/>
    <x v="13"/>
    <x v="26"/>
    <x v="26"/>
    <x v="25"/>
    <x v="25"/>
    <x v="0"/>
    <x v="121"/>
    <x v="125"/>
    <x v="115"/>
    <x v="117"/>
    <x v="13"/>
    <x v="116"/>
    <x v="71"/>
    <x v="3"/>
    <x v="22"/>
    <x v="4"/>
    <x v="3"/>
    <x v="87"/>
    <x v="102"/>
    <x v="0"/>
    <x v="0"/>
    <x v="5"/>
    <x v="26"/>
    <x v="13"/>
    <x v="2"/>
    <x v="7"/>
    <x v="3"/>
  </r>
  <r>
    <x v="14"/>
    <x v="0"/>
    <x v="10"/>
    <x v="1"/>
    <x v="0"/>
    <x v="7"/>
    <x v="7"/>
    <x v="6"/>
    <x v="6"/>
    <x v="0"/>
    <x v="122"/>
    <x v="126"/>
    <x v="116"/>
    <x v="118"/>
    <x v="17"/>
    <x v="117"/>
    <x v="50"/>
    <x v="2"/>
    <x v="39"/>
    <x v="1"/>
    <x v="2"/>
    <x v="41"/>
    <x v="103"/>
    <x v="0"/>
    <x v="0"/>
    <x v="11"/>
    <x v="26"/>
    <x v="0"/>
    <x v="0"/>
    <x v="0"/>
    <x v="0"/>
  </r>
  <r>
    <x v="14"/>
    <x v="12"/>
    <x v="13"/>
    <x v="1"/>
    <x v="5"/>
    <x v="10"/>
    <x v="10"/>
    <x v="9"/>
    <x v="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</r>
  <r>
    <x v="14"/>
    <x v="21"/>
    <x v="22"/>
    <x v="0"/>
    <x v="14"/>
    <x v="19"/>
    <x v="19"/>
    <x v="18"/>
    <x v="18"/>
    <x v="0"/>
    <x v="123"/>
    <x v="127"/>
    <x v="117"/>
    <x v="119"/>
    <x v="35"/>
    <x v="118"/>
    <x v="72"/>
    <x v="18"/>
    <x v="60"/>
    <x v="27"/>
    <x v="18"/>
    <x v="88"/>
    <x v="104"/>
    <x v="0"/>
    <x v="0"/>
    <x v="20"/>
    <x v="2"/>
    <x v="14"/>
    <x v="2"/>
    <x v="7"/>
    <x v="3"/>
  </r>
  <r>
    <x v="14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5"/>
    <x v="6"/>
    <x v="2"/>
    <x v="5"/>
    <x v="3"/>
  </r>
  <r>
    <x v="14"/>
    <x v="24"/>
    <x v="25"/>
    <x v="0"/>
    <x v="15"/>
    <x v="20"/>
    <x v="20"/>
    <x v="19"/>
    <x v="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5"/>
    <x v="1"/>
    <x v="2"/>
    <x v="1"/>
  </r>
  <r>
    <x v="14"/>
    <x v="27"/>
    <x v="29"/>
    <x v="0"/>
    <x v="11"/>
    <x v="21"/>
    <x v="21"/>
    <x v="20"/>
    <x v="20"/>
    <x v="0"/>
    <x v="124"/>
    <x v="128"/>
    <x v="118"/>
    <x v="120"/>
    <x v="11"/>
    <x v="119"/>
    <x v="18"/>
    <x v="2"/>
    <x v="14"/>
    <x v="5"/>
    <x v="3"/>
    <x v="27"/>
    <x v="105"/>
    <x v="0"/>
    <x v="0"/>
    <x v="2"/>
    <x v="2"/>
    <x v="11"/>
    <x v="2"/>
    <x v="4"/>
    <x v="2"/>
  </r>
  <r>
    <x v="14"/>
    <x v="26"/>
    <x v="30"/>
    <x v="1"/>
    <x v="17"/>
    <x v="22"/>
    <x v="22"/>
    <x v="21"/>
    <x v="21"/>
    <x v="0"/>
    <x v="125"/>
    <x v="129"/>
    <x v="119"/>
    <x v="121"/>
    <x v="18"/>
    <x v="120"/>
    <x v="25"/>
    <x v="2"/>
    <x v="61"/>
    <x v="1"/>
    <x v="1"/>
    <x v="89"/>
    <x v="106"/>
    <x v="0"/>
    <x v="0"/>
    <x v="12"/>
    <x v="10"/>
    <x v="17"/>
    <x v="0"/>
    <x v="0"/>
    <x v="0"/>
  </r>
  <r>
    <x v="14"/>
    <x v="28"/>
    <x v="31"/>
    <x v="1"/>
    <x v="9"/>
    <x v="15"/>
    <x v="15"/>
    <x v="14"/>
    <x v="14"/>
    <x v="0"/>
    <x v="126"/>
    <x v="130"/>
    <x v="120"/>
    <x v="122"/>
    <x v="19"/>
    <x v="121"/>
    <x v="8"/>
    <x v="2"/>
    <x v="19"/>
    <x v="5"/>
    <x v="3"/>
    <x v="31"/>
    <x v="107"/>
    <x v="0"/>
    <x v="0"/>
    <x v="2"/>
    <x v="2"/>
    <x v="9"/>
    <x v="1"/>
    <x v="3"/>
    <x v="2"/>
  </r>
  <r>
    <x v="14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14"/>
    <x v="30"/>
    <x v="34"/>
    <x v="0"/>
    <x v="18"/>
    <x v="24"/>
    <x v="24"/>
    <x v="23"/>
    <x v="2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</r>
  <r>
    <x v="14"/>
    <x v="32"/>
    <x v="36"/>
    <x v="0"/>
    <x v="20"/>
    <x v="25"/>
    <x v="25"/>
    <x v="24"/>
    <x v="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</r>
  <r>
    <x v="14"/>
    <x v="29"/>
    <x v="37"/>
    <x v="0"/>
    <x v="13"/>
    <x v="26"/>
    <x v="26"/>
    <x v="25"/>
    <x v="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</r>
  <r>
    <x v="15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</r>
  <r>
    <x v="15"/>
    <x v="0"/>
    <x v="10"/>
    <x v="1"/>
    <x v="0"/>
    <x v="7"/>
    <x v="7"/>
    <x v="6"/>
    <x v="6"/>
    <x v="0"/>
    <x v="127"/>
    <x v="131"/>
    <x v="121"/>
    <x v="123"/>
    <x v="47"/>
    <x v="122"/>
    <x v="20"/>
    <x v="1"/>
    <x v="3"/>
    <x v="5"/>
    <x v="1"/>
    <x v="90"/>
    <x v="108"/>
    <x v="0"/>
    <x v="0"/>
    <x v="0"/>
    <x v="3"/>
    <x v="0"/>
    <x v="0"/>
    <x v="0"/>
    <x v="0"/>
  </r>
  <r>
    <x v="15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5"/>
    <x v="1"/>
    <x v="0"/>
    <x v="1"/>
    <x v="0"/>
  </r>
  <r>
    <x v="15"/>
    <x v="21"/>
    <x v="22"/>
    <x v="0"/>
    <x v="14"/>
    <x v="19"/>
    <x v="19"/>
    <x v="18"/>
    <x v="18"/>
    <x v="0"/>
    <x v="128"/>
    <x v="132"/>
    <x v="122"/>
    <x v="124"/>
    <x v="48"/>
    <x v="123"/>
    <x v="73"/>
    <x v="19"/>
    <x v="62"/>
    <x v="28"/>
    <x v="19"/>
    <x v="91"/>
    <x v="109"/>
    <x v="2"/>
    <x v="0"/>
    <x v="21"/>
    <x v="2"/>
    <x v="14"/>
    <x v="2"/>
    <x v="7"/>
    <x v="3"/>
  </r>
  <r>
    <x v="15"/>
    <x v="24"/>
    <x v="25"/>
    <x v="0"/>
    <x v="15"/>
    <x v="20"/>
    <x v="20"/>
    <x v="19"/>
    <x v="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5"/>
    <x v="1"/>
    <x v="2"/>
    <x v="1"/>
  </r>
  <r>
    <x v="15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15"/>
    <x v="26"/>
    <x v="30"/>
    <x v="1"/>
    <x v="17"/>
    <x v="22"/>
    <x v="22"/>
    <x v="21"/>
    <x v="21"/>
    <x v="0"/>
    <x v="129"/>
    <x v="133"/>
    <x v="123"/>
    <x v="125"/>
    <x v="49"/>
    <x v="124"/>
    <x v="74"/>
    <x v="2"/>
    <x v="40"/>
    <x v="13"/>
    <x v="0"/>
    <x v="92"/>
    <x v="110"/>
    <x v="0"/>
    <x v="0"/>
    <x v="11"/>
    <x v="3"/>
    <x v="17"/>
    <x v="0"/>
    <x v="0"/>
    <x v="0"/>
  </r>
  <r>
    <x v="15"/>
    <x v="28"/>
    <x v="31"/>
    <x v="1"/>
    <x v="9"/>
    <x v="15"/>
    <x v="15"/>
    <x v="14"/>
    <x v="14"/>
    <x v="0"/>
    <x v="130"/>
    <x v="134"/>
    <x v="124"/>
    <x v="126"/>
    <x v="19"/>
    <x v="125"/>
    <x v="41"/>
    <x v="2"/>
    <x v="24"/>
    <x v="3"/>
    <x v="3"/>
    <x v="93"/>
    <x v="111"/>
    <x v="0"/>
    <x v="0"/>
    <x v="2"/>
    <x v="2"/>
    <x v="9"/>
    <x v="1"/>
    <x v="3"/>
    <x v="2"/>
  </r>
  <r>
    <x v="15"/>
    <x v="26"/>
    <x v="38"/>
    <x v="0"/>
    <x v="17"/>
    <x v="27"/>
    <x v="27"/>
    <x v="26"/>
    <x v="26"/>
    <x v="0"/>
    <x v="131"/>
    <x v="135"/>
    <x v="125"/>
    <x v="127"/>
    <x v="0"/>
    <x v="126"/>
    <x v="75"/>
    <x v="20"/>
    <x v="47"/>
    <x v="29"/>
    <x v="20"/>
    <x v="94"/>
    <x v="112"/>
    <x v="0"/>
    <x v="0"/>
    <x v="22"/>
    <x v="27"/>
    <x v="17"/>
    <x v="0"/>
    <x v="0"/>
    <x v="0"/>
  </r>
  <r>
    <x v="15"/>
    <x v="22"/>
    <x v="39"/>
    <x v="0"/>
    <x v="13"/>
    <x v="28"/>
    <x v="28"/>
    <x v="27"/>
    <x v="27"/>
    <x v="0"/>
    <x v="132"/>
    <x v="136"/>
    <x v="126"/>
    <x v="128"/>
    <x v="13"/>
    <x v="127"/>
    <x v="76"/>
    <x v="11"/>
    <x v="17"/>
    <x v="12"/>
    <x v="2"/>
    <x v="95"/>
    <x v="113"/>
    <x v="0"/>
    <x v="0"/>
    <x v="10"/>
    <x v="28"/>
    <x v="13"/>
    <x v="2"/>
    <x v="7"/>
    <x v="3"/>
  </r>
  <r>
    <x v="15"/>
    <x v="32"/>
    <x v="40"/>
    <x v="0"/>
    <x v="20"/>
    <x v="29"/>
    <x v="29"/>
    <x v="28"/>
    <x v="28"/>
    <x v="0"/>
    <x v="133"/>
    <x v="137"/>
    <x v="127"/>
    <x v="89"/>
    <x v="6"/>
    <x v="128"/>
    <x v="77"/>
    <x v="5"/>
    <x v="7"/>
    <x v="9"/>
    <x v="6"/>
    <x v="96"/>
    <x v="114"/>
    <x v="0"/>
    <x v="0"/>
    <x v="23"/>
    <x v="23"/>
    <x v="20"/>
    <x v="1"/>
    <x v="2"/>
    <x v="1"/>
  </r>
  <r>
    <x v="15"/>
    <x v="33"/>
    <x v="41"/>
    <x v="0"/>
    <x v="18"/>
    <x v="30"/>
    <x v="30"/>
    <x v="29"/>
    <x v="29"/>
    <x v="0"/>
    <x v="134"/>
    <x v="138"/>
    <x v="128"/>
    <x v="129"/>
    <x v="5"/>
    <x v="129"/>
    <x v="78"/>
    <x v="12"/>
    <x v="63"/>
    <x v="30"/>
    <x v="13"/>
    <x v="97"/>
    <x v="115"/>
    <x v="0"/>
    <x v="0"/>
    <x v="6"/>
    <x v="29"/>
    <x v="18"/>
    <x v="0"/>
    <x v="6"/>
    <x v="0"/>
  </r>
  <r>
    <x v="16"/>
    <x v="21"/>
    <x v="22"/>
    <x v="0"/>
    <x v="14"/>
    <x v="19"/>
    <x v="19"/>
    <x v="18"/>
    <x v="18"/>
    <x v="0"/>
    <x v="135"/>
    <x v="139"/>
    <x v="129"/>
    <x v="130"/>
    <x v="3"/>
    <x v="130"/>
    <x v="79"/>
    <x v="6"/>
    <x v="64"/>
    <x v="31"/>
    <x v="21"/>
    <x v="98"/>
    <x v="116"/>
    <x v="0"/>
    <x v="0"/>
    <x v="3"/>
    <x v="2"/>
    <x v="14"/>
    <x v="2"/>
    <x v="7"/>
    <x v="3"/>
  </r>
  <r>
    <x v="1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16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16"/>
    <x v="32"/>
    <x v="36"/>
    <x v="0"/>
    <x v="20"/>
    <x v="25"/>
    <x v="25"/>
    <x v="24"/>
    <x v="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</r>
  <r>
    <x v="16"/>
    <x v="29"/>
    <x v="37"/>
    <x v="0"/>
    <x v="13"/>
    <x v="26"/>
    <x v="26"/>
    <x v="25"/>
    <x v="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</r>
  <r>
    <x v="16"/>
    <x v="26"/>
    <x v="38"/>
    <x v="0"/>
    <x v="17"/>
    <x v="27"/>
    <x v="27"/>
    <x v="26"/>
    <x v="26"/>
    <x v="0"/>
    <x v="136"/>
    <x v="140"/>
    <x v="130"/>
    <x v="131"/>
    <x v="1"/>
    <x v="131"/>
    <x v="22"/>
    <x v="2"/>
    <x v="24"/>
    <x v="3"/>
    <x v="3"/>
    <x v="31"/>
    <x v="117"/>
    <x v="0"/>
    <x v="0"/>
    <x v="5"/>
    <x v="2"/>
    <x v="17"/>
    <x v="0"/>
    <x v="0"/>
    <x v="0"/>
  </r>
  <r>
    <x v="16"/>
    <x v="22"/>
    <x v="39"/>
    <x v="0"/>
    <x v="13"/>
    <x v="28"/>
    <x v="28"/>
    <x v="27"/>
    <x v="27"/>
    <x v="0"/>
    <x v="137"/>
    <x v="141"/>
    <x v="113"/>
    <x v="132"/>
    <x v="2"/>
    <x v="132"/>
    <x v="15"/>
    <x v="2"/>
    <x v="14"/>
    <x v="3"/>
    <x v="3"/>
    <x v="15"/>
    <x v="15"/>
    <x v="0"/>
    <x v="0"/>
    <x v="5"/>
    <x v="2"/>
    <x v="13"/>
    <x v="2"/>
    <x v="7"/>
    <x v="3"/>
  </r>
  <r>
    <x v="16"/>
    <x v="32"/>
    <x v="40"/>
    <x v="0"/>
    <x v="20"/>
    <x v="29"/>
    <x v="29"/>
    <x v="28"/>
    <x v="28"/>
    <x v="0"/>
    <x v="138"/>
    <x v="142"/>
    <x v="131"/>
    <x v="41"/>
    <x v="11"/>
    <x v="133"/>
    <x v="15"/>
    <x v="2"/>
    <x v="14"/>
    <x v="3"/>
    <x v="3"/>
    <x v="15"/>
    <x v="15"/>
    <x v="0"/>
    <x v="0"/>
    <x v="5"/>
    <x v="2"/>
    <x v="20"/>
    <x v="1"/>
    <x v="2"/>
    <x v="1"/>
  </r>
  <r>
    <x v="16"/>
    <x v="33"/>
    <x v="41"/>
    <x v="0"/>
    <x v="18"/>
    <x v="30"/>
    <x v="30"/>
    <x v="29"/>
    <x v="29"/>
    <x v="0"/>
    <x v="139"/>
    <x v="143"/>
    <x v="132"/>
    <x v="133"/>
    <x v="11"/>
    <x v="134"/>
    <x v="15"/>
    <x v="2"/>
    <x v="14"/>
    <x v="3"/>
    <x v="3"/>
    <x v="15"/>
    <x v="15"/>
    <x v="0"/>
    <x v="0"/>
    <x v="5"/>
    <x v="2"/>
    <x v="18"/>
    <x v="0"/>
    <x v="6"/>
    <x v="0"/>
  </r>
  <r>
    <x v="16"/>
    <x v="34"/>
    <x v="42"/>
    <x v="0"/>
    <x v="19"/>
    <x v="31"/>
    <x v="31"/>
    <x v="30"/>
    <x v="30"/>
    <x v="0"/>
    <x v="140"/>
    <x v="144"/>
    <x v="133"/>
    <x v="134"/>
    <x v="2"/>
    <x v="135"/>
    <x v="80"/>
    <x v="3"/>
    <x v="2"/>
    <x v="5"/>
    <x v="2"/>
    <x v="1"/>
    <x v="118"/>
    <x v="0"/>
    <x v="0"/>
    <x v="2"/>
    <x v="2"/>
    <x v="19"/>
    <x v="1"/>
    <x v="2"/>
    <x v="1"/>
  </r>
  <r>
    <x v="16"/>
    <x v="33"/>
    <x v="43"/>
    <x v="0"/>
    <x v="18"/>
    <x v="32"/>
    <x v="32"/>
    <x v="31"/>
    <x v="31"/>
    <x v="0"/>
    <x v="141"/>
    <x v="145"/>
    <x v="134"/>
    <x v="105"/>
    <x v="5"/>
    <x v="136"/>
    <x v="70"/>
    <x v="3"/>
    <x v="45"/>
    <x v="32"/>
    <x v="5"/>
    <x v="99"/>
    <x v="119"/>
    <x v="0"/>
    <x v="0"/>
    <x v="10"/>
    <x v="27"/>
    <x v="18"/>
    <x v="0"/>
    <x v="6"/>
    <x v="0"/>
  </r>
  <r>
    <x v="16"/>
    <x v="35"/>
    <x v="44"/>
    <x v="1"/>
    <x v="17"/>
    <x v="33"/>
    <x v="33"/>
    <x v="32"/>
    <x v="32"/>
    <x v="0"/>
    <x v="142"/>
    <x v="146"/>
    <x v="135"/>
    <x v="118"/>
    <x v="14"/>
    <x v="137"/>
    <x v="81"/>
    <x v="0"/>
    <x v="65"/>
    <x v="0"/>
    <x v="1"/>
    <x v="100"/>
    <x v="120"/>
    <x v="0"/>
    <x v="0"/>
    <x v="5"/>
    <x v="26"/>
    <x v="17"/>
    <x v="0"/>
    <x v="0"/>
    <x v="0"/>
  </r>
  <r>
    <x v="16"/>
    <x v="36"/>
    <x v="45"/>
    <x v="1"/>
    <x v="0"/>
    <x v="34"/>
    <x v="34"/>
    <x v="33"/>
    <x v="33"/>
    <x v="0"/>
    <x v="143"/>
    <x v="147"/>
    <x v="136"/>
    <x v="135"/>
    <x v="50"/>
    <x v="138"/>
    <x v="36"/>
    <x v="2"/>
    <x v="45"/>
    <x v="3"/>
    <x v="3"/>
    <x v="101"/>
    <x v="121"/>
    <x v="0"/>
    <x v="0"/>
    <x v="4"/>
    <x v="12"/>
    <x v="0"/>
    <x v="0"/>
    <x v="0"/>
    <x v="0"/>
  </r>
  <r>
    <x v="16"/>
    <x v="37"/>
    <x v="46"/>
    <x v="0"/>
    <x v="21"/>
    <x v="35"/>
    <x v="35"/>
    <x v="34"/>
    <x v="34"/>
    <x v="0"/>
    <x v="144"/>
    <x v="148"/>
    <x v="137"/>
    <x v="136"/>
    <x v="30"/>
    <x v="139"/>
    <x v="24"/>
    <x v="10"/>
    <x v="53"/>
    <x v="4"/>
    <x v="5"/>
    <x v="102"/>
    <x v="122"/>
    <x v="0"/>
    <x v="0"/>
    <x v="21"/>
    <x v="0"/>
    <x v="21"/>
    <x v="1"/>
    <x v="4"/>
    <x v="2"/>
  </r>
  <r>
    <x v="16"/>
    <x v="38"/>
    <x v="47"/>
    <x v="1"/>
    <x v="9"/>
    <x v="36"/>
    <x v="36"/>
    <x v="35"/>
    <x v="35"/>
    <x v="0"/>
    <x v="145"/>
    <x v="149"/>
    <x v="138"/>
    <x v="137"/>
    <x v="44"/>
    <x v="140"/>
    <x v="41"/>
    <x v="2"/>
    <x v="24"/>
    <x v="5"/>
    <x v="3"/>
    <x v="31"/>
    <x v="123"/>
    <x v="0"/>
    <x v="0"/>
    <x v="5"/>
    <x v="2"/>
    <x v="9"/>
    <x v="1"/>
    <x v="3"/>
    <x v="2"/>
  </r>
  <r>
    <x v="16"/>
    <x v="39"/>
    <x v="48"/>
    <x v="0"/>
    <x v="9"/>
    <x v="37"/>
    <x v="37"/>
    <x v="36"/>
    <x v="36"/>
    <x v="0"/>
    <x v="146"/>
    <x v="150"/>
    <x v="139"/>
    <x v="138"/>
    <x v="0"/>
    <x v="141"/>
    <x v="82"/>
    <x v="0"/>
    <x v="0"/>
    <x v="2"/>
    <x v="1"/>
    <x v="103"/>
    <x v="56"/>
    <x v="0"/>
    <x v="0"/>
    <x v="24"/>
    <x v="1"/>
    <x v="9"/>
    <x v="1"/>
    <x v="3"/>
    <x v="2"/>
  </r>
  <r>
    <x v="17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</r>
  <r>
    <x v="17"/>
    <x v="21"/>
    <x v="22"/>
    <x v="0"/>
    <x v="14"/>
    <x v="19"/>
    <x v="19"/>
    <x v="18"/>
    <x v="18"/>
    <x v="0"/>
    <x v="147"/>
    <x v="151"/>
    <x v="140"/>
    <x v="139"/>
    <x v="51"/>
    <x v="142"/>
    <x v="26"/>
    <x v="2"/>
    <x v="20"/>
    <x v="5"/>
    <x v="3"/>
    <x v="68"/>
    <x v="124"/>
    <x v="0"/>
    <x v="0"/>
    <x v="5"/>
    <x v="2"/>
    <x v="14"/>
    <x v="2"/>
    <x v="7"/>
    <x v="3"/>
  </r>
  <r>
    <x v="17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</r>
  <r>
    <x v="1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17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17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17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</r>
  <r>
    <x v="17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</r>
  <r>
    <x v="17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</r>
  <r>
    <x v="17"/>
    <x v="34"/>
    <x v="42"/>
    <x v="0"/>
    <x v="19"/>
    <x v="31"/>
    <x v="31"/>
    <x v="30"/>
    <x v="30"/>
    <x v="0"/>
    <x v="148"/>
    <x v="152"/>
    <x v="94"/>
    <x v="140"/>
    <x v="37"/>
    <x v="143"/>
    <x v="18"/>
    <x v="2"/>
    <x v="14"/>
    <x v="3"/>
    <x v="3"/>
    <x v="20"/>
    <x v="125"/>
    <x v="0"/>
    <x v="0"/>
    <x v="5"/>
    <x v="2"/>
    <x v="19"/>
    <x v="1"/>
    <x v="2"/>
    <x v="1"/>
  </r>
  <r>
    <x v="17"/>
    <x v="33"/>
    <x v="43"/>
    <x v="0"/>
    <x v="18"/>
    <x v="32"/>
    <x v="32"/>
    <x v="31"/>
    <x v="31"/>
    <x v="0"/>
    <x v="149"/>
    <x v="153"/>
    <x v="141"/>
    <x v="141"/>
    <x v="1"/>
    <x v="144"/>
    <x v="33"/>
    <x v="1"/>
    <x v="23"/>
    <x v="18"/>
    <x v="8"/>
    <x v="104"/>
    <x v="42"/>
    <x v="0"/>
    <x v="0"/>
    <x v="1"/>
    <x v="9"/>
    <x v="18"/>
    <x v="0"/>
    <x v="6"/>
    <x v="0"/>
  </r>
  <r>
    <x v="17"/>
    <x v="35"/>
    <x v="44"/>
    <x v="1"/>
    <x v="17"/>
    <x v="33"/>
    <x v="33"/>
    <x v="32"/>
    <x v="32"/>
    <x v="0"/>
    <x v="150"/>
    <x v="154"/>
    <x v="142"/>
    <x v="142"/>
    <x v="25"/>
    <x v="145"/>
    <x v="18"/>
    <x v="2"/>
    <x v="14"/>
    <x v="3"/>
    <x v="3"/>
    <x v="20"/>
    <x v="126"/>
    <x v="0"/>
    <x v="0"/>
    <x v="5"/>
    <x v="2"/>
    <x v="17"/>
    <x v="0"/>
    <x v="0"/>
    <x v="0"/>
  </r>
  <r>
    <x v="17"/>
    <x v="36"/>
    <x v="45"/>
    <x v="1"/>
    <x v="0"/>
    <x v="34"/>
    <x v="34"/>
    <x v="33"/>
    <x v="3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0"/>
    <x v="0"/>
    <x v="0"/>
    <x v="0"/>
  </r>
  <r>
    <x v="17"/>
    <x v="37"/>
    <x v="46"/>
    <x v="0"/>
    <x v="21"/>
    <x v="35"/>
    <x v="35"/>
    <x v="34"/>
    <x v="34"/>
    <x v="0"/>
    <x v="151"/>
    <x v="155"/>
    <x v="143"/>
    <x v="143"/>
    <x v="37"/>
    <x v="146"/>
    <x v="83"/>
    <x v="0"/>
    <x v="28"/>
    <x v="5"/>
    <x v="8"/>
    <x v="105"/>
    <x v="127"/>
    <x v="0"/>
    <x v="0"/>
    <x v="8"/>
    <x v="30"/>
    <x v="21"/>
    <x v="1"/>
    <x v="4"/>
    <x v="2"/>
  </r>
  <r>
    <x v="17"/>
    <x v="38"/>
    <x v="47"/>
    <x v="1"/>
    <x v="9"/>
    <x v="36"/>
    <x v="36"/>
    <x v="35"/>
    <x v="35"/>
    <x v="0"/>
    <x v="30"/>
    <x v="156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7"/>
    <x v="39"/>
    <x v="48"/>
    <x v="0"/>
    <x v="9"/>
    <x v="37"/>
    <x v="37"/>
    <x v="36"/>
    <x v="36"/>
    <x v="0"/>
    <x v="152"/>
    <x v="157"/>
    <x v="144"/>
    <x v="144"/>
    <x v="4"/>
    <x v="147"/>
    <x v="84"/>
    <x v="6"/>
    <x v="53"/>
    <x v="2"/>
    <x v="4"/>
    <x v="106"/>
    <x v="128"/>
    <x v="0"/>
    <x v="0"/>
    <x v="3"/>
    <x v="10"/>
    <x v="9"/>
    <x v="1"/>
    <x v="3"/>
    <x v="2"/>
  </r>
  <r>
    <x v="17"/>
    <x v="26"/>
    <x v="49"/>
    <x v="0"/>
    <x v="17"/>
    <x v="38"/>
    <x v="38"/>
    <x v="37"/>
    <x v="37"/>
    <x v="0"/>
    <x v="153"/>
    <x v="158"/>
    <x v="145"/>
    <x v="125"/>
    <x v="30"/>
    <x v="148"/>
    <x v="85"/>
    <x v="21"/>
    <x v="66"/>
    <x v="33"/>
    <x v="22"/>
    <x v="107"/>
    <x v="129"/>
    <x v="0"/>
    <x v="0"/>
    <x v="3"/>
    <x v="13"/>
    <x v="17"/>
    <x v="0"/>
    <x v="0"/>
    <x v="0"/>
  </r>
  <r>
    <x v="17"/>
    <x v="40"/>
    <x v="50"/>
    <x v="0"/>
    <x v="22"/>
    <x v="39"/>
    <x v="39"/>
    <x v="38"/>
    <x v="38"/>
    <x v="0"/>
    <x v="154"/>
    <x v="159"/>
    <x v="146"/>
    <x v="145"/>
    <x v="0"/>
    <x v="149"/>
    <x v="86"/>
    <x v="4"/>
    <x v="23"/>
    <x v="1"/>
    <x v="2"/>
    <x v="95"/>
    <x v="130"/>
    <x v="0"/>
    <x v="0"/>
    <x v="4"/>
    <x v="12"/>
    <x v="22"/>
    <x v="0"/>
    <x v="6"/>
    <x v="0"/>
  </r>
  <r>
    <x v="17"/>
    <x v="41"/>
    <x v="51"/>
    <x v="0"/>
    <x v="23"/>
    <x v="40"/>
    <x v="40"/>
    <x v="39"/>
    <x v="39"/>
    <x v="0"/>
    <x v="155"/>
    <x v="160"/>
    <x v="147"/>
    <x v="146"/>
    <x v="5"/>
    <x v="150"/>
    <x v="62"/>
    <x v="3"/>
    <x v="49"/>
    <x v="1"/>
    <x v="2"/>
    <x v="64"/>
    <x v="131"/>
    <x v="0"/>
    <x v="0"/>
    <x v="2"/>
    <x v="3"/>
    <x v="23"/>
    <x v="1"/>
    <x v="2"/>
    <x v="1"/>
  </r>
  <r>
    <x v="17"/>
    <x v="42"/>
    <x v="52"/>
    <x v="0"/>
    <x v="24"/>
    <x v="41"/>
    <x v="41"/>
    <x v="40"/>
    <x v="40"/>
    <x v="0"/>
    <x v="156"/>
    <x v="161"/>
    <x v="148"/>
    <x v="147"/>
    <x v="4"/>
    <x v="151"/>
    <x v="87"/>
    <x v="10"/>
    <x v="67"/>
    <x v="34"/>
    <x v="6"/>
    <x v="108"/>
    <x v="132"/>
    <x v="0"/>
    <x v="0"/>
    <x v="9"/>
    <x v="12"/>
    <x v="24"/>
    <x v="2"/>
    <x v="7"/>
    <x v="3"/>
  </r>
  <r>
    <x v="17"/>
    <x v="43"/>
    <x v="53"/>
    <x v="0"/>
    <x v="25"/>
    <x v="42"/>
    <x v="42"/>
    <x v="41"/>
    <x v="41"/>
    <x v="0"/>
    <x v="157"/>
    <x v="162"/>
    <x v="149"/>
    <x v="148"/>
    <x v="5"/>
    <x v="152"/>
    <x v="62"/>
    <x v="3"/>
    <x v="10"/>
    <x v="7"/>
    <x v="23"/>
    <x v="109"/>
    <x v="133"/>
    <x v="0"/>
    <x v="0"/>
    <x v="12"/>
    <x v="12"/>
    <x v="25"/>
    <x v="2"/>
    <x v="7"/>
    <x v="3"/>
  </r>
  <r>
    <x v="18"/>
    <x v="14"/>
    <x v="15"/>
    <x v="0"/>
    <x v="9"/>
    <x v="12"/>
    <x v="12"/>
    <x v="11"/>
    <x v="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8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</r>
  <r>
    <x v="18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18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18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18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18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</r>
  <r>
    <x v="18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</r>
  <r>
    <x v="18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</r>
  <r>
    <x v="18"/>
    <x v="33"/>
    <x v="43"/>
    <x v="0"/>
    <x v="18"/>
    <x v="32"/>
    <x v="32"/>
    <x v="31"/>
    <x v="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</r>
  <r>
    <x v="18"/>
    <x v="37"/>
    <x v="46"/>
    <x v="0"/>
    <x v="21"/>
    <x v="35"/>
    <x v="35"/>
    <x v="34"/>
    <x v="34"/>
    <x v="0"/>
    <x v="158"/>
    <x v="163"/>
    <x v="54"/>
    <x v="149"/>
    <x v="30"/>
    <x v="153"/>
    <x v="88"/>
    <x v="3"/>
    <x v="68"/>
    <x v="4"/>
    <x v="7"/>
    <x v="110"/>
    <x v="134"/>
    <x v="0"/>
    <x v="0"/>
    <x v="25"/>
    <x v="31"/>
    <x v="21"/>
    <x v="1"/>
    <x v="4"/>
    <x v="2"/>
  </r>
  <r>
    <x v="18"/>
    <x v="39"/>
    <x v="48"/>
    <x v="0"/>
    <x v="9"/>
    <x v="37"/>
    <x v="37"/>
    <x v="36"/>
    <x v="36"/>
    <x v="0"/>
    <x v="159"/>
    <x v="164"/>
    <x v="150"/>
    <x v="150"/>
    <x v="37"/>
    <x v="154"/>
    <x v="89"/>
    <x v="3"/>
    <x v="12"/>
    <x v="35"/>
    <x v="1"/>
    <x v="111"/>
    <x v="135"/>
    <x v="0"/>
    <x v="0"/>
    <x v="11"/>
    <x v="9"/>
    <x v="9"/>
    <x v="1"/>
    <x v="3"/>
    <x v="2"/>
  </r>
  <r>
    <x v="18"/>
    <x v="26"/>
    <x v="49"/>
    <x v="0"/>
    <x v="17"/>
    <x v="38"/>
    <x v="38"/>
    <x v="37"/>
    <x v="37"/>
    <x v="0"/>
    <x v="160"/>
    <x v="165"/>
    <x v="151"/>
    <x v="151"/>
    <x v="4"/>
    <x v="155"/>
    <x v="90"/>
    <x v="11"/>
    <x v="69"/>
    <x v="16"/>
    <x v="12"/>
    <x v="112"/>
    <x v="136"/>
    <x v="0"/>
    <x v="0"/>
    <x v="3"/>
    <x v="6"/>
    <x v="17"/>
    <x v="0"/>
    <x v="0"/>
    <x v="0"/>
  </r>
  <r>
    <x v="18"/>
    <x v="40"/>
    <x v="50"/>
    <x v="0"/>
    <x v="22"/>
    <x v="39"/>
    <x v="39"/>
    <x v="38"/>
    <x v="38"/>
    <x v="0"/>
    <x v="161"/>
    <x v="166"/>
    <x v="152"/>
    <x v="152"/>
    <x v="32"/>
    <x v="156"/>
    <x v="91"/>
    <x v="22"/>
    <x v="12"/>
    <x v="16"/>
    <x v="24"/>
    <x v="113"/>
    <x v="7"/>
    <x v="2"/>
    <x v="3"/>
    <x v="8"/>
    <x v="2"/>
    <x v="22"/>
    <x v="0"/>
    <x v="6"/>
    <x v="0"/>
  </r>
  <r>
    <x v="18"/>
    <x v="41"/>
    <x v="51"/>
    <x v="0"/>
    <x v="23"/>
    <x v="40"/>
    <x v="40"/>
    <x v="39"/>
    <x v="39"/>
    <x v="0"/>
    <x v="162"/>
    <x v="167"/>
    <x v="153"/>
    <x v="153"/>
    <x v="9"/>
    <x v="157"/>
    <x v="92"/>
    <x v="7"/>
    <x v="2"/>
    <x v="12"/>
    <x v="2"/>
    <x v="114"/>
    <x v="137"/>
    <x v="0"/>
    <x v="0"/>
    <x v="11"/>
    <x v="10"/>
    <x v="23"/>
    <x v="1"/>
    <x v="2"/>
    <x v="1"/>
  </r>
  <r>
    <x v="18"/>
    <x v="42"/>
    <x v="52"/>
    <x v="0"/>
    <x v="24"/>
    <x v="41"/>
    <x v="41"/>
    <x v="40"/>
    <x v="40"/>
    <x v="0"/>
    <x v="163"/>
    <x v="168"/>
    <x v="154"/>
    <x v="65"/>
    <x v="42"/>
    <x v="143"/>
    <x v="93"/>
    <x v="23"/>
    <x v="70"/>
    <x v="36"/>
    <x v="25"/>
    <x v="115"/>
    <x v="138"/>
    <x v="2"/>
    <x v="2"/>
    <x v="21"/>
    <x v="13"/>
    <x v="24"/>
    <x v="2"/>
    <x v="7"/>
    <x v="3"/>
  </r>
  <r>
    <x v="18"/>
    <x v="43"/>
    <x v="53"/>
    <x v="0"/>
    <x v="25"/>
    <x v="42"/>
    <x v="42"/>
    <x v="41"/>
    <x v="41"/>
    <x v="0"/>
    <x v="164"/>
    <x v="169"/>
    <x v="27"/>
    <x v="140"/>
    <x v="13"/>
    <x v="158"/>
    <x v="15"/>
    <x v="2"/>
    <x v="14"/>
    <x v="3"/>
    <x v="3"/>
    <x v="15"/>
    <x v="15"/>
    <x v="0"/>
    <x v="0"/>
    <x v="5"/>
    <x v="2"/>
    <x v="25"/>
    <x v="2"/>
    <x v="7"/>
    <x v="3"/>
  </r>
  <r>
    <x v="18"/>
    <x v="44"/>
    <x v="54"/>
    <x v="0"/>
    <x v="26"/>
    <x v="43"/>
    <x v="43"/>
    <x v="42"/>
    <x v="42"/>
    <x v="0"/>
    <x v="165"/>
    <x v="170"/>
    <x v="155"/>
    <x v="154"/>
    <x v="51"/>
    <x v="159"/>
    <x v="94"/>
    <x v="3"/>
    <x v="71"/>
    <x v="13"/>
    <x v="3"/>
    <x v="25"/>
    <x v="68"/>
    <x v="0"/>
    <x v="0"/>
    <x v="1"/>
    <x v="5"/>
    <x v="26"/>
    <x v="2"/>
    <x v="7"/>
    <x v="3"/>
  </r>
  <r>
    <x v="19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19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19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</r>
  <r>
    <x v="19"/>
    <x v="35"/>
    <x v="44"/>
    <x v="1"/>
    <x v="17"/>
    <x v="33"/>
    <x v="33"/>
    <x v="32"/>
    <x v="32"/>
    <x v="0"/>
    <x v="166"/>
    <x v="171"/>
    <x v="156"/>
    <x v="144"/>
    <x v="43"/>
    <x v="160"/>
    <x v="26"/>
    <x v="2"/>
    <x v="49"/>
    <x v="3"/>
    <x v="3"/>
    <x v="26"/>
    <x v="139"/>
    <x v="0"/>
    <x v="0"/>
    <x v="5"/>
    <x v="2"/>
    <x v="17"/>
    <x v="0"/>
    <x v="0"/>
    <x v="0"/>
  </r>
  <r>
    <x v="19"/>
    <x v="37"/>
    <x v="46"/>
    <x v="0"/>
    <x v="21"/>
    <x v="35"/>
    <x v="35"/>
    <x v="34"/>
    <x v="34"/>
    <x v="0"/>
    <x v="167"/>
    <x v="172"/>
    <x v="157"/>
    <x v="155"/>
    <x v="37"/>
    <x v="161"/>
    <x v="95"/>
    <x v="1"/>
    <x v="5"/>
    <x v="11"/>
    <x v="0"/>
    <x v="116"/>
    <x v="140"/>
    <x v="0"/>
    <x v="0"/>
    <x v="3"/>
    <x v="1"/>
    <x v="21"/>
    <x v="1"/>
    <x v="4"/>
    <x v="2"/>
  </r>
  <r>
    <x v="19"/>
    <x v="39"/>
    <x v="48"/>
    <x v="0"/>
    <x v="9"/>
    <x v="37"/>
    <x v="37"/>
    <x v="36"/>
    <x v="36"/>
    <x v="0"/>
    <x v="168"/>
    <x v="173"/>
    <x v="158"/>
    <x v="156"/>
    <x v="4"/>
    <x v="162"/>
    <x v="96"/>
    <x v="7"/>
    <x v="38"/>
    <x v="4"/>
    <x v="2"/>
    <x v="117"/>
    <x v="141"/>
    <x v="0"/>
    <x v="0"/>
    <x v="1"/>
    <x v="11"/>
    <x v="9"/>
    <x v="1"/>
    <x v="3"/>
    <x v="2"/>
  </r>
  <r>
    <x v="19"/>
    <x v="26"/>
    <x v="49"/>
    <x v="0"/>
    <x v="17"/>
    <x v="38"/>
    <x v="38"/>
    <x v="37"/>
    <x v="37"/>
    <x v="0"/>
    <x v="169"/>
    <x v="174"/>
    <x v="159"/>
    <x v="157"/>
    <x v="4"/>
    <x v="163"/>
    <x v="97"/>
    <x v="7"/>
    <x v="72"/>
    <x v="32"/>
    <x v="7"/>
    <x v="118"/>
    <x v="142"/>
    <x v="0"/>
    <x v="0"/>
    <x v="1"/>
    <x v="6"/>
    <x v="17"/>
    <x v="0"/>
    <x v="0"/>
    <x v="0"/>
  </r>
  <r>
    <x v="19"/>
    <x v="40"/>
    <x v="50"/>
    <x v="0"/>
    <x v="22"/>
    <x v="39"/>
    <x v="39"/>
    <x v="38"/>
    <x v="38"/>
    <x v="0"/>
    <x v="170"/>
    <x v="175"/>
    <x v="160"/>
    <x v="124"/>
    <x v="2"/>
    <x v="164"/>
    <x v="98"/>
    <x v="3"/>
    <x v="73"/>
    <x v="6"/>
    <x v="4"/>
    <x v="119"/>
    <x v="143"/>
    <x v="0"/>
    <x v="0"/>
    <x v="4"/>
    <x v="5"/>
    <x v="22"/>
    <x v="0"/>
    <x v="6"/>
    <x v="0"/>
  </r>
  <r>
    <x v="19"/>
    <x v="41"/>
    <x v="51"/>
    <x v="0"/>
    <x v="23"/>
    <x v="40"/>
    <x v="40"/>
    <x v="39"/>
    <x v="39"/>
    <x v="0"/>
    <x v="171"/>
    <x v="176"/>
    <x v="161"/>
    <x v="158"/>
    <x v="13"/>
    <x v="165"/>
    <x v="15"/>
    <x v="2"/>
    <x v="14"/>
    <x v="3"/>
    <x v="3"/>
    <x v="15"/>
    <x v="15"/>
    <x v="0"/>
    <x v="0"/>
    <x v="5"/>
    <x v="2"/>
    <x v="23"/>
    <x v="1"/>
    <x v="2"/>
    <x v="1"/>
  </r>
  <r>
    <x v="19"/>
    <x v="42"/>
    <x v="52"/>
    <x v="0"/>
    <x v="24"/>
    <x v="41"/>
    <x v="41"/>
    <x v="40"/>
    <x v="40"/>
    <x v="0"/>
    <x v="172"/>
    <x v="177"/>
    <x v="162"/>
    <x v="159"/>
    <x v="2"/>
    <x v="166"/>
    <x v="99"/>
    <x v="15"/>
    <x v="63"/>
    <x v="37"/>
    <x v="23"/>
    <x v="120"/>
    <x v="144"/>
    <x v="0"/>
    <x v="0"/>
    <x v="3"/>
    <x v="5"/>
    <x v="24"/>
    <x v="2"/>
    <x v="7"/>
    <x v="3"/>
  </r>
  <r>
    <x v="19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</r>
  <r>
    <x v="19"/>
    <x v="44"/>
    <x v="54"/>
    <x v="0"/>
    <x v="26"/>
    <x v="43"/>
    <x v="43"/>
    <x v="42"/>
    <x v="42"/>
    <x v="0"/>
    <x v="173"/>
    <x v="178"/>
    <x v="163"/>
    <x v="160"/>
    <x v="32"/>
    <x v="90"/>
    <x v="92"/>
    <x v="3"/>
    <x v="33"/>
    <x v="0"/>
    <x v="2"/>
    <x v="41"/>
    <x v="85"/>
    <x v="0"/>
    <x v="0"/>
    <x v="4"/>
    <x v="2"/>
    <x v="26"/>
    <x v="2"/>
    <x v="7"/>
    <x v="3"/>
  </r>
  <r>
    <x v="20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20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20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20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</r>
  <r>
    <x v="20"/>
    <x v="35"/>
    <x v="44"/>
    <x v="1"/>
    <x v="17"/>
    <x v="33"/>
    <x v="33"/>
    <x v="32"/>
    <x v="32"/>
    <x v="0"/>
    <x v="174"/>
    <x v="179"/>
    <x v="113"/>
    <x v="161"/>
    <x v="52"/>
    <x v="167"/>
    <x v="15"/>
    <x v="2"/>
    <x v="14"/>
    <x v="3"/>
    <x v="3"/>
    <x v="15"/>
    <x v="15"/>
    <x v="0"/>
    <x v="0"/>
    <x v="5"/>
    <x v="2"/>
    <x v="17"/>
    <x v="0"/>
    <x v="0"/>
    <x v="0"/>
  </r>
  <r>
    <x v="20"/>
    <x v="37"/>
    <x v="46"/>
    <x v="0"/>
    <x v="21"/>
    <x v="35"/>
    <x v="35"/>
    <x v="34"/>
    <x v="34"/>
    <x v="0"/>
    <x v="175"/>
    <x v="180"/>
    <x v="164"/>
    <x v="148"/>
    <x v="37"/>
    <x v="168"/>
    <x v="34"/>
    <x v="7"/>
    <x v="13"/>
    <x v="11"/>
    <x v="23"/>
    <x v="121"/>
    <x v="145"/>
    <x v="0"/>
    <x v="0"/>
    <x v="2"/>
    <x v="13"/>
    <x v="21"/>
    <x v="1"/>
    <x v="4"/>
    <x v="2"/>
  </r>
  <r>
    <x v="20"/>
    <x v="39"/>
    <x v="48"/>
    <x v="0"/>
    <x v="9"/>
    <x v="37"/>
    <x v="37"/>
    <x v="36"/>
    <x v="36"/>
    <x v="0"/>
    <x v="176"/>
    <x v="181"/>
    <x v="165"/>
    <x v="162"/>
    <x v="37"/>
    <x v="169"/>
    <x v="100"/>
    <x v="0"/>
    <x v="30"/>
    <x v="4"/>
    <x v="2"/>
    <x v="122"/>
    <x v="146"/>
    <x v="0"/>
    <x v="0"/>
    <x v="10"/>
    <x v="12"/>
    <x v="9"/>
    <x v="1"/>
    <x v="3"/>
    <x v="2"/>
  </r>
  <r>
    <x v="20"/>
    <x v="26"/>
    <x v="49"/>
    <x v="0"/>
    <x v="17"/>
    <x v="38"/>
    <x v="38"/>
    <x v="37"/>
    <x v="37"/>
    <x v="0"/>
    <x v="177"/>
    <x v="182"/>
    <x v="166"/>
    <x v="163"/>
    <x v="30"/>
    <x v="170"/>
    <x v="101"/>
    <x v="2"/>
    <x v="74"/>
    <x v="12"/>
    <x v="13"/>
    <x v="123"/>
    <x v="147"/>
    <x v="0"/>
    <x v="0"/>
    <x v="10"/>
    <x v="13"/>
    <x v="17"/>
    <x v="0"/>
    <x v="0"/>
    <x v="0"/>
  </r>
  <r>
    <x v="20"/>
    <x v="40"/>
    <x v="50"/>
    <x v="0"/>
    <x v="22"/>
    <x v="39"/>
    <x v="39"/>
    <x v="38"/>
    <x v="38"/>
    <x v="0"/>
    <x v="178"/>
    <x v="183"/>
    <x v="167"/>
    <x v="164"/>
    <x v="13"/>
    <x v="171"/>
    <x v="18"/>
    <x v="2"/>
    <x v="14"/>
    <x v="3"/>
    <x v="3"/>
    <x v="20"/>
    <x v="148"/>
    <x v="0"/>
    <x v="0"/>
    <x v="5"/>
    <x v="2"/>
    <x v="22"/>
    <x v="0"/>
    <x v="6"/>
    <x v="0"/>
  </r>
  <r>
    <x v="20"/>
    <x v="42"/>
    <x v="52"/>
    <x v="0"/>
    <x v="24"/>
    <x v="41"/>
    <x v="41"/>
    <x v="40"/>
    <x v="40"/>
    <x v="0"/>
    <x v="179"/>
    <x v="184"/>
    <x v="168"/>
    <x v="165"/>
    <x v="30"/>
    <x v="172"/>
    <x v="102"/>
    <x v="4"/>
    <x v="25"/>
    <x v="31"/>
    <x v="0"/>
    <x v="124"/>
    <x v="149"/>
    <x v="0"/>
    <x v="0"/>
    <x v="1"/>
    <x v="5"/>
    <x v="24"/>
    <x v="2"/>
    <x v="7"/>
    <x v="3"/>
  </r>
  <r>
    <x v="20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</r>
  <r>
    <x v="20"/>
    <x v="44"/>
    <x v="54"/>
    <x v="0"/>
    <x v="26"/>
    <x v="43"/>
    <x v="43"/>
    <x v="42"/>
    <x v="42"/>
    <x v="0"/>
    <x v="180"/>
    <x v="185"/>
    <x v="169"/>
    <x v="166"/>
    <x v="51"/>
    <x v="173"/>
    <x v="21"/>
    <x v="2"/>
    <x v="8"/>
    <x v="5"/>
    <x v="3"/>
    <x v="22"/>
    <x v="150"/>
    <x v="0"/>
    <x v="0"/>
    <x v="5"/>
    <x v="2"/>
    <x v="26"/>
    <x v="2"/>
    <x v="7"/>
    <x v="3"/>
  </r>
  <r>
    <x v="21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</r>
  <r>
    <x v="21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21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21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21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21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</r>
  <r>
    <x v="21"/>
    <x v="37"/>
    <x v="46"/>
    <x v="0"/>
    <x v="21"/>
    <x v="35"/>
    <x v="35"/>
    <x v="34"/>
    <x v="34"/>
    <x v="0"/>
    <x v="119"/>
    <x v="186"/>
    <x v="72"/>
    <x v="167"/>
    <x v="4"/>
    <x v="174"/>
    <x v="15"/>
    <x v="2"/>
    <x v="14"/>
    <x v="3"/>
    <x v="3"/>
    <x v="15"/>
    <x v="15"/>
    <x v="0"/>
    <x v="0"/>
    <x v="5"/>
    <x v="2"/>
    <x v="21"/>
    <x v="1"/>
    <x v="4"/>
    <x v="2"/>
  </r>
  <r>
    <x v="21"/>
    <x v="39"/>
    <x v="48"/>
    <x v="0"/>
    <x v="9"/>
    <x v="37"/>
    <x v="37"/>
    <x v="36"/>
    <x v="36"/>
    <x v="0"/>
    <x v="181"/>
    <x v="187"/>
    <x v="170"/>
    <x v="168"/>
    <x v="30"/>
    <x v="175"/>
    <x v="39"/>
    <x v="3"/>
    <x v="55"/>
    <x v="1"/>
    <x v="2"/>
    <x v="125"/>
    <x v="151"/>
    <x v="0"/>
    <x v="0"/>
    <x v="5"/>
    <x v="5"/>
    <x v="9"/>
    <x v="1"/>
    <x v="3"/>
    <x v="2"/>
  </r>
  <r>
    <x v="21"/>
    <x v="26"/>
    <x v="49"/>
    <x v="0"/>
    <x v="17"/>
    <x v="38"/>
    <x v="38"/>
    <x v="37"/>
    <x v="37"/>
    <x v="0"/>
    <x v="182"/>
    <x v="188"/>
    <x v="171"/>
    <x v="169"/>
    <x v="2"/>
    <x v="176"/>
    <x v="89"/>
    <x v="10"/>
    <x v="69"/>
    <x v="22"/>
    <x v="5"/>
    <x v="126"/>
    <x v="152"/>
    <x v="0"/>
    <x v="0"/>
    <x v="7"/>
    <x v="13"/>
    <x v="17"/>
    <x v="0"/>
    <x v="0"/>
    <x v="0"/>
  </r>
  <r>
    <x v="21"/>
    <x v="40"/>
    <x v="50"/>
    <x v="0"/>
    <x v="22"/>
    <x v="39"/>
    <x v="39"/>
    <x v="38"/>
    <x v="3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2"/>
    <x v="0"/>
    <x v="6"/>
    <x v="0"/>
  </r>
  <r>
    <x v="21"/>
    <x v="42"/>
    <x v="52"/>
    <x v="0"/>
    <x v="24"/>
    <x v="41"/>
    <x v="41"/>
    <x v="40"/>
    <x v="40"/>
    <x v="0"/>
    <x v="183"/>
    <x v="189"/>
    <x v="172"/>
    <x v="170"/>
    <x v="12"/>
    <x v="177"/>
    <x v="103"/>
    <x v="6"/>
    <x v="75"/>
    <x v="38"/>
    <x v="4"/>
    <x v="63"/>
    <x v="153"/>
    <x v="0"/>
    <x v="0"/>
    <x v="24"/>
    <x v="13"/>
    <x v="24"/>
    <x v="2"/>
    <x v="7"/>
    <x v="3"/>
  </r>
  <r>
    <x v="21"/>
    <x v="44"/>
    <x v="54"/>
    <x v="0"/>
    <x v="26"/>
    <x v="43"/>
    <x v="43"/>
    <x v="42"/>
    <x v="42"/>
    <x v="0"/>
    <x v="184"/>
    <x v="190"/>
    <x v="20"/>
    <x v="171"/>
    <x v="53"/>
    <x v="178"/>
    <x v="15"/>
    <x v="2"/>
    <x v="14"/>
    <x v="3"/>
    <x v="3"/>
    <x v="15"/>
    <x v="15"/>
    <x v="0"/>
    <x v="0"/>
    <x v="5"/>
    <x v="2"/>
    <x v="26"/>
    <x v="2"/>
    <x v="7"/>
    <x v="3"/>
  </r>
  <r>
    <x v="22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4"/>
    <x v="2"/>
    <x v="17"/>
    <x v="0"/>
    <x v="0"/>
    <x v="0"/>
  </r>
  <r>
    <x v="22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</r>
  <r>
    <x v="22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</r>
  <r>
    <x v="22"/>
    <x v="39"/>
    <x v="48"/>
    <x v="0"/>
    <x v="9"/>
    <x v="37"/>
    <x v="37"/>
    <x v="36"/>
    <x v="36"/>
    <x v="0"/>
    <x v="185"/>
    <x v="191"/>
    <x v="173"/>
    <x v="172"/>
    <x v="0"/>
    <x v="179"/>
    <x v="77"/>
    <x v="10"/>
    <x v="29"/>
    <x v="12"/>
    <x v="1"/>
    <x v="127"/>
    <x v="154"/>
    <x v="0"/>
    <x v="0"/>
    <x v="4"/>
    <x v="5"/>
    <x v="9"/>
    <x v="1"/>
    <x v="3"/>
    <x v="2"/>
  </r>
  <r>
    <x v="22"/>
    <x v="26"/>
    <x v="49"/>
    <x v="0"/>
    <x v="17"/>
    <x v="38"/>
    <x v="38"/>
    <x v="37"/>
    <x v="37"/>
    <x v="0"/>
    <x v="186"/>
    <x v="192"/>
    <x v="174"/>
    <x v="118"/>
    <x v="2"/>
    <x v="131"/>
    <x v="104"/>
    <x v="7"/>
    <x v="76"/>
    <x v="17"/>
    <x v="24"/>
    <x v="128"/>
    <x v="155"/>
    <x v="0"/>
    <x v="0"/>
    <x v="7"/>
    <x v="12"/>
    <x v="17"/>
    <x v="0"/>
    <x v="0"/>
    <x v="0"/>
  </r>
  <r>
    <x v="22"/>
    <x v="40"/>
    <x v="50"/>
    <x v="0"/>
    <x v="22"/>
    <x v="39"/>
    <x v="39"/>
    <x v="38"/>
    <x v="3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2"/>
    <x v="0"/>
    <x v="6"/>
    <x v="0"/>
  </r>
  <r>
    <x v="22"/>
    <x v="42"/>
    <x v="52"/>
    <x v="0"/>
    <x v="24"/>
    <x v="41"/>
    <x v="41"/>
    <x v="40"/>
    <x v="40"/>
    <x v="0"/>
    <x v="187"/>
    <x v="193"/>
    <x v="175"/>
    <x v="173"/>
    <x v="12"/>
    <x v="180"/>
    <x v="105"/>
    <x v="15"/>
    <x v="77"/>
    <x v="30"/>
    <x v="26"/>
    <x v="129"/>
    <x v="156"/>
    <x v="0"/>
    <x v="0"/>
    <x v="26"/>
    <x v="3"/>
    <x v="24"/>
    <x v="2"/>
    <x v="7"/>
    <x v="3"/>
  </r>
  <r>
    <x v="22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</r>
  <r>
    <x v="23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</r>
  <r>
    <x v="23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23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23"/>
    <x v="33"/>
    <x v="43"/>
    <x v="0"/>
    <x v="18"/>
    <x v="32"/>
    <x v="32"/>
    <x v="31"/>
    <x v="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</r>
  <r>
    <x v="23"/>
    <x v="37"/>
    <x v="46"/>
    <x v="0"/>
    <x v="21"/>
    <x v="35"/>
    <x v="35"/>
    <x v="34"/>
    <x v="34"/>
    <x v="0"/>
    <x v="188"/>
    <x v="194"/>
    <x v="176"/>
    <x v="173"/>
    <x v="42"/>
    <x v="181"/>
    <x v="106"/>
    <x v="0"/>
    <x v="28"/>
    <x v="1"/>
    <x v="24"/>
    <x v="130"/>
    <x v="119"/>
    <x v="0"/>
    <x v="0"/>
    <x v="14"/>
    <x v="1"/>
    <x v="21"/>
    <x v="1"/>
    <x v="4"/>
    <x v="2"/>
  </r>
  <r>
    <x v="23"/>
    <x v="39"/>
    <x v="48"/>
    <x v="0"/>
    <x v="9"/>
    <x v="37"/>
    <x v="37"/>
    <x v="36"/>
    <x v="36"/>
    <x v="0"/>
    <x v="189"/>
    <x v="195"/>
    <x v="177"/>
    <x v="174"/>
    <x v="42"/>
    <x v="182"/>
    <x v="107"/>
    <x v="1"/>
    <x v="17"/>
    <x v="13"/>
    <x v="2"/>
    <x v="131"/>
    <x v="157"/>
    <x v="0"/>
    <x v="0"/>
    <x v="4"/>
    <x v="12"/>
    <x v="9"/>
    <x v="1"/>
    <x v="3"/>
    <x v="2"/>
  </r>
  <r>
    <x v="23"/>
    <x v="26"/>
    <x v="49"/>
    <x v="0"/>
    <x v="17"/>
    <x v="38"/>
    <x v="38"/>
    <x v="37"/>
    <x v="37"/>
    <x v="0"/>
    <x v="190"/>
    <x v="196"/>
    <x v="178"/>
    <x v="175"/>
    <x v="0"/>
    <x v="183"/>
    <x v="108"/>
    <x v="2"/>
    <x v="78"/>
    <x v="14"/>
    <x v="27"/>
    <x v="132"/>
    <x v="158"/>
    <x v="0"/>
    <x v="0"/>
    <x v="4"/>
    <x v="6"/>
    <x v="17"/>
    <x v="0"/>
    <x v="0"/>
    <x v="0"/>
  </r>
  <r>
    <x v="23"/>
    <x v="42"/>
    <x v="52"/>
    <x v="0"/>
    <x v="24"/>
    <x v="41"/>
    <x v="41"/>
    <x v="40"/>
    <x v="40"/>
    <x v="0"/>
    <x v="191"/>
    <x v="197"/>
    <x v="179"/>
    <x v="176"/>
    <x v="37"/>
    <x v="184"/>
    <x v="34"/>
    <x v="2"/>
    <x v="37"/>
    <x v="39"/>
    <x v="0"/>
    <x v="133"/>
    <x v="31"/>
    <x v="0"/>
    <x v="0"/>
    <x v="10"/>
    <x v="12"/>
    <x v="24"/>
    <x v="2"/>
    <x v="7"/>
    <x v="3"/>
  </r>
  <r>
    <x v="23"/>
    <x v="44"/>
    <x v="54"/>
    <x v="0"/>
    <x v="26"/>
    <x v="43"/>
    <x v="43"/>
    <x v="42"/>
    <x v="42"/>
    <x v="0"/>
    <x v="192"/>
    <x v="198"/>
    <x v="180"/>
    <x v="177"/>
    <x v="42"/>
    <x v="185"/>
    <x v="15"/>
    <x v="2"/>
    <x v="42"/>
    <x v="5"/>
    <x v="3"/>
    <x v="83"/>
    <x v="159"/>
    <x v="0"/>
    <x v="0"/>
    <x v="5"/>
    <x v="2"/>
    <x v="26"/>
    <x v="2"/>
    <x v="7"/>
    <x v="3"/>
  </r>
  <r>
    <x v="24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24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24"/>
    <x v="37"/>
    <x v="46"/>
    <x v="0"/>
    <x v="21"/>
    <x v="35"/>
    <x v="35"/>
    <x v="34"/>
    <x v="34"/>
    <x v="0"/>
    <x v="193"/>
    <x v="199"/>
    <x v="181"/>
    <x v="178"/>
    <x v="37"/>
    <x v="186"/>
    <x v="109"/>
    <x v="10"/>
    <x v="12"/>
    <x v="13"/>
    <x v="5"/>
    <x v="134"/>
    <x v="160"/>
    <x v="0"/>
    <x v="0"/>
    <x v="27"/>
    <x v="18"/>
    <x v="21"/>
    <x v="1"/>
    <x v="4"/>
    <x v="2"/>
  </r>
  <r>
    <x v="24"/>
    <x v="38"/>
    <x v="47"/>
    <x v="1"/>
    <x v="9"/>
    <x v="36"/>
    <x v="36"/>
    <x v="35"/>
    <x v="35"/>
    <x v="0"/>
    <x v="194"/>
    <x v="200"/>
    <x v="182"/>
    <x v="179"/>
    <x v="46"/>
    <x v="187"/>
    <x v="26"/>
    <x v="2"/>
    <x v="24"/>
    <x v="3"/>
    <x v="3"/>
    <x v="83"/>
    <x v="161"/>
    <x v="0"/>
    <x v="0"/>
    <x v="8"/>
    <x v="5"/>
    <x v="9"/>
    <x v="1"/>
    <x v="3"/>
    <x v="2"/>
  </r>
  <r>
    <x v="24"/>
    <x v="39"/>
    <x v="48"/>
    <x v="0"/>
    <x v="9"/>
    <x v="37"/>
    <x v="37"/>
    <x v="36"/>
    <x v="36"/>
    <x v="0"/>
    <x v="195"/>
    <x v="201"/>
    <x v="183"/>
    <x v="180"/>
    <x v="30"/>
    <x v="188"/>
    <x v="39"/>
    <x v="10"/>
    <x v="79"/>
    <x v="13"/>
    <x v="1"/>
    <x v="125"/>
    <x v="162"/>
    <x v="0"/>
    <x v="0"/>
    <x v="7"/>
    <x v="13"/>
    <x v="9"/>
    <x v="1"/>
    <x v="3"/>
    <x v="2"/>
  </r>
  <r>
    <x v="24"/>
    <x v="26"/>
    <x v="49"/>
    <x v="0"/>
    <x v="17"/>
    <x v="38"/>
    <x v="38"/>
    <x v="37"/>
    <x v="37"/>
    <x v="0"/>
    <x v="196"/>
    <x v="202"/>
    <x v="184"/>
    <x v="148"/>
    <x v="37"/>
    <x v="189"/>
    <x v="110"/>
    <x v="1"/>
    <x v="80"/>
    <x v="40"/>
    <x v="9"/>
    <x v="135"/>
    <x v="163"/>
    <x v="0"/>
    <x v="0"/>
    <x v="0"/>
    <x v="13"/>
    <x v="17"/>
    <x v="0"/>
    <x v="0"/>
    <x v="0"/>
  </r>
  <r>
    <x v="24"/>
    <x v="42"/>
    <x v="52"/>
    <x v="0"/>
    <x v="24"/>
    <x v="41"/>
    <x v="41"/>
    <x v="40"/>
    <x v="40"/>
    <x v="0"/>
    <x v="197"/>
    <x v="203"/>
    <x v="185"/>
    <x v="181"/>
    <x v="30"/>
    <x v="190"/>
    <x v="111"/>
    <x v="0"/>
    <x v="81"/>
    <x v="41"/>
    <x v="8"/>
    <x v="136"/>
    <x v="156"/>
    <x v="0"/>
    <x v="0"/>
    <x v="28"/>
    <x v="6"/>
    <x v="24"/>
    <x v="2"/>
    <x v="7"/>
    <x v="3"/>
  </r>
  <r>
    <x v="24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</r>
  <r>
    <x v="24"/>
    <x v="44"/>
    <x v="54"/>
    <x v="0"/>
    <x v="26"/>
    <x v="43"/>
    <x v="43"/>
    <x v="42"/>
    <x v="42"/>
    <x v="0"/>
    <x v="198"/>
    <x v="204"/>
    <x v="186"/>
    <x v="60"/>
    <x v="12"/>
    <x v="191"/>
    <x v="23"/>
    <x v="0"/>
    <x v="24"/>
    <x v="11"/>
    <x v="3"/>
    <x v="68"/>
    <x v="164"/>
    <x v="0"/>
    <x v="0"/>
    <x v="5"/>
    <x v="2"/>
    <x v="26"/>
    <x v="2"/>
    <x v="7"/>
    <x v="3"/>
  </r>
  <r>
    <x v="24"/>
    <x v="45"/>
    <x v="55"/>
    <x v="0"/>
    <x v="27"/>
    <x v="44"/>
    <x v="44"/>
    <x v="43"/>
    <x v="43"/>
    <x v="0"/>
    <x v="199"/>
    <x v="205"/>
    <x v="187"/>
    <x v="127"/>
    <x v="28"/>
    <x v="74"/>
    <x v="44"/>
    <x v="4"/>
    <x v="82"/>
    <x v="8"/>
    <x v="8"/>
    <x v="137"/>
    <x v="165"/>
    <x v="0"/>
    <x v="0"/>
    <x v="29"/>
    <x v="32"/>
    <x v="27"/>
    <x v="1"/>
    <x v="4"/>
    <x v="2"/>
  </r>
  <r>
    <x v="24"/>
    <x v="46"/>
    <x v="56"/>
    <x v="0"/>
    <x v="28"/>
    <x v="45"/>
    <x v="45"/>
    <x v="44"/>
    <x v="44"/>
    <x v="0"/>
    <x v="200"/>
    <x v="206"/>
    <x v="188"/>
    <x v="182"/>
    <x v="1"/>
    <x v="192"/>
    <x v="112"/>
    <x v="7"/>
    <x v="1"/>
    <x v="0"/>
    <x v="8"/>
    <x v="138"/>
    <x v="166"/>
    <x v="0"/>
    <x v="0"/>
    <x v="4"/>
    <x v="11"/>
    <x v="28"/>
    <x v="0"/>
    <x v="6"/>
    <x v="0"/>
  </r>
  <r>
    <x v="24"/>
    <x v="47"/>
    <x v="57"/>
    <x v="0"/>
    <x v="29"/>
    <x v="46"/>
    <x v="46"/>
    <x v="45"/>
    <x v="45"/>
    <x v="0"/>
    <x v="201"/>
    <x v="207"/>
    <x v="189"/>
    <x v="183"/>
    <x v="42"/>
    <x v="193"/>
    <x v="38"/>
    <x v="1"/>
    <x v="79"/>
    <x v="2"/>
    <x v="7"/>
    <x v="39"/>
    <x v="167"/>
    <x v="0"/>
    <x v="0"/>
    <x v="10"/>
    <x v="11"/>
    <x v="29"/>
    <x v="0"/>
    <x v="0"/>
    <x v="0"/>
  </r>
  <r>
    <x v="24"/>
    <x v="48"/>
    <x v="58"/>
    <x v="0"/>
    <x v="30"/>
    <x v="47"/>
    <x v="47"/>
    <x v="46"/>
    <x v="46"/>
    <x v="0"/>
    <x v="202"/>
    <x v="208"/>
    <x v="190"/>
    <x v="184"/>
    <x v="28"/>
    <x v="194"/>
    <x v="30"/>
    <x v="1"/>
    <x v="8"/>
    <x v="11"/>
    <x v="1"/>
    <x v="52"/>
    <x v="168"/>
    <x v="0"/>
    <x v="0"/>
    <x v="7"/>
    <x v="6"/>
    <x v="30"/>
    <x v="1"/>
    <x v="2"/>
    <x v="1"/>
  </r>
  <r>
    <x v="24"/>
    <x v="49"/>
    <x v="59"/>
    <x v="1"/>
    <x v="22"/>
    <x v="48"/>
    <x v="48"/>
    <x v="47"/>
    <x v="47"/>
    <x v="0"/>
    <x v="203"/>
    <x v="209"/>
    <x v="191"/>
    <x v="8"/>
    <x v="25"/>
    <x v="195"/>
    <x v="14"/>
    <x v="2"/>
    <x v="20"/>
    <x v="5"/>
    <x v="3"/>
    <x v="139"/>
    <x v="169"/>
    <x v="0"/>
    <x v="0"/>
    <x v="5"/>
    <x v="2"/>
    <x v="22"/>
    <x v="0"/>
    <x v="6"/>
    <x v="0"/>
  </r>
  <r>
    <x v="25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25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</r>
  <r>
    <x v="25"/>
    <x v="37"/>
    <x v="46"/>
    <x v="0"/>
    <x v="21"/>
    <x v="35"/>
    <x v="35"/>
    <x v="34"/>
    <x v="34"/>
    <x v="0"/>
    <x v="204"/>
    <x v="210"/>
    <x v="192"/>
    <x v="185"/>
    <x v="30"/>
    <x v="196"/>
    <x v="16"/>
    <x v="7"/>
    <x v="36"/>
    <x v="3"/>
    <x v="13"/>
    <x v="45"/>
    <x v="170"/>
    <x v="0"/>
    <x v="0"/>
    <x v="28"/>
    <x v="9"/>
    <x v="21"/>
    <x v="1"/>
    <x v="4"/>
    <x v="2"/>
  </r>
  <r>
    <x v="25"/>
    <x v="38"/>
    <x v="47"/>
    <x v="1"/>
    <x v="9"/>
    <x v="36"/>
    <x v="36"/>
    <x v="35"/>
    <x v="35"/>
    <x v="0"/>
    <x v="205"/>
    <x v="211"/>
    <x v="193"/>
    <x v="186"/>
    <x v="18"/>
    <x v="197"/>
    <x v="21"/>
    <x v="2"/>
    <x v="24"/>
    <x v="5"/>
    <x v="3"/>
    <x v="68"/>
    <x v="171"/>
    <x v="0"/>
    <x v="0"/>
    <x v="25"/>
    <x v="2"/>
    <x v="9"/>
    <x v="1"/>
    <x v="3"/>
    <x v="2"/>
  </r>
  <r>
    <x v="25"/>
    <x v="39"/>
    <x v="48"/>
    <x v="0"/>
    <x v="9"/>
    <x v="37"/>
    <x v="37"/>
    <x v="36"/>
    <x v="36"/>
    <x v="0"/>
    <x v="206"/>
    <x v="212"/>
    <x v="194"/>
    <x v="187"/>
    <x v="10"/>
    <x v="198"/>
    <x v="113"/>
    <x v="5"/>
    <x v="53"/>
    <x v="13"/>
    <x v="1"/>
    <x v="140"/>
    <x v="172"/>
    <x v="0"/>
    <x v="0"/>
    <x v="10"/>
    <x v="13"/>
    <x v="9"/>
    <x v="1"/>
    <x v="3"/>
    <x v="2"/>
  </r>
  <r>
    <x v="25"/>
    <x v="26"/>
    <x v="49"/>
    <x v="0"/>
    <x v="17"/>
    <x v="38"/>
    <x v="38"/>
    <x v="37"/>
    <x v="37"/>
    <x v="0"/>
    <x v="207"/>
    <x v="213"/>
    <x v="195"/>
    <x v="156"/>
    <x v="41"/>
    <x v="199"/>
    <x v="101"/>
    <x v="0"/>
    <x v="83"/>
    <x v="10"/>
    <x v="8"/>
    <x v="141"/>
    <x v="173"/>
    <x v="0"/>
    <x v="0"/>
    <x v="4"/>
    <x v="6"/>
    <x v="17"/>
    <x v="0"/>
    <x v="0"/>
    <x v="0"/>
  </r>
  <r>
    <x v="25"/>
    <x v="42"/>
    <x v="52"/>
    <x v="0"/>
    <x v="24"/>
    <x v="41"/>
    <x v="41"/>
    <x v="40"/>
    <x v="40"/>
    <x v="0"/>
    <x v="208"/>
    <x v="214"/>
    <x v="113"/>
    <x v="188"/>
    <x v="1"/>
    <x v="200"/>
    <x v="15"/>
    <x v="2"/>
    <x v="14"/>
    <x v="3"/>
    <x v="3"/>
    <x v="15"/>
    <x v="15"/>
    <x v="0"/>
    <x v="0"/>
    <x v="5"/>
    <x v="2"/>
    <x v="24"/>
    <x v="2"/>
    <x v="7"/>
    <x v="3"/>
  </r>
  <r>
    <x v="25"/>
    <x v="44"/>
    <x v="54"/>
    <x v="0"/>
    <x v="26"/>
    <x v="43"/>
    <x v="43"/>
    <x v="42"/>
    <x v="4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6"/>
    <x v="2"/>
    <x v="7"/>
    <x v="3"/>
  </r>
  <r>
    <x v="25"/>
    <x v="45"/>
    <x v="55"/>
    <x v="0"/>
    <x v="27"/>
    <x v="44"/>
    <x v="44"/>
    <x v="43"/>
    <x v="43"/>
    <x v="0"/>
    <x v="209"/>
    <x v="215"/>
    <x v="196"/>
    <x v="67"/>
    <x v="28"/>
    <x v="201"/>
    <x v="88"/>
    <x v="0"/>
    <x v="71"/>
    <x v="13"/>
    <x v="4"/>
    <x v="89"/>
    <x v="174"/>
    <x v="0"/>
    <x v="0"/>
    <x v="27"/>
    <x v="33"/>
    <x v="27"/>
    <x v="1"/>
    <x v="4"/>
    <x v="2"/>
  </r>
  <r>
    <x v="25"/>
    <x v="46"/>
    <x v="56"/>
    <x v="0"/>
    <x v="28"/>
    <x v="45"/>
    <x v="45"/>
    <x v="44"/>
    <x v="44"/>
    <x v="0"/>
    <x v="210"/>
    <x v="216"/>
    <x v="197"/>
    <x v="189"/>
    <x v="1"/>
    <x v="202"/>
    <x v="114"/>
    <x v="6"/>
    <x v="84"/>
    <x v="1"/>
    <x v="1"/>
    <x v="28"/>
    <x v="175"/>
    <x v="0"/>
    <x v="0"/>
    <x v="1"/>
    <x v="12"/>
    <x v="28"/>
    <x v="0"/>
    <x v="6"/>
    <x v="0"/>
  </r>
  <r>
    <x v="25"/>
    <x v="47"/>
    <x v="57"/>
    <x v="0"/>
    <x v="29"/>
    <x v="46"/>
    <x v="46"/>
    <x v="45"/>
    <x v="45"/>
    <x v="0"/>
    <x v="211"/>
    <x v="217"/>
    <x v="198"/>
    <x v="190"/>
    <x v="4"/>
    <x v="203"/>
    <x v="49"/>
    <x v="10"/>
    <x v="85"/>
    <x v="42"/>
    <x v="0"/>
    <x v="142"/>
    <x v="176"/>
    <x v="0"/>
    <x v="0"/>
    <x v="1"/>
    <x v="11"/>
    <x v="29"/>
    <x v="0"/>
    <x v="0"/>
    <x v="0"/>
  </r>
  <r>
    <x v="25"/>
    <x v="48"/>
    <x v="58"/>
    <x v="0"/>
    <x v="30"/>
    <x v="47"/>
    <x v="47"/>
    <x v="46"/>
    <x v="46"/>
    <x v="0"/>
    <x v="212"/>
    <x v="218"/>
    <x v="199"/>
    <x v="191"/>
    <x v="1"/>
    <x v="204"/>
    <x v="15"/>
    <x v="2"/>
    <x v="14"/>
    <x v="3"/>
    <x v="3"/>
    <x v="15"/>
    <x v="15"/>
    <x v="0"/>
    <x v="0"/>
    <x v="5"/>
    <x v="2"/>
    <x v="30"/>
    <x v="1"/>
    <x v="2"/>
    <x v="1"/>
  </r>
  <r>
    <x v="25"/>
    <x v="49"/>
    <x v="59"/>
    <x v="1"/>
    <x v="22"/>
    <x v="48"/>
    <x v="48"/>
    <x v="47"/>
    <x v="47"/>
    <x v="0"/>
    <x v="213"/>
    <x v="219"/>
    <x v="200"/>
    <x v="192"/>
    <x v="54"/>
    <x v="205"/>
    <x v="54"/>
    <x v="1"/>
    <x v="7"/>
    <x v="3"/>
    <x v="2"/>
    <x v="85"/>
    <x v="177"/>
    <x v="0"/>
    <x v="0"/>
    <x v="1"/>
    <x v="2"/>
    <x v="22"/>
    <x v="0"/>
    <x v="6"/>
    <x v="0"/>
  </r>
  <r>
    <x v="25"/>
    <x v="50"/>
    <x v="60"/>
    <x v="1"/>
    <x v="24"/>
    <x v="49"/>
    <x v="49"/>
    <x v="48"/>
    <x v="48"/>
    <x v="0"/>
    <x v="214"/>
    <x v="220"/>
    <x v="201"/>
    <x v="193"/>
    <x v="27"/>
    <x v="206"/>
    <x v="94"/>
    <x v="2"/>
    <x v="53"/>
    <x v="43"/>
    <x v="4"/>
    <x v="143"/>
    <x v="178"/>
    <x v="0"/>
    <x v="0"/>
    <x v="0"/>
    <x v="10"/>
    <x v="24"/>
    <x v="2"/>
    <x v="7"/>
    <x v="3"/>
  </r>
  <r>
    <x v="25"/>
    <x v="51"/>
    <x v="61"/>
    <x v="1"/>
    <x v="27"/>
    <x v="50"/>
    <x v="50"/>
    <x v="49"/>
    <x v="49"/>
    <x v="0"/>
    <x v="215"/>
    <x v="221"/>
    <x v="202"/>
    <x v="194"/>
    <x v="14"/>
    <x v="207"/>
    <x v="22"/>
    <x v="2"/>
    <x v="42"/>
    <x v="3"/>
    <x v="3"/>
    <x v="68"/>
    <x v="179"/>
    <x v="0"/>
    <x v="0"/>
    <x v="2"/>
    <x v="12"/>
    <x v="27"/>
    <x v="1"/>
    <x v="4"/>
    <x v="2"/>
  </r>
  <r>
    <x v="25"/>
    <x v="52"/>
    <x v="62"/>
    <x v="0"/>
    <x v="31"/>
    <x v="51"/>
    <x v="51"/>
    <x v="50"/>
    <x v="50"/>
    <x v="0"/>
    <x v="216"/>
    <x v="222"/>
    <x v="203"/>
    <x v="195"/>
    <x v="2"/>
    <x v="208"/>
    <x v="115"/>
    <x v="0"/>
    <x v="86"/>
    <x v="44"/>
    <x v="24"/>
    <x v="72"/>
    <x v="180"/>
    <x v="0"/>
    <x v="0"/>
    <x v="30"/>
    <x v="2"/>
    <x v="31"/>
    <x v="1"/>
    <x v="8"/>
    <x v="2"/>
  </r>
  <r>
    <x v="25"/>
    <x v="53"/>
    <x v="63"/>
    <x v="1"/>
    <x v="29"/>
    <x v="52"/>
    <x v="52"/>
    <x v="51"/>
    <x v="51"/>
    <x v="0"/>
    <x v="217"/>
    <x v="223"/>
    <x v="51"/>
    <x v="196"/>
    <x v="19"/>
    <x v="209"/>
    <x v="36"/>
    <x v="1"/>
    <x v="2"/>
    <x v="5"/>
    <x v="2"/>
    <x v="101"/>
    <x v="181"/>
    <x v="0"/>
    <x v="0"/>
    <x v="5"/>
    <x v="5"/>
    <x v="29"/>
    <x v="0"/>
    <x v="0"/>
    <x v="0"/>
  </r>
  <r>
    <x v="25"/>
    <x v="54"/>
    <x v="64"/>
    <x v="1"/>
    <x v="7"/>
    <x v="53"/>
    <x v="53"/>
    <x v="52"/>
    <x v="52"/>
    <x v="0"/>
    <x v="218"/>
    <x v="224"/>
    <x v="204"/>
    <x v="10"/>
    <x v="31"/>
    <x v="210"/>
    <x v="34"/>
    <x v="2"/>
    <x v="84"/>
    <x v="1"/>
    <x v="3"/>
    <x v="90"/>
    <x v="182"/>
    <x v="0"/>
    <x v="0"/>
    <x v="1"/>
    <x v="11"/>
    <x v="7"/>
    <x v="0"/>
    <x v="6"/>
    <x v="0"/>
  </r>
  <r>
    <x v="25"/>
    <x v="55"/>
    <x v="65"/>
    <x v="1"/>
    <x v="6"/>
    <x v="54"/>
    <x v="54"/>
    <x v="53"/>
    <x v="53"/>
    <x v="0"/>
    <x v="219"/>
    <x v="225"/>
    <x v="205"/>
    <x v="143"/>
    <x v="55"/>
    <x v="211"/>
    <x v="39"/>
    <x v="1"/>
    <x v="0"/>
    <x v="12"/>
    <x v="4"/>
    <x v="144"/>
    <x v="183"/>
    <x v="0"/>
    <x v="0"/>
    <x v="4"/>
    <x v="2"/>
    <x v="6"/>
    <x v="2"/>
    <x v="5"/>
    <x v="3"/>
  </r>
  <r>
    <x v="26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</r>
  <r>
    <x v="26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2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26"/>
    <x v="37"/>
    <x v="46"/>
    <x v="0"/>
    <x v="21"/>
    <x v="35"/>
    <x v="35"/>
    <x v="34"/>
    <x v="34"/>
    <x v="0"/>
    <x v="220"/>
    <x v="226"/>
    <x v="72"/>
    <x v="197"/>
    <x v="36"/>
    <x v="212"/>
    <x v="15"/>
    <x v="2"/>
    <x v="14"/>
    <x v="3"/>
    <x v="3"/>
    <x v="15"/>
    <x v="15"/>
    <x v="0"/>
    <x v="0"/>
    <x v="5"/>
    <x v="2"/>
    <x v="21"/>
    <x v="1"/>
    <x v="4"/>
    <x v="2"/>
  </r>
  <r>
    <x v="26"/>
    <x v="38"/>
    <x v="47"/>
    <x v="1"/>
    <x v="9"/>
    <x v="36"/>
    <x v="36"/>
    <x v="35"/>
    <x v="35"/>
    <x v="0"/>
    <x v="221"/>
    <x v="227"/>
    <x v="206"/>
    <x v="198"/>
    <x v="34"/>
    <x v="213"/>
    <x v="13"/>
    <x v="1"/>
    <x v="19"/>
    <x v="3"/>
    <x v="3"/>
    <x v="50"/>
    <x v="184"/>
    <x v="0"/>
    <x v="0"/>
    <x v="14"/>
    <x v="2"/>
    <x v="9"/>
    <x v="1"/>
    <x v="3"/>
    <x v="2"/>
  </r>
  <r>
    <x v="26"/>
    <x v="39"/>
    <x v="48"/>
    <x v="0"/>
    <x v="9"/>
    <x v="37"/>
    <x v="37"/>
    <x v="36"/>
    <x v="36"/>
    <x v="0"/>
    <x v="222"/>
    <x v="228"/>
    <x v="207"/>
    <x v="199"/>
    <x v="12"/>
    <x v="214"/>
    <x v="11"/>
    <x v="10"/>
    <x v="87"/>
    <x v="1"/>
    <x v="3"/>
    <x v="145"/>
    <x v="185"/>
    <x v="0"/>
    <x v="0"/>
    <x v="1"/>
    <x v="5"/>
    <x v="9"/>
    <x v="1"/>
    <x v="3"/>
    <x v="2"/>
  </r>
  <r>
    <x v="26"/>
    <x v="26"/>
    <x v="49"/>
    <x v="0"/>
    <x v="17"/>
    <x v="38"/>
    <x v="38"/>
    <x v="37"/>
    <x v="37"/>
    <x v="0"/>
    <x v="223"/>
    <x v="229"/>
    <x v="208"/>
    <x v="150"/>
    <x v="12"/>
    <x v="215"/>
    <x v="116"/>
    <x v="10"/>
    <x v="88"/>
    <x v="18"/>
    <x v="27"/>
    <x v="146"/>
    <x v="186"/>
    <x v="0"/>
    <x v="0"/>
    <x v="7"/>
    <x v="12"/>
    <x v="17"/>
    <x v="0"/>
    <x v="0"/>
    <x v="0"/>
  </r>
  <r>
    <x v="26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24"/>
    <x v="2"/>
    <x v="7"/>
    <x v="3"/>
  </r>
  <r>
    <x v="26"/>
    <x v="45"/>
    <x v="55"/>
    <x v="0"/>
    <x v="27"/>
    <x v="44"/>
    <x v="44"/>
    <x v="43"/>
    <x v="43"/>
    <x v="0"/>
    <x v="224"/>
    <x v="230"/>
    <x v="209"/>
    <x v="200"/>
    <x v="4"/>
    <x v="216"/>
    <x v="117"/>
    <x v="15"/>
    <x v="78"/>
    <x v="35"/>
    <x v="23"/>
    <x v="147"/>
    <x v="187"/>
    <x v="0"/>
    <x v="0"/>
    <x v="31"/>
    <x v="34"/>
    <x v="27"/>
    <x v="1"/>
    <x v="4"/>
    <x v="2"/>
  </r>
  <r>
    <x v="26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  <x v="0"/>
    <x v="6"/>
    <x v="0"/>
  </r>
  <r>
    <x v="26"/>
    <x v="47"/>
    <x v="57"/>
    <x v="0"/>
    <x v="29"/>
    <x v="46"/>
    <x v="46"/>
    <x v="45"/>
    <x v="45"/>
    <x v="0"/>
    <x v="225"/>
    <x v="231"/>
    <x v="210"/>
    <x v="201"/>
    <x v="30"/>
    <x v="217"/>
    <x v="118"/>
    <x v="7"/>
    <x v="89"/>
    <x v="8"/>
    <x v="4"/>
    <x v="104"/>
    <x v="188"/>
    <x v="0"/>
    <x v="0"/>
    <x v="2"/>
    <x v="2"/>
    <x v="29"/>
    <x v="0"/>
    <x v="0"/>
    <x v="0"/>
  </r>
  <r>
    <x v="26"/>
    <x v="49"/>
    <x v="59"/>
    <x v="1"/>
    <x v="22"/>
    <x v="48"/>
    <x v="48"/>
    <x v="47"/>
    <x v="47"/>
    <x v="0"/>
    <x v="226"/>
    <x v="232"/>
    <x v="211"/>
    <x v="202"/>
    <x v="56"/>
    <x v="218"/>
    <x v="54"/>
    <x v="2"/>
    <x v="90"/>
    <x v="11"/>
    <x v="1"/>
    <x v="148"/>
    <x v="189"/>
    <x v="0"/>
    <x v="0"/>
    <x v="4"/>
    <x v="2"/>
    <x v="22"/>
    <x v="0"/>
    <x v="6"/>
    <x v="0"/>
  </r>
  <r>
    <x v="26"/>
    <x v="50"/>
    <x v="60"/>
    <x v="1"/>
    <x v="24"/>
    <x v="49"/>
    <x v="49"/>
    <x v="48"/>
    <x v="48"/>
    <x v="0"/>
    <x v="30"/>
    <x v="97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26"/>
    <x v="51"/>
    <x v="61"/>
    <x v="1"/>
    <x v="27"/>
    <x v="50"/>
    <x v="50"/>
    <x v="49"/>
    <x v="49"/>
    <x v="0"/>
    <x v="227"/>
    <x v="233"/>
    <x v="212"/>
    <x v="203"/>
    <x v="27"/>
    <x v="219"/>
    <x v="63"/>
    <x v="2"/>
    <x v="91"/>
    <x v="11"/>
    <x v="0"/>
    <x v="149"/>
    <x v="190"/>
    <x v="0"/>
    <x v="0"/>
    <x v="3"/>
    <x v="26"/>
    <x v="27"/>
    <x v="1"/>
    <x v="4"/>
    <x v="2"/>
  </r>
  <r>
    <x v="26"/>
    <x v="52"/>
    <x v="62"/>
    <x v="0"/>
    <x v="31"/>
    <x v="51"/>
    <x v="51"/>
    <x v="50"/>
    <x v="50"/>
    <x v="0"/>
    <x v="228"/>
    <x v="234"/>
    <x v="113"/>
    <x v="25"/>
    <x v="9"/>
    <x v="220"/>
    <x v="18"/>
    <x v="2"/>
    <x v="14"/>
    <x v="3"/>
    <x v="3"/>
    <x v="20"/>
    <x v="191"/>
    <x v="0"/>
    <x v="0"/>
    <x v="5"/>
    <x v="2"/>
    <x v="31"/>
    <x v="1"/>
    <x v="8"/>
    <x v="2"/>
  </r>
  <r>
    <x v="26"/>
    <x v="53"/>
    <x v="63"/>
    <x v="1"/>
    <x v="29"/>
    <x v="52"/>
    <x v="52"/>
    <x v="51"/>
    <x v="51"/>
    <x v="0"/>
    <x v="229"/>
    <x v="235"/>
    <x v="213"/>
    <x v="204"/>
    <x v="34"/>
    <x v="221"/>
    <x v="43"/>
    <x v="0"/>
    <x v="45"/>
    <x v="11"/>
    <x v="3"/>
    <x v="87"/>
    <x v="192"/>
    <x v="0"/>
    <x v="0"/>
    <x v="2"/>
    <x v="11"/>
    <x v="29"/>
    <x v="0"/>
    <x v="0"/>
    <x v="0"/>
  </r>
  <r>
    <x v="26"/>
    <x v="54"/>
    <x v="64"/>
    <x v="1"/>
    <x v="7"/>
    <x v="53"/>
    <x v="53"/>
    <x v="52"/>
    <x v="52"/>
    <x v="0"/>
    <x v="230"/>
    <x v="236"/>
    <x v="214"/>
    <x v="205"/>
    <x v="57"/>
    <x v="222"/>
    <x v="40"/>
    <x v="1"/>
    <x v="92"/>
    <x v="3"/>
    <x v="0"/>
    <x v="150"/>
    <x v="193"/>
    <x v="0"/>
    <x v="0"/>
    <x v="1"/>
    <x v="11"/>
    <x v="7"/>
    <x v="0"/>
    <x v="6"/>
    <x v="0"/>
  </r>
  <r>
    <x v="26"/>
    <x v="55"/>
    <x v="65"/>
    <x v="1"/>
    <x v="6"/>
    <x v="54"/>
    <x v="54"/>
    <x v="53"/>
    <x v="53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</r>
  <r>
    <x v="26"/>
    <x v="56"/>
    <x v="66"/>
    <x v="1"/>
    <x v="31"/>
    <x v="55"/>
    <x v="55"/>
    <x v="54"/>
    <x v="54"/>
    <x v="0"/>
    <x v="231"/>
    <x v="238"/>
    <x v="215"/>
    <x v="206"/>
    <x v="36"/>
    <x v="223"/>
    <x v="119"/>
    <x v="1"/>
    <x v="0"/>
    <x v="44"/>
    <x v="13"/>
    <x v="92"/>
    <x v="194"/>
    <x v="0"/>
    <x v="0"/>
    <x v="32"/>
    <x v="2"/>
    <x v="31"/>
    <x v="1"/>
    <x v="8"/>
    <x v="2"/>
  </r>
  <r>
    <x v="26"/>
    <x v="57"/>
    <x v="67"/>
    <x v="0"/>
    <x v="32"/>
    <x v="56"/>
    <x v="56"/>
    <x v="55"/>
    <x v="55"/>
    <x v="0"/>
    <x v="232"/>
    <x v="239"/>
    <x v="216"/>
    <x v="207"/>
    <x v="1"/>
    <x v="224"/>
    <x v="39"/>
    <x v="0"/>
    <x v="9"/>
    <x v="45"/>
    <x v="1"/>
    <x v="151"/>
    <x v="158"/>
    <x v="0"/>
    <x v="0"/>
    <x v="1"/>
    <x v="10"/>
    <x v="32"/>
    <x v="1"/>
    <x v="9"/>
    <x v="2"/>
  </r>
  <r>
    <x v="26"/>
    <x v="58"/>
    <x v="68"/>
    <x v="0"/>
    <x v="33"/>
    <x v="57"/>
    <x v="57"/>
    <x v="56"/>
    <x v="56"/>
    <x v="0"/>
    <x v="233"/>
    <x v="240"/>
    <x v="217"/>
    <x v="208"/>
    <x v="37"/>
    <x v="26"/>
    <x v="120"/>
    <x v="7"/>
    <x v="52"/>
    <x v="1"/>
    <x v="23"/>
    <x v="152"/>
    <x v="16"/>
    <x v="0"/>
    <x v="0"/>
    <x v="2"/>
    <x v="2"/>
    <x v="33"/>
    <x v="0"/>
    <x v="6"/>
    <x v="0"/>
  </r>
  <r>
    <x v="26"/>
    <x v="59"/>
    <x v="69"/>
    <x v="0"/>
    <x v="34"/>
    <x v="58"/>
    <x v="58"/>
    <x v="57"/>
    <x v="57"/>
    <x v="0"/>
    <x v="234"/>
    <x v="241"/>
    <x v="218"/>
    <x v="209"/>
    <x v="12"/>
    <x v="225"/>
    <x v="121"/>
    <x v="3"/>
    <x v="71"/>
    <x v="32"/>
    <x v="0"/>
    <x v="153"/>
    <x v="195"/>
    <x v="1"/>
    <x v="1"/>
    <x v="23"/>
    <x v="11"/>
    <x v="34"/>
    <x v="0"/>
    <x v="6"/>
    <x v="0"/>
  </r>
  <r>
    <x v="26"/>
    <x v="60"/>
    <x v="70"/>
    <x v="0"/>
    <x v="35"/>
    <x v="59"/>
    <x v="59"/>
    <x v="58"/>
    <x v="58"/>
    <x v="0"/>
    <x v="235"/>
    <x v="242"/>
    <x v="219"/>
    <x v="210"/>
    <x v="58"/>
    <x v="226"/>
    <x v="56"/>
    <x v="2"/>
    <x v="2"/>
    <x v="3"/>
    <x v="1"/>
    <x v="154"/>
    <x v="196"/>
    <x v="0"/>
    <x v="0"/>
    <x v="2"/>
    <x v="6"/>
    <x v="35"/>
    <x v="0"/>
    <x v="6"/>
    <x v="0"/>
  </r>
  <r>
    <x v="26"/>
    <x v="61"/>
    <x v="71"/>
    <x v="0"/>
    <x v="36"/>
    <x v="60"/>
    <x v="60"/>
    <x v="59"/>
    <x v="59"/>
    <x v="0"/>
    <x v="236"/>
    <x v="243"/>
    <x v="220"/>
    <x v="211"/>
    <x v="37"/>
    <x v="227"/>
    <x v="122"/>
    <x v="1"/>
    <x v="93"/>
    <x v="12"/>
    <x v="22"/>
    <x v="155"/>
    <x v="197"/>
    <x v="0"/>
    <x v="0"/>
    <x v="1"/>
    <x v="23"/>
    <x v="36"/>
    <x v="0"/>
    <x v="10"/>
    <x v="0"/>
  </r>
  <r>
    <x v="27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2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27"/>
    <x v="37"/>
    <x v="46"/>
    <x v="0"/>
    <x v="21"/>
    <x v="35"/>
    <x v="35"/>
    <x v="34"/>
    <x v="3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1"/>
    <x v="1"/>
    <x v="4"/>
    <x v="2"/>
  </r>
  <r>
    <x v="27"/>
    <x v="38"/>
    <x v="47"/>
    <x v="1"/>
    <x v="9"/>
    <x v="36"/>
    <x v="36"/>
    <x v="35"/>
    <x v="35"/>
    <x v="0"/>
    <x v="237"/>
    <x v="244"/>
    <x v="221"/>
    <x v="212"/>
    <x v="59"/>
    <x v="228"/>
    <x v="2"/>
    <x v="2"/>
    <x v="20"/>
    <x v="3"/>
    <x v="2"/>
    <x v="78"/>
    <x v="198"/>
    <x v="0"/>
    <x v="0"/>
    <x v="1"/>
    <x v="5"/>
    <x v="9"/>
    <x v="1"/>
    <x v="3"/>
    <x v="2"/>
  </r>
  <r>
    <x v="27"/>
    <x v="39"/>
    <x v="48"/>
    <x v="0"/>
    <x v="9"/>
    <x v="37"/>
    <x v="37"/>
    <x v="36"/>
    <x v="36"/>
    <x v="0"/>
    <x v="238"/>
    <x v="245"/>
    <x v="222"/>
    <x v="213"/>
    <x v="12"/>
    <x v="202"/>
    <x v="3"/>
    <x v="2"/>
    <x v="7"/>
    <x v="13"/>
    <x v="3"/>
    <x v="156"/>
    <x v="199"/>
    <x v="0"/>
    <x v="0"/>
    <x v="4"/>
    <x v="2"/>
    <x v="9"/>
    <x v="1"/>
    <x v="3"/>
    <x v="2"/>
  </r>
  <r>
    <x v="27"/>
    <x v="26"/>
    <x v="49"/>
    <x v="0"/>
    <x v="17"/>
    <x v="38"/>
    <x v="38"/>
    <x v="37"/>
    <x v="37"/>
    <x v="0"/>
    <x v="239"/>
    <x v="246"/>
    <x v="223"/>
    <x v="214"/>
    <x v="42"/>
    <x v="229"/>
    <x v="8"/>
    <x v="2"/>
    <x v="24"/>
    <x v="3"/>
    <x v="3"/>
    <x v="70"/>
    <x v="200"/>
    <x v="0"/>
    <x v="0"/>
    <x v="5"/>
    <x v="2"/>
    <x v="17"/>
    <x v="0"/>
    <x v="0"/>
    <x v="0"/>
  </r>
  <r>
    <x v="27"/>
    <x v="45"/>
    <x v="55"/>
    <x v="0"/>
    <x v="27"/>
    <x v="44"/>
    <x v="44"/>
    <x v="43"/>
    <x v="43"/>
    <x v="0"/>
    <x v="240"/>
    <x v="247"/>
    <x v="224"/>
    <x v="215"/>
    <x v="42"/>
    <x v="230"/>
    <x v="123"/>
    <x v="3"/>
    <x v="94"/>
    <x v="14"/>
    <x v="24"/>
    <x v="157"/>
    <x v="100"/>
    <x v="0"/>
    <x v="0"/>
    <x v="33"/>
    <x v="35"/>
    <x v="27"/>
    <x v="1"/>
    <x v="4"/>
    <x v="2"/>
  </r>
  <r>
    <x v="27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  <x v="0"/>
    <x v="6"/>
    <x v="0"/>
  </r>
  <r>
    <x v="27"/>
    <x v="47"/>
    <x v="57"/>
    <x v="0"/>
    <x v="29"/>
    <x v="46"/>
    <x v="46"/>
    <x v="45"/>
    <x v="45"/>
    <x v="0"/>
    <x v="241"/>
    <x v="248"/>
    <x v="225"/>
    <x v="6"/>
    <x v="0"/>
    <x v="231"/>
    <x v="124"/>
    <x v="10"/>
    <x v="95"/>
    <x v="46"/>
    <x v="28"/>
    <x v="158"/>
    <x v="201"/>
    <x v="0"/>
    <x v="0"/>
    <x v="5"/>
    <x v="12"/>
    <x v="29"/>
    <x v="0"/>
    <x v="0"/>
    <x v="0"/>
  </r>
  <r>
    <x v="27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  <x v="1"/>
    <x v="2"/>
    <x v="1"/>
  </r>
  <r>
    <x v="27"/>
    <x v="49"/>
    <x v="59"/>
    <x v="1"/>
    <x v="22"/>
    <x v="48"/>
    <x v="48"/>
    <x v="47"/>
    <x v="47"/>
    <x v="0"/>
    <x v="242"/>
    <x v="249"/>
    <x v="226"/>
    <x v="216"/>
    <x v="38"/>
    <x v="232"/>
    <x v="64"/>
    <x v="0"/>
    <x v="20"/>
    <x v="0"/>
    <x v="2"/>
    <x v="154"/>
    <x v="202"/>
    <x v="0"/>
    <x v="0"/>
    <x v="4"/>
    <x v="2"/>
    <x v="22"/>
    <x v="0"/>
    <x v="6"/>
    <x v="0"/>
  </r>
  <r>
    <x v="27"/>
    <x v="51"/>
    <x v="61"/>
    <x v="1"/>
    <x v="27"/>
    <x v="50"/>
    <x v="50"/>
    <x v="49"/>
    <x v="49"/>
    <x v="0"/>
    <x v="243"/>
    <x v="250"/>
    <x v="227"/>
    <x v="217"/>
    <x v="26"/>
    <x v="233"/>
    <x v="125"/>
    <x v="2"/>
    <x v="50"/>
    <x v="5"/>
    <x v="3"/>
    <x v="26"/>
    <x v="203"/>
    <x v="0"/>
    <x v="0"/>
    <x v="1"/>
    <x v="11"/>
    <x v="27"/>
    <x v="1"/>
    <x v="4"/>
    <x v="2"/>
  </r>
  <r>
    <x v="27"/>
    <x v="53"/>
    <x v="63"/>
    <x v="1"/>
    <x v="29"/>
    <x v="52"/>
    <x v="52"/>
    <x v="51"/>
    <x v="51"/>
    <x v="0"/>
    <x v="244"/>
    <x v="251"/>
    <x v="228"/>
    <x v="218"/>
    <x v="60"/>
    <x v="234"/>
    <x v="126"/>
    <x v="2"/>
    <x v="13"/>
    <x v="1"/>
    <x v="1"/>
    <x v="79"/>
    <x v="204"/>
    <x v="0"/>
    <x v="0"/>
    <x v="5"/>
    <x v="11"/>
    <x v="29"/>
    <x v="0"/>
    <x v="0"/>
    <x v="0"/>
  </r>
  <r>
    <x v="27"/>
    <x v="54"/>
    <x v="64"/>
    <x v="1"/>
    <x v="7"/>
    <x v="53"/>
    <x v="53"/>
    <x v="52"/>
    <x v="52"/>
    <x v="0"/>
    <x v="245"/>
    <x v="252"/>
    <x v="229"/>
    <x v="219"/>
    <x v="61"/>
    <x v="235"/>
    <x v="71"/>
    <x v="2"/>
    <x v="91"/>
    <x v="5"/>
    <x v="2"/>
    <x v="18"/>
    <x v="205"/>
    <x v="0"/>
    <x v="0"/>
    <x v="5"/>
    <x v="12"/>
    <x v="7"/>
    <x v="0"/>
    <x v="6"/>
    <x v="0"/>
  </r>
  <r>
    <x v="27"/>
    <x v="56"/>
    <x v="66"/>
    <x v="1"/>
    <x v="31"/>
    <x v="55"/>
    <x v="55"/>
    <x v="54"/>
    <x v="54"/>
    <x v="0"/>
    <x v="246"/>
    <x v="253"/>
    <x v="230"/>
    <x v="220"/>
    <x v="36"/>
    <x v="236"/>
    <x v="127"/>
    <x v="1"/>
    <x v="95"/>
    <x v="22"/>
    <x v="13"/>
    <x v="159"/>
    <x v="206"/>
    <x v="2"/>
    <x v="4"/>
    <x v="32"/>
    <x v="2"/>
    <x v="31"/>
    <x v="1"/>
    <x v="8"/>
    <x v="2"/>
  </r>
  <r>
    <x v="27"/>
    <x v="57"/>
    <x v="67"/>
    <x v="0"/>
    <x v="32"/>
    <x v="56"/>
    <x v="56"/>
    <x v="55"/>
    <x v="55"/>
    <x v="0"/>
    <x v="247"/>
    <x v="254"/>
    <x v="231"/>
    <x v="221"/>
    <x v="5"/>
    <x v="237"/>
    <x v="99"/>
    <x v="3"/>
    <x v="3"/>
    <x v="47"/>
    <x v="23"/>
    <x v="127"/>
    <x v="207"/>
    <x v="0"/>
    <x v="0"/>
    <x v="12"/>
    <x v="10"/>
    <x v="32"/>
    <x v="1"/>
    <x v="9"/>
    <x v="2"/>
  </r>
  <r>
    <x v="27"/>
    <x v="58"/>
    <x v="68"/>
    <x v="0"/>
    <x v="33"/>
    <x v="57"/>
    <x v="57"/>
    <x v="56"/>
    <x v="56"/>
    <x v="0"/>
    <x v="248"/>
    <x v="255"/>
    <x v="232"/>
    <x v="222"/>
    <x v="42"/>
    <x v="238"/>
    <x v="39"/>
    <x v="2"/>
    <x v="96"/>
    <x v="0"/>
    <x v="0"/>
    <x v="106"/>
    <x v="208"/>
    <x v="0"/>
    <x v="0"/>
    <x v="4"/>
    <x v="2"/>
    <x v="33"/>
    <x v="0"/>
    <x v="6"/>
    <x v="0"/>
  </r>
  <r>
    <x v="27"/>
    <x v="59"/>
    <x v="69"/>
    <x v="0"/>
    <x v="34"/>
    <x v="58"/>
    <x v="58"/>
    <x v="57"/>
    <x v="57"/>
    <x v="0"/>
    <x v="249"/>
    <x v="256"/>
    <x v="233"/>
    <x v="223"/>
    <x v="3"/>
    <x v="239"/>
    <x v="128"/>
    <x v="0"/>
    <x v="46"/>
    <x v="2"/>
    <x v="1"/>
    <x v="160"/>
    <x v="209"/>
    <x v="0"/>
    <x v="0"/>
    <x v="11"/>
    <x v="2"/>
    <x v="34"/>
    <x v="0"/>
    <x v="6"/>
    <x v="0"/>
  </r>
  <r>
    <x v="27"/>
    <x v="60"/>
    <x v="70"/>
    <x v="0"/>
    <x v="35"/>
    <x v="59"/>
    <x v="59"/>
    <x v="58"/>
    <x v="58"/>
    <x v="0"/>
    <x v="250"/>
    <x v="257"/>
    <x v="70"/>
    <x v="224"/>
    <x v="35"/>
    <x v="240"/>
    <x v="15"/>
    <x v="2"/>
    <x v="24"/>
    <x v="3"/>
    <x v="3"/>
    <x v="20"/>
    <x v="210"/>
    <x v="0"/>
    <x v="0"/>
    <x v="5"/>
    <x v="2"/>
    <x v="35"/>
    <x v="0"/>
    <x v="6"/>
    <x v="0"/>
  </r>
  <r>
    <x v="27"/>
    <x v="61"/>
    <x v="71"/>
    <x v="0"/>
    <x v="36"/>
    <x v="60"/>
    <x v="60"/>
    <x v="59"/>
    <x v="59"/>
    <x v="0"/>
    <x v="251"/>
    <x v="258"/>
    <x v="234"/>
    <x v="225"/>
    <x v="8"/>
    <x v="241"/>
    <x v="129"/>
    <x v="0"/>
    <x v="97"/>
    <x v="6"/>
    <x v="24"/>
    <x v="161"/>
    <x v="211"/>
    <x v="0"/>
    <x v="0"/>
    <x v="2"/>
    <x v="9"/>
    <x v="36"/>
    <x v="0"/>
    <x v="10"/>
    <x v="0"/>
  </r>
  <r>
    <x v="27"/>
    <x v="62"/>
    <x v="72"/>
    <x v="0"/>
    <x v="37"/>
    <x v="61"/>
    <x v="61"/>
    <x v="60"/>
    <x v="60"/>
    <x v="0"/>
    <x v="252"/>
    <x v="259"/>
    <x v="235"/>
    <x v="226"/>
    <x v="41"/>
    <x v="242"/>
    <x v="130"/>
    <x v="2"/>
    <x v="98"/>
    <x v="40"/>
    <x v="29"/>
    <x v="162"/>
    <x v="212"/>
    <x v="0"/>
    <x v="0"/>
    <x v="4"/>
    <x v="2"/>
    <x v="37"/>
    <x v="1"/>
    <x v="3"/>
    <x v="2"/>
  </r>
  <r>
    <x v="27"/>
    <x v="63"/>
    <x v="73"/>
    <x v="0"/>
    <x v="38"/>
    <x v="62"/>
    <x v="62"/>
    <x v="61"/>
    <x v="61"/>
    <x v="0"/>
    <x v="253"/>
    <x v="260"/>
    <x v="236"/>
    <x v="227"/>
    <x v="30"/>
    <x v="243"/>
    <x v="131"/>
    <x v="0"/>
    <x v="41"/>
    <x v="21"/>
    <x v="23"/>
    <x v="163"/>
    <x v="213"/>
    <x v="0"/>
    <x v="0"/>
    <x v="12"/>
    <x v="2"/>
    <x v="38"/>
    <x v="0"/>
    <x v="0"/>
    <x v="0"/>
  </r>
  <r>
    <x v="27"/>
    <x v="64"/>
    <x v="74"/>
    <x v="0"/>
    <x v="39"/>
    <x v="63"/>
    <x v="63"/>
    <x v="62"/>
    <x v="62"/>
    <x v="0"/>
    <x v="254"/>
    <x v="261"/>
    <x v="237"/>
    <x v="228"/>
    <x v="0"/>
    <x v="244"/>
    <x v="112"/>
    <x v="5"/>
    <x v="31"/>
    <x v="3"/>
    <x v="26"/>
    <x v="164"/>
    <x v="214"/>
    <x v="0"/>
    <x v="0"/>
    <x v="12"/>
    <x v="12"/>
    <x v="39"/>
    <x v="0"/>
    <x v="6"/>
    <x v="0"/>
  </r>
  <r>
    <x v="28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28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28"/>
    <x v="37"/>
    <x v="46"/>
    <x v="0"/>
    <x v="21"/>
    <x v="35"/>
    <x v="35"/>
    <x v="34"/>
    <x v="3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1"/>
    <x v="1"/>
    <x v="4"/>
    <x v="2"/>
  </r>
  <r>
    <x v="28"/>
    <x v="38"/>
    <x v="47"/>
    <x v="1"/>
    <x v="9"/>
    <x v="36"/>
    <x v="36"/>
    <x v="35"/>
    <x v="35"/>
    <x v="0"/>
    <x v="255"/>
    <x v="262"/>
    <x v="238"/>
    <x v="229"/>
    <x v="62"/>
    <x v="245"/>
    <x v="21"/>
    <x v="0"/>
    <x v="42"/>
    <x v="3"/>
    <x v="3"/>
    <x v="26"/>
    <x v="215"/>
    <x v="0"/>
    <x v="0"/>
    <x v="4"/>
    <x v="3"/>
    <x v="9"/>
    <x v="1"/>
    <x v="3"/>
    <x v="2"/>
  </r>
  <r>
    <x v="28"/>
    <x v="39"/>
    <x v="48"/>
    <x v="0"/>
    <x v="9"/>
    <x v="37"/>
    <x v="37"/>
    <x v="36"/>
    <x v="36"/>
    <x v="0"/>
    <x v="256"/>
    <x v="263"/>
    <x v="239"/>
    <x v="55"/>
    <x v="8"/>
    <x v="246"/>
    <x v="18"/>
    <x v="2"/>
    <x v="24"/>
    <x v="3"/>
    <x v="3"/>
    <x v="27"/>
    <x v="216"/>
    <x v="0"/>
    <x v="0"/>
    <x v="5"/>
    <x v="2"/>
    <x v="9"/>
    <x v="1"/>
    <x v="3"/>
    <x v="2"/>
  </r>
  <r>
    <x v="28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28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28"/>
    <x v="45"/>
    <x v="55"/>
    <x v="0"/>
    <x v="27"/>
    <x v="44"/>
    <x v="44"/>
    <x v="43"/>
    <x v="43"/>
    <x v="0"/>
    <x v="257"/>
    <x v="264"/>
    <x v="240"/>
    <x v="230"/>
    <x v="28"/>
    <x v="247"/>
    <x v="15"/>
    <x v="2"/>
    <x v="24"/>
    <x v="3"/>
    <x v="3"/>
    <x v="20"/>
    <x v="217"/>
    <x v="0"/>
    <x v="0"/>
    <x v="5"/>
    <x v="2"/>
    <x v="27"/>
    <x v="1"/>
    <x v="4"/>
    <x v="2"/>
  </r>
  <r>
    <x v="28"/>
    <x v="47"/>
    <x v="57"/>
    <x v="0"/>
    <x v="29"/>
    <x v="46"/>
    <x v="46"/>
    <x v="45"/>
    <x v="45"/>
    <x v="0"/>
    <x v="258"/>
    <x v="265"/>
    <x v="241"/>
    <x v="231"/>
    <x v="9"/>
    <x v="248"/>
    <x v="8"/>
    <x v="2"/>
    <x v="24"/>
    <x v="5"/>
    <x v="3"/>
    <x v="83"/>
    <x v="165"/>
    <x v="0"/>
    <x v="0"/>
    <x v="5"/>
    <x v="2"/>
    <x v="29"/>
    <x v="0"/>
    <x v="0"/>
    <x v="0"/>
  </r>
  <r>
    <x v="28"/>
    <x v="49"/>
    <x v="59"/>
    <x v="1"/>
    <x v="22"/>
    <x v="48"/>
    <x v="48"/>
    <x v="47"/>
    <x v="47"/>
    <x v="0"/>
    <x v="259"/>
    <x v="266"/>
    <x v="242"/>
    <x v="232"/>
    <x v="63"/>
    <x v="249"/>
    <x v="56"/>
    <x v="2"/>
    <x v="49"/>
    <x v="11"/>
    <x v="2"/>
    <x v="154"/>
    <x v="218"/>
    <x v="0"/>
    <x v="0"/>
    <x v="7"/>
    <x v="5"/>
    <x v="22"/>
    <x v="0"/>
    <x v="6"/>
    <x v="0"/>
  </r>
  <r>
    <x v="28"/>
    <x v="51"/>
    <x v="61"/>
    <x v="1"/>
    <x v="27"/>
    <x v="50"/>
    <x v="50"/>
    <x v="49"/>
    <x v="49"/>
    <x v="0"/>
    <x v="260"/>
    <x v="267"/>
    <x v="243"/>
    <x v="5"/>
    <x v="15"/>
    <x v="250"/>
    <x v="14"/>
    <x v="2"/>
    <x v="2"/>
    <x v="5"/>
    <x v="3"/>
    <x v="165"/>
    <x v="219"/>
    <x v="0"/>
    <x v="0"/>
    <x v="10"/>
    <x v="12"/>
    <x v="27"/>
    <x v="1"/>
    <x v="4"/>
    <x v="2"/>
  </r>
  <r>
    <x v="28"/>
    <x v="53"/>
    <x v="63"/>
    <x v="1"/>
    <x v="29"/>
    <x v="52"/>
    <x v="52"/>
    <x v="51"/>
    <x v="51"/>
    <x v="0"/>
    <x v="261"/>
    <x v="268"/>
    <x v="244"/>
    <x v="233"/>
    <x v="64"/>
    <x v="251"/>
    <x v="38"/>
    <x v="1"/>
    <x v="55"/>
    <x v="6"/>
    <x v="4"/>
    <x v="59"/>
    <x v="220"/>
    <x v="0"/>
    <x v="0"/>
    <x v="7"/>
    <x v="10"/>
    <x v="29"/>
    <x v="0"/>
    <x v="0"/>
    <x v="0"/>
  </r>
  <r>
    <x v="28"/>
    <x v="54"/>
    <x v="64"/>
    <x v="1"/>
    <x v="7"/>
    <x v="53"/>
    <x v="53"/>
    <x v="52"/>
    <x v="52"/>
    <x v="0"/>
    <x v="262"/>
    <x v="269"/>
    <x v="245"/>
    <x v="234"/>
    <x v="65"/>
    <x v="252"/>
    <x v="112"/>
    <x v="1"/>
    <x v="89"/>
    <x v="3"/>
    <x v="1"/>
    <x v="166"/>
    <x v="221"/>
    <x v="0"/>
    <x v="0"/>
    <x v="7"/>
    <x v="2"/>
    <x v="7"/>
    <x v="0"/>
    <x v="6"/>
    <x v="0"/>
  </r>
  <r>
    <x v="28"/>
    <x v="56"/>
    <x v="66"/>
    <x v="1"/>
    <x v="31"/>
    <x v="55"/>
    <x v="55"/>
    <x v="54"/>
    <x v="54"/>
    <x v="0"/>
    <x v="263"/>
    <x v="270"/>
    <x v="246"/>
    <x v="235"/>
    <x v="21"/>
    <x v="253"/>
    <x v="132"/>
    <x v="1"/>
    <x v="99"/>
    <x v="48"/>
    <x v="8"/>
    <x v="167"/>
    <x v="222"/>
    <x v="0"/>
    <x v="0"/>
    <x v="34"/>
    <x v="2"/>
    <x v="31"/>
    <x v="1"/>
    <x v="8"/>
    <x v="2"/>
  </r>
  <r>
    <x v="28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</r>
  <r>
    <x v="28"/>
    <x v="58"/>
    <x v="68"/>
    <x v="0"/>
    <x v="33"/>
    <x v="57"/>
    <x v="57"/>
    <x v="56"/>
    <x v="56"/>
    <x v="0"/>
    <x v="264"/>
    <x v="271"/>
    <x v="247"/>
    <x v="184"/>
    <x v="2"/>
    <x v="254"/>
    <x v="8"/>
    <x v="2"/>
    <x v="42"/>
    <x v="3"/>
    <x v="3"/>
    <x v="75"/>
    <x v="223"/>
    <x v="0"/>
    <x v="0"/>
    <x v="5"/>
    <x v="2"/>
    <x v="33"/>
    <x v="0"/>
    <x v="6"/>
    <x v="0"/>
  </r>
  <r>
    <x v="28"/>
    <x v="59"/>
    <x v="69"/>
    <x v="0"/>
    <x v="34"/>
    <x v="58"/>
    <x v="58"/>
    <x v="57"/>
    <x v="57"/>
    <x v="0"/>
    <x v="265"/>
    <x v="272"/>
    <x v="248"/>
    <x v="236"/>
    <x v="8"/>
    <x v="255"/>
    <x v="15"/>
    <x v="2"/>
    <x v="24"/>
    <x v="5"/>
    <x v="3"/>
    <x v="27"/>
    <x v="224"/>
    <x v="0"/>
    <x v="0"/>
    <x v="5"/>
    <x v="2"/>
    <x v="34"/>
    <x v="0"/>
    <x v="6"/>
    <x v="0"/>
  </r>
  <r>
    <x v="28"/>
    <x v="60"/>
    <x v="70"/>
    <x v="0"/>
    <x v="35"/>
    <x v="59"/>
    <x v="59"/>
    <x v="58"/>
    <x v="5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5"/>
    <x v="0"/>
    <x v="6"/>
    <x v="0"/>
  </r>
  <r>
    <x v="28"/>
    <x v="61"/>
    <x v="71"/>
    <x v="0"/>
    <x v="36"/>
    <x v="60"/>
    <x v="60"/>
    <x v="59"/>
    <x v="59"/>
    <x v="0"/>
    <x v="266"/>
    <x v="273"/>
    <x v="249"/>
    <x v="237"/>
    <x v="9"/>
    <x v="87"/>
    <x v="8"/>
    <x v="2"/>
    <x v="42"/>
    <x v="3"/>
    <x v="3"/>
    <x v="75"/>
    <x v="225"/>
    <x v="0"/>
    <x v="0"/>
    <x v="5"/>
    <x v="2"/>
    <x v="36"/>
    <x v="0"/>
    <x v="10"/>
    <x v="0"/>
  </r>
  <r>
    <x v="28"/>
    <x v="62"/>
    <x v="72"/>
    <x v="0"/>
    <x v="37"/>
    <x v="61"/>
    <x v="61"/>
    <x v="60"/>
    <x v="60"/>
    <x v="0"/>
    <x v="267"/>
    <x v="274"/>
    <x v="70"/>
    <x v="238"/>
    <x v="4"/>
    <x v="256"/>
    <x v="15"/>
    <x v="2"/>
    <x v="14"/>
    <x v="3"/>
    <x v="3"/>
    <x v="15"/>
    <x v="15"/>
    <x v="0"/>
    <x v="0"/>
    <x v="5"/>
    <x v="2"/>
    <x v="37"/>
    <x v="1"/>
    <x v="3"/>
    <x v="2"/>
  </r>
  <r>
    <x v="28"/>
    <x v="63"/>
    <x v="73"/>
    <x v="0"/>
    <x v="38"/>
    <x v="62"/>
    <x v="62"/>
    <x v="61"/>
    <x v="61"/>
    <x v="0"/>
    <x v="39"/>
    <x v="275"/>
    <x v="70"/>
    <x v="239"/>
    <x v="12"/>
    <x v="257"/>
    <x v="18"/>
    <x v="2"/>
    <x v="14"/>
    <x v="3"/>
    <x v="3"/>
    <x v="20"/>
    <x v="226"/>
    <x v="0"/>
    <x v="0"/>
    <x v="5"/>
    <x v="2"/>
    <x v="38"/>
    <x v="0"/>
    <x v="0"/>
    <x v="0"/>
  </r>
  <r>
    <x v="28"/>
    <x v="64"/>
    <x v="74"/>
    <x v="0"/>
    <x v="39"/>
    <x v="63"/>
    <x v="63"/>
    <x v="62"/>
    <x v="62"/>
    <x v="0"/>
    <x v="220"/>
    <x v="276"/>
    <x v="73"/>
    <x v="240"/>
    <x v="1"/>
    <x v="158"/>
    <x v="15"/>
    <x v="2"/>
    <x v="14"/>
    <x v="3"/>
    <x v="3"/>
    <x v="15"/>
    <x v="15"/>
    <x v="0"/>
    <x v="0"/>
    <x v="5"/>
    <x v="2"/>
    <x v="39"/>
    <x v="0"/>
    <x v="6"/>
    <x v="0"/>
  </r>
  <r>
    <x v="29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29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</r>
  <r>
    <x v="29"/>
    <x v="38"/>
    <x v="47"/>
    <x v="1"/>
    <x v="9"/>
    <x v="36"/>
    <x v="36"/>
    <x v="35"/>
    <x v="35"/>
    <x v="0"/>
    <x v="268"/>
    <x v="277"/>
    <x v="250"/>
    <x v="241"/>
    <x v="34"/>
    <x v="258"/>
    <x v="23"/>
    <x v="2"/>
    <x v="19"/>
    <x v="3"/>
    <x v="3"/>
    <x v="8"/>
    <x v="227"/>
    <x v="0"/>
    <x v="0"/>
    <x v="2"/>
    <x v="11"/>
    <x v="9"/>
    <x v="1"/>
    <x v="3"/>
    <x v="2"/>
  </r>
  <r>
    <x v="29"/>
    <x v="39"/>
    <x v="48"/>
    <x v="0"/>
    <x v="9"/>
    <x v="37"/>
    <x v="37"/>
    <x v="36"/>
    <x v="36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9"/>
    <x v="1"/>
    <x v="3"/>
    <x v="2"/>
  </r>
  <r>
    <x v="29"/>
    <x v="26"/>
    <x v="49"/>
    <x v="0"/>
    <x v="17"/>
    <x v="38"/>
    <x v="38"/>
    <x v="37"/>
    <x v="37"/>
    <x v="0"/>
    <x v="269"/>
    <x v="278"/>
    <x v="251"/>
    <x v="163"/>
    <x v="4"/>
    <x v="80"/>
    <x v="55"/>
    <x v="1"/>
    <x v="34"/>
    <x v="1"/>
    <x v="8"/>
    <x v="168"/>
    <x v="228"/>
    <x v="1"/>
    <x v="4"/>
    <x v="7"/>
    <x v="11"/>
    <x v="17"/>
    <x v="0"/>
    <x v="0"/>
    <x v="0"/>
  </r>
  <r>
    <x v="29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29"/>
    <x v="47"/>
    <x v="57"/>
    <x v="0"/>
    <x v="29"/>
    <x v="46"/>
    <x v="46"/>
    <x v="45"/>
    <x v="45"/>
    <x v="0"/>
    <x v="270"/>
    <x v="279"/>
    <x v="252"/>
    <x v="242"/>
    <x v="1"/>
    <x v="259"/>
    <x v="133"/>
    <x v="10"/>
    <x v="61"/>
    <x v="34"/>
    <x v="30"/>
    <x v="169"/>
    <x v="229"/>
    <x v="0"/>
    <x v="0"/>
    <x v="12"/>
    <x v="5"/>
    <x v="29"/>
    <x v="0"/>
    <x v="0"/>
    <x v="0"/>
  </r>
  <r>
    <x v="29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  <x v="1"/>
    <x v="2"/>
    <x v="1"/>
  </r>
  <r>
    <x v="29"/>
    <x v="49"/>
    <x v="59"/>
    <x v="1"/>
    <x v="22"/>
    <x v="48"/>
    <x v="48"/>
    <x v="47"/>
    <x v="47"/>
    <x v="0"/>
    <x v="271"/>
    <x v="280"/>
    <x v="253"/>
    <x v="243"/>
    <x v="56"/>
    <x v="260"/>
    <x v="54"/>
    <x v="2"/>
    <x v="22"/>
    <x v="3"/>
    <x v="3"/>
    <x v="7"/>
    <x v="230"/>
    <x v="2"/>
    <x v="1"/>
    <x v="1"/>
    <x v="2"/>
    <x v="22"/>
    <x v="0"/>
    <x v="6"/>
    <x v="0"/>
  </r>
  <r>
    <x v="29"/>
    <x v="51"/>
    <x v="61"/>
    <x v="1"/>
    <x v="27"/>
    <x v="50"/>
    <x v="50"/>
    <x v="49"/>
    <x v="49"/>
    <x v="0"/>
    <x v="272"/>
    <x v="281"/>
    <x v="254"/>
    <x v="244"/>
    <x v="15"/>
    <x v="261"/>
    <x v="9"/>
    <x v="2"/>
    <x v="31"/>
    <x v="3"/>
    <x v="4"/>
    <x v="52"/>
    <x v="231"/>
    <x v="0"/>
    <x v="0"/>
    <x v="10"/>
    <x v="9"/>
    <x v="27"/>
    <x v="1"/>
    <x v="4"/>
    <x v="2"/>
  </r>
  <r>
    <x v="29"/>
    <x v="52"/>
    <x v="62"/>
    <x v="0"/>
    <x v="31"/>
    <x v="51"/>
    <x v="51"/>
    <x v="50"/>
    <x v="5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1"/>
    <x v="8"/>
    <x v="2"/>
  </r>
  <r>
    <x v="29"/>
    <x v="53"/>
    <x v="63"/>
    <x v="1"/>
    <x v="29"/>
    <x v="52"/>
    <x v="52"/>
    <x v="51"/>
    <x v="51"/>
    <x v="0"/>
    <x v="273"/>
    <x v="282"/>
    <x v="255"/>
    <x v="245"/>
    <x v="66"/>
    <x v="262"/>
    <x v="43"/>
    <x v="1"/>
    <x v="90"/>
    <x v="5"/>
    <x v="3"/>
    <x v="170"/>
    <x v="232"/>
    <x v="3"/>
    <x v="5"/>
    <x v="2"/>
    <x v="2"/>
    <x v="29"/>
    <x v="0"/>
    <x v="0"/>
    <x v="0"/>
  </r>
  <r>
    <x v="29"/>
    <x v="54"/>
    <x v="64"/>
    <x v="1"/>
    <x v="7"/>
    <x v="53"/>
    <x v="53"/>
    <x v="52"/>
    <x v="52"/>
    <x v="0"/>
    <x v="274"/>
    <x v="283"/>
    <x v="256"/>
    <x v="208"/>
    <x v="67"/>
    <x v="263"/>
    <x v="95"/>
    <x v="2"/>
    <x v="28"/>
    <x v="11"/>
    <x v="4"/>
    <x v="171"/>
    <x v="233"/>
    <x v="2"/>
    <x v="6"/>
    <x v="1"/>
    <x v="11"/>
    <x v="7"/>
    <x v="0"/>
    <x v="6"/>
    <x v="0"/>
  </r>
  <r>
    <x v="29"/>
    <x v="56"/>
    <x v="66"/>
    <x v="1"/>
    <x v="31"/>
    <x v="55"/>
    <x v="55"/>
    <x v="54"/>
    <x v="54"/>
    <x v="0"/>
    <x v="219"/>
    <x v="284"/>
    <x v="257"/>
    <x v="246"/>
    <x v="36"/>
    <x v="264"/>
    <x v="25"/>
    <x v="2"/>
    <x v="65"/>
    <x v="44"/>
    <x v="13"/>
    <x v="172"/>
    <x v="234"/>
    <x v="0"/>
    <x v="0"/>
    <x v="35"/>
    <x v="2"/>
    <x v="31"/>
    <x v="1"/>
    <x v="8"/>
    <x v="2"/>
  </r>
  <r>
    <x v="29"/>
    <x v="57"/>
    <x v="67"/>
    <x v="0"/>
    <x v="32"/>
    <x v="56"/>
    <x v="56"/>
    <x v="55"/>
    <x v="55"/>
    <x v="0"/>
    <x v="275"/>
    <x v="285"/>
    <x v="258"/>
    <x v="247"/>
    <x v="11"/>
    <x v="265"/>
    <x v="134"/>
    <x v="6"/>
    <x v="100"/>
    <x v="49"/>
    <x v="22"/>
    <x v="173"/>
    <x v="235"/>
    <x v="0"/>
    <x v="0"/>
    <x v="36"/>
    <x v="8"/>
    <x v="32"/>
    <x v="1"/>
    <x v="9"/>
    <x v="2"/>
  </r>
  <r>
    <x v="29"/>
    <x v="61"/>
    <x v="71"/>
    <x v="0"/>
    <x v="36"/>
    <x v="60"/>
    <x v="60"/>
    <x v="59"/>
    <x v="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6"/>
    <x v="0"/>
    <x v="10"/>
    <x v="0"/>
  </r>
  <r>
    <x v="29"/>
    <x v="62"/>
    <x v="72"/>
    <x v="0"/>
    <x v="37"/>
    <x v="61"/>
    <x v="61"/>
    <x v="60"/>
    <x v="60"/>
    <x v="0"/>
    <x v="276"/>
    <x v="286"/>
    <x v="259"/>
    <x v="248"/>
    <x v="30"/>
    <x v="266"/>
    <x v="135"/>
    <x v="3"/>
    <x v="101"/>
    <x v="47"/>
    <x v="15"/>
    <x v="174"/>
    <x v="236"/>
    <x v="0"/>
    <x v="0"/>
    <x v="0"/>
    <x v="2"/>
    <x v="37"/>
    <x v="1"/>
    <x v="3"/>
    <x v="2"/>
  </r>
  <r>
    <x v="29"/>
    <x v="63"/>
    <x v="73"/>
    <x v="0"/>
    <x v="38"/>
    <x v="62"/>
    <x v="62"/>
    <x v="61"/>
    <x v="6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8"/>
    <x v="0"/>
    <x v="0"/>
    <x v="0"/>
  </r>
  <r>
    <x v="29"/>
    <x v="64"/>
    <x v="74"/>
    <x v="0"/>
    <x v="39"/>
    <x v="63"/>
    <x v="63"/>
    <x v="62"/>
    <x v="62"/>
    <x v="0"/>
    <x v="277"/>
    <x v="287"/>
    <x v="260"/>
    <x v="127"/>
    <x v="28"/>
    <x v="267"/>
    <x v="33"/>
    <x v="3"/>
    <x v="23"/>
    <x v="5"/>
    <x v="13"/>
    <x v="16"/>
    <x v="237"/>
    <x v="0"/>
    <x v="0"/>
    <x v="0"/>
    <x v="6"/>
    <x v="39"/>
    <x v="0"/>
    <x v="6"/>
    <x v="0"/>
  </r>
  <r>
    <x v="30"/>
    <x v="38"/>
    <x v="47"/>
    <x v="1"/>
    <x v="9"/>
    <x v="36"/>
    <x v="36"/>
    <x v="35"/>
    <x v="35"/>
    <x v="0"/>
    <x v="278"/>
    <x v="288"/>
    <x v="261"/>
    <x v="249"/>
    <x v="68"/>
    <x v="268"/>
    <x v="46"/>
    <x v="2"/>
    <x v="50"/>
    <x v="3"/>
    <x v="1"/>
    <x v="56"/>
    <x v="238"/>
    <x v="0"/>
    <x v="0"/>
    <x v="37"/>
    <x v="23"/>
    <x v="9"/>
    <x v="1"/>
    <x v="3"/>
    <x v="2"/>
  </r>
  <r>
    <x v="30"/>
    <x v="39"/>
    <x v="48"/>
    <x v="0"/>
    <x v="9"/>
    <x v="37"/>
    <x v="37"/>
    <x v="36"/>
    <x v="36"/>
    <x v="0"/>
    <x v="279"/>
    <x v="289"/>
    <x v="262"/>
    <x v="250"/>
    <x v="37"/>
    <x v="269"/>
    <x v="87"/>
    <x v="3"/>
    <x v="29"/>
    <x v="4"/>
    <x v="3"/>
    <x v="175"/>
    <x v="239"/>
    <x v="0"/>
    <x v="0"/>
    <x v="23"/>
    <x v="5"/>
    <x v="9"/>
    <x v="1"/>
    <x v="3"/>
    <x v="2"/>
  </r>
  <r>
    <x v="30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30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30"/>
    <x v="45"/>
    <x v="55"/>
    <x v="0"/>
    <x v="27"/>
    <x v="44"/>
    <x v="44"/>
    <x v="43"/>
    <x v="43"/>
    <x v="0"/>
    <x v="280"/>
    <x v="290"/>
    <x v="263"/>
    <x v="251"/>
    <x v="2"/>
    <x v="270"/>
    <x v="136"/>
    <x v="19"/>
    <x v="97"/>
    <x v="20"/>
    <x v="6"/>
    <x v="176"/>
    <x v="240"/>
    <x v="0"/>
    <x v="0"/>
    <x v="38"/>
    <x v="36"/>
    <x v="27"/>
    <x v="1"/>
    <x v="4"/>
    <x v="2"/>
  </r>
  <r>
    <x v="30"/>
    <x v="47"/>
    <x v="57"/>
    <x v="0"/>
    <x v="29"/>
    <x v="46"/>
    <x v="46"/>
    <x v="45"/>
    <x v="45"/>
    <x v="0"/>
    <x v="281"/>
    <x v="291"/>
    <x v="264"/>
    <x v="214"/>
    <x v="2"/>
    <x v="271"/>
    <x v="137"/>
    <x v="22"/>
    <x v="94"/>
    <x v="30"/>
    <x v="31"/>
    <x v="177"/>
    <x v="241"/>
    <x v="0"/>
    <x v="0"/>
    <x v="33"/>
    <x v="23"/>
    <x v="29"/>
    <x v="0"/>
    <x v="0"/>
    <x v="0"/>
  </r>
  <r>
    <x v="30"/>
    <x v="49"/>
    <x v="59"/>
    <x v="1"/>
    <x v="22"/>
    <x v="48"/>
    <x v="48"/>
    <x v="47"/>
    <x v="47"/>
    <x v="0"/>
    <x v="282"/>
    <x v="292"/>
    <x v="265"/>
    <x v="252"/>
    <x v="69"/>
    <x v="272"/>
    <x v="2"/>
    <x v="2"/>
    <x v="42"/>
    <x v="11"/>
    <x v="2"/>
    <x v="78"/>
    <x v="242"/>
    <x v="0"/>
    <x v="0"/>
    <x v="2"/>
    <x v="5"/>
    <x v="22"/>
    <x v="0"/>
    <x v="6"/>
    <x v="0"/>
  </r>
  <r>
    <x v="30"/>
    <x v="51"/>
    <x v="61"/>
    <x v="1"/>
    <x v="27"/>
    <x v="50"/>
    <x v="50"/>
    <x v="49"/>
    <x v="49"/>
    <x v="0"/>
    <x v="283"/>
    <x v="293"/>
    <x v="266"/>
    <x v="253"/>
    <x v="44"/>
    <x v="273"/>
    <x v="7"/>
    <x v="1"/>
    <x v="45"/>
    <x v="3"/>
    <x v="3"/>
    <x v="2"/>
    <x v="243"/>
    <x v="0"/>
    <x v="0"/>
    <x v="11"/>
    <x v="1"/>
    <x v="27"/>
    <x v="1"/>
    <x v="4"/>
    <x v="2"/>
  </r>
  <r>
    <x v="30"/>
    <x v="53"/>
    <x v="63"/>
    <x v="1"/>
    <x v="29"/>
    <x v="52"/>
    <x v="52"/>
    <x v="51"/>
    <x v="51"/>
    <x v="0"/>
    <x v="284"/>
    <x v="294"/>
    <x v="267"/>
    <x v="162"/>
    <x v="34"/>
    <x v="274"/>
    <x v="80"/>
    <x v="2"/>
    <x v="10"/>
    <x v="1"/>
    <x v="2"/>
    <x v="178"/>
    <x v="244"/>
    <x v="0"/>
    <x v="0"/>
    <x v="1"/>
    <x v="2"/>
    <x v="29"/>
    <x v="0"/>
    <x v="0"/>
    <x v="0"/>
  </r>
  <r>
    <x v="30"/>
    <x v="54"/>
    <x v="64"/>
    <x v="1"/>
    <x v="7"/>
    <x v="53"/>
    <x v="53"/>
    <x v="52"/>
    <x v="52"/>
    <x v="0"/>
    <x v="285"/>
    <x v="295"/>
    <x v="268"/>
    <x v="254"/>
    <x v="70"/>
    <x v="275"/>
    <x v="118"/>
    <x v="2"/>
    <x v="21"/>
    <x v="11"/>
    <x v="1"/>
    <x v="179"/>
    <x v="245"/>
    <x v="0"/>
    <x v="0"/>
    <x v="9"/>
    <x v="6"/>
    <x v="7"/>
    <x v="0"/>
    <x v="6"/>
    <x v="0"/>
  </r>
  <r>
    <x v="30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</r>
  <r>
    <x v="30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  <x v="0"/>
    <x v="6"/>
    <x v="0"/>
  </r>
  <r>
    <x v="30"/>
    <x v="59"/>
    <x v="69"/>
    <x v="0"/>
    <x v="34"/>
    <x v="58"/>
    <x v="58"/>
    <x v="57"/>
    <x v="57"/>
    <x v="0"/>
    <x v="286"/>
    <x v="296"/>
    <x v="269"/>
    <x v="255"/>
    <x v="32"/>
    <x v="276"/>
    <x v="87"/>
    <x v="7"/>
    <x v="35"/>
    <x v="17"/>
    <x v="0"/>
    <x v="180"/>
    <x v="246"/>
    <x v="0"/>
    <x v="0"/>
    <x v="14"/>
    <x v="2"/>
    <x v="34"/>
    <x v="0"/>
    <x v="6"/>
    <x v="0"/>
  </r>
  <r>
    <x v="30"/>
    <x v="62"/>
    <x v="72"/>
    <x v="0"/>
    <x v="37"/>
    <x v="61"/>
    <x v="61"/>
    <x v="60"/>
    <x v="60"/>
    <x v="0"/>
    <x v="287"/>
    <x v="297"/>
    <x v="270"/>
    <x v="256"/>
    <x v="12"/>
    <x v="277"/>
    <x v="138"/>
    <x v="0"/>
    <x v="102"/>
    <x v="50"/>
    <x v="32"/>
    <x v="181"/>
    <x v="247"/>
    <x v="0"/>
    <x v="0"/>
    <x v="8"/>
    <x v="2"/>
    <x v="37"/>
    <x v="1"/>
    <x v="3"/>
    <x v="2"/>
  </r>
  <r>
    <x v="30"/>
    <x v="64"/>
    <x v="74"/>
    <x v="0"/>
    <x v="39"/>
    <x v="63"/>
    <x v="63"/>
    <x v="62"/>
    <x v="62"/>
    <x v="0"/>
    <x v="288"/>
    <x v="298"/>
    <x v="271"/>
    <x v="121"/>
    <x v="28"/>
    <x v="72"/>
    <x v="139"/>
    <x v="7"/>
    <x v="38"/>
    <x v="3"/>
    <x v="26"/>
    <x v="182"/>
    <x v="248"/>
    <x v="0"/>
    <x v="0"/>
    <x v="11"/>
    <x v="3"/>
    <x v="39"/>
    <x v="0"/>
    <x v="6"/>
    <x v="0"/>
  </r>
  <r>
    <x v="30"/>
    <x v="65"/>
    <x v="75"/>
    <x v="0"/>
    <x v="40"/>
    <x v="64"/>
    <x v="64"/>
    <x v="63"/>
    <x v="63"/>
    <x v="0"/>
    <x v="289"/>
    <x v="299"/>
    <x v="272"/>
    <x v="257"/>
    <x v="35"/>
    <x v="278"/>
    <x v="17"/>
    <x v="2"/>
    <x v="49"/>
    <x v="3"/>
    <x v="2"/>
    <x v="2"/>
    <x v="249"/>
    <x v="0"/>
    <x v="0"/>
    <x v="5"/>
    <x v="5"/>
    <x v="40"/>
    <x v="0"/>
    <x v="6"/>
    <x v="0"/>
  </r>
  <r>
    <x v="31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31"/>
    <x v="38"/>
    <x v="47"/>
    <x v="1"/>
    <x v="9"/>
    <x v="36"/>
    <x v="36"/>
    <x v="35"/>
    <x v="35"/>
    <x v="0"/>
    <x v="290"/>
    <x v="75"/>
    <x v="70"/>
    <x v="36"/>
    <x v="71"/>
    <x v="279"/>
    <x v="15"/>
    <x v="2"/>
    <x v="14"/>
    <x v="3"/>
    <x v="3"/>
    <x v="15"/>
    <x v="15"/>
    <x v="0"/>
    <x v="0"/>
    <x v="5"/>
    <x v="2"/>
    <x v="9"/>
    <x v="1"/>
    <x v="3"/>
    <x v="2"/>
  </r>
  <r>
    <x v="31"/>
    <x v="39"/>
    <x v="48"/>
    <x v="0"/>
    <x v="9"/>
    <x v="37"/>
    <x v="37"/>
    <x v="36"/>
    <x v="36"/>
    <x v="0"/>
    <x v="291"/>
    <x v="300"/>
    <x v="273"/>
    <x v="194"/>
    <x v="0"/>
    <x v="42"/>
    <x v="8"/>
    <x v="2"/>
    <x v="24"/>
    <x v="5"/>
    <x v="3"/>
    <x v="83"/>
    <x v="83"/>
    <x v="0"/>
    <x v="0"/>
    <x v="5"/>
    <x v="2"/>
    <x v="9"/>
    <x v="1"/>
    <x v="3"/>
    <x v="2"/>
  </r>
  <r>
    <x v="31"/>
    <x v="45"/>
    <x v="55"/>
    <x v="0"/>
    <x v="27"/>
    <x v="44"/>
    <x v="44"/>
    <x v="43"/>
    <x v="43"/>
    <x v="0"/>
    <x v="292"/>
    <x v="301"/>
    <x v="274"/>
    <x v="258"/>
    <x v="1"/>
    <x v="280"/>
    <x v="125"/>
    <x v="2"/>
    <x v="19"/>
    <x v="11"/>
    <x v="3"/>
    <x v="47"/>
    <x v="250"/>
    <x v="0"/>
    <x v="0"/>
    <x v="5"/>
    <x v="2"/>
    <x v="27"/>
    <x v="1"/>
    <x v="4"/>
    <x v="2"/>
  </r>
  <r>
    <x v="31"/>
    <x v="47"/>
    <x v="57"/>
    <x v="0"/>
    <x v="29"/>
    <x v="46"/>
    <x v="46"/>
    <x v="45"/>
    <x v="45"/>
    <x v="0"/>
    <x v="293"/>
    <x v="302"/>
    <x v="275"/>
    <x v="259"/>
    <x v="1"/>
    <x v="281"/>
    <x v="46"/>
    <x v="1"/>
    <x v="20"/>
    <x v="11"/>
    <x v="2"/>
    <x v="51"/>
    <x v="143"/>
    <x v="0"/>
    <x v="0"/>
    <x v="5"/>
    <x v="2"/>
    <x v="29"/>
    <x v="0"/>
    <x v="0"/>
    <x v="0"/>
  </r>
  <r>
    <x v="31"/>
    <x v="49"/>
    <x v="59"/>
    <x v="1"/>
    <x v="22"/>
    <x v="48"/>
    <x v="48"/>
    <x v="47"/>
    <x v="47"/>
    <x v="0"/>
    <x v="294"/>
    <x v="303"/>
    <x v="276"/>
    <x v="96"/>
    <x v="72"/>
    <x v="282"/>
    <x v="15"/>
    <x v="2"/>
    <x v="14"/>
    <x v="3"/>
    <x v="3"/>
    <x v="15"/>
    <x v="15"/>
    <x v="0"/>
    <x v="0"/>
    <x v="5"/>
    <x v="2"/>
    <x v="22"/>
    <x v="0"/>
    <x v="6"/>
    <x v="0"/>
  </r>
  <r>
    <x v="31"/>
    <x v="51"/>
    <x v="61"/>
    <x v="1"/>
    <x v="27"/>
    <x v="50"/>
    <x v="50"/>
    <x v="49"/>
    <x v="49"/>
    <x v="0"/>
    <x v="30"/>
    <x v="234"/>
    <x v="29"/>
    <x v="30"/>
    <x v="16"/>
    <x v="29"/>
    <x v="15"/>
    <x v="2"/>
    <x v="14"/>
    <x v="3"/>
    <x v="3"/>
    <x v="15"/>
    <x v="15"/>
    <x v="0"/>
    <x v="0"/>
    <x v="5"/>
    <x v="2"/>
    <x v="27"/>
    <x v="1"/>
    <x v="4"/>
    <x v="2"/>
  </r>
  <r>
    <x v="31"/>
    <x v="53"/>
    <x v="63"/>
    <x v="1"/>
    <x v="29"/>
    <x v="52"/>
    <x v="52"/>
    <x v="51"/>
    <x v="51"/>
    <x v="0"/>
    <x v="295"/>
    <x v="304"/>
    <x v="72"/>
    <x v="260"/>
    <x v="57"/>
    <x v="283"/>
    <x v="15"/>
    <x v="2"/>
    <x v="14"/>
    <x v="3"/>
    <x v="3"/>
    <x v="15"/>
    <x v="15"/>
    <x v="0"/>
    <x v="0"/>
    <x v="5"/>
    <x v="2"/>
    <x v="29"/>
    <x v="0"/>
    <x v="0"/>
    <x v="0"/>
  </r>
  <r>
    <x v="31"/>
    <x v="54"/>
    <x v="64"/>
    <x v="1"/>
    <x v="7"/>
    <x v="53"/>
    <x v="53"/>
    <x v="52"/>
    <x v="5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</r>
  <r>
    <x v="31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</r>
  <r>
    <x v="31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  <x v="0"/>
    <x v="6"/>
    <x v="0"/>
  </r>
  <r>
    <x v="31"/>
    <x v="59"/>
    <x v="69"/>
    <x v="0"/>
    <x v="34"/>
    <x v="58"/>
    <x v="58"/>
    <x v="57"/>
    <x v="57"/>
    <x v="0"/>
    <x v="296"/>
    <x v="305"/>
    <x v="277"/>
    <x v="261"/>
    <x v="30"/>
    <x v="284"/>
    <x v="15"/>
    <x v="2"/>
    <x v="103"/>
    <x v="5"/>
    <x v="3"/>
    <x v="15"/>
    <x v="15"/>
    <x v="0"/>
    <x v="0"/>
    <x v="5"/>
    <x v="2"/>
    <x v="34"/>
    <x v="0"/>
    <x v="6"/>
    <x v="0"/>
  </r>
  <r>
    <x v="31"/>
    <x v="62"/>
    <x v="72"/>
    <x v="0"/>
    <x v="37"/>
    <x v="61"/>
    <x v="61"/>
    <x v="60"/>
    <x v="60"/>
    <x v="0"/>
    <x v="297"/>
    <x v="306"/>
    <x v="278"/>
    <x v="194"/>
    <x v="37"/>
    <x v="285"/>
    <x v="41"/>
    <x v="1"/>
    <x v="2"/>
    <x v="3"/>
    <x v="3"/>
    <x v="13"/>
    <x v="251"/>
    <x v="0"/>
    <x v="0"/>
    <x v="2"/>
    <x v="2"/>
    <x v="37"/>
    <x v="1"/>
    <x v="3"/>
    <x v="2"/>
  </r>
  <r>
    <x v="31"/>
    <x v="64"/>
    <x v="74"/>
    <x v="0"/>
    <x v="39"/>
    <x v="63"/>
    <x v="63"/>
    <x v="62"/>
    <x v="6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9"/>
    <x v="0"/>
    <x v="6"/>
    <x v="0"/>
  </r>
  <r>
    <x v="31"/>
    <x v="65"/>
    <x v="75"/>
    <x v="0"/>
    <x v="40"/>
    <x v="64"/>
    <x v="64"/>
    <x v="63"/>
    <x v="63"/>
    <x v="0"/>
    <x v="298"/>
    <x v="307"/>
    <x v="131"/>
    <x v="34"/>
    <x v="52"/>
    <x v="286"/>
    <x v="15"/>
    <x v="1"/>
    <x v="24"/>
    <x v="3"/>
    <x v="3"/>
    <x v="27"/>
    <x v="252"/>
    <x v="0"/>
    <x v="0"/>
    <x v="5"/>
    <x v="2"/>
    <x v="40"/>
    <x v="0"/>
    <x v="6"/>
    <x v="0"/>
  </r>
  <r>
    <x v="32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32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32"/>
    <x v="45"/>
    <x v="55"/>
    <x v="0"/>
    <x v="27"/>
    <x v="44"/>
    <x v="44"/>
    <x v="43"/>
    <x v="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7"/>
    <x v="1"/>
    <x v="4"/>
    <x v="2"/>
  </r>
  <r>
    <x v="32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  <x v="0"/>
    <x v="6"/>
    <x v="0"/>
  </r>
  <r>
    <x v="3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32"/>
    <x v="53"/>
    <x v="63"/>
    <x v="1"/>
    <x v="29"/>
    <x v="52"/>
    <x v="52"/>
    <x v="51"/>
    <x v="5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32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</r>
  <r>
    <x v="32"/>
    <x v="59"/>
    <x v="69"/>
    <x v="0"/>
    <x v="34"/>
    <x v="58"/>
    <x v="58"/>
    <x v="57"/>
    <x v="5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4"/>
    <x v="0"/>
    <x v="6"/>
    <x v="0"/>
  </r>
  <r>
    <x v="32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</r>
  <r>
    <x v="33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33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33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33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  <x v="1"/>
    <x v="2"/>
    <x v="1"/>
  </r>
  <r>
    <x v="33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</r>
  <r>
    <x v="33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  <x v="0"/>
    <x v="6"/>
    <x v="0"/>
  </r>
  <r>
    <x v="34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34"/>
    <x v="45"/>
    <x v="55"/>
    <x v="0"/>
    <x v="27"/>
    <x v="44"/>
    <x v="44"/>
    <x v="43"/>
    <x v="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7"/>
    <x v="1"/>
    <x v="4"/>
    <x v="2"/>
  </r>
  <r>
    <x v="34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34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</r>
  <r>
    <x v="35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35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35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</r>
  <r>
    <x v="36"/>
    <x v="59"/>
    <x v="69"/>
    <x v="0"/>
    <x v="34"/>
    <x v="58"/>
    <x v="58"/>
    <x v="57"/>
    <x v="5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4"/>
    <x v="0"/>
    <x v="6"/>
    <x v="0"/>
  </r>
  <r>
    <x v="36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</r>
  <r>
    <x v="37"/>
    <x v="38"/>
    <x v="47"/>
    <x v="1"/>
    <x v="9"/>
    <x v="36"/>
    <x v="36"/>
    <x v="35"/>
    <x v="35"/>
    <x v="0"/>
    <x v="299"/>
    <x v="308"/>
    <x v="279"/>
    <x v="262"/>
    <x v="34"/>
    <x v="287"/>
    <x v="18"/>
    <x v="2"/>
    <x v="14"/>
    <x v="3"/>
    <x v="3"/>
    <x v="20"/>
    <x v="253"/>
    <x v="0"/>
    <x v="0"/>
    <x v="5"/>
    <x v="11"/>
    <x v="9"/>
    <x v="1"/>
    <x v="3"/>
    <x v="2"/>
  </r>
  <r>
    <x v="37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37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37"/>
    <x v="54"/>
    <x v="64"/>
    <x v="1"/>
    <x v="7"/>
    <x v="53"/>
    <x v="53"/>
    <x v="52"/>
    <x v="52"/>
    <x v="0"/>
    <x v="300"/>
    <x v="309"/>
    <x v="199"/>
    <x v="20"/>
    <x v="40"/>
    <x v="288"/>
    <x v="15"/>
    <x v="2"/>
    <x v="24"/>
    <x v="3"/>
    <x v="3"/>
    <x v="20"/>
    <x v="249"/>
    <x v="0"/>
    <x v="0"/>
    <x v="5"/>
    <x v="2"/>
    <x v="7"/>
    <x v="0"/>
    <x v="6"/>
    <x v="0"/>
  </r>
  <r>
    <x v="37"/>
    <x v="61"/>
    <x v="71"/>
    <x v="0"/>
    <x v="36"/>
    <x v="60"/>
    <x v="60"/>
    <x v="59"/>
    <x v="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6"/>
    <x v="0"/>
    <x v="10"/>
    <x v="0"/>
  </r>
  <r>
    <x v="37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</r>
  <r>
    <x v="38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39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39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40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41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41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4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43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44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</r>
  <r>
    <x v="44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45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45"/>
    <x v="38"/>
    <x v="47"/>
    <x v="1"/>
    <x v="9"/>
    <x v="36"/>
    <x v="36"/>
    <x v="35"/>
    <x v="3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4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46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</r>
  <r>
    <x v="4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48"/>
    <x v="66"/>
    <x v="76"/>
    <x v="0"/>
    <x v="41"/>
    <x v="65"/>
    <x v="65"/>
    <x v="64"/>
    <x v="64"/>
    <x v="0"/>
    <x v="301"/>
    <x v="310"/>
    <x v="280"/>
    <x v="263"/>
    <x v="52"/>
    <x v="289"/>
    <x v="63"/>
    <x v="2"/>
    <x v="19"/>
    <x v="3"/>
    <x v="3"/>
    <x v="78"/>
    <x v="157"/>
    <x v="0"/>
    <x v="0"/>
    <x v="5"/>
    <x v="2"/>
    <x v="41"/>
    <x v="0"/>
    <x v="6"/>
    <x v="4"/>
  </r>
  <r>
    <x v="49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</r>
  <r>
    <x v="49"/>
    <x v="66"/>
    <x v="76"/>
    <x v="0"/>
    <x v="41"/>
    <x v="65"/>
    <x v="65"/>
    <x v="64"/>
    <x v="64"/>
    <x v="0"/>
    <x v="302"/>
    <x v="311"/>
    <x v="281"/>
    <x v="264"/>
    <x v="25"/>
    <x v="128"/>
    <x v="4"/>
    <x v="2"/>
    <x v="90"/>
    <x v="0"/>
    <x v="2"/>
    <x v="57"/>
    <x v="254"/>
    <x v="0"/>
    <x v="0"/>
    <x v="1"/>
    <x v="5"/>
    <x v="41"/>
    <x v="0"/>
    <x v="6"/>
    <x v="4"/>
  </r>
  <r>
    <x v="50"/>
    <x v="66"/>
    <x v="76"/>
    <x v="0"/>
    <x v="41"/>
    <x v="65"/>
    <x v="65"/>
    <x v="64"/>
    <x v="64"/>
    <x v="0"/>
    <x v="303"/>
    <x v="312"/>
    <x v="282"/>
    <x v="265"/>
    <x v="46"/>
    <x v="290"/>
    <x v="125"/>
    <x v="2"/>
    <x v="24"/>
    <x v="1"/>
    <x v="2"/>
    <x v="47"/>
    <x v="255"/>
    <x v="0"/>
    <x v="0"/>
    <x v="5"/>
    <x v="2"/>
    <x v="41"/>
    <x v="0"/>
    <x v="6"/>
    <x v="4"/>
  </r>
  <r>
    <x v="51"/>
    <x v="66"/>
    <x v="76"/>
    <x v="0"/>
    <x v="41"/>
    <x v="65"/>
    <x v="65"/>
    <x v="64"/>
    <x v="64"/>
    <x v="0"/>
    <x v="304"/>
    <x v="313"/>
    <x v="283"/>
    <x v="266"/>
    <x v="22"/>
    <x v="291"/>
    <x v="64"/>
    <x v="2"/>
    <x v="8"/>
    <x v="4"/>
    <x v="3"/>
    <x v="154"/>
    <x v="256"/>
    <x v="0"/>
    <x v="0"/>
    <x v="2"/>
    <x v="5"/>
    <x v="41"/>
    <x v="0"/>
    <x v="6"/>
    <x v="4"/>
  </r>
  <r>
    <x v="52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</r>
  <r>
    <x v="52"/>
    <x v="66"/>
    <x v="76"/>
    <x v="0"/>
    <x v="41"/>
    <x v="65"/>
    <x v="65"/>
    <x v="64"/>
    <x v="64"/>
    <x v="0"/>
    <x v="305"/>
    <x v="314"/>
    <x v="284"/>
    <x v="267"/>
    <x v="17"/>
    <x v="292"/>
    <x v="14"/>
    <x v="2"/>
    <x v="19"/>
    <x v="51"/>
    <x v="1"/>
    <x v="149"/>
    <x v="257"/>
    <x v="0"/>
    <x v="0"/>
    <x v="5"/>
    <x v="12"/>
    <x v="41"/>
    <x v="0"/>
    <x v="6"/>
    <x v="4"/>
  </r>
  <r>
    <x v="53"/>
    <x v="39"/>
    <x v="48"/>
    <x v="0"/>
    <x v="9"/>
    <x v="37"/>
    <x v="37"/>
    <x v="36"/>
    <x v="3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53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</r>
  <r>
    <x v="53"/>
    <x v="66"/>
    <x v="76"/>
    <x v="0"/>
    <x v="41"/>
    <x v="65"/>
    <x v="65"/>
    <x v="64"/>
    <x v="64"/>
    <x v="0"/>
    <x v="306"/>
    <x v="315"/>
    <x v="279"/>
    <x v="268"/>
    <x v="73"/>
    <x v="293"/>
    <x v="21"/>
    <x v="2"/>
    <x v="24"/>
    <x v="0"/>
    <x v="3"/>
    <x v="30"/>
    <x v="258"/>
    <x v="0"/>
    <x v="0"/>
    <x v="5"/>
    <x v="2"/>
    <x v="41"/>
    <x v="0"/>
    <x v="6"/>
    <x v="4"/>
  </r>
  <r>
    <x v="54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  <x v="0"/>
    <x v="6"/>
    <x v="4"/>
  </r>
  <r>
    <x v="54"/>
    <x v="67"/>
    <x v="77"/>
    <x v="0"/>
    <x v="42"/>
    <x v="66"/>
    <x v="66"/>
    <x v="65"/>
    <x v="65"/>
    <x v="0"/>
    <x v="307"/>
    <x v="316"/>
    <x v="285"/>
    <x v="211"/>
    <x v="0"/>
    <x v="60"/>
    <x v="121"/>
    <x v="3"/>
    <x v="27"/>
    <x v="6"/>
    <x v="2"/>
    <x v="11"/>
    <x v="259"/>
    <x v="0"/>
    <x v="0"/>
    <x v="7"/>
    <x v="13"/>
    <x v="42"/>
    <x v="0"/>
    <x v="11"/>
    <x v="5"/>
  </r>
  <r>
    <x v="54"/>
    <x v="67"/>
    <x v="78"/>
    <x v="0"/>
    <x v="43"/>
    <x v="66"/>
    <x v="66"/>
    <x v="65"/>
    <x v="65"/>
    <x v="0"/>
    <x v="164"/>
    <x v="317"/>
    <x v="286"/>
    <x v="269"/>
    <x v="1"/>
    <x v="294"/>
    <x v="15"/>
    <x v="2"/>
    <x v="14"/>
    <x v="3"/>
    <x v="3"/>
    <x v="15"/>
    <x v="15"/>
    <x v="0"/>
    <x v="0"/>
    <x v="5"/>
    <x v="2"/>
    <x v="43"/>
    <x v="0"/>
    <x v="12"/>
    <x v="5"/>
  </r>
  <r>
    <x v="55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  <x v="0"/>
    <x v="6"/>
    <x v="4"/>
  </r>
  <r>
    <x v="55"/>
    <x v="67"/>
    <x v="77"/>
    <x v="0"/>
    <x v="42"/>
    <x v="66"/>
    <x v="66"/>
    <x v="65"/>
    <x v="65"/>
    <x v="0"/>
    <x v="308"/>
    <x v="318"/>
    <x v="287"/>
    <x v="143"/>
    <x v="37"/>
    <x v="295"/>
    <x v="140"/>
    <x v="10"/>
    <x v="104"/>
    <x v="17"/>
    <x v="7"/>
    <x v="183"/>
    <x v="82"/>
    <x v="0"/>
    <x v="0"/>
    <x v="2"/>
    <x v="31"/>
    <x v="42"/>
    <x v="0"/>
    <x v="11"/>
    <x v="5"/>
  </r>
  <r>
    <x v="55"/>
    <x v="67"/>
    <x v="78"/>
    <x v="0"/>
    <x v="43"/>
    <x v="66"/>
    <x v="66"/>
    <x v="65"/>
    <x v="65"/>
    <x v="0"/>
    <x v="309"/>
    <x v="319"/>
    <x v="288"/>
    <x v="270"/>
    <x v="9"/>
    <x v="296"/>
    <x v="18"/>
    <x v="2"/>
    <x v="14"/>
    <x v="3"/>
    <x v="3"/>
    <x v="20"/>
    <x v="260"/>
    <x v="0"/>
    <x v="0"/>
    <x v="5"/>
    <x v="5"/>
    <x v="43"/>
    <x v="0"/>
    <x v="12"/>
    <x v="5"/>
  </r>
  <r>
    <x v="56"/>
    <x v="67"/>
    <x v="77"/>
    <x v="0"/>
    <x v="42"/>
    <x v="66"/>
    <x v="66"/>
    <x v="65"/>
    <x v="65"/>
    <x v="0"/>
    <x v="310"/>
    <x v="320"/>
    <x v="289"/>
    <x v="271"/>
    <x v="12"/>
    <x v="297"/>
    <x v="141"/>
    <x v="11"/>
    <x v="105"/>
    <x v="52"/>
    <x v="30"/>
    <x v="184"/>
    <x v="6"/>
    <x v="0"/>
    <x v="0"/>
    <x v="3"/>
    <x v="4"/>
    <x v="42"/>
    <x v="0"/>
    <x v="11"/>
    <x v="5"/>
  </r>
  <r>
    <x v="56"/>
    <x v="67"/>
    <x v="78"/>
    <x v="0"/>
    <x v="43"/>
    <x v="66"/>
    <x v="66"/>
    <x v="65"/>
    <x v="65"/>
    <x v="0"/>
    <x v="311"/>
    <x v="321"/>
    <x v="132"/>
    <x v="272"/>
    <x v="9"/>
    <x v="298"/>
    <x v="18"/>
    <x v="2"/>
    <x v="14"/>
    <x v="3"/>
    <x v="3"/>
    <x v="20"/>
    <x v="261"/>
    <x v="0"/>
    <x v="0"/>
    <x v="5"/>
    <x v="2"/>
    <x v="43"/>
    <x v="0"/>
    <x v="12"/>
    <x v="5"/>
  </r>
  <r>
    <x v="56"/>
    <x v="68"/>
    <x v="79"/>
    <x v="0"/>
    <x v="43"/>
    <x v="67"/>
    <x v="67"/>
    <x v="66"/>
    <x v="66"/>
    <x v="0"/>
    <x v="312"/>
    <x v="322"/>
    <x v="290"/>
    <x v="137"/>
    <x v="52"/>
    <x v="184"/>
    <x v="7"/>
    <x v="1"/>
    <x v="42"/>
    <x v="3"/>
    <x v="3"/>
    <x v="13"/>
    <x v="262"/>
    <x v="0"/>
    <x v="0"/>
    <x v="5"/>
    <x v="2"/>
    <x v="43"/>
    <x v="0"/>
    <x v="12"/>
    <x v="5"/>
  </r>
  <r>
    <x v="57"/>
    <x v="67"/>
    <x v="77"/>
    <x v="0"/>
    <x v="42"/>
    <x v="66"/>
    <x v="66"/>
    <x v="65"/>
    <x v="65"/>
    <x v="0"/>
    <x v="313"/>
    <x v="323"/>
    <x v="291"/>
    <x v="273"/>
    <x v="42"/>
    <x v="299"/>
    <x v="142"/>
    <x v="2"/>
    <x v="106"/>
    <x v="42"/>
    <x v="23"/>
    <x v="185"/>
    <x v="263"/>
    <x v="0"/>
    <x v="0"/>
    <x v="3"/>
    <x v="16"/>
    <x v="42"/>
    <x v="0"/>
    <x v="11"/>
    <x v="5"/>
  </r>
  <r>
    <x v="57"/>
    <x v="68"/>
    <x v="79"/>
    <x v="0"/>
    <x v="43"/>
    <x v="67"/>
    <x v="67"/>
    <x v="66"/>
    <x v="66"/>
    <x v="0"/>
    <x v="314"/>
    <x v="324"/>
    <x v="292"/>
    <x v="274"/>
    <x v="48"/>
    <x v="300"/>
    <x v="63"/>
    <x v="2"/>
    <x v="50"/>
    <x v="3"/>
    <x v="2"/>
    <x v="13"/>
    <x v="264"/>
    <x v="0"/>
    <x v="0"/>
    <x v="5"/>
    <x v="2"/>
    <x v="43"/>
    <x v="0"/>
    <x v="12"/>
    <x v="5"/>
  </r>
  <r>
    <x v="57"/>
    <x v="69"/>
    <x v="80"/>
    <x v="0"/>
    <x v="44"/>
    <x v="68"/>
    <x v="68"/>
    <x v="67"/>
    <x v="67"/>
    <x v="0"/>
    <x v="315"/>
    <x v="325"/>
    <x v="293"/>
    <x v="275"/>
    <x v="9"/>
    <x v="301"/>
    <x v="143"/>
    <x v="0"/>
    <x v="30"/>
    <x v="35"/>
    <x v="2"/>
    <x v="186"/>
    <x v="265"/>
    <x v="0"/>
    <x v="0"/>
    <x v="10"/>
    <x v="2"/>
    <x v="44"/>
    <x v="0"/>
    <x v="13"/>
    <x v="5"/>
  </r>
  <r>
    <x v="58"/>
    <x v="67"/>
    <x v="77"/>
    <x v="0"/>
    <x v="42"/>
    <x v="66"/>
    <x v="66"/>
    <x v="65"/>
    <x v="65"/>
    <x v="0"/>
    <x v="316"/>
    <x v="326"/>
    <x v="294"/>
    <x v="276"/>
    <x v="4"/>
    <x v="302"/>
    <x v="144"/>
    <x v="7"/>
    <x v="107"/>
    <x v="6"/>
    <x v="23"/>
    <x v="187"/>
    <x v="24"/>
    <x v="0"/>
    <x v="0"/>
    <x v="11"/>
    <x v="37"/>
    <x v="42"/>
    <x v="0"/>
    <x v="11"/>
    <x v="5"/>
  </r>
  <r>
    <x v="58"/>
    <x v="68"/>
    <x v="79"/>
    <x v="0"/>
    <x v="43"/>
    <x v="67"/>
    <x v="67"/>
    <x v="66"/>
    <x v="66"/>
    <x v="0"/>
    <x v="317"/>
    <x v="327"/>
    <x v="295"/>
    <x v="277"/>
    <x v="74"/>
    <x v="303"/>
    <x v="23"/>
    <x v="2"/>
    <x v="14"/>
    <x v="3"/>
    <x v="2"/>
    <x v="75"/>
    <x v="266"/>
    <x v="0"/>
    <x v="0"/>
    <x v="5"/>
    <x v="2"/>
    <x v="43"/>
    <x v="0"/>
    <x v="12"/>
    <x v="5"/>
  </r>
  <r>
    <x v="58"/>
    <x v="69"/>
    <x v="80"/>
    <x v="0"/>
    <x v="44"/>
    <x v="68"/>
    <x v="68"/>
    <x v="67"/>
    <x v="67"/>
    <x v="0"/>
    <x v="318"/>
    <x v="328"/>
    <x v="296"/>
    <x v="278"/>
    <x v="9"/>
    <x v="304"/>
    <x v="32"/>
    <x v="7"/>
    <x v="3"/>
    <x v="9"/>
    <x v="0"/>
    <x v="188"/>
    <x v="267"/>
    <x v="0"/>
    <x v="0"/>
    <x v="4"/>
    <x v="2"/>
    <x v="44"/>
    <x v="0"/>
    <x v="13"/>
    <x v="5"/>
  </r>
  <r>
    <x v="58"/>
    <x v="70"/>
    <x v="81"/>
    <x v="0"/>
    <x v="45"/>
    <x v="69"/>
    <x v="69"/>
    <x v="68"/>
    <x v="68"/>
    <x v="0"/>
    <x v="319"/>
    <x v="329"/>
    <x v="297"/>
    <x v="147"/>
    <x v="1"/>
    <x v="305"/>
    <x v="145"/>
    <x v="10"/>
    <x v="108"/>
    <x v="7"/>
    <x v="6"/>
    <x v="189"/>
    <x v="117"/>
    <x v="0"/>
    <x v="0"/>
    <x v="12"/>
    <x v="12"/>
    <x v="45"/>
    <x v="0"/>
    <x v="13"/>
    <x v="5"/>
  </r>
  <r>
    <x v="59"/>
    <x v="67"/>
    <x v="77"/>
    <x v="0"/>
    <x v="42"/>
    <x v="66"/>
    <x v="66"/>
    <x v="65"/>
    <x v="65"/>
    <x v="0"/>
    <x v="320"/>
    <x v="330"/>
    <x v="298"/>
    <x v="141"/>
    <x v="42"/>
    <x v="306"/>
    <x v="146"/>
    <x v="0"/>
    <x v="63"/>
    <x v="51"/>
    <x v="1"/>
    <x v="190"/>
    <x v="268"/>
    <x v="0"/>
    <x v="0"/>
    <x v="11"/>
    <x v="10"/>
    <x v="42"/>
    <x v="0"/>
    <x v="11"/>
    <x v="5"/>
  </r>
  <r>
    <x v="59"/>
    <x v="69"/>
    <x v="80"/>
    <x v="0"/>
    <x v="44"/>
    <x v="68"/>
    <x v="68"/>
    <x v="67"/>
    <x v="67"/>
    <x v="0"/>
    <x v="321"/>
    <x v="331"/>
    <x v="299"/>
    <x v="5"/>
    <x v="28"/>
    <x v="307"/>
    <x v="86"/>
    <x v="2"/>
    <x v="79"/>
    <x v="51"/>
    <x v="2"/>
    <x v="171"/>
    <x v="19"/>
    <x v="0"/>
    <x v="0"/>
    <x v="4"/>
    <x v="2"/>
    <x v="44"/>
    <x v="0"/>
    <x v="13"/>
    <x v="5"/>
  </r>
  <r>
    <x v="59"/>
    <x v="70"/>
    <x v="81"/>
    <x v="0"/>
    <x v="45"/>
    <x v="69"/>
    <x v="69"/>
    <x v="68"/>
    <x v="68"/>
    <x v="0"/>
    <x v="322"/>
    <x v="332"/>
    <x v="300"/>
    <x v="279"/>
    <x v="28"/>
    <x v="308"/>
    <x v="127"/>
    <x v="2"/>
    <x v="18"/>
    <x v="17"/>
    <x v="23"/>
    <x v="143"/>
    <x v="269"/>
    <x v="0"/>
    <x v="0"/>
    <x v="12"/>
    <x v="5"/>
    <x v="45"/>
    <x v="0"/>
    <x v="13"/>
    <x v="5"/>
  </r>
  <r>
    <x v="60"/>
    <x v="67"/>
    <x v="77"/>
    <x v="0"/>
    <x v="42"/>
    <x v="66"/>
    <x v="66"/>
    <x v="65"/>
    <x v="65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5"/>
  </r>
  <r>
    <x v="60"/>
    <x v="68"/>
    <x v="79"/>
    <x v="0"/>
    <x v="43"/>
    <x v="67"/>
    <x v="67"/>
    <x v="66"/>
    <x v="66"/>
    <x v="0"/>
    <x v="323"/>
    <x v="334"/>
    <x v="301"/>
    <x v="280"/>
    <x v="22"/>
    <x v="309"/>
    <x v="15"/>
    <x v="2"/>
    <x v="14"/>
    <x v="3"/>
    <x v="3"/>
    <x v="15"/>
    <x v="15"/>
    <x v="0"/>
    <x v="0"/>
    <x v="5"/>
    <x v="2"/>
    <x v="43"/>
    <x v="0"/>
    <x v="12"/>
    <x v="5"/>
  </r>
  <r>
    <x v="60"/>
    <x v="69"/>
    <x v="80"/>
    <x v="0"/>
    <x v="44"/>
    <x v="68"/>
    <x v="68"/>
    <x v="67"/>
    <x v="67"/>
    <x v="0"/>
    <x v="324"/>
    <x v="335"/>
    <x v="302"/>
    <x v="118"/>
    <x v="0"/>
    <x v="310"/>
    <x v="147"/>
    <x v="2"/>
    <x v="23"/>
    <x v="1"/>
    <x v="4"/>
    <x v="114"/>
    <x v="270"/>
    <x v="0"/>
    <x v="0"/>
    <x v="2"/>
    <x v="2"/>
    <x v="44"/>
    <x v="0"/>
    <x v="13"/>
    <x v="5"/>
  </r>
  <r>
    <x v="60"/>
    <x v="70"/>
    <x v="81"/>
    <x v="0"/>
    <x v="45"/>
    <x v="69"/>
    <x v="69"/>
    <x v="68"/>
    <x v="68"/>
    <x v="0"/>
    <x v="325"/>
    <x v="336"/>
    <x v="303"/>
    <x v="67"/>
    <x v="1"/>
    <x v="311"/>
    <x v="148"/>
    <x v="2"/>
    <x v="87"/>
    <x v="1"/>
    <x v="3"/>
    <x v="191"/>
    <x v="14"/>
    <x v="0"/>
    <x v="0"/>
    <x v="5"/>
    <x v="5"/>
    <x v="45"/>
    <x v="0"/>
    <x v="13"/>
    <x v="5"/>
  </r>
  <r>
    <x v="60"/>
    <x v="71"/>
    <x v="82"/>
    <x v="1"/>
    <x v="7"/>
    <x v="70"/>
    <x v="70"/>
    <x v="69"/>
    <x v="69"/>
    <x v="0"/>
    <x v="30"/>
    <x v="337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</r>
  <r>
    <x v="60"/>
    <x v="71"/>
    <x v="83"/>
    <x v="1"/>
    <x v="29"/>
    <x v="71"/>
    <x v="71"/>
    <x v="70"/>
    <x v="70"/>
    <x v="0"/>
    <x v="326"/>
    <x v="338"/>
    <x v="304"/>
    <x v="281"/>
    <x v="44"/>
    <x v="312"/>
    <x v="8"/>
    <x v="2"/>
    <x v="14"/>
    <x v="3"/>
    <x v="3"/>
    <x v="27"/>
    <x v="120"/>
    <x v="0"/>
    <x v="0"/>
    <x v="5"/>
    <x v="2"/>
    <x v="29"/>
    <x v="0"/>
    <x v="0"/>
    <x v="0"/>
  </r>
  <r>
    <x v="60"/>
    <x v="72"/>
    <x v="84"/>
    <x v="1"/>
    <x v="7"/>
    <x v="72"/>
    <x v="72"/>
    <x v="71"/>
    <x v="71"/>
    <x v="0"/>
    <x v="327"/>
    <x v="339"/>
    <x v="277"/>
    <x v="282"/>
    <x v="75"/>
    <x v="313"/>
    <x v="18"/>
    <x v="2"/>
    <x v="14"/>
    <x v="3"/>
    <x v="3"/>
    <x v="20"/>
    <x v="271"/>
    <x v="0"/>
    <x v="0"/>
    <x v="5"/>
    <x v="2"/>
    <x v="7"/>
    <x v="0"/>
    <x v="6"/>
    <x v="0"/>
  </r>
  <r>
    <x v="60"/>
    <x v="73"/>
    <x v="85"/>
    <x v="1"/>
    <x v="29"/>
    <x v="73"/>
    <x v="73"/>
    <x v="72"/>
    <x v="72"/>
    <x v="0"/>
    <x v="328"/>
    <x v="340"/>
    <x v="305"/>
    <x v="283"/>
    <x v="49"/>
    <x v="314"/>
    <x v="17"/>
    <x v="2"/>
    <x v="90"/>
    <x v="5"/>
    <x v="3"/>
    <x v="165"/>
    <x v="272"/>
    <x v="0"/>
    <x v="0"/>
    <x v="7"/>
    <x v="2"/>
    <x v="29"/>
    <x v="0"/>
    <x v="0"/>
    <x v="0"/>
  </r>
  <r>
    <x v="60"/>
    <x v="74"/>
    <x v="86"/>
    <x v="1"/>
    <x v="29"/>
    <x v="74"/>
    <x v="74"/>
    <x v="73"/>
    <x v="73"/>
    <x v="0"/>
    <x v="329"/>
    <x v="341"/>
    <x v="306"/>
    <x v="284"/>
    <x v="15"/>
    <x v="315"/>
    <x v="15"/>
    <x v="2"/>
    <x v="14"/>
    <x v="3"/>
    <x v="3"/>
    <x v="15"/>
    <x v="15"/>
    <x v="0"/>
    <x v="0"/>
    <x v="5"/>
    <x v="2"/>
    <x v="29"/>
    <x v="0"/>
    <x v="0"/>
    <x v="0"/>
  </r>
  <r>
    <x v="60"/>
    <x v="71"/>
    <x v="87"/>
    <x v="1"/>
    <x v="9"/>
    <x v="75"/>
    <x v="75"/>
    <x v="74"/>
    <x v="74"/>
    <x v="0"/>
    <x v="330"/>
    <x v="342"/>
    <x v="276"/>
    <x v="285"/>
    <x v="47"/>
    <x v="316"/>
    <x v="15"/>
    <x v="2"/>
    <x v="14"/>
    <x v="3"/>
    <x v="3"/>
    <x v="15"/>
    <x v="15"/>
    <x v="0"/>
    <x v="0"/>
    <x v="5"/>
    <x v="2"/>
    <x v="9"/>
    <x v="1"/>
    <x v="3"/>
    <x v="2"/>
  </r>
  <r>
    <x v="60"/>
    <x v="75"/>
    <x v="88"/>
    <x v="1"/>
    <x v="9"/>
    <x v="76"/>
    <x v="76"/>
    <x v="75"/>
    <x v="75"/>
    <x v="0"/>
    <x v="331"/>
    <x v="343"/>
    <x v="307"/>
    <x v="217"/>
    <x v="73"/>
    <x v="317"/>
    <x v="8"/>
    <x v="2"/>
    <x v="14"/>
    <x v="3"/>
    <x v="3"/>
    <x v="27"/>
    <x v="273"/>
    <x v="0"/>
    <x v="0"/>
    <x v="5"/>
    <x v="2"/>
    <x v="9"/>
    <x v="1"/>
    <x v="3"/>
    <x v="2"/>
  </r>
  <r>
    <x v="60"/>
    <x v="76"/>
    <x v="89"/>
    <x v="1"/>
    <x v="9"/>
    <x v="77"/>
    <x v="77"/>
    <x v="76"/>
    <x v="76"/>
    <x v="0"/>
    <x v="332"/>
    <x v="344"/>
    <x v="308"/>
    <x v="286"/>
    <x v="76"/>
    <x v="318"/>
    <x v="15"/>
    <x v="2"/>
    <x v="14"/>
    <x v="3"/>
    <x v="3"/>
    <x v="15"/>
    <x v="15"/>
    <x v="0"/>
    <x v="0"/>
    <x v="5"/>
    <x v="2"/>
    <x v="9"/>
    <x v="1"/>
    <x v="3"/>
    <x v="2"/>
  </r>
  <r>
    <x v="61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5"/>
  </r>
  <r>
    <x v="61"/>
    <x v="68"/>
    <x v="79"/>
    <x v="0"/>
    <x v="43"/>
    <x v="67"/>
    <x v="67"/>
    <x v="66"/>
    <x v="66"/>
    <x v="0"/>
    <x v="333"/>
    <x v="345"/>
    <x v="309"/>
    <x v="76"/>
    <x v="77"/>
    <x v="319"/>
    <x v="23"/>
    <x v="2"/>
    <x v="14"/>
    <x v="3"/>
    <x v="3"/>
    <x v="83"/>
    <x v="274"/>
    <x v="0"/>
    <x v="0"/>
    <x v="5"/>
    <x v="2"/>
    <x v="43"/>
    <x v="0"/>
    <x v="12"/>
    <x v="5"/>
  </r>
  <r>
    <x v="61"/>
    <x v="69"/>
    <x v="80"/>
    <x v="0"/>
    <x v="44"/>
    <x v="68"/>
    <x v="68"/>
    <x v="67"/>
    <x v="67"/>
    <x v="0"/>
    <x v="334"/>
    <x v="346"/>
    <x v="310"/>
    <x v="287"/>
    <x v="0"/>
    <x v="320"/>
    <x v="40"/>
    <x v="1"/>
    <x v="13"/>
    <x v="6"/>
    <x v="23"/>
    <x v="121"/>
    <x v="20"/>
    <x v="0"/>
    <x v="0"/>
    <x v="2"/>
    <x v="2"/>
    <x v="44"/>
    <x v="0"/>
    <x v="13"/>
    <x v="5"/>
  </r>
  <r>
    <x v="61"/>
    <x v="70"/>
    <x v="81"/>
    <x v="0"/>
    <x v="45"/>
    <x v="69"/>
    <x v="69"/>
    <x v="68"/>
    <x v="68"/>
    <x v="0"/>
    <x v="335"/>
    <x v="347"/>
    <x v="311"/>
    <x v="248"/>
    <x v="28"/>
    <x v="201"/>
    <x v="28"/>
    <x v="0"/>
    <x v="38"/>
    <x v="10"/>
    <x v="4"/>
    <x v="117"/>
    <x v="16"/>
    <x v="0"/>
    <x v="0"/>
    <x v="4"/>
    <x v="5"/>
    <x v="45"/>
    <x v="0"/>
    <x v="13"/>
    <x v="5"/>
  </r>
  <r>
    <x v="61"/>
    <x v="71"/>
    <x v="83"/>
    <x v="1"/>
    <x v="29"/>
    <x v="71"/>
    <x v="71"/>
    <x v="70"/>
    <x v="70"/>
    <x v="0"/>
    <x v="336"/>
    <x v="348"/>
    <x v="312"/>
    <x v="288"/>
    <x v="68"/>
    <x v="321"/>
    <x v="18"/>
    <x v="2"/>
    <x v="24"/>
    <x v="3"/>
    <x v="3"/>
    <x v="27"/>
    <x v="275"/>
    <x v="0"/>
    <x v="0"/>
    <x v="1"/>
    <x v="2"/>
    <x v="29"/>
    <x v="0"/>
    <x v="0"/>
    <x v="0"/>
  </r>
  <r>
    <x v="61"/>
    <x v="73"/>
    <x v="85"/>
    <x v="1"/>
    <x v="29"/>
    <x v="73"/>
    <x v="73"/>
    <x v="72"/>
    <x v="72"/>
    <x v="0"/>
    <x v="337"/>
    <x v="349"/>
    <x v="313"/>
    <x v="289"/>
    <x v="78"/>
    <x v="322"/>
    <x v="71"/>
    <x v="2"/>
    <x v="2"/>
    <x v="0"/>
    <x v="3"/>
    <x v="69"/>
    <x v="276"/>
    <x v="0"/>
    <x v="0"/>
    <x v="4"/>
    <x v="2"/>
    <x v="29"/>
    <x v="0"/>
    <x v="0"/>
    <x v="0"/>
  </r>
  <r>
    <x v="61"/>
    <x v="74"/>
    <x v="86"/>
    <x v="1"/>
    <x v="29"/>
    <x v="74"/>
    <x v="74"/>
    <x v="73"/>
    <x v="73"/>
    <x v="0"/>
    <x v="338"/>
    <x v="350"/>
    <x v="314"/>
    <x v="290"/>
    <x v="46"/>
    <x v="323"/>
    <x v="8"/>
    <x v="2"/>
    <x v="14"/>
    <x v="3"/>
    <x v="3"/>
    <x v="27"/>
    <x v="277"/>
    <x v="0"/>
    <x v="0"/>
    <x v="5"/>
    <x v="2"/>
    <x v="29"/>
    <x v="0"/>
    <x v="0"/>
    <x v="0"/>
  </r>
  <r>
    <x v="61"/>
    <x v="71"/>
    <x v="87"/>
    <x v="1"/>
    <x v="9"/>
    <x v="75"/>
    <x v="75"/>
    <x v="74"/>
    <x v="74"/>
    <x v="0"/>
    <x v="339"/>
    <x v="351"/>
    <x v="315"/>
    <x v="291"/>
    <x v="56"/>
    <x v="324"/>
    <x v="15"/>
    <x v="2"/>
    <x v="14"/>
    <x v="3"/>
    <x v="3"/>
    <x v="15"/>
    <x v="15"/>
    <x v="0"/>
    <x v="0"/>
    <x v="5"/>
    <x v="2"/>
    <x v="9"/>
    <x v="1"/>
    <x v="3"/>
    <x v="2"/>
  </r>
  <r>
    <x v="61"/>
    <x v="75"/>
    <x v="88"/>
    <x v="1"/>
    <x v="9"/>
    <x v="76"/>
    <x v="76"/>
    <x v="75"/>
    <x v="75"/>
    <x v="0"/>
    <x v="340"/>
    <x v="352"/>
    <x v="316"/>
    <x v="268"/>
    <x v="60"/>
    <x v="325"/>
    <x v="18"/>
    <x v="2"/>
    <x v="24"/>
    <x v="3"/>
    <x v="2"/>
    <x v="70"/>
    <x v="278"/>
    <x v="0"/>
    <x v="0"/>
    <x v="2"/>
    <x v="5"/>
    <x v="9"/>
    <x v="1"/>
    <x v="3"/>
    <x v="2"/>
  </r>
  <r>
    <x v="61"/>
    <x v="76"/>
    <x v="89"/>
    <x v="1"/>
    <x v="9"/>
    <x v="77"/>
    <x v="77"/>
    <x v="76"/>
    <x v="76"/>
    <x v="0"/>
    <x v="341"/>
    <x v="353"/>
    <x v="131"/>
    <x v="292"/>
    <x v="64"/>
    <x v="326"/>
    <x v="15"/>
    <x v="2"/>
    <x v="14"/>
    <x v="3"/>
    <x v="3"/>
    <x v="15"/>
    <x v="15"/>
    <x v="0"/>
    <x v="0"/>
    <x v="5"/>
    <x v="2"/>
    <x v="9"/>
    <x v="1"/>
    <x v="3"/>
    <x v="2"/>
  </r>
  <r>
    <x v="61"/>
    <x v="77"/>
    <x v="90"/>
    <x v="0"/>
    <x v="46"/>
    <x v="78"/>
    <x v="78"/>
    <x v="77"/>
    <x v="77"/>
    <x v="0"/>
    <x v="342"/>
    <x v="354"/>
    <x v="317"/>
    <x v="187"/>
    <x v="8"/>
    <x v="327"/>
    <x v="43"/>
    <x v="1"/>
    <x v="90"/>
    <x v="3"/>
    <x v="1"/>
    <x v="148"/>
    <x v="279"/>
    <x v="5"/>
    <x v="7"/>
    <x v="4"/>
    <x v="2"/>
    <x v="46"/>
    <x v="0"/>
    <x v="14"/>
    <x v="5"/>
  </r>
  <r>
    <x v="62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6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62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5"/>
  </r>
  <r>
    <x v="62"/>
    <x v="69"/>
    <x v="80"/>
    <x v="0"/>
    <x v="44"/>
    <x v="68"/>
    <x v="68"/>
    <x v="67"/>
    <x v="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4"/>
    <x v="0"/>
    <x v="13"/>
    <x v="5"/>
  </r>
  <r>
    <x v="62"/>
    <x v="70"/>
    <x v="81"/>
    <x v="0"/>
    <x v="45"/>
    <x v="69"/>
    <x v="69"/>
    <x v="68"/>
    <x v="6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5"/>
    <x v="0"/>
    <x v="13"/>
    <x v="5"/>
  </r>
  <r>
    <x v="62"/>
    <x v="71"/>
    <x v="83"/>
    <x v="1"/>
    <x v="29"/>
    <x v="71"/>
    <x v="71"/>
    <x v="70"/>
    <x v="70"/>
    <x v="0"/>
    <x v="343"/>
    <x v="355"/>
    <x v="318"/>
    <x v="51"/>
    <x v="79"/>
    <x v="328"/>
    <x v="18"/>
    <x v="2"/>
    <x v="14"/>
    <x v="3"/>
    <x v="3"/>
    <x v="20"/>
    <x v="280"/>
    <x v="0"/>
    <x v="0"/>
    <x v="2"/>
    <x v="2"/>
    <x v="29"/>
    <x v="0"/>
    <x v="0"/>
    <x v="0"/>
  </r>
  <r>
    <x v="62"/>
    <x v="73"/>
    <x v="85"/>
    <x v="1"/>
    <x v="29"/>
    <x v="73"/>
    <x v="73"/>
    <x v="72"/>
    <x v="72"/>
    <x v="0"/>
    <x v="344"/>
    <x v="356"/>
    <x v="319"/>
    <x v="187"/>
    <x v="80"/>
    <x v="329"/>
    <x v="13"/>
    <x v="2"/>
    <x v="14"/>
    <x v="3"/>
    <x v="2"/>
    <x v="68"/>
    <x v="281"/>
    <x v="0"/>
    <x v="0"/>
    <x v="5"/>
    <x v="2"/>
    <x v="29"/>
    <x v="0"/>
    <x v="0"/>
    <x v="0"/>
  </r>
  <r>
    <x v="62"/>
    <x v="74"/>
    <x v="86"/>
    <x v="1"/>
    <x v="29"/>
    <x v="74"/>
    <x v="74"/>
    <x v="73"/>
    <x v="73"/>
    <x v="0"/>
    <x v="345"/>
    <x v="357"/>
    <x v="320"/>
    <x v="293"/>
    <x v="45"/>
    <x v="330"/>
    <x v="26"/>
    <x v="2"/>
    <x v="24"/>
    <x v="3"/>
    <x v="3"/>
    <x v="83"/>
    <x v="282"/>
    <x v="0"/>
    <x v="0"/>
    <x v="2"/>
    <x v="2"/>
    <x v="29"/>
    <x v="0"/>
    <x v="0"/>
    <x v="0"/>
  </r>
  <r>
    <x v="62"/>
    <x v="75"/>
    <x v="88"/>
    <x v="1"/>
    <x v="9"/>
    <x v="76"/>
    <x v="76"/>
    <x v="75"/>
    <x v="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62"/>
    <x v="77"/>
    <x v="90"/>
    <x v="0"/>
    <x v="46"/>
    <x v="78"/>
    <x v="78"/>
    <x v="77"/>
    <x v="77"/>
    <x v="0"/>
    <x v="346"/>
    <x v="358"/>
    <x v="321"/>
    <x v="294"/>
    <x v="8"/>
    <x v="331"/>
    <x v="149"/>
    <x v="3"/>
    <x v="84"/>
    <x v="3"/>
    <x v="8"/>
    <x v="192"/>
    <x v="0"/>
    <x v="6"/>
    <x v="8"/>
    <x v="13"/>
    <x v="12"/>
    <x v="46"/>
    <x v="0"/>
    <x v="14"/>
    <x v="5"/>
  </r>
  <r>
    <x v="63"/>
    <x v="77"/>
    <x v="90"/>
    <x v="0"/>
    <x v="46"/>
    <x v="78"/>
    <x v="78"/>
    <x v="77"/>
    <x v="77"/>
    <x v="0"/>
    <x v="347"/>
    <x v="359"/>
    <x v="322"/>
    <x v="295"/>
    <x v="8"/>
    <x v="332"/>
    <x v="39"/>
    <x v="1"/>
    <x v="53"/>
    <x v="5"/>
    <x v="6"/>
    <x v="193"/>
    <x v="183"/>
    <x v="7"/>
    <x v="9"/>
    <x v="10"/>
    <x v="12"/>
    <x v="46"/>
    <x v="0"/>
    <x v="14"/>
    <x v="5"/>
  </r>
  <r>
    <x v="63"/>
    <x v="78"/>
    <x v="91"/>
    <x v="0"/>
    <x v="47"/>
    <x v="79"/>
    <x v="79"/>
    <x v="78"/>
    <x v="78"/>
    <x v="0"/>
    <x v="348"/>
    <x v="360"/>
    <x v="323"/>
    <x v="294"/>
    <x v="2"/>
    <x v="333"/>
    <x v="57"/>
    <x v="2"/>
    <x v="109"/>
    <x v="7"/>
    <x v="6"/>
    <x v="194"/>
    <x v="283"/>
    <x v="0"/>
    <x v="0"/>
    <x v="1"/>
    <x v="1"/>
    <x v="31"/>
    <x v="0"/>
    <x v="14"/>
    <x v="5"/>
  </r>
  <r>
    <x v="64"/>
    <x v="77"/>
    <x v="90"/>
    <x v="0"/>
    <x v="46"/>
    <x v="78"/>
    <x v="78"/>
    <x v="77"/>
    <x v="77"/>
    <x v="0"/>
    <x v="349"/>
    <x v="361"/>
    <x v="324"/>
    <x v="180"/>
    <x v="8"/>
    <x v="334"/>
    <x v="19"/>
    <x v="1"/>
    <x v="29"/>
    <x v="3"/>
    <x v="0"/>
    <x v="195"/>
    <x v="284"/>
    <x v="8"/>
    <x v="10"/>
    <x v="1"/>
    <x v="5"/>
    <x v="46"/>
    <x v="0"/>
    <x v="14"/>
    <x v="5"/>
  </r>
  <r>
    <x v="64"/>
    <x v="78"/>
    <x v="91"/>
    <x v="0"/>
    <x v="47"/>
    <x v="79"/>
    <x v="79"/>
    <x v="78"/>
    <x v="78"/>
    <x v="0"/>
    <x v="350"/>
    <x v="362"/>
    <x v="325"/>
    <x v="296"/>
    <x v="42"/>
    <x v="259"/>
    <x v="137"/>
    <x v="2"/>
    <x v="110"/>
    <x v="15"/>
    <x v="7"/>
    <x v="196"/>
    <x v="12"/>
    <x v="0"/>
    <x v="0"/>
    <x v="10"/>
    <x v="26"/>
    <x v="31"/>
    <x v="0"/>
    <x v="14"/>
    <x v="5"/>
  </r>
  <r>
    <x v="64"/>
    <x v="79"/>
    <x v="92"/>
    <x v="0"/>
    <x v="48"/>
    <x v="80"/>
    <x v="80"/>
    <x v="79"/>
    <x v="79"/>
    <x v="0"/>
    <x v="351"/>
    <x v="363"/>
    <x v="326"/>
    <x v="297"/>
    <x v="37"/>
    <x v="335"/>
    <x v="28"/>
    <x v="11"/>
    <x v="85"/>
    <x v="9"/>
    <x v="12"/>
    <x v="197"/>
    <x v="285"/>
    <x v="0"/>
    <x v="0"/>
    <x v="7"/>
    <x v="5"/>
    <x v="47"/>
    <x v="0"/>
    <x v="14"/>
    <x v="5"/>
  </r>
  <r>
    <x v="65"/>
    <x v="77"/>
    <x v="90"/>
    <x v="0"/>
    <x v="46"/>
    <x v="78"/>
    <x v="78"/>
    <x v="77"/>
    <x v="77"/>
    <x v="0"/>
    <x v="352"/>
    <x v="364"/>
    <x v="327"/>
    <x v="154"/>
    <x v="12"/>
    <x v="336"/>
    <x v="150"/>
    <x v="7"/>
    <x v="36"/>
    <x v="5"/>
    <x v="23"/>
    <x v="16"/>
    <x v="286"/>
    <x v="9"/>
    <x v="11"/>
    <x v="4"/>
    <x v="5"/>
    <x v="46"/>
    <x v="0"/>
    <x v="14"/>
    <x v="5"/>
  </r>
  <r>
    <x v="65"/>
    <x v="78"/>
    <x v="91"/>
    <x v="0"/>
    <x v="47"/>
    <x v="79"/>
    <x v="79"/>
    <x v="78"/>
    <x v="78"/>
    <x v="0"/>
    <x v="353"/>
    <x v="365"/>
    <x v="328"/>
    <x v="298"/>
    <x v="58"/>
    <x v="337"/>
    <x v="151"/>
    <x v="7"/>
    <x v="111"/>
    <x v="43"/>
    <x v="6"/>
    <x v="198"/>
    <x v="287"/>
    <x v="0"/>
    <x v="0"/>
    <x v="1"/>
    <x v="12"/>
    <x v="31"/>
    <x v="0"/>
    <x v="14"/>
    <x v="5"/>
  </r>
  <r>
    <x v="65"/>
    <x v="79"/>
    <x v="92"/>
    <x v="0"/>
    <x v="48"/>
    <x v="80"/>
    <x v="80"/>
    <x v="79"/>
    <x v="79"/>
    <x v="0"/>
    <x v="354"/>
    <x v="366"/>
    <x v="329"/>
    <x v="53"/>
    <x v="8"/>
    <x v="338"/>
    <x v="106"/>
    <x v="0"/>
    <x v="23"/>
    <x v="10"/>
    <x v="4"/>
    <x v="131"/>
    <x v="45"/>
    <x v="0"/>
    <x v="0"/>
    <x v="5"/>
    <x v="2"/>
    <x v="47"/>
    <x v="0"/>
    <x v="14"/>
    <x v="5"/>
  </r>
  <r>
    <x v="66"/>
    <x v="77"/>
    <x v="90"/>
    <x v="0"/>
    <x v="46"/>
    <x v="78"/>
    <x v="78"/>
    <x v="77"/>
    <x v="77"/>
    <x v="0"/>
    <x v="355"/>
    <x v="367"/>
    <x v="330"/>
    <x v="299"/>
    <x v="32"/>
    <x v="339"/>
    <x v="152"/>
    <x v="0"/>
    <x v="85"/>
    <x v="11"/>
    <x v="0"/>
    <x v="105"/>
    <x v="288"/>
    <x v="10"/>
    <x v="12"/>
    <x v="7"/>
    <x v="6"/>
    <x v="46"/>
    <x v="0"/>
    <x v="14"/>
    <x v="5"/>
  </r>
  <r>
    <x v="66"/>
    <x v="78"/>
    <x v="91"/>
    <x v="0"/>
    <x v="47"/>
    <x v="79"/>
    <x v="79"/>
    <x v="78"/>
    <x v="78"/>
    <x v="0"/>
    <x v="356"/>
    <x v="368"/>
    <x v="331"/>
    <x v="300"/>
    <x v="8"/>
    <x v="340"/>
    <x v="153"/>
    <x v="0"/>
    <x v="112"/>
    <x v="45"/>
    <x v="24"/>
    <x v="199"/>
    <x v="11"/>
    <x v="0"/>
    <x v="0"/>
    <x v="3"/>
    <x v="12"/>
    <x v="31"/>
    <x v="0"/>
    <x v="14"/>
    <x v="5"/>
  </r>
  <r>
    <x v="66"/>
    <x v="79"/>
    <x v="92"/>
    <x v="0"/>
    <x v="48"/>
    <x v="80"/>
    <x v="80"/>
    <x v="79"/>
    <x v="79"/>
    <x v="0"/>
    <x v="357"/>
    <x v="369"/>
    <x v="234"/>
    <x v="301"/>
    <x v="12"/>
    <x v="341"/>
    <x v="100"/>
    <x v="7"/>
    <x v="1"/>
    <x v="8"/>
    <x v="0"/>
    <x v="200"/>
    <x v="289"/>
    <x v="0"/>
    <x v="0"/>
    <x v="4"/>
    <x v="6"/>
    <x v="47"/>
    <x v="0"/>
    <x v="14"/>
    <x v="5"/>
  </r>
  <r>
    <x v="67"/>
    <x v="77"/>
    <x v="90"/>
    <x v="0"/>
    <x v="46"/>
    <x v="78"/>
    <x v="78"/>
    <x v="77"/>
    <x v="77"/>
    <x v="0"/>
    <x v="358"/>
    <x v="370"/>
    <x v="332"/>
    <x v="302"/>
    <x v="8"/>
    <x v="342"/>
    <x v="152"/>
    <x v="0"/>
    <x v="5"/>
    <x v="5"/>
    <x v="0"/>
    <x v="201"/>
    <x v="76"/>
    <x v="11"/>
    <x v="13"/>
    <x v="12"/>
    <x v="37"/>
    <x v="46"/>
    <x v="0"/>
    <x v="14"/>
    <x v="5"/>
  </r>
  <r>
    <x v="67"/>
    <x v="78"/>
    <x v="91"/>
    <x v="0"/>
    <x v="47"/>
    <x v="79"/>
    <x v="79"/>
    <x v="78"/>
    <x v="78"/>
    <x v="0"/>
    <x v="359"/>
    <x v="371"/>
    <x v="333"/>
    <x v="303"/>
    <x v="7"/>
    <x v="343"/>
    <x v="154"/>
    <x v="7"/>
    <x v="66"/>
    <x v="53"/>
    <x v="9"/>
    <x v="202"/>
    <x v="290"/>
    <x v="0"/>
    <x v="0"/>
    <x v="10"/>
    <x v="13"/>
    <x v="31"/>
    <x v="0"/>
    <x v="14"/>
    <x v="5"/>
  </r>
  <r>
    <x v="67"/>
    <x v="79"/>
    <x v="92"/>
    <x v="0"/>
    <x v="48"/>
    <x v="80"/>
    <x v="80"/>
    <x v="79"/>
    <x v="79"/>
    <x v="0"/>
    <x v="360"/>
    <x v="372"/>
    <x v="334"/>
    <x v="304"/>
    <x v="12"/>
    <x v="344"/>
    <x v="139"/>
    <x v="3"/>
    <x v="10"/>
    <x v="51"/>
    <x v="7"/>
    <x v="3"/>
    <x v="291"/>
    <x v="0"/>
    <x v="0"/>
    <x v="2"/>
    <x v="5"/>
    <x v="47"/>
    <x v="0"/>
    <x v="14"/>
    <x v="5"/>
  </r>
  <r>
    <x v="68"/>
    <x v="77"/>
    <x v="90"/>
    <x v="0"/>
    <x v="46"/>
    <x v="78"/>
    <x v="78"/>
    <x v="77"/>
    <x v="77"/>
    <x v="0"/>
    <x v="361"/>
    <x v="373"/>
    <x v="335"/>
    <x v="267"/>
    <x v="7"/>
    <x v="345"/>
    <x v="33"/>
    <x v="0"/>
    <x v="84"/>
    <x v="3"/>
    <x v="0"/>
    <x v="203"/>
    <x v="292"/>
    <x v="11"/>
    <x v="14"/>
    <x v="2"/>
    <x v="10"/>
    <x v="46"/>
    <x v="0"/>
    <x v="14"/>
    <x v="5"/>
  </r>
  <r>
    <x v="68"/>
    <x v="78"/>
    <x v="91"/>
    <x v="0"/>
    <x v="47"/>
    <x v="79"/>
    <x v="79"/>
    <x v="78"/>
    <x v="78"/>
    <x v="0"/>
    <x v="362"/>
    <x v="374"/>
    <x v="336"/>
    <x v="305"/>
    <x v="53"/>
    <x v="240"/>
    <x v="155"/>
    <x v="3"/>
    <x v="113"/>
    <x v="29"/>
    <x v="7"/>
    <x v="204"/>
    <x v="69"/>
    <x v="0"/>
    <x v="0"/>
    <x v="0"/>
    <x v="25"/>
    <x v="31"/>
    <x v="0"/>
    <x v="14"/>
    <x v="5"/>
  </r>
  <r>
    <x v="68"/>
    <x v="79"/>
    <x v="92"/>
    <x v="0"/>
    <x v="48"/>
    <x v="80"/>
    <x v="80"/>
    <x v="79"/>
    <x v="79"/>
    <x v="0"/>
    <x v="363"/>
    <x v="375"/>
    <x v="140"/>
    <x v="306"/>
    <x v="0"/>
    <x v="346"/>
    <x v="15"/>
    <x v="2"/>
    <x v="14"/>
    <x v="3"/>
    <x v="3"/>
    <x v="15"/>
    <x v="15"/>
    <x v="0"/>
    <x v="0"/>
    <x v="5"/>
    <x v="2"/>
    <x v="47"/>
    <x v="0"/>
    <x v="14"/>
    <x v="5"/>
  </r>
  <r>
    <x v="68"/>
    <x v="80"/>
    <x v="93"/>
    <x v="0"/>
    <x v="49"/>
    <x v="81"/>
    <x v="81"/>
    <x v="80"/>
    <x v="80"/>
    <x v="0"/>
    <x v="364"/>
    <x v="376"/>
    <x v="337"/>
    <x v="307"/>
    <x v="0"/>
    <x v="347"/>
    <x v="32"/>
    <x v="3"/>
    <x v="21"/>
    <x v="11"/>
    <x v="4"/>
    <x v="74"/>
    <x v="293"/>
    <x v="0"/>
    <x v="0"/>
    <x v="12"/>
    <x v="11"/>
    <x v="6"/>
    <x v="0"/>
    <x v="13"/>
    <x v="5"/>
  </r>
  <r>
    <x v="69"/>
    <x v="70"/>
    <x v="81"/>
    <x v="0"/>
    <x v="45"/>
    <x v="69"/>
    <x v="69"/>
    <x v="68"/>
    <x v="6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5"/>
    <x v="0"/>
    <x v="13"/>
    <x v="5"/>
  </r>
  <r>
    <x v="69"/>
    <x v="77"/>
    <x v="90"/>
    <x v="0"/>
    <x v="46"/>
    <x v="78"/>
    <x v="78"/>
    <x v="77"/>
    <x v="77"/>
    <x v="0"/>
    <x v="365"/>
    <x v="377"/>
    <x v="94"/>
    <x v="308"/>
    <x v="41"/>
    <x v="348"/>
    <x v="15"/>
    <x v="2"/>
    <x v="24"/>
    <x v="3"/>
    <x v="3"/>
    <x v="20"/>
    <x v="294"/>
    <x v="2"/>
    <x v="15"/>
    <x v="5"/>
    <x v="2"/>
    <x v="46"/>
    <x v="0"/>
    <x v="14"/>
    <x v="5"/>
  </r>
  <r>
    <x v="69"/>
    <x v="78"/>
    <x v="91"/>
    <x v="0"/>
    <x v="47"/>
    <x v="79"/>
    <x v="79"/>
    <x v="78"/>
    <x v="78"/>
    <x v="0"/>
    <x v="366"/>
    <x v="378"/>
    <x v="100"/>
    <x v="176"/>
    <x v="37"/>
    <x v="349"/>
    <x v="7"/>
    <x v="2"/>
    <x v="8"/>
    <x v="5"/>
    <x v="3"/>
    <x v="56"/>
    <x v="295"/>
    <x v="0"/>
    <x v="0"/>
    <x v="5"/>
    <x v="2"/>
    <x v="31"/>
    <x v="0"/>
    <x v="14"/>
    <x v="5"/>
  </r>
  <r>
    <x v="69"/>
    <x v="79"/>
    <x v="92"/>
    <x v="0"/>
    <x v="48"/>
    <x v="80"/>
    <x v="80"/>
    <x v="79"/>
    <x v="79"/>
    <x v="0"/>
    <x v="367"/>
    <x v="379"/>
    <x v="338"/>
    <x v="309"/>
    <x v="35"/>
    <x v="350"/>
    <x v="87"/>
    <x v="3"/>
    <x v="39"/>
    <x v="8"/>
    <x v="1"/>
    <x v="65"/>
    <x v="296"/>
    <x v="0"/>
    <x v="0"/>
    <x v="2"/>
    <x v="11"/>
    <x v="47"/>
    <x v="0"/>
    <x v="14"/>
    <x v="5"/>
  </r>
  <r>
    <x v="69"/>
    <x v="80"/>
    <x v="93"/>
    <x v="0"/>
    <x v="49"/>
    <x v="81"/>
    <x v="81"/>
    <x v="80"/>
    <x v="80"/>
    <x v="0"/>
    <x v="368"/>
    <x v="380"/>
    <x v="339"/>
    <x v="310"/>
    <x v="2"/>
    <x v="351"/>
    <x v="120"/>
    <x v="0"/>
    <x v="37"/>
    <x v="12"/>
    <x v="0"/>
    <x v="49"/>
    <x v="195"/>
    <x v="0"/>
    <x v="0"/>
    <x v="11"/>
    <x v="11"/>
    <x v="6"/>
    <x v="0"/>
    <x v="13"/>
    <x v="5"/>
  </r>
  <r>
    <x v="69"/>
    <x v="81"/>
    <x v="94"/>
    <x v="0"/>
    <x v="50"/>
    <x v="82"/>
    <x v="82"/>
    <x v="81"/>
    <x v="81"/>
    <x v="0"/>
    <x v="369"/>
    <x v="381"/>
    <x v="340"/>
    <x v="311"/>
    <x v="50"/>
    <x v="352"/>
    <x v="112"/>
    <x v="1"/>
    <x v="87"/>
    <x v="5"/>
    <x v="1"/>
    <x v="64"/>
    <x v="297"/>
    <x v="12"/>
    <x v="16"/>
    <x v="1"/>
    <x v="12"/>
    <x v="48"/>
    <x v="0"/>
    <x v="14"/>
    <x v="5"/>
  </r>
  <r>
    <x v="70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70"/>
    <x v="78"/>
    <x v="91"/>
    <x v="0"/>
    <x v="47"/>
    <x v="79"/>
    <x v="79"/>
    <x v="78"/>
    <x v="78"/>
    <x v="0"/>
    <x v="370"/>
    <x v="382"/>
    <x v="341"/>
    <x v="296"/>
    <x v="7"/>
    <x v="340"/>
    <x v="156"/>
    <x v="7"/>
    <x v="114"/>
    <x v="54"/>
    <x v="0"/>
    <x v="73"/>
    <x v="298"/>
    <x v="0"/>
    <x v="0"/>
    <x v="7"/>
    <x v="11"/>
    <x v="31"/>
    <x v="0"/>
    <x v="14"/>
    <x v="5"/>
  </r>
  <r>
    <x v="70"/>
    <x v="79"/>
    <x v="92"/>
    <x v="0"/>
    <x v="48"/>
    <x v="80"/>
    <x v="80"/>
    <x v="79"/>
    <x v="79"/>
    <x v="0"/>
    <x v="371"/>
    <x v="383"/>
    <x v="342"/>
    <x v="312"/>
    <x v="3"/>
    <x v="353"/>
    <x v="18"/>
    <x v="2"/>
    <x v="14"/>
    <x v="5"/>
    <x v="3"/>
    <x v="27"/>
    <x v="297"/>
    <x v="0"/>
    <x v="0"/>
    <x v="5"/>
    <x v="2"/>
    <x v="47"/>
    <x v="0"/>
    <x v="14"/>
    <x v="5"/>
  </r>
  <r>
    <x v="70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5"/>
  </r>
  <r>
    <x v="70"/>
    <x v="81"/>
    <x v="94"/>
    <x v="0"/>
    <x v="50"/>
    <x v="82"/>
    <x v="82"/>
    <x v="81"/>
    <x v="81"/>
    <x v="0"/>
    <x v="372"/>
    <x v="384"/>
    <x v="304"/>
    <x v="313"/>
    <x v="10"/>
    <x v="354"/>
    <x v="23"/>
    <x v="2"/>
    <x v="24"/>
    <x v="3"/>
    <x v="3"/>
    <x v="75"/>
    <x v="11"/>
    <x v="13"/>
    <x v="17"/>
    <x v="5"/>
    <x v="2"/>
    <x v="48"/>
    <x v="0"/>
    <x v="14"/>
    <x v="5"/>
  </r>
  <r>
    <x v="70"/>
    <x v="82"/>
    <x v="95"/>
    <x v="0"/>
    <x v="51"/>
    <x v="83"/>
    <x v="83"/>
    <x v="82"/>
    <x v="82"/>
    <x v="0"/>
    <x v="373"/>
    <x v="385"/>
    <x v="343"/>
    <x v="314"/>
    <x v="81"/>
    <x v="60"/>
    <x v="46"/>
    <x v="7"/>
    <x v="7"/>
    <x v="3"/>
    <x v="1"/>
    <x v="149"/>
    <x v="299"/>
    <x v="8"/>
    <x v="18"/>
    <x v="7"/>
    <x v="13"/>
    <x v="49"/>
    <x v="0"/>
    <x v="14"/>
    <x v="5"/>
  </r>
  <r>
    <x v="70"/>
    <x v="82"/>
    <x v="96"/>
    <x v="1"/>
    <x v="46"/>
    <x v="84"/>
    <x v="84"/>
    <x v="83"/>
    <x v="83"/>
    <x v="0"/>
    <x v="374"/>
    <x v="386"/>
    <x v="344"/>
    <x v="227"/>
    <x v="29"/>
    <x v="355"/>
    <x v="17"/>
    <x v="2"/>
    <x v="8"/>
    <x v="11"/>
    <x v="3"/>
    <x v="51"/>
    <x v="300"/>
    <x v="14"/>
    <x v="19"/>
    <x v="7"/>
    <x v="5"/>
    <x v="46"/>
    <x v="0"/>
    <x v="14"/>
    <x v="5"/>
  </r>
  <r>
    <x v="71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  <x v="0"/>
    <x v="6"/>
    <x v="4"/>
  </r>
  <r>
    <x v="71"/>
    <x v="69"/>
    <x v="80"/>
    <x v="0"/>
    <x v="44"/>
    <x v="68"/>
    <x v="68"/>
    <x v="67"/>
    <x v="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4"/>
    <x v="0"/>
    <x v="13"/>
    <x v="5"/>
  </r>
  <r>
    <x v="71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71"/>
    <x v="78"/>
    <x v="91"/>
    <x v="0"/>
    <x v="47"/>
    <x v="79"/>
    <x v="79"/>
    <x v="78"/>
    <x v="78"/>
    <x v="0"/>
    <x v="375"/>
    <x v="387"/>
    <x v="345"/>
    <x v="315"/>
    <x v="81"/>
    <x v="290"/>
    <x v="157"/>
    <x v="7"/>
    <x v="115"/>
    <x v="55"/>
    <x v="1"/>
    <x v="205"/>
    <x v="125"/>
    <x v="0"/>
    <x v="0"/>
    <x v="4"/>
    <x v="3"/>
    <x v="31"/>
    <x v="0"/>
    <x v="14"/>
    <x v="5"/>
  </r>
  <r>
    <x v="71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71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5"/>
  </r>
  <r>
    <x v="71"/>
    <x v="82"/>
    <x v="95"/>
    <x v="0"/>
    <x v="51"/>
    <x v="83"/>
    <x v="83"/>
    <x v="82"/>
    <x v="82"/>
    <x v="0"/>
    <x v="376"/>
    <x v="388"/>
    <x v="248"/>
    <x v="316"/>
    <x v="52"/>
    <x v="356"/>
    <x v="18"/>
    <x v="2"/>
    <x v="14"/>
    <x v="3"/>
    <x v="3"/>
    <x v="20"/>
    <x v="166"/>
    <x v="2"/>
    <x v="20"/>
    <x v="5"/>
    <x v="2"/>
    <x v="49"/>
    <x v="0"/>
    <x v="14"/>
    <x v="5"/>
  </r>
  <r>
    <x v="71"/>
    <x v="82"/>
    <x v="96"/>
    <x v="1"/>
    <x v="46"/>
    <x v="84"/>
    <x v="84"/>
    <x v="83"/>
    <x v="8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71"/>
    <x v="83"/>
    <x v="97"/>
    <x v="0"/>
    <x v="52"/>
    <x v="85"/>
    <x v="85"/>
    <x v="84"/>
    <x v="84"/>
    <x v="0"/>
    <x v="377"/>
    <x v="389"/>
    <x v="346"/>
    <x v="317"/>
    <x v="55"/>
    <x v="357"/>
    <x v="112"/>
    <x v="7"/>
    <x v="45"/>
    <x v="5"/>
    <x v="4"/>
    <x v="36"/>
    <x v="301"/>
    <x v="15"/>
    <x v="21"/>
    <x v="5"/>
    <x v="5"/>
    <x v="50"/>
    <x v="0"/>
    <x v="14"/>
    <x v="5"/>
  </r>
  <r>
    <x v="72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72"/>
    <x v="78"/>
    <x v="91"/>
    <x v="0"/>
    <x v="47"/>
    <x v="79"/>
    <x v="79"/>
    <x v="78"/>
    <x v="78"/>
    <x v="0"/>
    <x v="378"/>
    <x v="390"/>
    <x v="347"/>
    <x v="158"/>
    <x v="30"/>
    <x v="358"/>
    <x v="158"/>
    <x v="0"/>
    <x v="116"/>
    <x v="2"/>
    <x v="0"/>
    <x v="206"/>
    <x v="302"/>
    <x v="0"/>
    <x v="0"/>
    <x v="4"/>
    <x v="2"/>
    <x v="31"/>
    <x v="0"/>
    <x v="14"/>
    <x v="5"/>
  </r>
  <r>
    <x v="72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72"/>
    <x v="81"/>
    <x v="94"/>
    <x v="0"/>
    <x v="50"/>
    <x v="82"/>
    <x v="82"/>
    <x v="81"/>
    <x v="8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8"/>
    <x v="0"/>
    <x v="14"/>
    <x v="5"/>
  </r>
  <r>
    <x v="72"/>
    <x v="83"/>
    <x v="97"/>
    <x v="0"/>
    <x v="52"/>
    <x v="85"/>
    <x v="85"/>
    <x v="84"/>
    <x v="84"/>
    <x v="0"/>
    <x v="379"/>
    <x v="391"/>
    <x v="348"/>
    <x v="318"/>
    <x v="26"/>
    <x v="359"/>
    <x v="62"/>
    <x v="1"/>
    <x v="91"/>
    <x v="3"/>
    <x v="0"/>
    <x v="36"/>
    <x v="303"/>
    <x v="16"/>
    <x v="22"/>
    <x v="5"/>
    <x v="12"/>
    <x v="50"/>
    <x v="0"/>
    <x v="14"/>
    <x v="5"/>
  </r>
  <r>
    <x v="72"/>
    <x v="84"/>
    <x v="98"/>
    <x v="0"/>
    <x v="51"/>
    <x v="86"/>
    <x v="86"/>
    <x v="85"/>
    <x v="85"/>
    <x v="0"/>
    <x v="380"/>
    <x v="392"/>
    <x v="349"/>
    <x v="319"/>
    <x v="37"/>
    <x v="214"/>
    <x v="15"/>
    <x v="2"/>
    <x v="14"/>
    <x v="3"/>
    <x v="3"/>
    <x v="15"/>
    <x v="15"/>
    <x v="0"/>
    <x v="0"/>
    <x v="2"/>
    <x v="2"/>
    <x v="49"/>
    <x v="0"/>
    <x v="14"/>
    <x v="5"/>
  </r>
  <r>
    <x v="73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73"/>
    <x v="78"/>
    <x v="91"/>
    <x v="0"/>
    <x v="47"/>
    <x v="79"/>
    <x v="79"/>
    <x v="78"/>
    <x v="78"/>
    <x v="0"/>
    <x v="381"/>
    <x v="393"/>
    <x v="350"/>
    <x v="320"/>
    <x v="32"/>
    <x v="360"/>
    <x v="44"/>
    <x v="0"/>
    <x v="107"/>
    <x v="17"/>
    <x v="23"/>
    <x v="207"/>
    <x v="302"/>
    <x v="0"/>
    <x v="0"/>
    <x v="5"/>
    <x v="6"/>
    <x v="31"/>
    <x v="0"/>
    <x v="14"/>
    <x v="5"/>
  </r>
  <r>
    <x v="73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73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5"/>
  </r>
  <r>
    <x v="73"/>
    <x v="83"/>
    <x v="97"/>
    <x v="0"/>
    <x v="52"/>
    <x v="85"/>
    <x v="85"/>
    <x v="84"/>
    <x v="84"/>
    <x v="0"/>
    <x v="382"/>
    <x v="394"/>
    <x v="351"/>
    <x v="10"/>
    <x v="55"/>
    <x v="361"/>
    <x v="159"/>
    <x v="2"/>
    <x v="55"/>
    <x v="5"/>
    <x v="4"/>
    <x v="179"/>
    <x v="304"/>
    <x v="17"/>
    <x v="23"/>
    <x v="1"/>
    <x v="5"/>
    <x v="50"/>
    <x v="0"/>
    <x v="14"/>
    <x v="5"/>
  </r>
  <r>
    <x v="73"/>
    <x v="84"/>
    <x v="98"/>
    <x v="0"/>
    <x v="51"/>
    <x v="86"/>
    <x v="86"/>
    <x v="85"/>
    <x v="85"/>
    <x v="0"/>
    <x v="383"/>
    <x v="395"/>
    <x v="352"/>
    <x v="321"/>
    <x v="82"/>
    <x v="362"/>
    <x v="7"/>
    <x v="2"/>
    <x v="19"/>
    <x v="5"/>
    <x v="1"/>
    <x v="56"/>
    <x v="305"/>
    <x v="13"/>
    <x v="24"/>
    <x v="2"/>
    <x v="2"/>
    <x v="49"/>
    <x v="0"/>
    <x v="14"/>
    <x v="5"/>
  </r>
  <r>
    <x v="74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74"/>
    <x v="78"/>
    <x v="91"/>
    <x v="0"/>
    <x v="47"/>
    <x v="79"/>
    <x v="79"/>
    <x v="78"/>
    <x v="78"/>
    <x v="0"/>
    <x v="384"/>
    <x v="396"/>
    <x v="353"/>
    <x v="322"/>
    <x v="8"/>
    <x v="239"/>
    <x v="160"/>
    <x v="10"/>
    <x v="117"/>
    <x v="10"/>
    <x v="2"/>
    <x v="152"/>
    <x v="306"/>
    <x v="0"/>
    <x v="0"/>
    <x v="2"/>
    <x v="5"/>
    <x v="31"/>
    <x v="0"/>
    <x v="14"/>
    <x v="5"/>
  </r>
  <r>
    <x v="74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5"/>
  </r>
  <r>
    <x v="74"/>
    <x v="83"/>
    <x v="97"/>
    <x v="0"/>
    <x v="52"/>
    <x v="85"/>
    <x v="85"/>
    <x v="84"/>
    <x v="84"/>
    <x v="0"/>
    <x v="385"/>
    <x v="397"/>
    <x v="354"/>
    <x v="35"/>
    <x v="32"/>
    <x v="363"/>
    <x v="18"/>
    <x v="2"/>
    <x v="14"/>
    <x v="3"/>
    <x v="3"/>
    <x v="20"/>
    <x v="307"/>
    <x v="0"/>
    <x v="0"/>
    <x v="5"/>
    <x v="2"/>
    <x v="50"/>
    <x v="0"/>
    <x v="14"/>
    <x v="5"/>
  </r>
  <r>
    <x v="74"/>
    <x v="84"/>
    <x v="98"/>
    <x v="0"/>
    <x v="51"/>
    <x v="86"/>
    <x v="86"/>
    <x v="85"/>
    <x v="85"/>
    <x v="0"/>
    <x v="386"/>
    <x v="398"/>
    <x v="355"/>
    <x v="41"/>
    <x v="74"/>
    <x v="364"/>
    <x v="15"/>
    <x v="2"/>
    <x v="24"/>
    <x v="3"/>
    <x v="3"/>
    <x v="20"/>
    <x v="308"/>
    <x v="0"/>
    <x v="0"/>
    <x v="5"/>
    <x v="2"/>
    <x v="49"/>
    <x v="0"/>
    <x v="14"/>
    <x v="5"/>
  </r>
  <r>
    <x v="74"/>
    <x v="85"/>
    <x v="99"/>
    <x v="0"/>
    <x v="53"/>
    <x v="87"/>
    <x v="87"/>
    <x v="86"/>
    <x v="86"/>
    <x v="0"/>
    <x v="387"/>
    <x v="399"/>
    <x v="356"/>
    <x v="323"/>
    <x v="3"/>
    <x v="183"/>
    <x v="161"/>
    <x v="1"/>
    <x v="7"/>
    <x v="5"/>
    <x v="2"/>
    <x v="208"/>
    <x v="309"/>
    <x v="14"/>
    <x v="25"/>
    <x v="4"/>
    <x v="6"/>
    <x v="51"/>
    <x v="0"/>
    <x v="14"/>
    <x v="5"/>
  </r>
  <r>
    <x v="74"/>
    <x v="85"/>
    <x v="100"/>
    <x v="0"/>
    <x v="54"/>
    <x v="88"/>
    <x v="88"/>
    <x v="87"/>
    <x v="87"/>
    <x v="0"/>
    <x v="388"/>
    <x v="400"/>
    <x v="357"/>
    <x v="222"/>
    <x v="81"/>
    <x v="285"/>
    <x v="162"/>
    <x v="2"/>
    <x v="0"/>
    <x v="3"/>
    <x v="29"/>
    <x v="209"/>
    <x v="7"/>
    <x v="16"/>
    <x v="26"/>
    <x v="23"/>
    <x v="23"/>
    <x v="52"/>
    <x v="0"/>
    <x v="15"/>
    <x v="5"/>
  </r>
  <r>
    <x v="75"/>
    <x v="78"/>
    <x v="91"/>
    <x v="0"/>
    <x v="47"/>
    <x v="79"/>
    <x v="79"/>
    <x v="78"/>
    <x v="78"/>
    <x v="0"/>
    <x v="389"/>
    <x v="401"/>
    <x v="358"/>
    <x v="82"/>
    <x v="81"/>
    <x v="365"/>
    <x v="163"/>
    <x v="10"/>
    <x v="118"/>
    <x v="20"/>
    <x v="27"/>
    <x v="210"/>
    <x v="267"/>
    <x v="0"/>
    <x v="0"/>
    <x v="1"/>
    <x v="11"/>
    <x v="31"/>
    <x v="0"/>
    <x v="14"/>
    <x v="5"/>
  </r>
  <r>
    <x v="75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75"/>
    <x v="83"/>
    <x v="97"/>
    <x v="0"/>
    <x v="52"/>
    <x v="85"/>
    <x v="85"/>
    <x v="84"/>
    <x v="8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0"/>
    <x v="0"/>
    <x v="14"/>
    <x v="5"/>
  </r>
  <r>
    <x v="75"/>
    <x v="84"/>
    <x v="98"/>
    <x v="0"/>
    <x v="51"/>
    <x v="86"/>
    <x v="86"/>
    <x v="85"/>
    <x v="8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9"/>
    <x v="0"/>
    <x v="14"/>
    <x v="5"/>
  </r>
  <r>
    <x v="75"/>
    <x v="85"/>
    <x v="99"/>
    <x v="0"/>
    <x v="53"/>
    <x v="87"/>
    <x v="87"/>
    <x v="86"/>
    <x v="86"/>
    <x v="0"/>
    <x v="390"/>
    <x v="402"/>
    <x v="359"/>
    <x v="82"/>
    <x v="51"/>
    <x v="366"/>
    <x v="18"/>
    <x v="2"/>
    <x v="50"/>
    <x v="3"/>
    <x v="2"/>
    <x v="83"/>
    <x v="34"/>
    <x v="0"/>
    <x v="0"/>
    <x v="5"/>
    <x v="2"/>
    <x v="51"/>
    <x v="0"/>
    <x v="14"/>
    <x v="5"/>
  </r>
  <r>
    <x v="75"/>
    <x v="85"/>
    <x v="100"/>
    <x v="0"/>
    <x v="54"/>
    <x v="88"/>
    <x v="88"/>
    <x v="87"/>
    <x v="87"/>
    <x v="0"/>
    <x v="391"/>
    <x v="403"/>
    <x v="257"/>
    <x v="324"/>
    <x v="3"/>
    <x v="320"/>
    <x v="146"/>
    <x v="1"/>
    <x v="61"/>
    <x v="5"/>
    <x v="33"/>
    <x v="211"/>
    <x v="216"/>
    <x v="15"/>
    <x v="19"/>
    <x v="10"/>
    <x v="38"/>
    <x v="52"/>
    <x v="0"/>
    <x v="15"/>
    <x v="5"/>
  </r>
  <r>
    <x v="75"/>
    <x v="86"/>
    <x v="101"/>
    <x v="0"/>
    <x v="55"/>
    <x v="89"/>
    <x v="89"/>
    <x v="88"/>
    <x v="88"/>
    <x v="0"/>
    <x v="392"/>
    <x v="404"/>
    <x v="360"/>
    <x v="325"/>
    <x v="48"/>
    <x v="367"/>
    <x v="54"/>
    <x v="0"/>
    <x v="19"/>
    <x v="3"/>
    <x v="1"/>
    <x v="154"/>
    <x v="310"/>
    <x v="16"/>
    <x v="27"/>
    <x v="2"/>
    <x v="2"/>
    <x v="53"/>
    <x v="0"/>
    <x v="14"/>
    <x v="5"/>
  </r>
  <r>
    <x v="75"/>
    <x v="86"/>
    <x v="102"/>
    <x v="0"/>
    <x v="56"/>
    <x v="90"/>
    <x v="90"/>
    <x v="89"/>
    <x v="89"/>
    <x v="0"/>
    <x v="393"/>
    <x v="405"/>
    <x v="361"/>
    <x v="326"/>
    <x v="2"/>
    <x v="368"/>
    <x v="109"/>
    <x v="2"/>
    <x v="119"/>
    <x v="4"/>
    <x v="23"/>
    <x v="212"/>
    <x v="155"/>
    <x v="0"/>
    <x v="0"/>
    <x v="2"/>
    <x v="12"/>
    <x v="54"/>
    <x v="0"/>
    <x v="14"/>
    <x v="5"/>
  </r>
  <r>
    <x v="76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76"/>
    <x v="78"/>
    <x v="91"/>
    <x v="0"/>
    <x v="47"/>
    <x v="79"/>
    <x v="79"/>
    <x v="78"/>
    <x v="78"/>
    <x v="0"/>
    <x v="394"/>
    <x v="406"/>
    <x v="362"/>
    <x v="327"/>
    <x v="58"/>
    <x v="369"/>
    <x v="164"/>
    <x v="2"/>
    <x v="120"/>
    <x v="14"/>
    <x v="2"/>
    <x v="213"/>
    <x v="132"/>
    <x v="0"/>
    <x v="0"/>
    <x v="5"/>
    <x v="11"/>
    <x v="31"/>
    <x v="0"/>
    <x v="14"/>
    <x v="5"/>
  </r>
  <r>
    <x v="76"/>
    <x v="85"/>
    <x v="100"/>
    <x v="0"/>
    <x v="54"/>
    <x v="88"/>
    <x v="88"/>
    <x v="87"/>
    <x v="87"/>
    <x v="0"/>
    <x v="395"/>
    <x v="407"/>
    <x v="363"/>
    <x v="79"/>
    <x v="8"/>
    <x v="370"/>
    <x v="165"/>
    <x v="1"/>
    <x v="121"/>
    <x v="3"/>
    <x v="28"/>
    <x v="167"/>
    <x v="222"/>
    <x v="8"/>
    <x v="28"/>
    <x v="7"/>
    <x v="8"/>
    <x v="52"/>
    <x v="0"/>
    <x v="15"/>
    <x v="5"/>
  </r>
  <r>
    <x v="76"/>
    <x v="86"/>
    <x v="101"/>
    <x v="0"/>
    <x v="55"/>
    <x v="89"/>
    <x v="89"/>
    <x v="88"/>
    <x v="88"/>
    <x v="0"/>
    <x v="396"/>
    <x v="408"/>
    <x v="92"/>
    <x v="328"/>
    <x v="83"/>
    <x v="371"/>
    <x v="41"/>
    <x v="2"/>
    <x v="42"/>
    <x v="3"/>
    <x v="3"/>
    <x v="8"/>
    <x v="311"/>
    <x v="18"/>
    <x v="29"/>
    <x v="4"/>
    <x v="5"/>
    <x v="53"/>
    <x v="0"/>
    <x v="14"/>
    <x v="5"/>
  </r>
  <r>
    <x v="76"/>
    <x v="86"/>
    <x v="102"/>
    <x v="0"/>
    <x v="56"/>
    <x v="90"/>
    <x v="90"/>
    <x v="89"/>
    <x v="89"/>
    <x v="0"/>
    <x v="397"/>
    <x v="409"/>
    <x v="364"/>
    <x v="329"/>
    <x v="0"/>
    <x v="372"/>
    <x v="74"/>
    <x v="7"/>
    <x v="122"/>
    <x v="11"/>
    <x v="4"/>
    <x v="214"/>
    <x v="312"/>
    <x v="0"/>
    <x v="0"/>
    <x v="2"/>
    <x v="12"/>
    <x v="54"/>
    <x v="0"/>
    <x v="14"/>
    <x v="5"/>
  </r>
  <r>
    <x v="77"/>
    <x v="78"/>
    <x v="91"/>
    <x v="0"/>
    <x v="47"/>
    <x v="79"/>
    <x v="79"/>
    <x v="78"/>
    <x v="78"/>
    <x v="0"/>
    <x v="398"/>
    <x v="410"/>
    <x v="365"/>
    <x v="281"/>
    <x v="58"/>
    <x v="373"/>
    <x v="166"/>
    <x v="0"/>
    <x v="86"/>
    <x v="42"/>
    <x v="6"/>
    <x v="215"/>
    <x v="313"/>
    <x v="0"/>
    <x v="0"/>
    <x v="5"/>
    <x v="5"/>
    <x v="31"/>
    <x v="0"/>
    <x v="14"/>
    <x v="5"/>
  </r>
  <r>
    <x v="77"/>
    <x v="85"/>
    <x v="100"/>
    <x v="0"/>
    <x v="54"/>
    <x v="88"/>
    <x v="88"/>
    <x v="87"/>
    <x v="87"/>
    <x v="0"/>
    <x v="399"/>
    <x v="411"/>
    <x v="366"/>
    <x v="330"/>
    <x v="42"/>
    <x v="374"/>
    <x v="167"/>
    <x v="0"/>
    <x v="64"/>
    <x v="3"/>
    <x v="34"/>
    <x v="216"/>
    <x v="143"/>
    <x v="19"/>
    <x v="30"/>
    <x v="21"/>
    <x v="39"/>
    <x v="52"/>
    <x v="0"/>
    <x v="15"/>
    <x v="5"/>
  </r>
  <r>
    <x v="77"/>
    <x v="86"/>
    <x v="101"/>
    <x v="0"/>
    <x v="55"/>
    <x v="89"/>
    <x v="89"/>
    <x v="88"/>
    <x v="88"/>
    <x v="0"/>
    <x v="400"/>
    <x v="412"/>
    <x v="286"/>
    <x v="331"/>
    <x v="34"/>
    <x v="375"/>
    <x v="18"/>
    <x v="2"/>
    <x v="14"/>
    <x v="3"/>
    <x v="3"/>
    <x v="20"/>
    <x v="314"/>
    <x v="2"/>
    <x v="31"/>
    <x v="5"/>
    <x v="2"/>
    <x v="53"/>
    <x v="0"/>
    <x v="14"/>
    <x v="5"/>
  </r>
  <r>
    <x v="77"/>
    <x v="86"/>
    <x v="102"/>
    <x v="0"/>
    <x v="56"/>
    <x v="90"/>
    <x v="90"/>
    <x v="89"/>
    <x v="89"/>
    <x v="0"/>
    <x v="401"/>
    <x v="413"/>
    <x v="355"/>
    <x v="332"/>
    <x v="2"/>
    <x v="376"/>
    <x v="15"/>
    <x v="2"/>
    <x v="24"/>
    <x v="3"/>
    <x v="3"/>
    <x v="20"/>
    <x v="298"/>
    <x v="0"/>
    <x v="0"/>
    <x v="5"/>
    <x v="2"/>
    <x v="54"/>
    <x v="0"/>
    <x v="14"/>
    <x v="5"/>
  </r>
  <r>
    <x v="78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78"/>
    <x v="78"/>
    <x v="91"/>
    <x v="0"/>
    <x v="47"/>
    <x v="79"/>
    <x v="79"/>
    <x v="78"/>
    <x v="78"/>
    <x v="0"/>
    <x v="402"/>
    <x v="414"/>
    <x v="367"/>
    <x v="333"/>
    <x v="10"/>
    <x v="377"/>
    <x v="158"/>
    <x v="7"/>
    <x v="123"/>
    <x v="8"/>
    <x v="1"/>
    <x v="217"/>
    <x v="315"/>
    <x v="0"/>
    <x v="0"/>
    <x v="2"/>
    <x v="2"/>
    <x v="31"/>
    <x v="0"/>
    <x v="14"/>
    <x v="5"/>
  </r>
  <r>
    <x v="78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78"/>
    <x v="85"/>
    <x v="100"/>
    <x v="0"/>
    <x v="54"/>
    <x v="88"/>
    <x v="88"/>
    <x v="87"/>
    <x v="87"/>
    <x v="0"/>
    <x v="403"/>
    <x v="415"/>
    <x v="368"/>
    <x v="267"/>
    <x v="2"/>
    <x v="378"/>
    <x v="79"/>
    <x v="0"/>
    <x v="122"/>
    <x v="5"/>
    <x v="35"/>
    <x v="218"/>
    <x v="84"/>
    <x v="20"/>
    <x v="32"/>
    <x v="8"/>
    <x v="40"/>
    <x v="52"/>
    <x v="0"/>
    <x v="15"/>
    <x v="5"/>
  </r>
  <r>
    <x v="78"/>
    <x v="86"/>
    <x v="102"/>
    <x v="0"/>
    <x v="56"/>
    <x v="90"/>
    <x v="90"/>
    <x v="89"/>
    <x v="89"/>
    <x v="0"/>
    <x v="404"/>
    <x v="416"/>
    <x v="369"/>
    <x v="245"/>
    <x v="10"/>
    <x v="193"/>
    <x v="168"/>
    <x v="0"/>
    <x v="64"/>
    <x v="10"/>
    <x v="24"/>
    <x v="219"/>
    <x v="316"/>
    <x v="0"/>
    <x v="0"/>
    <x v="12"/>
    <x v="11"/>
    <x v="54"/>
    <x v="0"/>
    <x v="14"/>
    <x v="5"/>
  </r>
  <r>
    <x v="79"/>
    <x v="78"/>
    <x v="91"/>
    <x v="0"/>
    <x v="47"/>
    <x v="79"/>
    <x v="79"/>
    <x v="78"/>
    <x v="78"/>
    <x v="0"/>
    <x v="405"/>
    <x v="417"/>
    <x v="370"/>
    <x v="334"/>
    <x v="12"/>
    <x v="379"/>
    <x v="164"/>
    <x v="2"/>
    <x v="124"/>
    <x v="32"/>
    <x v="4"/>
    <x v="220"/>
    <x v="180"/>
    <x v="0"/>
    <x v="0"/>
    <x v="2"/>
    <x v="12"/>
    <x v="31"/>
    <x v="0"/>
    <x v="14"/>
    <x v="5"/>
  </r>
  <r>
    <x v="79"/>
    <x v="85"/>
    <x v="100"/>
    <x v="0"/>
    <x v="54"/>
    <x v="88"/>
    <x v="88"/>
    <x v="87"/>
    <x v="87"/>
    <x v="0"/>
    <x v="406"/>
    <x v="418"/>
    <x v="371"/>
    <x v="335"/>
    <x v="4"/>
    <x v="380"/>
    <x v="169"/>
    <x v="1"/>
    <x v="125"/>
    <x v="5"/>
    <x v="36"/>
    <x v="221"/>
    <x v="317"/>
    <x v="11"/>
    <x v="33"/>
    <x v="39"/>
    <x v="25"/>
    <x v="52"/>
    <x v="0"/>
    <x v="15"/>
    <x v="5"/>
  </r>
  <r>
    <x v="79"/>
    <x v="86"/>
    <x v="102"/>
    <x v="0"/>
    <x v="56"/>
    <x v="90"/>
    <x v="90"/>
    <x v="89"/>
    <x v="89"/>
    <x v="0"/>
    <x v="407"/>
    <x v="419"/>
    <x v="372"/>
    <x v="336"/>
    <x v="58"/>
    <x v="381"/>
    <x v="74"/>
    <x v="2"/>
    <x v="126"/>
    <x v="4"/>
    <x v="7"/>
    <x v="92"/>
    <x v="318"/>
    <x v="0"/>
    <x v="0"/>
    <x v="2"/>
    <x v="11"/>
    <x v="54"/>
    <x v="0"/>
    <x v="14"/>
    <x v="5"/>
  </r>
  <r>
    <x v="80"/>
    <x v="78"/>
    <x v="91"/>
    <x v="0"/>
    <x v="47"/>
    <x v="79"/>
    <x v="79"/>
    <x v="78"/>
    <x v="78"/>
    <x v="0"/>
    <x v="408"/>
    <x v="420"/>
    <x v="373"/>
    <x v="337"/>
    <x v="8"/>
    <x v="382"/>
    <x v="84"/>
    <x v="0"/>
    <x v="127"/>
    <x v="40"/>
    <x v="4"/>
    <x v="222"/>
    <x v="6"/>
    <x v="0"/>
    <x v="0"/>
    <x v="1"/>
    <x v="11"/>
    <x v="31"/>
    <x v="0"/>
    <x v="14"/>
    <x v="5"/>
  </r>
  <r>
    <x v="80"/>
    <x v="85"/>
    <x v="100"/>
    <x v="0"/>
    <x v="54"/>
    <x v="88"/>
    <x v="88"/>
    <x v="87"/>
    <x v="87"/>
    <x v="0"/>
    <x v="409"/>
    <x v="421"/>
    <x v="374"/>
    <x v="337"/>
    <x v="2"/>
    <x v="383"/>
    <x v="8"/>
    <x v="2"/>
    <x v="14"/>
    <x v="3"/>
    <x v="3"/>
    <x v="27"/>
    <x v="319"/>
    <x v="0"/>
    <x v="0"/>
    <x v="5"/>
    <x v="5"/>
    <x v="52"/>
    <x v="0"/>
    <x v="15"/>
    <x v="5"/>
  </r>
  <r>
    <x v="80"/>
    <x v="86"/>
    <x v="102"/>
    <x v="0"/>
    <x v="56"/>
    <x v="90"/>
    <x v="90"/>
    <x v="89"/>
    <x v="89"/>
    <x v="0"/>
    <x v="410"/>
    <x v="422"/>
    <x v="375"/>
    <x v="172"/>
    <x v="58"/>
    <x v="384"/>
    <x v="170"/>
    <x v="7"/>
    <x v="128"/>
    <x v="13"/>
    <x v="6"/>
    <x v="223"/>
    <x v="320"/>
    <x v="0"/>
    <x v="0"/>
    <x v="2"/>
    <x v="10"/>
    <x v="54"/>
    <x v="0"/>
    <x v="14"/>
    <x v="5"/>
  </r>
  <r>
    <x v="81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81"/>
    <x v="78"/>
    <x v="91"/>
    <x v="0"/>
    <x v="47"/>
    <x v="79"/>
    <x v="79"/>
    <x v="78"/>
    <x v="78"/>
    <x v="0"/>
    <x v="411"/>
    <x v="423"/>
    <x v="376"/>
    <x v="338"/>
    <x v="58"/>
    <x v="142"/>
    <x v="109"/>
    <x v="7"/>
    <x v="120"/>
    <x v="51"/>
    <x v="8"/>
    <x v="224"/>
    <x v="11"/>
    <x v="0"/>
    <x v="0"/>
    <x v="2"/>
    <x v="6"/>
    <x v="31"/>
    <x v="0"/>
    <x v="14"/>
    <x v="5"/>
  </r>
  <r>
    <x v="81"/>
    <x v="85"/>
    <x v="100"/>
    <x v="0"/>
    <x v="54"/>
    <x v="88"/>
    <x v="88"/>
    <x v="87"/>
    <x v="87"/>
    <x v="0"/>
    <x v="412"/>
    <x v="424"/>
    <x v="377"/>
    <x v="339"/>
    <x v="30"/>
    <x v="385"/>
    <x v="51"/>
    <x v="7"/>
    <x v="127"/>
    <x v="3"/>
    <x v="37"/>
    <x v="225"/>
    <x v="116"/>
    <x v="21"/>
    <x v="34"/>
    <x v="28"/>
    <x v="17"/>
    <x v="52"/>
    <x v="0"/>
    <x v="15"/>
    <x v="5"/>
  </r>
  <r>
    <x v="81"/>
    <x v="86"/>
    <x v="101"/>
    <x v="0"/>
    <x v="55"/>
    <x v="89"/>
    <x v="89"/>
    <x v="88"/>
    <x v="8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3"/>
    <x v="0"/>
    <x v="14"/>
    <x v="5"/>
  </r>
  <r>
    <x v="81"/>
    <x v="86"/>
    <x v="102"/>
    <x v="0"/>
    <x v="56"/>
    <x v="90"/>
    <x v="90"/>
    <x v="89"/>
    <x v="89"/>
    <x v="0"/>
    <x v="413"/>
    <x v="425"/>
    <x v="378"/>
    <x v="340"/>
    <x v="7"/>
    <x v="76"/>
    <x v="171"/>
    <x v="1"/>
    <x v="46"/>
    <x v="12"/>
    <x v="8"/>
    <x v="226"/>
    <x v="321"/>
    <x v="0"/>
    <x v="0"/>
    <x v="10"/>
    <x v="5"/>
    <x v="54"/>
    <x v="0"/>
    <x v="14"/>
    <x v="5"/>
  </r>
  <r>
    <x v="81"/>
    <x v="87"/>
    <x v="103"/>
    <x v="0"/>
    <x v="57"/>
    <x v="91"/>
    <x v="91"/>
    <x v="90"/>
    <x v="90"/>
    <x v="0"/>
    <x v="414"/>
    <x v="426"/>
    <x v="379"/>
    <x v="333"/>
    <x v="51"/>
    <x v="181"/>
    <x v="172"/>
    <x v="7"/>
    <x v="91"/>
    <x v="4"/>
    <x v="7"/>
    <x v="227"/>
    <x v="322"/>
    <x v="0"/>
    <x v="0"/>
    <x v="4"/>
    <x v="11"/>
    <x v="55"/>
    <x v="0"/>
    <x v="14"/>
    <x v="5"/>
  </r>
  <r>
    <x v="82"/>
    <x v="78"/>
    <x v="91"/>
    <x v="0"/>
    <x v="47"/>
    <x v="79"/>
    <x v="79"/>
    <x v="78"/>
    <x v="78"/>
    <x v="0"/>
    <x v="415"/>
    <x v="427"/>
    <x v="380"/>
    <x v="9"/>
    <x v="12"/>
    <x v="379"/>
    <x v="26"/>
    <x v="2"/>
    <x v="50"/>
    <x v="11"/>
    <x v="3"/>
    <x v="31"/>
    <x v="295"/>
    <x v="0"/>
    <x v="0"/>
    <x v="5"/>
    <x v="2"/>
    <x v="31"/>
    <x v="0"/>
    <x v="14"/>
    <x v="5"/>
  </r>
  <r>
    <x v="82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82"/>
    <x v="82"/>
    <x v="95"/>
    <x v="0"/>
    <x v="51"/>
    <x v="83"/>
    <x v="83"/>
    <x v="82"/>
    <x v="8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9"/>
    <x v="0"/>
    <x v="14"/>
    <x v="5"/>
  </r>
  <r>
    <x v="82"/>
    <x v="85"/>
    <x v="99"/>
    <x v="0"/>
    <x v="53"/>
    <x v="87"/>
    <x v="87"/>
    <x v="86"/>
    <x v="8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1"/>
    <x v="0"/>
    <x v="14"/>
    <x v="5"/>
  </r>
  <r>
    <x v="82"/>
    <x v="85"/>
    <x v="100"/>
    <x v="0"/>
    <x v="54"/>
    <x v="88"/>
    <x v="88"/>
    <x v="87"/>
    <x v="87"/>
    <x v="0"/>
    <x v="416"/>
    <x v="428"/>
    <x v="381"/>
    <x v="341"/>
    <x v="12"/>
    <x v="244"/>
    <x v="173"/>
    <x v="5"/>
    <x v="129"/>
    <x v="11"/>
    <x v="38"/>
    <x v="228"/>
    <x v="68"/>
    <x v="22"/>
    <x v="35"/>
    <x v="37"/>
    <x v="41"/>
    <x v="52"/>
    <x v="0"/>
    <x v="15"/>
    <x v="5"/>
  </r>
  <r>
    <x v="82"/>
    <x v="86"/>
    <x v="102"/>
    <x v="0"/>
    <x v="56"/>
    <x v="90"/>
    <x v="90"/>
    <x v="89"/>
    <x v="89"/>
    <x v="0"/>
    <x v="417"/>
    <x v="429"/>
    <x v="382"/>
    <x v="342"/>
    <x v="30"/>
    <x v="386"/>
    <x v="41"/>
    <x v="2"/>
    <x v="42"/>
    <x v="3"/>
    <x v="3"/>
    <x v="8"/>
    <x v="323"/>
    <x v="0"/>
    <x v="0"/>
    <x v="5"/>
    <x v="2"/>
    <x v="54"/>
    <x v="0"/>
    <x v="14"/>
    <x v="5"/>
  </r>
  <r>
    <x v="82"/>
    <x v="87"/>
    <x v="103"/>
    <x v="0"/>
    <x v="57"/>
    <x v="91"/>
    <x v="91"/>
    <x v="90"/>
    <x v="90"/>
    <x v="0"/>
    <x v="418"/>
    <x v="430"/>
    <x v="199"/>
    <x v="343"/>
    <x v="3"/>
    <x v="387"/>
    <x v="18"/>
    <x v="2"/>
    <x v="14"/>
    <x v="3"/>
    <x v="3"/>
    <x v="20"/>
    <x v="295"/>
    <x v="0"/>
    <x v="0"/>
    <x v="5"/>
    <x v="2"/>
    <x v="55"/>
    <x v="0"/>
    <x v="14"/>
    <x v="5"/>
  </r>
  <r>
    <x v="83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</r>
  <r>
    <x v="83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83"/>
    <x v="85"/>
    <x v="100"/>
    <x v="0"/>
    <x v="54"/>
    <x v="88"/>
    <x v="88"/>
    <x v="87"/>
    <x v="87"/>
    <x v="0"/>
    <x v="419"/>
    <x v="431"/>
    <x v="383"/>
    <x v="344"/>
    <x v="7"/>
    <x v="358"/>
    <x v="18"/>
    <x v="2"/>
    <x v="42"/>
    <x v="3"/>
    <x v="3"/>
    <x v="83"/>
    <x v="324"/>
    <x v="0"/>
    <x v="0"/>
    <x v="5"/>
    <x v="5"/>
    <x v="52"/>
    <x v="0"/>
    <x v="15"/>
    <x v="5"/>
  </r>
  <r>
    <x v="83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83"/>
    <x v="87"/>
    <x v="103"/>
    <x v="0"/>
    <x v="57"/>
    <x v="91"/>
    <x v="91"/>
    <x v="90"/>
    <x v="90"/>
    <x v="0"/>
    <x v="420"/>
    <x v="432"/>
    <x v="384"/>
    <x v="345"/>
    <x v="32"/>
    <x v="388"/>
    <x v="55"/>
    <x v="0"/>
    <x v="45"/>
    <x v="32"/>
    <x v="4"/>
    <x v="21"/>
    <x v="325"/>
    <x v="0"/>
    <x v="0"/>
    <x v="5"/>
    <x v="5"/>
    <x v="55"/>
    <x v="0"/>
    <x v="14"/>
    <x v="5"/>
  </r>
  <r>
    <x v="83"/>
    <x v="88"/>
    <x v="104"/>
    <x v="0"/>
    <x v="58"/>
    <x v="92"/>
    <x v="92"/>
    <x v="91"/>
    <x v="91"/>
    <x v="0"/>
    <x v="421"/>
    <x v="433"/>
    <x v="385"/>
    <x v="346"/>
    <x v="74"/>
    <x v="389"/>
    <x v="65"/>
    <x v="0"/>
    <x v="20"/>
    <x v="3"/>
    <x v="2"/>
    <x v="148"/>
    <x v="326"/>
    <x v="15"/>
    <x v="36"/>
    <x v="7"/>
    <x v="2"/>
    <x v="56"/>
    <x v="0"/>
    <x v="14"/>
    <x v="5"/>
  </r>
  <r>
    <x v="83"/>
    <x v="88"/>
    <x v="105"/>
    <x v="0"/>
    <x v="48"/>
    <x v="93"/>
    <x v="93"/>
    <x v="92"/>
    <x v="92"/>
    <x v="0"/>
    <x v="422"/>
    <x v="434"/>
    <x v="386"/>
    <x v="347"/>
    <x v="74"/>
    <x v="390"/>
    <x v="83"/>
    <x v="1"/>
    <x v="36"/>
    <x v="10"/>
    <x v="4"/>
    <x v="65"/>
    <x v="327"/>
    <x v="0"/>
    <x v="0"/>
    <x v="1"/>
    <x v="6"/>
    <x v="47"/>
    <x v="0"/>
    <x v="14"/>
    <x v="5"/>
  </r>
  <r>
    <x v="83"/>
    <x v="88"/>
    <x v="106"/>
    <x v="0"/>
    <x v="17"/>
    <x v="94"/>
    <x v="94"/>
    <x v="93"/>
    <x v="93"/>
    <x v="0"/>
    <x v="423"/>
    <x v="435"/>
    <x v="387"/>
    <x v="204"/>
    <x v="42"/>
    <x v="105"/>
    <x v="174"/>
    <x v="7"/>
    <x v="130"/>
    <x v="7"/>
    <x v="27"/>
    <x v="229"/>
    <x v="328"/>
    <x v="0"/>
    <x v="0"/>
    <x v="9"/>
    <x v="26"/>
    <x v="17"/>
    <x v="0"/>
    <x v="0"/>
    <x v="0"/>
  </r>
  <r>
    <x v="83"/>
    <x v="88"/>
    <x v="107"/>
    <x v="1"/>
    <x v="48"/>
    <x v="95"/>
    <x v="95"/>
    <x v="94"/>
    <x v="94"/>
    <x v="0"/>
    <x v="424"/>
    <x v="436"/>
    <x v="388"/>
    <x v="109"/>
    <x v="84"/>
    <x v="391"/>
    <x v="22"/>
    <x v="2"/>
    <x v="22"/>
    <x v="1"/>
    <x v="2"/>
    <x v="23"/>
    <x v="329"/>
    <x v="0"/>
    <x v="0"/>
    <x v="5"/>
    <x v="2"/>
    <x v="47"/>
    <x v="0"/>
    <x v="14"/>
    <x v="5"/>
  </r>
  <r>
    <x v="83"/>
    <x v="89"/>
    <x v="108"/>
    <x v="1"/>
    <x v="48"/>
    <x v="96"/>
    <x v="96"/>
    <x v="95"/>
    <x v="95"/>
    <x v="0"/>
    <x v="425"/>
    <x v="337"/>
    <x v="113"/>
    <x v="348"/>
    <x v="85"/>
    <x v="392"/>
    <x v="15"/>
    <x v="2"/>
    <x v="14"/>
    <x v="3"/>
    <x v="3"/>
    <x v="15"/>
    <x v="15"/>
    <x v="0"/>
    <x v="0"/>
    <x v="5"/>
    <x v="2"/>
    <x v="47"/>
    <x v="0"/>
    <x v="14"/>
    <x v="5"/>
  </r>
  <r>
    <x v="83"/>
    <x v="88"/>
    <x v="109"/>
    <x v="1"/>
    <x v="17"/>
    <x v="96"/>
    <x v="96"/>
    <x v="95"/>
    <x v="95"/>
    <x v="0"/>
    <x v="426"/>
    <x v="437"/>
    <x v="389"/>
    <x v="349"/>
    <x v="79"/>
    <x v="393"/>
    <x v="71"/>
    <x v="1"/>
    <x v="28"/>
    <x v="1"/>
    <x v="1"/>
    <x v="64"/>
    <x v="330"/>
    <x v="0"/>
    <x v="0"/>
    <x v="2"/>
    <x v="11"/>
    <x v="17"/>
    <x v="0"/>
    <x v="0"/>
    <x v="0"/>
  </r>
  <r>
    <x v="8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84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84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84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84"/>
    <x v="87"/>
    <x v="103"/>
    <x v="0"/>
    <x v="57"/>
    <x v="91"/>
    <x v="91"/>
    <x v="90"/>
    <x v="90"/>
    <x v="0"/>
    <x v="427"/>
    <x v="438"/>
    <x v="286"/>
    <x v="350"/>
    <x v="42"/>
    <x v="90"/>
    <x v="15"/>
    <x v="2"/>
    <x v="14"/>
    <x v="3"/>
    <x v="3"/>
    <x v="15"/>
    <x v="15"/>
    <x v="0"/>
    <x v="0"/>
    <x v="5"/>
    <x v="2"/>
    <x v="55"/>
    <x v="0"/>
    <x v="14"/>
    <x v="5"/>
  </r>
  <r>
    <x v="84"/>
    <x v="88"/>
    <x v="104"/>
    <x v="0"/>
    <x v="58"/>
    <x v="92"/>
    <x v="92"/>
    <x v="91"/>
    <x v="91"/>
    <x v="0"/>
    <x v="428"/>
    <x v="439"/>
    <x v="35"/>
    <x v="351"/>
    <x v="3"/>
    <x v="394"/>
    <x v="8"/>
    <x v="2"/>
    <x v="24"/>
    <x v="3"/>
    <x v="3"/>
    <x v="70"/>
    <x v="331"/>
    <x v="2"/>
    <x v="37"/>
    <x v="2"/>
    <x v="2"/>
    <x v="56"/>
    <x v="0"/>
    <x v="14"/>
    <x v="5"/>
  </r>
  <r>
    <x v="84"/>
    <x v="88"/>
    <x v="105"/>
    <x v="0"/>
    <x v="48"/>
    <x v="93"/>
    <x v="93"/>
    <x v="92"/>
    <x v="92"/>
    <x v="0"/>
    <x v="429"/>
    <x v="440"/>
    <x v="390"/>
    <x v="352"/>
    <x v="35"/>
    <x v="395"/>
    <x v="55"/>
    <x v="1"/>
    <x v="1"/>
    <x v="35"/>
    <x v="1"/>
    <x v="99"/>
    <x v="332"/>
    <x v="0"/>
    <x v="0"/>
    <x v="2"/>
    <x v="11"/>
    <x v="47"/>
    <x v="0"/>
    <x v="14"/>
    <x v="5"/>
  </r>
  <r>
    <x v="84"/>
    <x v="88"/>
    <x v="106"/>
    <x v="0"/>
    <x v="17"/>
    <x v="94"/>
    <x v="94"/>
    <x v="93"/>
    <x v="93"/>
    <x v="0"/>
    <x v="430"/>
    <x v="441"/>
    <x v="391"/>
    <x v="151"/>
    <x v="42"/>
    <x v="396"/>
    <x v="175"/>
    <x v="0"/>
    <x v="131"/>
    <x v="17"/>
    <x v="29"/>
    <x v="225"/>
    <x v="183"/>
    <x v="0"/>
    <x v="0"/>
    <x v="10"/>
    <x v="6"/>
    <x v="17"/>
    <x v="0"/>
    <x v="0"/>
    <x v="0"/>
  </r>
  <r>
    <x v="84"/>
    <x v="88"/>
    <x v="107"/>
    <x v="1"/>
    <x v="48"/>
    <x v="95"/>
    <x v="95"/>
    <x v="94"/>
    <x v="94"/>
    <x v="0"/>
    <x v="431"/>
    <x v="442"/>
    <x v="131"/>
    <x v="353"/>
    <x v="86"/>
    <x v="397"/>
    <x v="15"/>
    <x v="2"/>
    <x v="14"/>
    <x v="3"/>
    <x v="3"/>
    <x v="15"/>
    <x v="15"/>
    <x v="0"/>
    <x v="0"/>
    <x v="5"/>
    <x v="2"/>
    <x v="47"/>
    <x v="0"/>
    <x v="14"/>
    <x v="5"/>
  </r>
  <r>
    <x v="84"/>
    <x v="88"/>
    <x v="109"/>
    <x v="1"/>
    <x v="17"/>
    <x v="96"/>
    <x v="96"/>
    <x v="95"/>
    <x v="95"/>
    <x v="0"/>
    <x v="432"/>
    <x v="443"/>
    <x v="392"/>
    <x v="354"/>
    <x v="87"/>
    <x v="398"/>
    <x v="21"/>
    <x v="2"/>
    <x v="20"/>
    <x v="3"/>
    <x v="2"/>
    <x v="50"/>
    <x v="333"/>
    <x v="0"/>
    <x v="0"/>
    <x v="5"/>
    <x v="11"/>
    <x v="17"/>
    <x v="0"/>
    <x v="0"/>
    <x v="0"/>
  </r>
  <r>
    <x v="84"/>
    <x v="90"/>
    <x v="110"/>
    <x v="0"/>
    <x v="59"/>
    <x v="97"/>
    <x v="97"/>
    <x v="96"/>
    <x v="96"/>
    <x v="0"/>
    <x v="433"/>
    <x v="444"/>
    <x v="393"/>
    <x v="355"/>
    <x v="41"/>
    <x v="399"/>
    <x v="40"/>
    <x v="2"/>
    <x v="4"/>
    <x v="10"/>
    <x v="3"/>
    <x v="9"/>
    <x v="334"/>
    <x v="0"/>
    <x v="0"/>
    <x v="11"/>
    <x v="5"/>
    <x v="57"/>
    <x v="0"/>
    <x v="14"/>
    <x v="5"/>
  </r>
  <r>
    <x v="84"/>
    <x v="90"/>
    <x v="111"/>
    <x v="0"/>
    <x v="60"/>
    <x v="98"/>
    <x v="98"/>
    <x v="97"/>
    <x v="97"/>
    <x v="0"/>
    <x v="434"/>
    <x v="445"/>
    <x v="394"/>
    <x v="160"/>
    <x v="53"/>
    <x v="400"/>
    <x v="150"/>
    <x v="7"/>
    <x v="36"/>
    <x v="0"/>
    <x v="2"/>
    <x v="182"/>
    <x v="335"/>
    <x v="0"/>
    <x v="0"/>
    <x v="5"/>
    <x v="11"/>
    <x v="58"/>
    <x v="0"/>
    <x v="14"/>
    <x v="5"/>
  </r>
  <r>
    <x v="84"/>
    <x v="90"/>
    <x v="112"/>
    <x v="1"/>
    <x v="46"/>
    <x v="99"/>
    <x v="99"/>
    <x v="98"/>
    <x v="98"/>
    <x v="0"/>
    <x v="435"/>
    <x v="446"/>
    <x v="395"/>
    <x v="222"/>
    <x v="88"/>
    <x v="401"/>
    <x v="41"/>
    <x v="2"/>
    <x v="8"/>
    <x v="3"/>
    <x v="3"/>
    <x v="30"/>
    <x v="336"/>
    <x v="23"/>
    <x v="38"/>
    <x v="4"/>
    <x v="5"/>
    <x v="46"/>
    <x v="0"/>
    <x v="14"/>
    <x v="5"/>
  </r>
  <r>
    <x v="8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8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85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85"/>
    <x v="87"/>
    <x v="103"/>
    <x v="0"/>
    <x v="57"/>
    <x v="91"/>
    <x v="91"/>
    <x v="90"/>
    <x v="9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5"/>
    <x v="0"/>
    <x v="14"/>
    <x v="5"/>
  </r>
  <r>
    <x v="85"/>
    <x v="88"/>
    <x v="105"/>
    <x v="0"/>
    <x v="48"/>
    <x v="93"/>
    <x v="93"/>
    <x v="92"/>
    <x v="92"/>
    <x v="0"/>
    <x v="436"/>
    <x v="447"/>
    <x v="396"/>
    <x v="356"/>
    <x v="32"/>
    <x v="402"/>
    <x v="15"/>
    <x v="2"/>
    <x v="24"/>
    <x v="3"/>
    <x v="3"/>
    <x v="20"/>
    <x v="337"/>
    <x v="0"/>
    <x v="0"/>
    <x v="5"/>
    <x v="2"/>
    <x v="47"/>
    <x v="0"/>
    <x v="14"/>
    <x v="5"/>
  </r>
  <r>
    <x v="85"/>
    <x v="88"/>
    <x v="106"/>
    <x v="0"/>
    <x v="17"/>
    <x v="94"/>
    <x v="94"/>
    <x v="93"/>
    <x v="93"/>
    <x v="0"/>
    <x v="437"/>
    <x v="448"/>
    <x v="27"/>
    <x v="338"/>
    <x v="2"/>
    <x v="403"/>
    <x v="15"/>
    <x v="2"/>
    <x v="14"/>
    <x v="3"/>
    <x v="3"/>
    <x v="15"/>
    <x v="15"/>
    <x v="0"/>
    <x v="0"/>
    <x v="5"/>
    <x v="2"/>
    <x v="17"/>
    <x v="0"/>
    <x v="0"/>
    <x v="0"/>
  </r>
  <r>
    <x v="85"/>
    <x v="88"/>
    <x v="107"/>
    <x v="1"/>
    <x v="48"/>
    <x v="95"/>
    <x v="95"/>
    <x v="94"/>
    <x v="9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85"/>
    <x v="90"/>
    <x v="110"/>
    <x v="0"/>
    <x v="59"/>
    <x v="97"/>
    <x v="97"/>
    <x v="96"/>
    <x v="96"/>
    <x v="0"/>
    <x v="438"/>
    <x v="412"/>
    <x v="24"/>
    <x v="357"/>
    <x v="52"/>
    <x v="404"/>
    <x v="15"/>
    <x v="2"/>
    <x v="14"/>
    <x v="3"/>
    <x v="3"/>
    <x v="15"/>
    <x v="15"/>
    <x v="0"/>
    <x v="0"/>
    <x v="5"/>
    <x v="2"/>
    <x v="57"/>
    <x v="0"/>
    <x v="14"/>
    <x v="5"/>
  </r>
  <r>
    <x v="85"/>
    <x v="90"/>
    <x v="111"/>
    <x v="0"/>
    <x v="60"/>
    <x v="98"/>
    <x v="98"/>
    <x v="97"/>
    <x v="97"/>
    <x v="0"/>
    <x v="439"/>
    <x v="275"/>
    <x v="27"/>
    <x v="199"/>
    <x v="32"/>
    <x v="405"/>
    <x v="15"/>
    <x v="2"/>
    <x v="14"/>
    <x v="3"/>
    <x v="3"/>
    <x v="15"/>
    <x v="15"/>
    <x v="0"/>
    <x v="0"/>
    <x v="5"/>
    <x v="2"/>
    <x v="58"/>
    <x v="0"/>
    <x v="14"/>
    <x v="5"/>
  </r>
  <r>
    <x v="85"/>
    <x v="90"/>
    <x v="112"/>
    <x v="1"/>
    <x v="46"/>
    <x v="99"/>
    <x v="99"/>
    <x v="98"/>
    <x v="98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85"/>
    <x v="91"/>
    <x v="113"/>
    <x v="0"/>
    <x v="61"/>
    <x v="100"/>
    <x v="100"/>
    <x v="99"/>
    <x v="99"/>
    <x v="0"/>
    <x v="440"/>
    <x v="449"/>
    <x v="397"/>
    <x v="358"/>
    <x v="76"/>
    <x v="188"/>
    <x v="8"/>
    <x v="2"/>
    <x v="42"/>
    <x v="5"/>
    <x v="3"/>
    <x v="93"/>
    <x v="338"/>
    <x v="13"/>
    <x v="39"/>
    <x v="5"/>
    <x v="5"/>
    <x v="59"/>
    <x v="0"/>
    <x v="14"/>
    <x v="5"/>
  </r>
  <r>
    <x v="85"/>
    <x v="91"/>
    <x v="114"/>
    <x v="0"/>
    <x v="62"/>
    <x v="101"/>
    <x v="101"/>
    <x v="100"/>
    <x v="100"/>
    <x v="0"/>
    <x v="441"/>
    <x v="450"/>
    <x v="398"/>
    <x v="359"/>
    <x v="21"/>
    <x v="406"/>
    <x v="1"/>
    <x v="0"/>
    <x v="90"/>
    <x v="5"/>
    <x v="2"/>
    <x v="170"/>
    <x v="339"/>
    <x v="18"/>
    <x v="40"/>
    <x v="10"/>
    <x v="11"/>
    <x v="60"/>
    <x v="0"/>
    <x v="16"/>
    <x v="5"/>
  </r>
  <r>
    <x v="85"/>
    <x v="91"/>
    <x v="115"/>
    <x v="1"/>
    <x v="47"/>
    <x v="102"/>
    <x v="102"/>
    <x v="101"/>
    <x v="101"/>
    <x v="0"/>
    <x v="442"/>
    <x v="451"/>
    <x v="4"/>
    <x v="88"/>
    <x v="34"/>
    <x v="407"/>
    <x v="50"/>
    <x v="2"/>
    <x v="38"/>
    <x v="10"/>
    <x v="0"/>
    <x v="95"/>
    <x v="340"/>
    <x v="0"/>
    <x v="0"/>
    <x v="5"/>
    <x v="2"/>
    <x v="31"/>
    <x v="0"/>
    <x v="14"/>
    <x v="5"/>
  </r>
  <r>
    <x v="8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86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86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86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86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8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86"/>
    <x v="91"/>
    <x v="113"/>
    <x v="0"/>
    <x v="61"/>
    <x v="100"/>
    <x v="100"/>
    <x v="99"/>
    <x v="99"/>
    <x v="0"/>
    <x v="443"/>
    <x v="452"/>
    <x v="399"/>
    <x v="360"/>
    <x v="82"/>
    <x v="408"/>
    <x v="16"/>
    <x v="1"/>
    <x v="31"/>
    <x v="3"/>
    <x v="3"/>
    <x v="79"/>
    <x v="341"/>
    <x v="8"/>
    <x v="41"/>
    <x v="2"/>
    <x v="11"/>
    <x v="59"/>
    <x v="0"/>
    <x v="14"/>
    <x v="5"/>
  </r>
  <r>
    <x v="86"/>
    <x v="91"/>
    <x v="114"/>
    <x v="0"/>
    <x v="62"/>
    <x v="101"/>
    <x v="101"/>
    <x v="100"/>
    <x v="100"/>
    <x v="0"/>
    <x v="444"/>
    <x v="453"/>
    <x v="400"/>
    <x v="361"/>
    <x v="10"/>
    <x v="409"/>
    <x v="158"/>
    <x v="3"/>
    <x v="26"/>
    <x v="3"/>
    <x v="13"/>
    <x v="230"/>
    <x v="342"/>
    <x v="17"/>
    <x v="42"/>
    <x v="12"/>
    <x v="6"/>
    <x v="60"/>
    <x v="0"/>
    <x v="16"/>
    <x v="5"/>
  </r>
  <r>
    <x v="86"/>
    <x v="91"/>
    <x v="115"/>
    <x v="1"/>
    <x v="47"/>
    <x v="102"/>
    <x v="102"/>
    <x v="101"/>
    <x v="101"/>
    <x v="0"/>
    <x v="445"/>
    <x v="454"/>
    <x v="401"/>
    <x v="222"/>
    <x v="89"/>
    <x v="410"/>
    <x v="17"/>
    <x v="1"/>
    <x v="1"/>
    <x v="5"/>
    <x v="2"/>
    <x v="85"/>
    <x v="343"/>
    <x v="0"/>
    <x v="0"/>
    <x v="5"/>
    <x v="2"/>
    <x v="31"/>
    <x v="0"/>
    <x v="14"/>
    <x v="5"/>
  </r>
  <r>
    <x v="8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87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52"/>
    <x v="0"/>
    <x v="15"/>
    <x v="5"/>
  </r>
  <r>
    <x v="87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87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87"/>
    <x v="90"/>
    <x v="110"/>
    <x v="0"/>
    <x v="59"/>
    <x v="97"/>
    <x v="97"/>
    <x v="96"/>
    <x v="9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7"/>
    <x v="0"/>
    <x v="14"/>
    <x v="5"/>
  </r>
  <r>
    <x v="87"/>
    <x v="91"/>
    <x v="113"/>
    <x v="0"/>
    <x v="61"/>
    <x v="100"/>
    <x v="100"/>
    <x v="99"/>
    <x v="99"/>
    <x v="0"/>
    <x v="446"/>
    <x v="455"/>
    <x v="402"/>
    <x v="362"/>
    <x v="73"/>
    <x v="411"/>
    <x v="48"/>
    <x v="1"/>
    <x v="1"/>
    <x v="3"/>
    <x v="4"/>
    <x v="4"/>
    <x v="344"/>
    <x v="18"/>
    <x v="12"/>
    <x v="4"/>
    <x v="2"/>
    <x v="59"/>
    <x v="0"/>
    <x v="14"/>
    <x v="5"/>
  </r>
  <r>
    <x v="87"/>
    <x v="91"/>
    <x v="114"/>
    <x v="0"/>
    <x v="62"/>
    <x v="101"/>
    <x v="101"/>
    <x v="100"/>
    <x v="100"/>
    <x v="0"/>
    <x v="447"/>
    <x v="456"/>
    <x v="403"/>
    <x v="363"/>
    <x v="43"/>
    <x v="412"/>
    <x v="102"/>
    <x v="6"/>
    <x v="79"/>
    <x v="3"/>
    <x v="4"/>
    <x v="200"/>
    <x v="345"/>
    <x v="16"/>
    <x v="43"/>
    <x v="4"/>
    <x v="13"/>
    <x v="60"/>
    <x v="0"/>
    <x v="16"/>
    <x v="5"/>
  </r>
  <r>
    <x v="87"/>
    <x v="91"/>
    <x v="115"/>
    <x v="1"/>
    <x v="47"/>
    <x v="102"/>
    <x v="102"/>
    <x v="101"/>
    <x v="101"/>
    <x v="0"/>
    <x v="448"/>
    <x v="457"/>
    <x v="404"/>
    <x v="268"/>
    <x v="44"/>
    <x v="413"/>
    <x v="1"/>
    <x v="1"/>
    <x v="33"/>
    <x v="12"/>
    <x v="2"/>
    <x v="4"/>
    <x v="346"/>
    <x v="0"/>
    <x v="0"/>
    <x v="2"/>
    <x v="11"/>
    <x v="31"/>
    <x v="0"/>
    <x v="14"/>
    <x v="5"/>
  </r>
  <r>
    <x v="88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88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88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88"/>
    <x v="88"/>
    <x v="104"/>
    <x v="0"/>
    <x v="58"/>
    <x v="92"/>
    <x v="92"/>
    <x v="91"/>
    <x v="9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6"/>
    <x v="0"/>
    <x v="14"/>
    <x v="5"/>
  </r>
  <r>
    <x v="88"/>
    <x v="90"/>
    <x v="112"/>
    <x v="1"/>
    <x v="46"/>
    <x v="99"/>
    <x v="99"/>
    <x v="98"/>
    <x v="98"/>
    <x v="0"/>
    <x v="449"/>
    <x v="458"/>
    <x v="405"/>
    <x v="364"/>
    <x v="31"/>
    <x v="414"/>
    <x v="21"/>
    <x v="2"/>
    <x v="24"/>
    <x v="3"/>
    <x v="3"/>
    <x v="8"/>
    <x v="347"/>
    <x v="14"/>
    <x v="44"/>
    <x v="2"/>
    <x v="5"/>
    <x v="46"/>
    <x v="0"/>
    <x v="14"/>
    <x v="5"/>
  </r>
  <r>
    <x v="88"/>
    <x v="91"/>
    <x v="113"/>
    <x v="0"/>
    <x v="61"/>
    <x v="100"/>
    <x v="100"/>
    <x v="99"/>
    <x v="99"/>
    <x v="0"/>
    <x v="450"/>
    <x v="459"/>
    <x v="406"/>
    <x v="268"/>
    <x v="24"/>
    <x v="415"/>
    <x v="18"/>
    <x v="2"/>
    <x v="14"/>
    <x v="3"/>
    <x v="3"/>
    <x v="20"/>
    <x v="348"/>
    <x v="0"/>
    <x v="0"/>
    <x v="5"/>
    <x v="2"/>
    <x v="59"/>
    <x v="0"/>
    <x v="14"/>
    <x v="5"/>
  </r>
  <r>
    <x v="88"/>
    <x v="91"/>
    <x v="114"/>
    <x v="0"/>
    <x v="62"/>
    <x v="101"/>
    <x v="101"/>
    <x v="100"/>
    <x v="100"/>
    <x v="0"/>
    <x v="451"/>
    <x v="460"/>
    <x v="20"/>
    <x v="62"/>
    <x v="81"/>
    <x v="416"/>
    <x v="18"/>
    <x v="2"/>
    <x v="24"/>
    <x v="3"/>
    <x v="3"/>
    <x v="27"/>
    <x v="349"/>
    <x v="0"/>
    <x v="0"/>
    <x v="5"/>
    <x v="2"/>
    <x v="60"/>
    <x v="0"/>
    <x v="16"/>
    <x v="5"/>
  </r>
  <r>
    <x v="88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88"/>
    <x v="92"/>
    <x v="116"/>
    <x v="1"/>
    <x v="46"/>
    <x v="103"/>
    <x v="103"/>
    <x v="102"/>
    <x v="102"/>
    <x v="0"/>
    <x v="452"/>
    <x v="461"/>
    <x v="73"/>
    <x v="167"/>
    <x v="27"/>
    <x v="417"/>
    <x v="15"/>
    <x v="2"/>
    <x v="14"/>
    <x v="3"/>
    <x v="3"/>
    <x v="15"/>
    <x v="15"/>
    <x v="0"/>
    <x v="0"/>
    <x v="5"/>
    <x v="2"/>
    <x v="46"/>
    <x v="0"/>
    <x v="14"/>
    <x v="5"/>
  </r>
  <r>
    <x v="89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89"/>
    <x v="91"/>
    <x v="114"/>
    <x v="0"/>
    <x v="62"/>
    <x v="101"/>
    <x v="101"/>
    <x v="100"/>
    <x v="100"/>
    <x v="0"/>
    <x v="453"/>
    <x v="462"/>
    <x v="407"/>
    <x v="365"/>
    <x v="47"/>
    <x v="108"/>
    <x v="176"/>
    <x v="0"/>
    <x v="73"/>
    <x v="3"/>
    <x v="3"/>
    <x v="150"/>
    <x v="350"/>
    <x v="1"/>
    <x v="45"/>
    <x v="1"/>
    <x v="6"/>
    <x v="60"/>
    <x v="0"/>
    <x v="16"/>
    <x v="5"/>
  </r>
  <r>
    <x v="89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89"/>
    <x v="93"/>
    <x v="117"/>
    <x v="1"/>
    <x v="62"/>
    <x v="103"/>
    <x v="103"/>
    <x v="102"/>
    <x v="102"/>
    <x v="0"/>
    <x v="454"/>
    <x v="463"/>
    <x v="408"/>
    <x v="162"/>
    <x v="90"/>
    <x v="418"/>
    <x v="26"/>
    <x v="2"/>
    <x v="14"/>
    <x v="3"/>
    <x v="2"/>
    <x v="83"/>
    <x v="351"/>
    <x v="0"/>
    <x v="0"/>
    <x v="5"/>
    <x v="2"/>
    <x v="60"/>
    <x v="0"/>
    <x v="16"/>
    <x v="5"/>
  </r>
  <r>
    <x v="89"/>
    <x v="94"/>
    <x v="118"/>
    <x v="0"/>
    <x v="63"/>
    <x v="104"/>
    <x v="104"/>
    <x v="103"/>
    <x v="103"/>
    <x v="0"/>
    <x v="455"/>
    <x v="464"/>
    <x v="409"/>
    <x v="366"/>
    <x v="0"/>
    <x v="238"/>
    <x v="20"/>
    <x v="2"/>
    <x v="17"/>
    <x v="6"/>
    <x v="4"/>
    <x v="164"/>
    <x v="352"/>
    <x v="0"/>
    <x v="0"/>
    <x v="2"/>
    <x v="11"/>
    <x v="61"/>
    <x v="0"/>
    <x v="14"/>
    <x v="5"/>
  </r>
  <r>
    <x v="90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5"/>
  </r>
  <r>
    <x v="90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90"/>
    <x v="86"/>
    <x v="101"/>
    <x v="0"/>
    <x v="55"/>
    <x v="89"/>
    <x v="89"/>
    <x v="88"/>
    <x v="8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3"/>
    <x v="0"/>
    <x v="14"/>
    <x v="5"/>
  </r>
  <r>
    <x v="90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90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90"/>
    <x v="91"/>
    <x v="114"/>
    <x v="0"/>
    <x v="62"/>
    <x v="101"/>
    <x v="101"/>
    <x v="100"/>
    <x v="100"/>
    <x v="0"/>
    <x v="456"/>
    <x v="465"/>
    <x v="410"/>
    <x v="367"/>
    <x v="17"/>
    <x v="419"/>
    <x v="27"/>
    <x v="0"/>
    <x v="3"/>
    <x v="3"/>
    <x v="0"/>
    <x v="231"/>
    <x v="353"/>
    <x v="1"/>
    <x v="46"/>
    <x v="4"/>
    <x v="10"/>
    <x v="60"/>
    <x v="0"/>
    <x v="16"/>
    <x v="5"/>
  </r>
  <r>
    <x v="90"/>
    <x v="93"/>
    <x v="117"/>
    <x v="1"/>
    <x v="62"/>
    <x v="103"/>
    <x v="103"/>
    <x v="102"/>
    <x v="102"/>
    <x v="0"/>
    <x v="457"/>
    <x v="466"/>
    <x v="411"/>
    <x v="368"/>
    <x v="70"/>
    <x v="420"/>
    <x v="21"/>
    <x v="2"/>
    <x v="14"/>
    <x v="3"/>
    <x v="2"/>
    <x v="8"/>
    <x v="354"/>
    <x v="13"/>
    <x v="47"/>
    <x v="5"/>
    <x v="5"/>
    <x v="60"/>
    <x v="0"/>
    <x v="16"/>
    <x v="5"/>
  </r>
  <r>
    <x v="90"/>
    <x v="94"/>
    <x v="118"/>
    <x v="0"/>
    <x v="63"/>
    <x v="104"/>
    <x v="104"/>
    <x v="103"/>
    <x v="103"/>
    <x v="0"/>
    <x v="458"/>
    <x v="461"/>
    <x v="113"/>
    <x v="369"/>
    <x v="37"/>
    <x v="421"/>
    <x v="15"/>
    <x v="2"/>
    <x v="14"/>
    <x v="3"/>
    <x v="3"/>
    <x v="15"/>
    <x v="15"/>
    <x v="0"/>
    <x v="0"/>
    <x v="5"/>
    <x v="2"/>
    <x v="61"/>
    <x v="0"/>
    <x v="14"/>
    <x v="5"/>
  </r>
  <r>
    <x v="90"/>
    <x v="95"/>
    <x v="119"/>
    <x v="1"/>
    <x v="62"/>
    <x v="105"/>
    <x v="105"/>
    <x v="104"/>
    <x v="104"/>
    <x v="0"/>
    <x v="459"/>
    <x v="467"/>
    <x v="70"/>
    <x v="168"/>
    <x v="27"/>
    <x v="422"/>
    <x v="15"/>
    <x v="2"/>
    <x v="14"/>
    <x v="3"/>
    <x v="3"/>
    <x v="15"/>
    <x v="15"/>
    <x v="0"/>
    <x v="0"/>
    <x v="5"/>
    <x v="2"/>
    <x v="60"/>
    <x v="0"/>
    <x v="16"/>
    <x v="5"/>
  </r>
  <r>
    <x v="90"/>
    <x v="96"/>
    <x v="120"/>
    <x v="1"/>
    <x v="61"/>
    <x v="105"/>
    <x v="105"/>
    <x v="104"/>
    <x v="104"/>
    <x v="0"/>
    <x v="460"/>
    <x v="468"/>
    <x v="412"/>
    <x v="370"/>
    <x v="91"/>
    <x v="423"/>
    <x v="177"/>
    <x v="2"/>
    <x v="50"/>
    <x v="3"/>
    <x v="3"/>
    <x v="26"/>
    <x v="355"/>
    <x v="1"/>
    <x v="34"/>
    <x v="5"/>
    <x v="5"/>
    <x v="59"/>
    <x v="0"/>
    <x v="14"/>
    <x v="5"/>
  </r>
  <r>
    <x v="91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91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91"/>
    <x v="90"/>
    <x v="111"/>
    <x v="0"/>
    <x v="60"/>
    <x v="98"/>
    <x v="98"/>
    <x v="97"/>
    <x v="97"/>
    <x v="0"/>
    <x v="461"/>
    <x v="469"/>
    <x v="413"/>
    <x v="371"/>
    <x v="10"/>
    <x v="424"/>
    <x v="178"/>
    <x v="7"/>
    <x v="126"/>
    <x v="51"/>
    <x v="8"/>
    <x v="141"/>
    <x v="356"/>
    <x v="0"/>
    <x v="0"/>
    <x v="12"/>
    <x v="11"/>
    <x v="58"/>
    <x v="0"/>
    <x v="14"/>
    <x v="5"/>
  </r>
  <r>
    <x v="91"/>
    <x v="91"/>
    <x v="114"/>
    <x v="0"/>
    <x v="62"/>
    <x v="101"/>
    <x v="101"/>
    <x v="100"/>
    <x v="100"/>
    <x v="0"/>
    <x v="462"/>
    <x v="470"/>
    <x v="277"/>
    <x v="372"/>
    <x v="26"/>
    <x v="425"/>
    <x v="26"/>
    <x v="1"/>
    <x v="24"/>
    <x v="3"/>
    <x v="3"/>
    <x v="75"/>
    <x v="129"/>
    <x v="0"/>
    <x v="0"/>
    <x v="5"/>
    <x v="2"/>
    <x v="60"/>
    <x v="0"/>
    <x v="16"/>
    <x v="5"/>
  </r>
  <r>
    <x v="91"/>
    <x v="91"/>
    <x v="115"/>
    <x v="1"/>
    <x v="47"/>
    <x v="102"/>
    <x v="102"/>
    <x v="101"/>
    <x v="101"/>
    <x v="0"/>
    <x v="463"/>
    <x v="471"/>
    <x v="414"/>
    <x v="223"/>
    <x v="71"/>
    <x v="426"/>
    <x v="71"/>
    <x v="2"/>
    <x v="23"/>
    <x v="1"/>
    <x v="4"/>
    <x v="191"/>
    <x v="357"/>
    <x v="0"/>
    <x v="0"/>
    <x v="5"/>
    <x v="12"/>
    <x v="31"/>
    <x v="0"/>
    <x v="14"/>
    <x v="5"/>
  </r>
  <r>
    <x v="91"/>
    <x v="93"/>
    <x v="117"/>
    <x v="1"/>
    <x v="62"/>
    <x v="103"/>
    <x v="103"/>
    <x v="102"/>
    <x v="102"/>
    <x v="0"/>
    <x v="464"/>
    <x v="77"/>
    <x v="72"/>
    <x v="17"/>
    <x v="40"/>
    <x v="427"/>
    <x v="15"/>
    <x v="2"/>
    <x v="14"/>
    <x v="3"/>
    <x v="3"/>
    <x v="15"/>
    <x v="15"/>
    <x v="0"/>
    <x v="0"/>
    <x v="5"/>
    <x v="2"/>
    <x v="60"/>
    <x v="0"/>
    <x v="16"/>
    <x v="5"/>
  </r>
  <r>
    <x v="91"/>
    <x v="94"/>
    <x v="118"/>
    <x v="0"/>
    <x v="63"/>
    <x v="104"/>
    <x v="104"/>
    <x v="103"/>
    <x v="103"/>
    <x v="0"/>
    <x v="465"/>
    <x v="472"/>
    <x v="415"/>
    <x v="373"/>
    <x v="37"/>
    <x v="112"/>
    <x v="5"/>
    <x v="0"/>
    <x v="17"/>
    <x v="32"/>
    <x v="1"/>
    <x v="17"/>
    <x v="109"/>
    <x v="0"/>
    <x v="0"/>
    <x v="24"/>
    <x v="11"/>
    <x v="61"/>
    <x v="0"/>
    <x v="14"/>
    <x v="5"/>
  </r>
  <r>
    <x v="91"/>
    <x v="96"/>
    <x v="120"/>
    <x v="1"/>
    <x v="61"/>
    <x v="105"/>
    <x v="105"/>
    <x v="104"/>
    <x v="104"/>
    <x v="0"/>
    <x v="30"/>
    <x v="473"/>
    <x v="29"/>
    <x v="30"/>
    <x v="16"/>
    <x v="29"/>
    <x v="15"/>
    <x v="2"/>
    <x v="14"/>
    <x v="3"/>
    <x v="3"/>
    <x v="15"/>
    <x v="15"/>
    <x v="0"/>
    <x v="0"/>
    <x v="5"/>
    <x v="2"/>
    <x v="59"/>
    <x v="0"/>
    <x v="14"/>
    <x v="5"/>
  </r>
  <r>
    <x v="91"/>
    <x v="97"/>
    <x v="121"/>
    <x v="0"/>
    <x v="64"/>
    <x v="106"/>
    <x v="106"/>
    <x v="105"/>
    <x v="105"/>
    <x v="0"/>
    <x v="466"/>
    <x v="474"/>
    <x v="416"/>
    <x v="370"/>
    <x v="51"/>
    <x v="428"/>
    <x v="139"/>
    <x v="7"/>
    <x v="19"/>
    <x v="11"/>
    <x v="23"/>
    <x v="232"/>
    <x v="157"/>
    <x v="0"/>
    <x v="0"/>
    <x v="2"/>
    <x v="10"/>
    <x v="62"/>
    <x v="0"/>
    <x v="14"/>
    <x v="5"/>
  </r>
  <r>
    <x v="92"/>
    <x v="90"/>
    <x v="111"/>
    <x v="0"/>
    <x v="60"/>
    <x v="98"/>
    <x v="98"/>
    <x v="97"/>
    <x v="97"/>
    <x v="0"/>
    <x v="467"/>
    <x v="475"/>
    <x v="417"/>
    <x v="100"/>
    <x v="3"/>
    <x v="429"/>
    <x v="179"/>
    <x v="0"/>
    <x v="68"/>
    <x v="42"/>
    <x v="23"/>
    <x v="233"/>
    <x v="358"/>
    <x v="0"/>
    <x v="0"/>
    <x v="4"/>
    <x v="6"/>
    <x v="58"/>
    <x v="0"/>
    <x v="14"/>
    <x v="5"/>
  </r>
  <r>
    <x v="92"/>
    <x v="91"/>
    <x v="114"/>
    <x v="0"/>
    <x v="62"/>
    <x v="101"/>
    <x v="101"/>
    <x v="100"/>
    <x v="100"/>
    <x v="0"/>
    <x v="468"/>
    <x v="476"/>
    <x v="418"/>
    <x v="374"/>
    <x v="52"/>
    <x v="430"/>
    <x v="49"/>
    <x v="1"/>
    <x v="13"/>
    <x v="3"/>
    <x v="4"/>
    <x v="99"/>
    <x v="359"/>
    <x v="15"/>
    <x v="48"/>
    <x v="7"/>
    <x v="5"/>
    <x v="60"/>
    <x v="0"/>
    <x v="16"/>
    <x v="5"/>
  </r>
  <r>
    <x v="92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92"/>
    <x v="93"/>
    <x v="117"/>
    <x v="1"/>
    <x v="62"/>
    <x v="103"/>
    <x v="103"/>
    <x v="102"/>
    <x v="10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92"/>
    <x v="94"/>
    <x v="118"/>
    <x v="0"/>
    <x v="63"/>
    <x v="104"/>
    <x v="104"/>
    <x v="103"/>
    <x v="103"/>
    <x v="0"/>
    <x v="469"/>
    <x v="477"/>
    <x v="419"/>
    <x v="375"/>
    <x v="37"/>
    <x v="431"/>
    <x v="83"/>
    <x v="2"/>
    <x v="4"/>
    <x v="7"/>
    <x v="2"/>
    <x v="234"/>
    <x v="360"/>
    <x v="0"/>
    <x v="0"/>
    <x v="1"/>
    <x v="5"/>
    <x v="61"/>
    <x v="0"/>
    <x v="14"/>
    <x v="5"/>
  </r>
  <r>
    <x v="92"/>
    <x v="97"/>
    <x v="121"/>
    <x v="0"/>
    <x v="64"/>
    <x v="106"/>
    <x v="106"/>
    <x v="105"/>
    <x v="105"/>
    <x v="0"/>
    <x v="470"/>
    <x v="308"/>
    <x v="314"/>
    <x v="376"/>
    <x v="12"/>
    <x v="432"/>
    <x v="26"/>
    <x v="2"/>
    <x v="14"/>
    <x v="3"/>
    <x v="3"/>
    <x v="70"/>
    <x v="361"/>
    <x v="0"/>
    <x v="0"/>
    <x v="5"/>
    <x v="2"/>
    <x v="62"/>
    <x v="0"/>
    <x v="14"/>
    <x v="5"/>
  </r>
  <r>
    <x v="92"/>
    <x v="98"/>
    <x v="122"/>
    <x v="1"/>
    <x v="52"/>
    <x v="107"/>
    <x v="107"/>
    <x v="106"/>
    <x v="106"/>
    <x v="0"/>
    <x v="471"/>
    <x v="478"/>
    <x v="420"/>
    <x v="377"/>
    <x v="92"/>
    <x v="433"/>
    <x v="22"/>
    <x v="2"/>
    <x v="50"/>
    <x v="5"/>
    <x v="3"/>
    <x v="68"/>
    <x v="362"/>
    <x v="2"/>
    <x v="49"/>
    <x v="5"/>
    <x v="2"/>
    <x v="50"/>
    <x v="0"/>
    <x v="14"/>
    <x v="5"/>
  </r>
  <r>
    <x v="92"/>
    <x v="98"/>
    <x v="123"/>
    <x v="0"/>
    <x v="65"/>
    <x v="108"/>
    <x v="108"/>
    <x v="107"/>
    <x v="107"/>
    <x v="0"/>
    <x v="472"/>
    <x v="479"/>
    <x v="421"/>
    <x v="378"/>
    <x v="52"/>
    <x v="434"/>
    <x v="86"/>
    <x v="2"/>
    <x v="42"/>
    <x v="5"/>
    <x v="3"/>
    <x v="36"/>
    <x v="363"/>
    <x v="0"/>
    <x v="0"/>
    <x v="7"/>
    <x v="10"/>
    <x v="63"/>
    <x v="0"/>
    <x v="14"/>
    <x v="5"/>
  </r>
  <r>
    <x v="93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93"/>
    <x v="90"/>
    <x v="111"/>
    <x v="0"/>
    <x v="60"/>
    <x v="98"/>
    <x v="98"/>
    <x v="97"/>
    <x v="97"/>
    <x v="0"/>
    <x v="473"/>
    <x v="480"/>
    <x v="422"/>
    <x v="379"/>
    <x v="53"/>
    <x v="435"/>
    <x v="180"/>
    <x v="7"/>
    <x v="132"/>
    <x v="7"/>
    <x v="3"/>
    <x v="235"/>
    <x v="364"/>
    <x v="0"/>
    <x v="0"/>
    <x v="5"/>
    <x v="6"/>
    <x v="58"/>
    <x v="0"/>
    <x v="14"/>
    <x v="5"/>
  </r>
  <r>
    <x v="93"/>
    <x v="90"/>
    <x v="112"/>
    <x v="1"/>
    <x v="46"/>
    <x v="99"/>
    <x v="99"/>
    <x v="98"/>
    <x v="98"/>
    <x v="0"/>
    <x v="474"/>
    <x v="481"/>
    <x v="423"/>
    <x v="380"/>
    <x v="50"/>
    <x v="436"/>
    <x v="64"/>
    <x v="1"/>
    <x v="7"/>
    <x v="5"/>
    <x v="1"/>
    <x v="148"/>
    <x v="365"/>
    <x v="24"/>
    <x v="50"/>
    <x v="4"/>
    <x v="5"/>
    <x v="46"/>
    <x v="0"/>
    <x v="14"/>
    <x v="5"/>
  </r>
  <r>
    <x v="93"/>
    <x v="91"/>
    <x v="114"/>
    <x v="0"/>
    <x v="62"/>
    <x v="101"/>
    <x v="101"/>
    <x v="100"/>
    <x v="100"/>
    <x v="0"/>
    <x v="475"/>
    <x v="482"/>
    <x v="424"/>
    <x v="381"/>
    <x v="73"/>
    <x v="437"/>
    <x v="106"/>
    <x v="2"/>
    <x v="89"/>
    <x v="3"/>
    <x v="2"/>
    <x v="45"/>
    <x v="366"/>
    <x v="3"/>
    <x v="48"/>
    <x v="4"/>
    <x v="11"/>
    <x v="60"/>
    <x v="0"/>
    <x v="16"/>
    <x v="5"/>
  </r>
  <r>
    <x v="93"/>
    <x v="94"/>
    <x v="118"/>
    <x v="0"/>
    <x v="63"/>
    <x v="104"/>
    <x v="104"/>
    <x v="103"/>
    <x v="103"/>
    <x v="0"/>
    <x v="476"/>
    <x v="483"/>
    <x v="425"/>
    <x v="116"/>
    <x v="42"/>
    <x v="438"/>
    <x v="181"/>
    <x v="6"/>
    <x v="133"/>
    <x v="15"/>
    <x v="13"/>
    <x v="236"/>
    <x v="286"/>
    <x v="0"/>
    <x v="0"/>
    <x v="4"/>
    <x v="13"/>
    <x v="61"/>
    <x v="0"/>
    <x v="14"/>
    <x v="5"/>
  </r>
  <r>
    <x v="93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  <x v="0"/>
    <x v="14"/>
    <x v="5"/>
  </r>
  <r>
    <x v="93"/>
    <x v="98"/>
    <x v="122"/>
    <x v="1"/>
    <x v="52"/>
    <x v="107"/>
    <x v="107"/>
    <x v="106"/>
    <x v="106"/>
    <x v="0"/>
    <x v="477"/>
    <x v="484"/>
    <x v="72"/>
    <x v="382"/>
    <x v="93"/>
    <x v="439"/>
    <x v="15"/>
    <x v="2"/>
    <x v="14"/>
    <x v="3"/>
    <x v="3"/>
    <x v="15"/>
    <x v="15"/>
    <x v="0"/>
    <x v="0"/>
    <x v="5"/>
    <x v="2"/>
    <x v="50"/>
    <x v="0"/>
    <x v="14"/>
    <x v="5"/>
  </r>
  <r>
    <x v="93"/>
    <x v="98"/>
    <x v="123"/>
    <x v="0"/>
    <x v="65"/>
    <x v="108"/>
    <x v="108"/>
    <x v="107"/>
    <x v="107"/>
    <x v="0"/>
    <x v="478"/>
    <x v="485"/>
    <x v="426"/>
    <x v="383"/>
    <x v="36"/>
    <x v="440"/>
    <x v="121"/>
    <x v="0"/>
    <x v="90"/>
    <x v="9"/>
    <x v="4"/>
    <x v="231"/>
    <x v="367"/>
    <x v="0"/>
    <x v="0"/>
    <x v="1"/>
    <x v="2"/>
    <x v="63"/>
    <x v="0"/>
    <x v="14"/>
    <x v="5"/>
  </r>
  <r>
    <x v="93"/>
    <x v="99"/>
    <x v="124"/>
    <x v="1"/>
    <x v="46"/>
    <x v="109"/>
    <x v="109"/>
    <x v="108"/>
    <x v="108"/>
    <x v="0"/>
    <x v="479"/>
    <x v="486"/>
    <x v="70"/>
    <x v="320"/>
    <x v="74"/>
    <x v="441"/>
    <x v="15"/>
    <x v="2"/>
    <x v="14"/>
    <x v="3"/>
    <x v="3"/>
    <x v="15"/>
    <x v="15"/>
    <x v="0"/>
    <x v="0"/>
    <x v="5"/>
    <x v="2"/>
    <x v="46"/>
    <x v="0"/>
    <x v="14"/>
    <x v="5"/>
  </r>
  <r>
    <x v="93"/>
    <x v="100"/>
    <x v="125"/>
    <x v="1"/>
    <x v="60"/>
    <x v="109"/>
    <x v="109"/>
    <x v="108"/>
    <x v="108"/>
    <x v="0"/>
    <x v="480"/>
    <x v="487"/>
    <x v="427"/>
    <x v="384"/>
    <x v="82"/>
    <x v="442"/>
    <x v="46"/>
    <x v="2"/>
    <x v="90"/>
    <x v="3"/>
    <x v="1"/>
    <x v="165"/>
    <x v="368"/>
    <x v="0"/>
    <x v="0"/>
    <x v="7"/>
    <x v="5"/>
    <x v="58"/>
    <x v="0"/>
    <x v="14"/>
    <x v="5"/>
  </r>
  <r>
    <x v="94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9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94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94"/>
    <x v="88"/>
    <x v="105"/>
    <x v="0"/>
    <x v="48"/>
    <x v="93"/>
    <x v="93"/>
    <x v="92"/>
    <x v="92"/>
    <x v="0"/>
    <x v="481"/>
    <x v="488"/>
    <x v="428"/>
    <x v="127"/>
    <x v="12"/>
    <x v="242"/>
    <x v="100"/>
    <x v="2"/>
    <x v="7"/>
    <x v="14"/>
    <x v="1"/>
    <x v="121"/>
    <x v="369"/>
    <x v="0"/>
    <x v="0"/>
    <x v="4"/>
    <x v="12"/>
    <x v="47"/>
    <x v="0"/>
    <x v="14"/>
    <x v="5"/>
  </r>
  <r>
    <x v="94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94"/>
    <x v="90"/>
    <x v="112"/>
    <x v="1"/>
    <x v="46"/>
    <x v="99"/>
    <x v="99"/>
    <x v="98"/>
    <x v="98"/>
    <x v="0"/>
    <x v="482"/>
    <x v="489"/>
    <x v="429"/>
    <x v="385"/>
    <x v="76"/>
    <x v="443"/>
    <x v="56"/>
    <x v="2"/>
    <x v="2"/>
    <x v="3"/>
    <x v="0"/>
    <x v="149"/>
    <x v="370"/>
    <x v="9"/>
    <x v="51"/>
    <x v="4"/>
    <x v="11"/>
    <x v="46"/>
    <x v="0"/>
    <x v="14"/>
    <x v="5"/>
  </r>
  <r>
    <x v="94"/>
    <x v="91"/>
    <x v="114"/>
    <x v="0"/>
    <x v="62"/>
    <x v="101"/>
    <x v="101"/>
    <x v="100"/>
    <x v="100"/>
    <x v="0"/>
    <x v="483"/>
    <x v="96"/>
    <x v="72"/>
    <x v="386"/>
    <x v="28"/>
    <x v="444"/>
    <x v="15"/>
    <x v="2"/>
    <x v="14"/>
    <x v="3"/>
    <x v="3"/>
    <x v="15"/>
    <x v="15"/>
    <x v="0"/>
    <x v="0"/>
    <x v="5"/>
    <x v="2"/>
    <x v="60"/>
    <x v="0"/>
    <x v="16"/>
    <x v="5"/>
  </r>
  <r>
    <x v="94"/>
    <x v="94"/>
    <x v="118"/>
    <x v="0"/>
    <x v="63"/>
    <x v="104"/>
    <x v="104"/>
    <x v="103"/>
    <x v="103"/>
    <x v="0"/>
    <x v="484"/>
    <x v="490"/>
    <x v="430"/>
    <x v="387"/>
    <x v="37"/>
    <x v="445"/>
    <x v="182"/>
    <x v="2"/>
    <x v="30"/>
    <x v="54"/>
    <x v="2"/>
    <x v="237"/>
    <x v="371"/>
    <x v="0"/>
    <x v="0"/>
    <x v="0"/>
    <x v="12"/>
    <x v="61"/>
    <x v="0"/>
    <x v="14"/>
    <x v="5"/>
  </r>
  <r>
    <x v="94"/>
    <x v="98"/>
    <x v="123"/>
    <x v="0"/>
    <x v="65"/>
    <x v="108"/>
    <x v="108"/>
    <x v="107"/>
    <x v="107"/>
    <x v="0"/>
    <x v="485"/>
    <x v="491"/>
    <x v="431"/>
    <x v="84"/>
    <x v="12"/>
    <x v="446"/>
    <x v="106"/>
    <x v="0"/>
    <x v="20"/>
    <x v="1"/>
    <x v="2"/>
    <x v="238"/>
    <x v="372"/>
    <x v="0"/>
    <x v="0"/>
    <x v="4"/>
    <x v="11"/>
    <x v="63"/>
    <x v="0"/>
    <x v="14"/>
    <x v="5"/>
  </r>
  <r>
    <x v="94"/>
    <x v="100"/>
    <x v="125"/>
    <x v="1"/>
    <x v="60"/>
    <x v="109"/>
    <x v="109"/>
    <x v="108"/>
    <x v="108"/>
    <x v="0"/>
    <x v="486"/>
    <x v="492"/>
    <x v="308"/>
    <x v="388"/>
    <x v="50"/>
    <x v="447"/>
    <x v="18"/>
    <x v="2"/>
    <x v="14"/>
    <x v="3"/>
    <x v="3"/>
    <x v="20"/>
    <x v="34"/>
    <x v="0"/>
    <x v="0"/>
    <x v="5"/>
    <x v="2"/>
    <x v="58"/>
    <x v="0"/>
    <x v="14"/>
    <x v="5"/>
  </r>
  <r>
    <x v="9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95"/>
    <x v="88"/>
    <x v="105"/>
    <x v="0"/>
    <x v="48"/>
    <x v="93"/>
    <x v="93"/>
    <x v="92"/>
    <x v="92"/>
    <x v="0"/>
    <x v="487"/>
    <x v="493"/>
    <x v="432"/>
    <x v="299"/>
    <x v="55"/>
    <x v="19"/>
    <x v="37"/>
    <x v="2"/>
    <x v="39"/>
    <x v="18"/>
    <x v="4"/>
    <x v="25"/>
    <x v="373"/>
    <x v="0"/>
    <x v="0"/>
    <x v="5"/>
    <x v="12"/>
    <x v="47"/>
    <x v="0"/>
    <x v="14"/>
    <x v="5"/>
  </r>
  <r>
    <x v="95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95"/>
    <x v="90"/>
    <x v="112"/>
    <x v="1"/>
    <x v="46"/>
    <x v="99"/>
    <x v="99"/>
    <x v="98"/>
    <x v="98"/>
    <x v="0"/>
    <x v="488"/>
    <x v="494"/>
    <x v="433"/>
    <x v="108"/>
    <x v="35"/>
    <x v="448"/>
    <x v="54"/>
    <x v="1"/>
    <x v="22"/>
    <x v="5"/>
    <x v="2"/>
    <x v="149"/>
    <x v="374"/>
    <x v="25"/>
    <x v="52"/>
    <x v="10"/>
    <x v="5"/>
    <x v="46"/>
    <x v="0"/>
    <x v="14"/>
    <x v="5"/>
  </r>
  <r>
    <x v="95"/>
    <x v="94"/>
    <x v="118"/>
    <x v="0"/>
    <x v="63"/>
    <x v="104"/>
    <x v="104"/>
    <x v="103"/>
    <x v="103"/>
    <x v="0"/>
    <x v="489"/>
    <x v="495"/>
    <x v="434"/>
    <x v="389"/>
    <x v="42"/>
    <x v="449"/>
    <x v="37"/>
    <x v="1"/>
    <x v="23"/>
    <x v="42"/>
    <x v="3"/>
    <x v="239"/>
    <x v="176"/>
    <x v="0"/>
    <x v="0"/>
    <x v="1"/>
    <x v="11"/>
    <x v="61"/>
    <x v="0"/>
    <x v="14"/>
    <x v="5"/>
  </r>
  <r>
    <x v="95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  <x v="0"/>
    <x v="14"/>
    <x v="5"/>
  </r>
  <r>
    <x v="95"/>
    <x v="98"/>
    <x v="123"/>
    <x v="0"/>
    <x v="65"/>
    <x v="108"/>
    <x v="108"/>
    <x v="107"/>
    <x v="107"/>
    <x v="0"/>
    <x v="490"/>
    <x v="496"/>
    <x v="435"/>
    <x v="297"/>
    <x v="8"/>
    <x v="72"/>
    <x v="106"/>
    <x v="3"/>
    <x v="8"/>
    <x v="6"/>
    <x v="3"/>
    <x v="166"/>
    <x v="375"/>
    <x v="0"/>
    <x v="0"/>
    <x v="10"/>
    <x v="5"/>
    <x v="63"/>
    <x v="0"/>
    <x v="14"/>
    <x v="5"/>
  </r>
  <r>
    <x v="9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96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96"/>
    <x v="88"/>
    <x v="105"/>
    <x v="0"/>
    <x v="48"/>
    <x v="93"/>
    <x v="93"/>
    <x v="92"/>
    <x v="92"/>
    <x v="0"/>
    <x v="491"/>
    <x v="497"/>
    <x v="436"/>
    <x v="188"/>
    <x v="36"/>
    <x v="450"/>
    <x v="128"/>
    <x v="7"/>
    <x v="87"/>
    <x v="10"/>
    <x v="23"/>
    <x v="240"/>
    <x v="376"/>
    <x v="0"/>
    <x v="0"/>
    <x v="5"/>
    <x v="5"/>
    <x v="47"/>
    <x v="0"/>
    <x v="14"/>
    <x v="5"/>
  </r>
  <r>
    <x v="96"/>
    <x v="90"/>
    <x v="111"/>
    <x v="0"/>
    <x v="60"/>
    <x v="98"/>
    <x v="98"/>
    <x v="97"/>
    <x v="97"/>
    <x v="0"/>
    <x v="492"/>
    <x v="498"/>
    <x v="437"/>
    <x v="86"/>
    <x v="53"/>
    <x v="451"/>
    <x v="42"/>
    <x v="0"/>
    <x v="9"/>
    <x v="12"/>
    <x v="2"/>
    <x v="180"/>
    <x v="377"/>
    <x v="0"/>
    <x v="0"/>
    <x v="5"/>
    <x v="6"/>
    <x v="58"/>
    <x v="0"/>
    <x v="14"/>
    <x v="5"/>
  </r>
  <r>
    <x v="96"/>
    <x v="90"/>
    <x v="112"/>
    <x v="1"/>
    <x v="46"/>
    <x v="99"/>
    <x v="99"/>
    <x v="98"/>
    <x v="98"/>
    <x v="0"/>
    <x v="493"/>
    <x v="499"/>
    <x v="438"/>
    <x v="390"/>
    <x v="35"/>
    <x v="452"/>
    <x v="30"/>
    <x v="2"/>
    <x v="4"/>
    <x v="3"/>
    <x v="2"/>
    <x v="241"/>
    <x v="378"/>
    <x v="26"/>
    <x v="53"/>
    <x v="3"/>
    <x v="12"/>
    <x v="46"/>
    <x v="0"/>
    <x v="14"/>
    <x v="5"/>
  </r>
  <r>
    <x v="96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96"/>
    <x v="94"/>
    <x v="118"/>
    <x v="0"/>
    <x v="63"/>
    <x v="104"/>
    <x v="104"/>
    <x v="103"/>
    <x v="103"/>
    <x v="0"/>
    <x v="494"/>
    <x v="500"/>
    <x v="439"/>
    <x v="253"/>
    <x v="42"/>
    <x v="453"/>
    <x v="183"/>
    <x v="1"/>
    <x v="17"/>
    <x v="17"/>
    <x v="4"/>
    <x v="117"/>
    <x v="379"/>
    <x v="0"/>
    <x v="0"/>
    <x v="5"/>
    <x v="11"/>
    <x v="61"/>
    <x v="0"/>
    <x v="14"/>
    <x v="5"/>
  </r>
  <r>
    <x v="96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  <x v="0"/>
    <x v="14"/>
    <x v="5"/>
  </r>
  <r>
    <x v="96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</r>
  <r>
    <x v="96"/>
    <x v="100"/>
    <x v="125"/>
    <x v="1"/>
    <x v="60"/>
    <x v="109"/>
    <x v="109"/>
    <x v="108"/>
    <x v="108"/>
    <x v="0"/>
    <x v="30"/>
    <x v="179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97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9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97"/>
    <x v="85"/>
    <x v="99"/>
    <x v="0"/>
    <x v="53"/>
    <x v="87"/>
    <x v="87"/>
    <x v="86"/>
    <x v="8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1"/>
    <x v="0"/>
    <x v="14"/>
    <x v="5"/>
  </r>
  <r>
    <x v="97"/>
    <x v="88"/>
    <x v="105"/>
    <x v="0"/>
    <x v="48"/>
    <x v="93"/>
    <x v="93"/>
    <x v="92"/>
    <x v="92"/>
    <x v="0"/>
    <x v="495"/>
    <x v="501"/>
    <x v="440"/>
    <x v="391"/>
    <x v="12"/>
    <x v="454"/>
    <x v="26"/>
    <x v="2"/>
    <x v="14"/>
    <x v="3"/>
    <x v="3"/>
    <x v="70"/>
    <x v="380"/>
    <x v="0"/>
    <x v="0"/>
    <x v="5"/>
    <x v="2"/>
    <x v="47"/>
    <x v="0"/>
    <x v="14"/>
    <x v="5"/>
  </r>
  <r>
    <x v="97"/>
    <x v="90"/>
    <x v="111"/>
    <x v="0"/>
    <x v="60"/>
    <x v="98"/>
    <x v="98"/>
    <x v="97"/>
    <x v="97"/>
    <x v="0"/>
    <x v="496"/>
    <x v="502"/>
    <x v="441"/>
    <x v="392"/>
    <x v="58"/>
    <x v="455"/>
    <x v="176"/>
    <x v="1"/>
    <x v="38"/>
    <x v="1"/>
    <x v="4"/>
    <x v="99"/>
    <x v="381"/>
    <x v="0"/>
    <x v="0"/>
    <x v="5"/>
    <x v="5"/>
    <x v="58"/>
    <x v="0"/>
    <x v="14"/>
    <x v="5"/>
  </r>
  <r>
    <x v="97"/>
    <x v="90"/>
    <x v="112"/>
    <x v="1"/>
    <x v="46"/>
    <x v="99"/>
    <x v="99"/>
    <x v="98"/>
    <x v="98"/>
    <x v="0"/>
    <x v="497"/>
    <x v="503"/>
    <x v="442"/>
    <x v="390"/>
    <x v="48"/>
    <x v="437"/>
    <x v="31"/>
    <x v="1"/>
    <x v="4"/>
    <x v="3"/>
    <x v="1"/>
    <x v="52"/>
    <x v="382"/>
    <x v="19"/>
    <x v="54"/>
    <x v="7"/>
    <x v="12"/>
    <x v="46"/>
    <x v="0"/>
    <x v="14"/>
    <x v="5"/>
  </r>
  <r>
    <x v="97"/>
    <x v="91"/>
    <x v="114"/>
    <x v="0"/>
    <x v="62"/>
    <x v="101"/>
    <x v="101"/>
    <x v="100"/>
    <x v="100"/>
    <x v="0"/>
    <x v="498"/>
    <x v="504"/>
    <x v="443"/>
    <x v="393"/>
    <x v="35"/>
    <x v="456"/>
    <x v="34"/>
    <x v="1"/>
    <x v="23"/>
    <x v="3"/>
    <x v="2"/>
    <x v="41"/>
    <x v="383"/>
    <x v="27"/>
    <x v="23"/>
    <x v="12"/>
    <x v="11"/>
    <x v="60"/>
    <x v="0"/>
    <x v="16"/>
    <x v="5"/>
  </r>
  <r>
    <x v="97"/>
    <x v="94"/>
    <x v="118"/>
    <x v="0"/>
    <x v="63"/>
    <x v="104"/>
    <x v="104"/>
    <x v="103"/>
    <x v="103"/>
    <x v="0"/>
    <x v="499"/>
    <x v="505"/>
    <x v="293"/>
    <x v="194"/>
    <x v="42"/>
    <x v="457"/>
    <x v="28"/>
    <x v="1"/>
    <x v="10"/>
    <x v="26"/>
    <x v="2"/>
    <x v="16"/>
    <x v="319"/>
    <x v="0"/>
    <x v="0"/>
    <x v="23"/>
    <x v="11"/>
    <x v="61"/>
    <x v="0"/>
    <x v="14"/>
    <x v="5"/>
  </r>
  <r>
    <x v="97"/>
    <x v="96"/>
    <x v="120"/>
    <x v="1"/>
    <x v="61"/>
    <x v="105"/>
    <x v="105"/>
    <x v="104"/>
    <x v="104"/>
    <x v="0"/>
    <x v="500"/>
    <x v="506"/>
    <x v="313"/>
    <x v="394"/>
    <x v="43"/>
    <x v="458"/>
    <x v="23"/>
    <x v="2"/>
    <x v="50"/>
    <x v="3"/>
    <x v="1"/>
    <x v="8"/>
    <x v="384"/>
    <x v="1"/>
    <x v="55"/>
    <x v="5"/>
    <x v="12"/>
    <x v="59"/>
    <x v="0"/>
    <x v="14"/>
    <x v="5"/>
  </r>
  <r>
    <x v="97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</r>
  <r>
    <x v="97"/>
    <x v="101"/>
    <x v="126"/>
    <x v="0"/>
    <x v="66"/>
    <x v="110"/>
    <x v="110"/>
    <x v="109"/>
    <x v="109"/>
    <x v="0"/>
    <x v="501"/>
    <x v="507"/>
    <x v="444"/>
    <x v="395"/>
    <x v="30"/>
    <x v="459"/>
    <x v="184"/>
    <x v="6"/>
    <x v="17"/>
    <x v="51"/>
    <x v="6"/>
    <x v="242"/>
    <x v="385"/>
    <x v="0"/>
    <x v="0"/>
    <x v="39"/>
    <x v="11"/>
    <x v="64"/>
    <x v="0"/>
    <x v="14"/>
    <x v="5"/>
  </r>
  <r>
    <x v="97"/>
    <x v="101"/>
    <x v="127"/>
    <x v="0"/>
    <x v="67"/>
    <x v="111"/>
    <x v="111"/>
    <x v="110"/>
    <x v="110"/>
    <x v="0"/>
    <x v="502"/>
    <x v="508"/>
    <x v="445"/>
    <x v="308"/>
    <x v="37"/>
    <x v="460"/>
    <x v="66"/>
    <x v="2"/>
    <x v="20"/>
    <x v="6"/>
    <x v="3"/>
    <x v="191"/>
    <x v="386"/>
    <x v="0"/>
    <x v="0"/>
    <x v="5"/>
    <x v="2"/>
    <x v="65"/>
    <x v="0"/>
    <x v="14"/>
    <x v="5"/>
  </r>
  <r>
    <x v="98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98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98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98"/>
    <x v="90"/>
    <x v="111"/>
    <x v="0"/>
    <x v="60"/>
    <x v="98"/>
    <x v="98"/>
    <x v="97"/>
    <x v="97"/>
    <x v="0"/>
    <x v="503"/>
    <x v="509"/>
    <x v="446"/>
    <x v="396"/>
    <x v="3"/>
    <x v="461"/>
    <x v="128"/>
    <x v="1"/>
    <x v="36"/>
    <x v="51"/>
    <x v="2"/>
    <x v="240"/>
    <x v="387"/>
    <x v="0"/>
    <x v="0"/>
    <x v="2"/>
    <x v="2"/>
    <x v="58"/>
    <x v="0"/>
    <x v="14"/>
    <x v="5"/>
  </r>
  <r>
    <x v="98"/>
    <x v="90"/>
    <x v="112"/>
    <x v="1"/>
    <x v="46"/>
    <x v="99"/>
    <x v="99"/>
    <x v="98"/>
    <x v="98"/>
    <x v="0"/>
    <x v="504"/>
    <x v="510"/>
    <x v="447"/>
    <x v="252"/>
    <x v="48"/>
    <x v="462"/>
    <x v="185"/>
    <x v="1"/>
    <x v="45"/>
    <x v="3"/>
    <x v="3"/>
    <x v="243"/>
    <x v="388"/>
    <x v="28"/>
    <x v="56"/>
    <x v="11"/>
    <x v="5"/>
    <x v="46"/>
    <x v="0"/>
    <x v="14"/>
    <x v="5"/>
  </r>
  <r>
    <x v="98"/>
    <x v="91"/>
    <x v="114"/>
    <x v="0"/>
    <x v="62"/>
    <x v="101"/>
    <x v="101"/>
    <x v="100"/>
    <x v="100"/>
    <x v="0"/>
    <x v="505"/>
    <x v="511"/>
    <x v="448"/>
    <x v="291"/>
    <x v="71"/>
    <x v="463"/>
    <x v="114"/>
    <x v="1"/>
    <x v="55"/>
    <x v="5"/>
    <x v="3"/>
    <x v="104"/>
    <x v="389"/>
    <x v="15"/>
    <x v="57"/>
    <x v="39"/>
    <x v="10"/>
    <x v="60"/>
    <x v="0"/>
    <x v="16"/>
    <x v="5"/>
  </r>
  <r>
    <x v="98"/>
    <x v="94"/>
    <x v="118"/>
    <x v="0"/>
    <x v="63"/>
    <x v="104"/>
    <x v="104"/>
    <x v="103"/>
    <x v="103"/>
    <x v="0"/>
    <x v="506"/>
    <x v="512"/>
    <x v="449"/>
    <x v="397"/>
    <x v="32"/>
    <x v="464"/>
    <x v="38"/>
    <x v="2"/>
    <x v="85"/>
    <x v="33"/>
    <x v="2"/>
    <x v="105"/>
    <x v="288"/>
    <x v="0"/>
    <x v="0"/>
    <x v="4"/>
    <x v="12"/>
    <x v="61"/>
    <x v="0"/>
    <x v="14"/>
    <x v="5"/>
  </r>
  <r>
    <x v="98"/>
    <x v="96"/>
    <x v="120"/>
    <x v="1"/>
    <x v="61"/>
    <x v="105"/>
    <x v="105"/>
    <x v="104"/>
    <x v="104"/>
    <x v="0"/>
    <x v="507"/>
    <x v="513"/>
    <x v="286"/>
    <x v="89"/>
    <x v="74"/>
    <x v="465"/>
    <x v="15"/>
    <x v="2"/>
    <x v="14"/>
    <x v="3"/>
    <x v="3"/>
    <x v="15"/>
    <x v="15"/>
    <x v="0"/>
    <x v="0"/>
    <x v="5"/>
    <x v="2"/>
    <x v="59"/>
    <x v="0"/>
    <x v="14"/>
    <x v="5"/>
  </r>
  <r>
    <x v="98"/>
    <x v="98"/>
    <x v="122"/>
    <x v="1"/>
    <x v="52"/>
    <x v="107"/>
    <x v="107"/>
    <x v="106"/>
    <x v="10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0"/>
    <x v="0"/>
    <x v="14"/>
    <x v="5"/>
  </r>
  <r>
    <x v="98"/>
    <x v="101"/>
    <x v="126"/>
    <x v="0"/>
    <x v="66"/>
    <x v="110"/>
    <x v="110"/>
    <x v="109"/>
    <x v="109"/>
    <x v="0"/>
    <x v="508"/>
    <x v="514"/>
    <x v="450"/>
    <x v="398"/>
    <x v="36"/>
    <x v="466"/>
    <x v="176"/>
    <x v="2"/>
    <x v="90"/>
    <x v="6"/>
    <x v="7"/>
    <x v="121"/>
    <x v="390"/>
    <x v="0"/>
    <x v="0"/>
    <x v="4"/>
    <x v="5"/>
    <x v="64"/>
    <x v="0"/>
    <x v="14"/>
    <x v="5"/>
  </r>
  <r>
    <x v="98"/>
    <x v="101"/>
    <x v="127"/>
    <x v="0"/>
    <x v="67"/>
    <x v="111"/>
    <x v="111"/>
    <x v="110"/>
    <x v="110"/>
    <x v="0"/>
    <x v="30"/>
    <x v="51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</r>
  <r>
    <x v="99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99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99"/>
    <x v="90"/>
    <x v="111"/>
    <x v="0"/>
    <x v="60"/>
    <x v="98"/>
    <x v="98"/>
    <x v="97"/>
    <x v="97"/>
    <x v="0"/>
    <x v="509"/>
    <x v="516"/>
    <x v="94"/>
    <x v="399"/>
    <x v="32"/>
    <x v="19"/>
    <x v="18"/>
    <x v="2"/>
    <x v="14"/>
    <x v="3"/>
    <x v="3"/>
    <x v="20"/>
    <x v="391"/>
    <x v="0"/>
    <x v="0"/>
    <x v="5"/>
    <x v="2"/>
    <x v="58"/>
    <x v="0"/>
    <x v="14"/>
    <x v="5"/>
  </r>
  <r>
    <x v="99"/>
    <x v="90"/>
    <x v="112"/>
    <x v="1"/>
    <x v="46"/>
    <x v="99"/>
    <x v="99"/>
    <x v="98"/>
    <x v="98"/>
    <x v="0"/>
    <x v="510"/>
    <x v="517"/>
    <x v="451"/>
    <x v="335"/>
    <x v="35"/>
    <x v="467"/>
    <x v="112"/>
    <x v="0"/>
    <x v="91"/>
    <x v="0"/>
    <x v="1"/>
    <x v="77"/>
    <x v="392"/>
    <x v="29"/>
    <x v="58"/>
    <x v="0"/>
    <x v="3"/>
    <x v="46"/>
    <x v="0"/>
    <x v="14"/>
    <x v="5"/>
  </r>
  <r>
    <x v="99"/>
    <x v="91"/>
    <x v="114"/>
    <x v="0"/>
    <x v="62"/>
    <x v="101"/>
    <x v="101"/>
    <x v="100"/>
    <x v="100"/>
    <x v="0"/>
    <x v="511"/>
    <x v="518"/>
    <x v="452"/>
    <x v="277"/>
    <x v="27"/>
    <x v="468"/>
    <x v="40"/>
    <x v="0"/>
    <x v="4"/>
    <x v="3"/>
    <x v="4"/>
    <x v="79"/>
    <x v="393"/>
    <x v="3"/>
    <x v="27"/>
    <x v="2"/>
    <x v="13"/>
    <x v="60"/>
    <x v="0"/>
    <x v="16"/>
    <x v="5"/>
  </r>
  <r>
    <x v="99"/>
    <x v="94"/>
    <x v="118"/>
    <x v="0"/>
    <x v="63"/>
    <x v="104"/>
    <x v="104"/>
    <x v="103"/>
    <x v="103"/>
    <x v="0"/>
    <x v="512"/>
    <x v="519"/>
    <x v="453"/>
    <x v="400"/>
    <x v="4"/>
    <x v="214"/>
    <x v="15"/>
    <x v="2"/>
    <x v="14"/>
    <x v="3"/>
    <x v="3"/>
    <x v="15"/>
    <x v="15"/>
    <x v="0"/>
    <x v="0"/>
    <x v="5"/>
    <x v="2"/>
    <x v="61"/>
    <x v="0"/>
    <x v="14"/>
    <x v="5"/>
  </r>
  <r>
    <x v="99"/>
    <x v="101"/>
    <x v="126"/>
    <x v="0"/>
    <x v="66"/>
    <x v="110"/>
    <x v="110"/>
    <x v="109"/>
    <x v="109"/>
    <x v="0"/>
    <x v="513"/>
    <x v="520"/>
    <x v="454"/>
    <x v="191"/>
    <x v="82"/>
    <x v="469"/>
    <x v="87"/>
    <x v="7"/>
    <x v="91"/>
    <x v="51"/>
    <x v="4"/>
    <x v="16"/>
    <x v="394"/>
    <x v="0"/>
    <x v="0"/>
    <x v="10"/>
    <x v="2"/>
    <x v="64"/>
    <x v="0"/>
    <x v="14"/>
    <x v="5"/>
  </r>
  <r>
    <x v="99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</r>
  <r>
    <x v="99"/>
    <x v="102"/>
    <x v="128"/>
    <x v="0"/>
    <x v="68"/>
    <x v="112"/>
    <x v="112"/>
    <x v="111"/>
    <x v="111"/>
    <x v="0"/>
    <x v="514"/>
    <x v="521"/>
    <x v="455"/>
    <x v="232"/>
    <x v="36"/>
    <x v="266"/>
    <x v="19"/>
    <x v="1"/>
    <x v="49"/>
    <x v="11"/>
    <x v="0"/>
    <x v="244"/>
    <x v="395"/>
    <x v="0"/>
    <x v="0"/>
    <x v="5"/>
    <x v="2"/>
    <x v="66"/>
    <x v="0"/>
    <x v="14"/>
    <x v="5"/>
  </r>
  <r>
    <x v="100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100"/>
    <x v="88"/>
    <x v="105"/>
    <x v="0"/>
    <x v="48"/>
    <x v="93"/>
    <x v="93"/>
    <x v="92"/>
    <x v="92"/>
    <x v="0"/>
    <x v="515"/>
    <x v="522"/>
    <x v="456"/>
    <x v="208"/>
    <x v="21"/>
    <x v="470"/>
    <x v="18"/>
    <x v="2"/>
    <x v="14"/>
    <x v="3"/>
    <x v="3"/>
    <x v="20"/>
    <x v="396"/>
    <x v="0"/>
    <x v="0"/>
    <x v="5"/>
    <x v="2"/>
    <x v="47"/>
    <x v="0"/>
    <x v="14"/>
    <x v="5"/>
  </r>
  <r>
    <x v="100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00"/>
    <x v="90"/>
    <x v="112"/>
    <x v="1"/>
    <x v="46"/>
    <x v="99"/>
    <x v="99"/>
    <x v="98"/>
    <x v="98"/>
    <x v="0"/>
    <x v="516"/>
    <x v="523"/>
    <x v="85"/>
    <x v="401"/>
    <x v="48"/>
    <x v="471"/>
    <x v="15"/>
    <x v="2"/>
    <x v="14"/>
    <x v="3"/>
    <x v="3"/>
    <x v="15"/>
    <x v="15"/>
    <x v="0"/>
    <x v="0"/>
    <x v="5"/>
    <x v="2"/>
    <x v="46"/>
    <x v="0"/>
    <x v="14"/>
    <x v="5"/>
  </r>
  <r>
    <x v="100"/>
    <x v="91"/>
    <x v="114"/>
    <x v="0"/>
    <x v="62"/>
    <x v="101"/>
    <x v="101"/>
    <x v="100"/>
    <x v="100"/>
    <x v="0"/>
    <x v="517"/>
    <x v="338"/>
    <x v="306"/>
    <x v="402"/>
    <x v="58"/>
    <x v="472"/>
    <x v="15"/>
    <x v="2"/>
    <x v="14"/>
    <x v="3"/>
    <x v="3"/>
    <x v="15"/>
    <x v="15"/>
    <x v="0"/>
    <x v="0"/>
    <x v="5"/>
    <x v="2"/>
    <x v="60"/>
    <x v="0"/>
    <x v="16"/>
    <x v="5"/>
  </r>
  <r>
    <x v="100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</r>
  <r>
    <x v="100"/>
    <x v="96"/>
    <x v="120"/>
    <x v="1"/>
    <x v="61"/>
    <x v="105"/>
    <x v="105"/>
    <x v="104"/>
    <x v="10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9"/>
    <x v="0"/>
    <x v="14"/>
    <x v="5"/>
  </r>
  <r>
    <x v="100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</r>
  <r>
    <x v="100"/>
    <x v="101"/>
    <x v="126"/>
    <x v="0"/>
    <x v="66"/>
    <x v="110"/>
    <x v="110"/>
    <x v="109"/>
    <x v="109"/>
    <x v="0"/>
    <x v="518"/>
    <x v="524"/>
    <x v="304"/>
    <x v="403"/>
    <x v="35"/>
    <x v="473"/>
    <x v="26"/>
    <x v="2"/>
    <x v="24"/>
    <x v="3"/>
    <x v="3"/>
    <x v="83"/>
    <x v="397"/>
    <x v="0"/>
    <x v="0"/>
    <x v="5"/>
    <x v="2"/>
    <x v="64"/>
    <x v="0"/>
    <x v="14"/>
    <x v="5"/>
  </r>
  <r>
    <x v="100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</r>
  <r>
    <x v="100"/>
    <x v="102"/>
    <x v="128"/>
    <x v="0"/>
    <x v="68"/>
    <x v="112"/>
    <x v="112"/>
    <x v="111"/>
    <x v="111"/>
    <x v="0"/>
    <x v="519"/>
    <x v="525"/>
    <x v="457"/>
    <x v="233"/>
    <x v="12"/>
    <x v="474"/>
    <x v="18"/>
    <x v="2"/>
    <x v="14"/>
    <x v="3"/>
    <x v="3"/>
    <x v="20"/>
    <x v="398"/>
    <x v="0"/>
    <x v="0"/>
    <x v="5"/>
    <x v="2"/>
    <x v="66"/>
    <x v="0"/>
    <x v="14"/>
    <x v="5"/>
  </r>
  <r>
    <x v="100"/>
    <x v="103"/>
    <x v="129"/>
    <x v="0"/>
    <x v="48"/>
    <x v="113"/>
    <x v="113"/>
    <x v="112"/>
    <x v="112"/>
    <x v="0"/>
    <x v="520"/>
    <x v="526"/>
    <x v="458"/>
    <x v="213"/>
    <x v="74"/>
    <x v="475"/>
    <x v="84"/>
    <x v="2"/>
    <x v="28"/>
    <x v="39"/>
    <x v="0"/>
    <x v="218"/>
    <x v="399"/>
    <x v="0"/>
    <x v="0"/>
    <x v="4"/>
    <x v="12"/>
    <x v="47"/>
    <x v="0"/>
    <x v="14"/>
    <x v="5"/>
  </r>
  <r>
    <x v="101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01"/>
    <x v="88"/>
    <x v="105"/>
    <x v="0"/>
    <x v="48"/>
    <x v="93"/>
    <x v="93"/>
    <x v="92"/>
    <x v="92"/>
    <x v="0"/>
    <x v="521"/>
    <x v="527"/>
    <x v="308"/>
    <x v="165"/>
    <x v="26"/>
    <x v="476"/>
    <x v="15"/>
    <x v="2"/>
    <x v="14"/>
    <x v="3"/>
    <x v="3"/>
    <x v="15"/>
    <x v="15"/>
    <x v="0"/>
    <x v="0"/>
    <x v="5"/>
    <x v="2"/>
    <x v="47"/>
    <x v="0"/>
    <x v="14"/>
    <x v="5"/>
  </r>
  <r>
    <x v="10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01"/>
    <x v="90"/>
    <x v="112"/>
    <x v="1"/>
    <x v="46"/>
    <x v="99"/>
    <x v="99"/>
    <x v="98"/>
    <x v="98"/>
    <x v="0"/>
    <x v="522"/>
    <x v="528"/>
    <x v="459"/>
    <x v="404"/>
    <x v="52"/>
    <x v="477"/>
    <x v="43"/>
    <x v="2"/>
    <x v="22"/>
    <x v="5"/>
    <x v="2"/>
    <x v="149"/>
    <x v="400"/>
    <x v="30"/>
    <x v="59"/>
    <x v="1"/>
    <x v="6"/>
    <x v="46"/>
    <x v="0"/>
    <x v="14"/>
    <x v="5"/>
  </r>
  <r>
    <x v="101"/>
    <x v="91"/>
    <x v="114"/>
    <x v="0"/>
    <x v="62"/>
    <x v="101"/>
    <x v="101"/>
    <x v="100"/>
    <x v="100"/>
    <x v="0"/>
    <x v="523"/>
    <x v="529"/>
    <x v="460"/>
    <x v="405"/>
    <x v="36"/>
    <x v="478"/>
    <x v="60"/>
    <x v="2"/>
    <x v="28"/>
    <x v="3"/>
    <x v="4"/>
    <x v="203"/>
    <x v="401"/>
    <x v="23"/>
    <x v="42"/>
    <x v="3"/>
    <x v="6"/>
    <x v="60"/>
    <x v="0"/>
    <x v="16"/>
    <x v="5"/>
  </r>
  <r>
    <x v="101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</r>
  <r>
    <x v="101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</r>
  <r>
    <x v="101"/>
    <x v="101"/>
    <x v="126"/>
    <x v="0"/>
    <x v="66"/>
    <x v="110"/>
    <x v="110"/>
    <x v="109"/>
    <x v="109"/>
    <x v="0"/>
    <x v="524"/>
    <x v="530"/>
    <x v="461"/>
    <x v="228"/>
    <x v="76"/>
    <x v="479"/>
    <x v="114"/>
    <x v="7"/>
    <x v="2"/>
    <x v="14"/>
    <x v="23"/>
    <x v="234"/>
    <x v="402"/>
    <x v="0"/>
    <x v="0"/>
    <x v="5"/>
    <x v="2"/>
    <x v="64"/>
    <x v="0"/>
    <x v="14"/>
    <x v="5"/>
  </r>
  <r>
    <x v="101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</r>
  <r>
    <x v="101"/>
    <x v="102"/>
    <x v="130"/>
    <x v="0"/>
    <x v="69"/>
    <x v="114"/>
    <x v="114"/>
    <x v="113"/>
    <x v="113"/>
    <x v="0"/>
    <x v="525"/>
    <x v="531"/>
    <x v="462"/>
    <x v="140"/>
    <x v="82"/>
    <x v="480"/>
    <x v="60"/>
    <x v="0"/>
    <x v="38"/>
    <x v="3"/>
    <x v="4"/>
    <x v="203"/>
    <x v="403"/>
    <x v="0"/>
    <x v="0"/>
    <x v="3"/>
    <x v="11"/>
    <x v="67"/>
    <x v="0"/>
    <x v="14"/>
    <x v="5"/>
  </r>
  <r>
    <x v="101"/>
    <x v="102"/>
    <x v="128"/>
    <x v="0"/>
    <x v="68"/>
    <x v="112"/>
    <x v="112"/>
    <x v="111"/>
    <x v="1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6"/>
    <x v="0"/>
    <x v="14"/>
    <x v="5"/>
  </r>
  <r>
    <x v="101"/>
    <x v="103"/>
    <x v="129"/>
    <x v="0"/>
    <x v="48"/>
    <x v="113"/>
    <x v="113"/>
    <x v="112"/>
    <x v="112"/>
    <x v="0"/>
    <x v="526"/>
    <x v="532"/>
    <x v="118"/>
    <x v="270"/>
    <x v="10"/>
    <x v="481"/>
    <x v="8"/>
    <x v="2"/>
    <x v="50"/>
    <x v="11"/>
    <x v="3"/>
    <x v="93"/>
    <x v="404"/>
    <x v="0"/>
    <x v="0"/>
    <x v="5"/>
    <x v="2"/>
    <x v="47"/>
    <x v="0"/>
    <x v="14"/>
    <x v="5"/>
  </r>
  <r>
    <x v="10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02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10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02"/>
    <x v="90"/>
    <x v="112"/>
    <x v="1"/>
    <x v="46"/>
    <x v="99"/>
    <x v="99"/>
    <x v="98"/>
    <x v="98"/>
    <x v="0"/>
    <x v="527"/>
    <x v="533"/>
    <x v="463"/>
    <x v="357"/>
    <x v="48"/>
    <x v="482"/>
    <x v="10"/>
    <x v="2"/>
    <x v="2"/>
    <x v="3"/>
    <x v="3"/>
    <x v="154"/>
    <x v="405"/>
    <x v="31"/>
    <x v="60"/>
    <x v="7"/>
    <x v="10"/>
    <x v="46"/>
    <x v="0"/>
    <x v="14"/>
    <x v="5"/>
  </r>
  <r>
    <x v="102"/>
    <x v="91"/>
    <x v="114"/>
    <x v="0"/>
    <x v="62"/>
    <x v="101"/>
    <x v="101"/>
    <x v="100"/>
    <x v="100"/>
    <x v="0"/>
    <x v="528"/>
    <x v="534"/>
    <x v="464"/>
    <x v="406"/>
    <x v="14"/>
    <x v="161"/>
    <x v="118"/>
    <x v="2"/>
    <x v="89"/>
    <x v="5"/>
    <x v="0"/>
    <x v="245"/>
    <x v="406"/>
    <x v="4"/>
    <x v="61"/>
    <x v="1"/>
    <x v="3"/>
    <x v="60"/>
    <x v="0"/>
    <x v="16"/>
    <x v="5"/>
  </r>
  <r>
    <x v="102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</r>
  <r>
    <x v="102"/>
    <x v="101"/>
    <x v="126"/>
    <x v="0"/>
    <x v="66"/>
    <x v="110"/>
    <x v="110"/>
    <x v="109"/>
    <x v="109"/>
    <x v="0"/>
    <x v="529"/>
    <x v="535"/>
    <x v="465"/>
    <x v="390"/>
    <x v="52"/>
    <x v="464"/>
    <x v="111"/>
    <x v="6"/>
    <x v="17"/>
    <x v="51"/>
    <x v="26"/>
    <x v="124"/>
    <x v="1"/>
    <x v="0"/>
    <x v="0"/>
    <x v="5"/>
    <x v="2"/>
    <x v="64"/>
    <x v="0"/>
    <x v="14"/>
    <x v="5"/>
  </r>
  <r>
    <x v="102"/>
    <x v="102"/>
    <x v="130"/>
    <x v="0"/>
    <x v="69"/>
    <x v="114"/>
    <x v="114"/>
    <x v="113"/>
    <x v="113"/>
    <x v="0"/>
    <x v="530"/>
    <x v="536"/>
    <x v="466"/>
    <x v="407"/>
    <x v="83"/>
    <x v="78"/>
    <x v="144"/>
    <x v="3"/>
    <x v="81"/>
    <x v="3"/>
    <x v="23"/>
    <x v="246"/>
    <x v="407"/>
    <x v="0"/>
    <x v="0"/>
    <x v="40"/>
    <x v="3"/>
    <x v="67"/>
    <x v="0"/>
    <x v="14"/>
    <x v="5"/>
  </r>
  <r>
    <x v="102"/>
    <x v="102"/>
    <x v="128"/>
    <x v="0"/>
    <x v="68"/>
    <x v="112"/>
    <x v="112"/>
    <x v="111"/>
    <x v="1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6"/>
    <x v="0"/>
    <x v="14"/>
    <x v="5"/>
  </r>
  <r>
    <x v="102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02"/>
    <x v="104"/>
    <x v="131"/>
    <x v="0"/>
    <x v="70"/>
    <x v="115"/>
    <x v="115"/>
    <x v="114"/>
    <x v="114"/>
    <x v="0"/>
    <x v="531"/>
    <x v="537"/>
    <x v="467"/>
    <x v="408"/>
    <x v="81"/>
    <x v="304"/>
    <x v="118"/>
    <x v="2"/>
    <x v="16"/>
    <x v="5"/>
    <x v="8"/>
    <x v="247"/>
    <x v="408"/>
    <x v="0"/>
    <x v="0"/>
    <x v="39"/>
    <x v="10"/>
    <x v="68"/>
    <x v="0"/>
    <x v="14"/>
    <x v="5"/>
  </r>
  <r>
    <x v="102"/>
    <x v="104"/>
    <x v="132"/>
    <x v="0"/>
    <x v="71"/>
    <x v="116"/>
    <x v="116"/>
    <x v="115"/>
    <x v="115"/>
    <x v="0"/>
    <x v="141"/>
    <x v="538"/>
    <x v="468"/>
    <x v="364"/>
    <x v="30"/>
    <x v="483"/>
    <x v="54"/>
    <x v="1"/>
    <x v="24"/>
    <x v="5"/>
    <x v="0"/>
    <x v="7"/>
    <x v="192"/>
    <x v="0"/>
    <x v="0"/>
    <x v="0"/>
    <x v="42"/>
    <x v="69"/>
    <x v="0"/>
    <x v="16"/>
    <x v="5"/>
  </r>
  <r>
    <x v="103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03"/>
    <x v="90"/>
    <x v="112"/>
    <x v="1"/>
    <x v="46"/>
    <x v="99"/>
    <x v="99"/>
    <x v="98"/>
    <x v="98"/>
    <x v="0"/>
    <x v="532"/>
    <x v="539"/>
    <x v="469"/>
    <x v="130"/>
    <x v="35"/>
    <x v="484"/>
    <x v="107"/>
    <x v="0"/>
    <x v="87"/>
    <x v="11"/>
    <x v="4"/>
    <x v="164"/>
    <x v="409"/>
    <x v="30"/>
    <x v="62"/>
    <x v="3"/>
    <x v="2"/>
    <x v="46"/>
    <x v="0"/>
    <x v="14"/>
    <x v="5"/>
  </r>
  <r>
    <x v="103"/>
    <x v="91"/>
    <x v="114"/>
    <x v="0"/>
    <x v="62"/>
    <x v="101"/>
    <x v="101"/>
    <x v="100"/>
    <x v="100"/>
    <x v="0"/>
    <x v="533"/>
    <x v="540"/>
    <x v="247"/>
    <x v="140"/>
    <x v="53"/>
    <x v="485"/>
    <x v="18"/>
    <x v="2"/>
    <x v="14"/>
    <x v="3"/>
    <x v="3"/>
    <x v="20"/>
    <x v="410"/>
    <x v="0"/>
    <x v="0"/>
    <x v="5"/>
    <x v="2"/>
    <x v="60"/>
    <x v="0"/>
    <x v="16"/>
    <x v="5"/>
  </r>
  <r>
    <x v="103"/>
    <x v="101"/>
    <x v="126"/>
    <x v="0"/>
    <x v="66"/>
    <x v="110"/>
    <x v="110"/>
    <x v="109"/>
    <x v="109"/>
    <x v="0"/>
    <x v="534"/>
    <x v="541"/>
    <x v="470"/>
    <x v="210"/>
    <x v="82"/>
    <x v="486"/>
    <x v="37"/>
    <x v="7"/>
    <x v="73"/>
    <x v="6"/>
    <x v="26"/>
    <x v="124"/>
    <x v="411"/>
    <x v="0"/>
    <x v="0"/>
    <x v="2"/>
    <x v="2"/>
    <x v="64"/>
    <x v="0"/>
    <x v="14"/>
    <x v="5"/>
  </r>
  <r>
    <x v="103"/>
    <x v="102"/>
    <x v="130"/>
    <x v="0"/>
    <x v="69"/>
    <x v="114"/>
    <x v="114"/>
    <x v="113"/>
    <x v="113"/>
    <x v="0"/>
    <x v="535"/>
    <x v="542"/>
    <x v="471"/>
    <x v="222"/>
    <x v="94"/>
    <x v="487"/>
    <x v="100"/>
    <x v="2"/>
    <x v="30"/>
    <x v="3"/>
    <x v="1"/>
    <x v="182"/>
    <x v="412"/>
    <x v="0"/>
    <x v="0"/>
    <x v="5"/>
    <x v="2"/>
    <x v="67"/>
    <x v="0"/>
    <x v="14"/>
    <x v="5"/>
  </r>
  <r>
    <x v="103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03"/>
    <x v="104"/>
    <x v="131"/>
    <x v="0"/>
    <x v="70"/>
    <x v="115"/>
    <x v="115"/>
    <x v="114"/>
    <x v="114"/>
    <x v="0"/>
    <x v="536"/>
    <x v="543"/>
    <x v="354"/>
    <x v="409"/>
    <x v="41"/>
    <x v="378"/>
    <x v="26"/>
    <x v="1"/>
    <x v="14"/>
    <x v="3"/>
    <x v="3"/>
    <x v="83"/>
    <x v="360"/>
    <x v="0"/>
    <x v="0"/>
    <x v="5"/>
    <x v="2"/>
    <x v="68"/>
    <x v="0"/>
    <x v="14"/>
    <x v="5"/>
  </r>
  <r>
    <x v="103"/>
    <x v="104"/>
    <x v="132"/>
    <x v="0"/>
    <x v="71"/>
    <x v="116"/>
    <x v="116"/>
    <x v="115"/>
    <x v="115"/>
    <x v="0"/>
    <x v="537"/>
    <x v="544"/>
    <x v="472"/>
    <x v="224"/>
    <x v="42"/>
    <x v="488"/>
    <x v="40"/>
    <x v="0"/>
    <x v="8"/>
    <x v="6"/>
    <x v="0"/>
    <x v="232"/>
    <x v="408"/>
    <x v="0"/>
    <x v="0"/>
    <x v="7"/>
    <x v="40"/>
    <x v="69"/>
    <x v="0"/>
    <x v="16"/>
    <x v="5"/>
  </r>
  <r>
    <x v="104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104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04"/>
    <x v="90"/>
    <x v="112"/>
    <x v="1"/>
    <x v="46"/>
    <x v="99"/>
    <x v="99"/>
    <x v="98"/>
    <x v="98"/>
    <x v="0"/>
    <x v="538"/>
    <x v="545"/>
    <x v="473"/>
    <x v="130"/>
    <x v="35"/>
    <x v="489"/>
    <x v="62"/>
    <x v="2"/>
    <x v="2"/>
    <x v="5"/>
    <x v="1"/>
    <x v="14"/>
    <x v="413"/>
    <x v="12"/>
    <x v="63"/>
    <x v="1"/>
    <x v="11"/>
    <x v="46"/>
    <x v="0"/>
    <x v="14"/>
    <x v="5"/>
  </r>
  <r>
    <x v="104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104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</r>
  <r>
    <x v="104"/>
    <x v="101"/>
    <x v="126"/>
    <x v="0"/>
    <x v="66"/>
    <x v="110"/>
    <x v="110"/>
    <x v="109"/>
    <x v="109"/>
    <x v="0"/>
    <x v="539"/>
    <x v="546"/>
    <x v="474"/>
    <x v="79"/>
    <x v="25"/>
    <x v="490"/>
    <x v="107"/>
    <x v="0"/>
    <x v="91"/>
    <x v="6"/>
    <x v="1"/>
    <x v="45"/>
    <x v="414"/>
    <x v="0"/>
    <x v="0"/>
    <x v="5"/>
    <x v="2"/>
    <x v="64"/>
    <x v="0"/>
    <x v="14"/>
    <x v="5"/>
  </r>
  <r>
    <x v="104"/>
    <x v="102"/>
    <x v="130"/>
    <x v="0"/>
    <x v="69"/>
    <x v="114"/>
    <x v="114"/>
    <x v="113"/>
    <x v="113"/>
    <x v="0"/>
    <x v="540"/>
    <x v="547"/>
    <x v="475"/>
    <x v="410"/>
    <x v="83"/>
    <x v="236"/>
    <x v="149"/>
    <x v="1"/>
    <x v="36"/>
    <x v="3"/>
    <x v="1"/>
    <x v="248"/>
    <x v="415"/>
    <x v="0"/>
    <x v="0"/>
    <x v="10"/>
    <x v="6"/>
    <x v="67"/>
    <x v="0"/>
    <x v="14"/>
    <x v="5"/>
  </r>
  <r>
    <x v="104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04"/>
    <x v="104"/>
    <x v="131"/>
    <x v="0"/>
    <x v="70"/>
    <x v="115"/>
    <x v="115"/>
    <x v="114"/>
    <x v="114"/>
    <x v="0"/>
    <x v="541"/>
    <x v="548"/>
    <x v="476"/>
    <x v="213"/>
    <x v="81"/>
    <x v="491"/>
    <x v="71"/>
    <x v="1"/>
    <x v="10"/>
    <x v="0"/>
    <x v="8"/>
    <x v="4"/>
    <x v="416"/>
    <x v="0"/>
    <x v="0"/>
    <x v="39"/>
    <x v="11"/>
    <x v="68"/>
    <x v="0"/>
    <x v="14"/>
    <x v="5"/>
  </r>
  <r>
    <x v="104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  <x v="0"/>
    <x v="16"/>
    <x v="5"/>
  </r>
  <r>
    <x v="10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105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05"/>
    <x v="90"/>
    <x v="112"/>
    <x v="1"/>
    <x v="46"/>
    <x v="99"/>
    <x v="99"/>
    <x v="98"/>
    <x v="98"/>
    <x v="0"/>
    <x v="144"/>
    <x v="549"/>
    <x v="477"/>
    <x v="411"/>
    <x v="35"/>
    <x v="492"/>
    <x v="126"/>
    <x v="1"/>
    <x v="1"/>
    <x v="3"/>
    <x v="4"/>
    <x v="66"/>
    <x v="417"/>
    <x v="32"/>
    <x v="64"/>
    <x v="39"/>
    <x v="12"/>
    <x v="46"/>
    <x v="0"/>
    <x v="14"/>
    <x v="5"/>
  </r>
  <r>
    <x v="105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105"/>
    <x v="101"/>
    <x v="126"/>
    <x v="0"/>
    <x v="66"/>
    <x v="110"/>
    <x v="110"/>
    <x v="109"/>
    <x v="109"/>
    <x v="0"/>
    <x v="542"/>
    <x v="550"/>
    <x v="478"/>
    <x v="376"/>
    <x v="82"/>
    <x v="493"/>
    <x v="38"/>
    <x v="7"/>
    <x v="87"/>
    <x v="10"/>
    <x v="23"/>
    <x v="245"/>
    <x v="418"/>
    <x v="0"/>
    <x v="0"/>
    <x v="5"/>
    <x v="5"/>
    <x v="64"/>
    <x v="0"/>
    <x v="14"/>
    <x v="5"/>
  </r>
  <r>
    <x v="105"/>
    <x v="102"/>
    <x v="130"/>
    <x v="0"/>
    <x v="69"/>
    <x v="114"/>
    <x v="114"/>
    <x v="113"/>
    <x v="113"/>
    <x v="0"/>
    <x v="543"/>
    <x v="551"/>
    <x v="227"/>
    <x v="232"/>
    <x v="20"/>
    <x v="324"/>
    <x v="149"/>
    <x v="2"/>
    <x v="36"/>
    <x v="3"/>
    <x v="1"/>
    <x v="182"/>
    <x v="155"/>
    <x v="0"/>
    <x v="0"/>
    <x v="3"/>
    <x v="6"/>
    <x v="67"/>
    <x v="0"/>
    <x v="14"/>
    <x v="5"/>
  </r>
  <r>
    <x v="105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05"/>
    <x v="104"/>
    <x v="131"/>
    <x v="0"/>
    <x v="70"/>
    <x v="115"/>
    <x v="115"/>
    <x v="114"/>
    <x v="114"/>
    <x v="0"/>
    <x v="544"/>
    <x v="552"/>
    <x v="266"/>
    <x v="278"/>
    <x v="75"/>
    <x v="494"/>
    <x v="66"/>
    <x v="2"/>
    <x v="38"/>
    <x v="3"/>
    <x v="27"/>
    <x v="41"/>
    <x v="419"/>
    <x v="0"/>
    <x v="0"/>
    <x v="5"/>
    <x v="12"/>
    <x v="68"/>
    <x v="0"/>
    <x v="14"/>
    <x v="5"/>
  </r>
  <r>
    <x v="105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  <x v="0"/>
    <x v="16"/>
    <x v="5"/>
  </r>
  <r>
    <x v="105"/>
    <x v="105"/>
    <x v="133"/>
    <x v="0"/>
    <x v="46"/>
    <x v="117"/>
    <x v="117"/>
    <x v="116"/>
    <x v="116"/>
    <x v="0"/>
    <x v="545"/>
    <x v="553"/>
    <x v="479"/>
    <x v="384"/>
    <x v="8"/>
    <x v="446"/>
    <x v="186"/>
    <x v="0"/>
    <x v="10"/>
    <x v="3"/>
    <x v="3"/>
    <x v="249"/>
    <x v="46"/>
    <x v="33"/>
    <x v="65"/>
    <x v="7"/>
    <x v="10"/>
    <x v="46"/>
    <x v="0"/>
    <x v="14"/>
    <x v="5"/>
  </r>
  <r>
    <x v="10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06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10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06"/>
    <x v="90"/>
    <x v="112"/>
    <x v="1"/>
    <x v="46"/>
    <x v="99"/>
    <x v="99"/>
    <x v="98"/>
    <x v="98"/>
    <x v="0"/>
    <x v="507"/>
    <x v="554"/>
    <x v="276"/>
    <x v="412"/>
    <x v="81"/>
    <x v="495"/>
    <x v="15"/>
    <x v="2"/>
    <x v="14"/>
    <x v="3"/>
    <x v="3"/>
    <x v="15"/>
    <x v="15"/>
    <x v="0"/>
    <x v="0"/>
    <x v="2"/>
    <x v="2"/>
    <x v="46"/>
    <x v="0"/>
    <x v="14"/>
    <x v="5"/>
  </r>
  <r>
    <x v="106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106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06"/>
    <x v="101"/>
    <x v="126"/>
    <x v="0"/>
    <x v="66"/>
    <x v="110"/>
    <x v="110"/>
    <x v="109"/>
    <x v="109"/>
    <x v="0"/>
    <x v="546"/>
    <x v="555"/>
    <x v="480"/>
    <x v="104"/>
    <x v="41"/>
    <x v="496"/>
    <x v="8"/>
    <x v="2"/>
    <x v="14"/>
    <x v="3"/>
    <x v="3"/>
    <x v="27"/>
    <x v="385"/>
    <x v="0"/>
    <x v="0"/>
    <x v="5"/>
    <x v="2"/>
    <x v="64"/>
    <x v="0"/>
    <x v="14"/>
    <x v="5"/>
  </r>
  <r>
    <x v="106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</r>
  <r>
    <x v="106"/>
    <x v="102"/>
    <x v="130"/>
    <x v="0"/>
    <x v="69"/>
    <x v="114"/>
    <x v="114"/>
    <x v="113"/>
    <x v="113"/>
    <x v="0"/>
    <x v="547"/>
    <x v="556"/>
    <x v="3"/>
    <x v="413"/>
    <x v="24"/>
    <x v="497"/>
    <x v="187"/>
    <x v="7"/>
    <x v="79"/>
    <x v="3"/>
    <x v="3"/>
    <x v="250"/>
    <x v="241"/>
    <x v="0"/>
    <x v="0"/>
    <x v="3"/>
    <x v="6"/>
    <x v="67"/>
    <x v="0"/>
    <x v="14"/>
    <x v="5"/>
  </r>
  <r>
    <x v="106"/>
    <x v="104"/>
    <x v="131"/>
    <x v="0"/>
    <x v="70"/>
    <x v="115"/>
    <x v="115"/>
    <x v="114"/>
    <x v="114"/>
    <x v="0"/>
    <x v="548"/>
    <x v="557"/>
    <x v="437"/>
    <x v="414"/>
    <x v="17"/>
    <x v="498"/>
    <x v="165"/>
    <x v="7"/>
    <x v="134"/>
    <x v="5"/>
    <x v="22"/>
    <x v="221"/>
    <x v="109"/>
    <x v="0"/>
    <x v="0"/>
    <x v="11"/>
    <x v="30"/>
    <x v="68"/>
    <x v="0"/>
    <x v="14"/>
    <x v="5"/>
  </r>
  <r>
    <x v="106"/>
    <x v="105"/>
    <x v="133"/>
    <x v="0"/>
    <x v="46"/>
    <x v="117"/>
    <x v="117"/>
    <x v="116"/>
    <x v="116"/>
    <x v="0"/>
    <x v="549"/>
    <x v="558"/>
    <x v="113"/>
    <x v="367"/>
    <x v="42"/>
    <x v="24"/>
    <x v="15"/>
    <x v="2"/>
    <x v="14"/>
    <x v="3"/>
    <x v="3"/>
    <x v="15"/>
    <x v="15"/>
    <x v="0"/>
    <x v="0"/>
    <x v="5"/>
    <x v="2"/>
    <x v="46"/>
    <x v="0"/>
    <x v="14"/>
    <x v="5"/>
  </r>
  <r>
    <x v="106"/>
    <x v="106"/>
    <x v="134"/>
    <x v="0"/>
    <x v="72"/>
    <x v="118"/>
    <x v="118"/>
    <x v="117"/>
    <x v="117"/>
    <x v="0"/>
    <x v="550"/>
    <x v="559"/>
    <x v="481"/>
    <x v="415"/>
    <x v="95"/>
    <x v="499"/>
    <x v="150"/>
    <x v="2"/>
    <x v="85"/>
    <x v="11"/>
    <x v="3"/>
    <x v="182"/>
    <x v="420"/>
    <x v="0"/>
    <x v="0"/>
    <x v="1"/>
    <x v="2"/>
    <x v="70"/>
    <x v="0"/>
    <x v="14"/>
    <x v="5"/>
  </r>
  <r>
    <x v="106"/>
    <x v="106"/>
    <x v="135"/>
    <x v="0"/>
    <x v="73"/>
    <x v="119"/>
    <x v="119"/>
    <x v="118"/>
    <x v="118"/>
    <x v="0"/>
    <x v="551"/>
    <x v="560"/>
    <x v="482"/>
    <x v="416"/>
    <x v="96"/>
    <x v="500"/>
    <x v="164"/>
    <x v="2"/>
    <x v="9"/>
    <x v="3"/>
    <x v="2"/>
    <x v="251"/>
    <x v="421"/>
    <x v="0"/>
    <x v="0"/>
    <x v="4"/>
    <x v="2"/>
    <x v="71"/>
    <x v="0"/>
    <x v="14"/>
    <x v="5"/>
  </r>
  <r>
    <x v="10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07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07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07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107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107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</r>
  <r>
    <x v="107"/>
    <x v="101"/>
    <x v="126"/>
    <x v="0"/>
    <x v="66"/>
    <x v="110"/>
    <x v="110"/>
    <x v="109"/>
    <x v="10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4"/>
    <x v="0"/>
    <x v="14"/>
    <x v="5"/>
  </r>
  <r>
    <x v="107"/>
    <x v="102"/>
    <x v="130"/>
    <x v="0"/>
    <x v="69"/>
    <x v="114"/>
    <x v="114"/>
    <x v="113"/>
    <x v="113"/>
    <x v="0"/>
    <x v="552"/>
    <x v="561"/>
    <x v="483"/>
    <x v="326"/>
    <x v="47"/>
    <x v="501"/>
    <x v="188"/>
    <x v="1"/>
    <x v="26"/>
    <x v="5"/>
    <x v="0"/>
    <x v="153"/>
    <x v="422"/>
    <x v="0"/>
    <x v="0"/>
    <x v="39"/>
    <x v="11"/>
    <x v="67"/>
    <x v="0"/>
    <x v="14"/>
    <x v="5"/>
  </r>
  <r>
    <x v="107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07"/>
    <x v="104"/>
    <x v="131"/>
    <x v="0"/>
    <x v="70"/>
    <x v="115"/>
    <x v="115"/>
    <x v="114"/>
    <x v="114"/>
    <x v="0"/>
    <x v="553"/>
    <x v="562"/>
    <x v="484"/>
    <x v="417"/>
    <x v="41"/>
    <x v="402"/>
    <x v="114"/>
    <x v="0"/>
    <x v="9"/>
    <x v="3"/>
    <x v="12"/>
    <x v="252"/>
    <x v="423"/>
    <x v="0"/>
    <x v="0"/>
    <x v="11"/>
    <x v="26"/>
    <x v="68"/>
    <x v="0"/>
    <x v="14"/>
    <x v="5"/>
  </r>
  <r>
    <x v="107"/>
    <x v="105"/>
    <x v="133"/>
    <x v="0"/>
    <x v="46"/>
    <x v="117"/>
    <x v="117"/>
    <x v="116"/>
    <x v="11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107"/>
    <x v="106"/>
    <x v="134"/>
    <x v="0"/>
    <x v="72"/>
    <x v="118"/>
    <x v="118"/>
    <x v="117"/>
    <x v="117"/>
    <x v="0"/>
    <x v="554"/>
    <x v="563"/>
    <x v="485"/>
    <x v="195"/>
    <x v="72"/>
    <x v="502"/>
    <x v="161"/>
    <x v="2"/>
    <x v="2"/>
    <x v="3"/>
    <x v="3"/>
    <x v="85"/>
    <x v="424"/>
    <x v="0"/>
    <x v="0"/>
    <x v="2"/>
    <x v="2"/>
    <x v="70"/>
    <x v="0"/>
    <x v="14"/>
    <x v="5"/>
  </r>
  <r>
    <x v="107"/>
    <x v="106"/>
    <x v="135"/>
    <x v="0"/>
    <x v="73"/>
    <x v="119"/>
    <x v="119"/>
    <x v="118"/>
    <x v="118"/>
    <x v="0"/>
    <x v="555"/>
    <x v="564"/>
    <x v="486"/>
    <x v="326"/>
    <x v="97"/>
    <x v="503"/>
    <x v="139"/>
    <x v="1"/>
    <x v="33"/>
    <x v="5"/>
    <x v="3"/>
    <x v="86"/>
    <x v="152"/>
    <x v="0"/>
    <x v="0"/>
    <x v="2"/>
    <x v="2"/>
    <x v="71"/>
    <x v="0"/>
    <x v="14"/>
    <x v="5"/>
  </r>
  <r>
    <x v="107"/>
    <x v="107"/>
    <x v="136"/>
    <x v="0"/>
    <x v="72"/>
    <x v="120"/>
    <x v="120"/>
    <x v="119"/>
    <x v="119"/>
    <x v="0"/>
    <x v="556"/>
    <x v="565"/>
    <x v="487"/>
    <x v="418"/>
    <x v="8"/>
    <x v="248"/>
    <x v="92"/>
    <x v="2"/>
    <x v="10"/>
    <x v="3"/>
    <x v="2"/>
    <x v="244"/>
    <x v="379"/>
    <x v="0"/>
    <x v="0"/>
    <x v="1"/>
    <x v="2"/>
    <x v="70"/>
    <x v="0"/>
    <x v="14"/>
    <x v="5"/>
  </r>
  <r>
    <x v="107"/>
    <x v="107"/>
    <x v="137"/>
    <x v="0"/>
    <x v="73"/>
    <x v="121"/>
    <x v="121"/>
    <x v="120"/>
    <x v="120"/>
    <x v="0"/>
    <x v="557"/>
    <x v="566"/>
    <x v="488"/>
    <x v="419"/>
    <x v="3"/>
    <x v="504"/>
    <x v="172"/>
    <x v="0"/>
    <x v="13"/>
    <x v="5"/>
    <x v="3"/>
    <x v="227"/>
    <x v="358"/>
    <x v="0"/>
    <x v="0"/>
    <x v="4"/>
    <x v="10"/>
    <x v="71"/>
    <x v="0"/>
    <x v="14"/>
    <x v="5"/>
  </r>
  <r>
    <x v="108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108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08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</r>
  <r>
    <x v="108"/>
    <x v="101"/>
    <x v="126"/>
    <x v="0"/>
    <x v="66"/>
    <x v="110"/>
    <x v="110"/>
    <x v="109"/>
    <x v="10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4"/>
    <x v="0"/>
    <x v="14"/>
    <x v="5"/>
  </r>
  <r>
    <x v="108"/>
    <x v="102"/>
    <x v="130"/>
    <x v="0"/>
    <x v="69"/>
    <x v="114"/>
    <x v="114"/>
    <x v="113"/>
    <x v="113"/>
    <x v="0"/>
    <x v="558"/>
    <x v="567"/>
    <x v="489"/>
    <x v="420"/>
    <x v="83"/>
    <x v="505"/>
    <x v="189"/>
    <x v="2"/>
    <x v="84"/>
    <x v="3"/>
    <x v="3"/>
    <x v="253"/>
    <x v="425"/>
    <x v="0"/>
    <x v="0"/>
    <x v="14"/>
    <x v="11"/>
    <x v="67"/>
    <x v="0"/>
    <x v="14"/>
    <x v="5"/>
  </r>
  <r>
    <x v="10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08"/>
    <x v="104"/>
    <x v="131"/>
    <x v="0"/>
    <x v="70"/>
    <x v="115"/>
    <x v="115"/>
    <x v="114"/>
    <x v="114"/>
    <x v="0"/>
    <x v="559"/>
    <x v="568"/>
    <x v="490"/>
    <x v="421"/>
    <x v="76"/>
    <x v="506"/>
    <x v="190"/>
    <x v="7"/>
    <x v="135"/>
    <x v="11"/>
    <x v="27"/>
    <x v="254"/>
    <x v="426"/>
    <x v="0"/>
    <x v="0"/>
    <x v="24"/>
    <x v="8"/>
    <x v="68"/>
    <x v="0"/>
    <x v="14"/>
    <x v="5"/>
  </r>
  <r>
    <x v="108"/>
    <x v="105"/>
    <x v="133"/>
    <x v="0"/>
    <x v="46"/>
    <x v="117"/>
    <x v="117"/>
    <x v="116"/>
    <x v="11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108"/>
    <x v="106"/>
    <x v="135"/>
    <x v="0"/>
    <x v="73"/>
    <x v="119"/>
    <x v="119"/>
    <x v="118"/>
    <x v="1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08"/>
    <x v="107"/>
    <x v="136"/>
    <x v="0"/>
    <x v="72"/>
    <x v="120"/>
    <x v="120"/>
    <x v="119"/>
    <x v="119"/>
    <x v="0"/>
    <x v="560"/>
    <x v="569"/>
    <x v="491"/>
    <x v="278"/>
    <x v="30"/>
    <x v="507"/>
    <x v="94"/>
    <x v="1"/>
    <x v="84"/>
    <x v="11"/>
    <x v="23"/>
    <x v="248"/>
    <x v="427"/>
    <x v="0"/>
    <x v="0"/>
    <x v="12"/>
    <x v="5"/>
    <x v="70"/>
    <x v="0"/>
    <x v="14"/>
    <x v="5"/>
  </r>
  <r>
    <x v="108"/>
    <x v="107"/>
    <x v="137"/>
    <x v="0"/>
    <x v="73"/>
    <x v="121"/>
    <x v="121"/>
    <x v="120"/>
    <x v="120"/>
    <x v="0"/>
    <x v="561"/>
    <x v="570"/>
    <x v="492"/>
    <x v="266"/>
    <x v="53"/>
    <x v="508"/>
    <x v="109"/>
    <x v="0"/>
    <x v="25"/>
    <x v="5"/>
    <x v="1"/>
    <x v="133"/>
    <x v="428"/>
    <x v="0"/>
    <x v="0"/>
    <x v="3"/>
    <x v="5"/>
    <x v="71"/>
    <x v="0"/>
    <x v="14"/>
    <x v="5"/>
  </r>
  <r>
    <x v="109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09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109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09"/>
    <x v="102"/>
    <x v="130"/>
    <x v="0"/>
    <x v="69"/>
    <x v="114"/>
    <x v="114"/>
    <x v="113"/>
    <x v="113"/>
    <x v="0"/>
    <x v="228"/>
    <x v="571"/>
    <x v="72"/>
    <x v="422"/>
    <x v="32"/>
    <x v="509"/>
    <x v="15"/>
    <x v="2"/>
    <x v="14"/>
    <x v="3"/>
    <x v="3"/>
    <x v="15"/>
    <x v="15"/>
    <x v="0"/>
    <x v="0"/>
    <x v="5"/>
    <x v="2"/>
    <x v="67"/>
    <x v="0"/>
    <x v="14"/>
    <x v="5"/>
  </r>
  <r>
    <x v="109"/>
    <x v="104"/>
    <x v="131"/>
    <x v="0"/>
    <x v="70"/>
    <x v="115"/>
    <x v="115"/>
    <x v="114"/>
    <x v="114"/>
    <x v="0"/>
    <x v="562"/>
    <x v="572"/>
    <x v="493"/>
    <x v="165"/>
    <x v="60"/>
    <x v="510"/>
    <x v="191"/>
    <x v="10"/>
    <x v="75"/>
    <x v="5"/>
    <x v="22"/>
    <x v="255"/>
    <x v="207"/>
    <x v="0"/>
    <x v="0"/>
    <x v="9"/>
    <x v="30"/>
    <x v="68"/>
    <x v="0"/>
    <x v="14"/>
    <x v="5"/>
  </r>
  <r>
    <x v="109"/>
    <x v="107"/>
    <x v="136"/>
    <x v="0"/>
    <x v="72"/>
    <x v="120"/>
    <x v="120"/>
    <x v="119"/>
    <x v="119"/>
    <x v="0"/>
    <x v="563"/>
    <x v="573"/>
    <x v="494"/>
    <x v="411"/>
    <x v="3"/>
    <x v="172"/>
    <x v="94"/>
    <x v="1"/>
    <x v="15"/>
    <x v="5"/>
    <x v="1"/>
    <x v="179"/>
    <x v="429"/>
    <x v="0"/>
    <x v="0"/>
    <x v="12"/>
    <x v="5"/>
    <x v="70"/>
    <x v="0"/>
    <x v="14"/>
    <x v="5"/>
  </r>
  <r>
    <x v="109"/>
    <x v="107"/>
    <x v="137"/>
    <x v="0"/>
    <x v="73"/>
    <x v="121"/>
    <x v="121"/>
    <x v="120"/>
    <x v="120"/>
    <x v="0"/>
    <x v="564"/>
    <x v="574"/>
    <x v="310"/>
    <x v="224"/>
    <x v="10"/>
    <x v="511"/>
    <x v="60"/>
    <x v="1"/>
    <x v="15"/>
    <x v="5"/>
    <x v="1"/>
    <x v="28"/>
    <x v="402"/>
    <x v="0"/>
    <x v="0"/>
    <x v="9"/>
    <x v="12"/>
    <x v="71"/>
    <x v="0"/>
    <x v="14"/>
    <x v="5"/>
  </r>
  <r>
    <x v="109"/>
    <x v="108"/>
    <x v="138"/>
    <x v="0"/>
    <x v="74"/>
    <x v="122"/>
    <x v="122"/>
    <x v="121"/>
    <x v="121"/>
    <x v="0"/>
    <x v="565"/>
    <x v="575"/>
    <x v="495"/>
    <x v="423"/>
    <x v="26"/>
    <x v="269"/>
    <x v="185"/>
    <x v="1"/>
    <x v="91"/>
    <x v="3"/>
    <x v="2"/>
    <x v="243"/>
    <x v="430"/>
    <x v="0"/>
    <x v="0"/>
    <x v="10"/>
    <x v="2"/>
    <x v="72"/>
    <x v="0"/>
    <x v="14"/>
    <x v="5"/>
  </r>
  <r>
    <x v="110"/>
    <x v="102"/>
    <x v="130"/>
    <x v="0"/>
    <x v="69"/>
    <x v="114"/>
    <x v="114"/>
    <x v="113"/>
    <x v="11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7"/>
    <x v="0"/>
    <x v="14"/>
    <x v="5"/>
  </r>
  <r>
    <x v="110"/>
    <x v="104"/>
    <x v="131"/>
    <x v="0"/>
    <x v="70"/>
    <x v="115"/>
    <x v="115"/>
    <x v="114"/>
    <x v="114"/>
    <x v="0"/>
    <x v="566"/>
    <x v="576"/>
    <x v="496"/>
    <x v="60"/>
    <x v="15"/>
    <x v="512"/>
    <x v="192"/>
    <x v="5"/>
    <x v="135"/>
    <x v="0"/>
    <x v="30"/>
    <x v="256"/>
    <x v="431"/>
    <x v="0"/>
    <x v="0"/>
    <x v="9"/>
    <x v="3"/>
    <x v="68"/>
    <x v="0"/>
    <x v="14"/>
    <x v="5"/>
  </r>
  <r>
    <x v="110"/>
    <x v="107"/>
    <x v="136"/>
    <x v="0"/>
    <x v="72"/>
    <x v="120"/>
    <x v="120"/>
    <x v="119"/>
    <x v="119"/>
    <x v="0"/>
    <x v="567"/>
    <x v="577"/>
    <x v="497"/>
    <x v="156"/>
    <x v="53"/>
    <x v="513"/>
    <x v="19"/>
    <x v="1"/>
    <x v="39"/>
    <x v="3"/>
    <x v="1"/>
    <x v="41"/>
    <x v="432"/>
    <x v="0"/>
    <x v="0"/>
    <x v="1"/>
    <x v="11"/>
    <x v="70"/>
    <x v="0"/>
    <x v="14"/>
    <x v="5"/>
  </r>
  <r>
    <x v="110"/>
    <x v="107"/>
    <x v="137"/>
    <x v="0"/>
    <x v="73"/>
    <x v="121"/>
    <x v="121"/>
    <x v="120"/>
    <x v="120"/>
    <x v="0"/>
    <x v="568"/>
    <x v="578"/>
    <x v="498"/>
    <x v="424"/>
    <x v="10"/>
    <x v="514"/>
    <x v="171"/>
    <x v="2"/>
    <x v="136"/>
    <x v="3"/>
    <x v="1"/>
    <x v="257"/>
    <x v="61"/>
    <x v="0"/>
    <x v="0"/>
    <x v="10"/>
    <x v="2"/>
    <x v="71"/>
    <x v="0"/>
    <x v="14"/>
    <x v="5"/>
  </r>
  <r>
    <x v="110"/>
    <x v="108"/>
    <x v="138"/>
    <x v="0"/>
    <x v="74"/>
    <x v="122"/>
    <x v="122"/>
    <x v="121"/>
    <x v="121"/>
    <x v="0"/>
    <x v="569"/>
    <x v="579"/>
    <x v="249"/>
    <x v="304"/>
    <x v="27"/>
    <x v="515"/>
    <x v="26"/>
    <x v="2"/>
    <x v="14"/>
    <x v="3"/>
    <x v="3"/>
    <x v="70"/>
    <x v="188"/>
    <x v="0"/>
    <x v="0"/>
    <x v="5"/>
    <x v="2"/>
    <x v="72"/>
    <x v="0"/>
    <x v="14"/>
    <x v="5"/>
  </r>
  <r>
    <x v="111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11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11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11"/>
    <x v="104"/>
    <x v="131"/>
    <x v="0"/>
    <x v="70"/>
    <x v="115"/>
    <x v="115"/>
    <x v="114"/>
    <x v="114"/>
    <x v="0"/>
    <x v="570"/>
    <x v="580"/>
    <x v="499"/>
    <x v="425"/>
    <x v="77"/>
    <x v="516"/>
    <x v="193"/>
    <x v="0"/>
    <x v="9"/>
    <x v="0"/>
    <x v="8"/>
    <x v="258"/>
    <x v="234"/>
    <x v="0"/>
    <x v="0"/>
    <x v="2"/>
    <x v="10"/>
    <x v="68"/>
    <x v="0"/>
    <x v="14"/>
    <x v="5"/>
  </r>
  <r>
    <x v="111"/>
    <x v="107"/>
    <x v="136"/>
    <x v="0"/>
    <x v="72"/>
    <x v="120"/>
    <x v="120"/>
    <x v="119"/>
    <x v="119"/>
    <x v="0"/>
    <x v="571"/>
    <x v="581"/>
    <x v="500"/>
    <x v="426"/>
    <x v="7"/>
    <x v="517"/>
    <x v="40"/>
    <x v="0"/>
    <x v="13"/>
    <x v="3"/>
    <x v="1"/>
    <x v="46"/>
    <x v="433"/>
    <x v="0"/>
    <x v="0"/>
    <x v="2"/>
    <x v="2"/>
    <x v="70"/>
    <x v="0"/>
    <x v="14"/>
    <x v="5"/>
  </r>
  <r>
    <x v="111"/>
    <x v="107"/>
    <x v="137"/>
    <x v="0"/>
    <x v="73"/>
    <x v="121"/>
    <x v="121"/>
    <x v="120"/>
    <x v="120"/>
    <x v="0"/>
    <x v="572"/>
    <x v="582"/>
    <x v="24"/>
    <x v="197"/>
    <x v="21"/>
    <x v="381"/>
    <x v="15"/>
    <x v="2"/>
    <x v="14"/>
    <x v="3"/>
    <x v="3"/>
    <x v="15"/>
    <x v="15"/>
    <x v="0"/>
    <x v="0"/>
    <x v="5"/>
    <x v="2"/>
    <x v="71"/>
    <x v="0"/>
    <x v="14"/>
    <x v="5"/>
  </r>
  <r>
    <x v="111"/>
    <x v="108"/>
    <x v="138"/>
    <x v="0"/>
    <x v="74"/>
    <x v="122"/>
    <x v="122"/>
    <x v="121"/>
    <x v="121"/>
    <x v="0"/>
    <x v="573"/>
    <x v="583"/>
    <x v="501"/>
    <x v="427"/>
    <x v="17"/>
    <x v="518"/>
    <x v="54"/>
    <x v="2"/>
    <x v="42"/>
    <x v="3"/>
    <x v="2"/>
    <x v="165"/>
    <x v="434"/>
    <x v="0"/>
    <x v="0"/>
    <x v="5"/>
    <x v="11"/>
    <x v="72"/>
    <x v="0"/>
    <x v="14"/>
    <x v="5"/>
  </r>
  <r>
    <x v="111"/>
    <x v="109"/>
    <x v="139"/>
    <x v="0"/>
    <x v="70"/>
    <x v="123"/>
    <x v="123"/>
    <x v="122"/>
    <x v="122"/>
    <x v="0"/>
    <x v="574"/>
    <x v="584"/>
    <x v="502"/>
    <x v="428"/>
    <x v="3"/>
    <x v="519"/>
    <x v="26"/>
    <x v="2"/>
    <x v="50"/>
    <x v="3"/>
    <x v="2"/>
    <x v="93"/>
    <x v="435"/>
    <x v="0"/>
    <x v="0"/>
    <x v="1"/>
    <x v="2"/>
    <x v="68"/>
    <x v="0"/>
    <x v="14"/>
    <x v="5"/>
  </r>
  <r>
    <x v="111"/>
    <x v="109"/>
    <x v="140"/>
    <x v="0"/>
    <x v="75"/>
    <x v="124"/>
    <x v="124"/>
    <x v="123"/>
    <x v="123"/>
    <x v="0"/>
    <x v="575"/>
    <x v="585"/>
    <x v="503"/>
    <x v="429"/>
    <x v="27"/>
    <x v="508"/>
    <x v="65"/>
    <x v="2"/>
    <x v="7"/>
    <x v="5"/>
    <x v="3"/>
    <x v="18"/>
    <x v="436"/>
    <x v="0"/>
    <x v="0"/>
    <x v="5"/>
    <x v="2"/>
    <x v="73"/>
    <x v="0"/>
    <x v="14"/>
    <x v="5"/>
  </r>
  <r>
    <x v="111"/>
    <x v="110"/>
    <x v="141"/>
    <x v="0"/>
    <x v="70"/>
    <x v="125"/>
    <x v="125"/>
    <x v="124"/>
    <x v="124"/>
    <x v="0"/>
    <x v="576"/>
    <x v="586"/>
    <x v="504"/>
    <x v="228"/>
    <x v="30"/>
    <x v="520"/>
    <x v="70"/>
    <x v="5"/>
    <x v="1"/>
    <x v="5"/>
    <x v="27"/>
    <x v="3"/>
    <x v="437"/>
    <x v="0"/>
    <x v="0"/>
    <x v="8"/>
    <x v="6"/>
    <x v="68"/>
    <x v="0"/>
    <x v="14"/>
    <x v="5"/>
  </r>
  <r>
    <x v="11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1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12"/>
    <x v="104"/>
    <x v="131"/>
    <x v="0"/>
    <x v="70"/>
    <x v="115"/>
    <x v="115"/>
    <x v="114"/>
    <x v="114"/>
    <x v="0"/>
    <x v="577"/>
    <x v="587"/>
    <x v="505"/>
    <x v="380"/>
    <x v="20"/>
    <x v="521"/>
    <x v="87"/>
    <x v="2"/>
    <x v="22"/>
    <x v="5"/>
    <x v="1"/>
    <x v="131"/>
    <x v="316"/>
    <x v="0"/>
    <x v="0"/>
    <x v="5"/>
    <x v="11"/>
    <x v="68"/>
    <x v="0"/>
    <x v="14"/>
    <x v="5"/>
  </r>
  <r>
    <x v="112"/>
    <x v="107"/>
    <x v="136"/>
    <x v="0"/>
    <x v="72"/>
    <x v="120"/>
    <x v="120"/>
    <x v="119"/>
    <x v="119"/>
    <x v="0"/>
    <x v="578"/>
    <x v="588"/>
    <x v="506"/>
    <x v="102"/>
    <x v="81"/>
    <x v="522"/>
    <x v="38"/>
    <x v="2"/>
    <x v="29"/>
    <x v="5"/>
    <x v="4"/>
    <x v="248"/>
    <x v="438"/>
    <x v="0"/>
    <x v="0"/>
    <x v="3"/>
    <x v="2"/>
    <x v="70"/>
    <x v="0"/>
    <x v="14"/>
    <x v="5"/>
  </r>
  <r>
    <x v="112"/>
    <x v="107"/>
    <x v="137"/>
    <x v="0"/>
    <x v="73"/>
    <x v="121"/>
    <x v="121"/>
    <x v="120"/>
    <x v="1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12"/>
    <x v="108"/>
    <x v="138"/>
    <x v="0"/>
    <x v="74"/>
    <x v="122"/>
    <x v="122"/>
    <x v="121"/>
    <x v="121"/>
    <x v="0"/>
    <x v="579"/>
    <x v="589"/>
    <x v="27"/>
    <x v="416"/>
    <x v="17"/>
    <x v="523"/>
    <x v="18"/>
    <x v="2"/>
    <x v="50"/>
    <x v="3"/>
    <x v="3"/>
    <x v="70"/>
    <x v="439"/>
    <x v="0"/>
    <x v="0"/>
    <x v="5"/>
    <x v="2"/>
    <x v="72"/>
    <x v="0"/>
    <x v="14"/>
    <x v="5"/>
  </r>
  <r>
    <x v="112"/>
    <x v="109"/>
    <x v="139"/>
    <x v="0"/>
    <x v="70"/>
    <x v="123"/>
    <x v="123"/>
    <x v="122"/>
    <x v="122"/>
    <x v="0"/>
    <x v="30"/>
    <x v="77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12"/>
    <x v="109"/>
    <x v="140"/>
    <x v="0"/>
    <x v="75"/>
    <x v="124"/>
    <x v="124"/>
    <x v="123"/>
    <x v="123"/>
    <x v="0"/>
    <x v="580"/>
    <x v="590"/>
    <x v="507"/>
    <x v="216"/>
    <x v="19"/>
    <x v="524"/>
    <x v="22"/>
    <x v="2"/>
    <x v="50"/>
    <x v="3"/>
    <x v="3"/>
    <x v="8"/>
    <x v="440"/>
    <x v="0"/>
    <x v="0"/>
    <x v="5"/>
    <x v="2"/>
    <x v="73"/>
    <x v="0"/>
    <x v="14"/>
    <x v="5"/>
  </r>
  <r>
    <x v="112"/>
    <x v="110"/>
    <x v="141"/>
    <x v="0"/>
    <x v="70"/>
    <x v="125"/>
    <x v="125"/>
    <x v="124"/>
    <x v="124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13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13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13"/>
    <x v="104"/>
    <x v="131"/>
    <x v="0"/>
    <x v="70"/>
    <x v="115"/>
    <x v="115"/>
    <x v="114"/>
    <x v="114"/>
    <x v="0"/>
    <x v="581"/>
    <x v="591"/>
    <x v="38"/>
    <x v="430"/>
    <x v="94"/>
    <x v="525"/>
    <x v="26"/>
    <x v="2"/>
    <x v="24"/>
    <x v="3"/>
    <x v="3"/>
    <x v="83"/>
    <x v="441"/>
    <x v="0"/>
    <x v="0"/>
    <x v="5"/>
    <x v="2"/>
    <x v="68"/>
    <x v="0"/>
    <x v="14"/>
    <x v="5"/>
  </r>
  <r>
    <x v="113"/>
    <x v="107"/>
    <x v="136"/>
    <x v="0"/>
    <x v="72"/>
    <x v="120"/>
    <x v="120"/>
    <x v="119"/>
    <x v="119"/>
    <x v="0"/>
    <x v="483"/>
    <x v="226"/>
    <x v="72"/>
    <x v="197"/>
    <x v="28"/>
    <x v="346"/>
    <x v="15"/>
    <x v="2"/>
    <x v="14"/>
    <x v="3"/>
    <x v="3"/>
    <x v="15"/>
    <x v="15"/>
    <x v="0"/>
    <x v="0"/>
    <x v="5"/>
    <x v="2"/>
    <x v="70"/>
    <x v="0"/>
    <x v="14"/>
    <x v="5"/>
  </r>
  <r>
    <x v="113"/>
    <x v="109"/>
    <x v="140"/>
    <x v="0"/>
    <x v="75"/>
    <x v="124"/>
    <x v="124"/>
    <x v="123"/>
    <x v="123"/>
    <x v="0"/>
    <x v="30"/>
    <x v="592"/>
    <x v="29"/>
    <x v="30"/>
    <x v="16"/>
    <x v="29"/>
    <x v="15"/>
    <x v="2"/>
    <x v="14"/>
    <x v="3"/>
    <x v="3"/>
    <x v="15"/>
    <x v="15"/>
    <x v="0"/>
    <x v="0"/>
    <x v="5"/>
    <x v="2"/>
    <x v="73"/>
    <x v="0"/>
    <x v="14"/>
    <x v="5"/>
  </r>
  <r>
    <x v="113"/>
    <x v="110"/>
    <x v="141"/>
    <x v="0"/>
    <x v="70"/>
    <x v="125"/>
    <x v="125"/>
    <x v="124"/>
    <x v="1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13"/>
    <x v="111"/>
    <x v="142"/>
    <x v="1"/>
    <x v="46"/>
    <x v="126"/>
    <x v="126"/>
    <x v="125"/>
    <x v="125"/>
    <x v="0"/>
    <x v="582"/>
    <x v="593"/>
    <x v="508"/>
    <x v="431"/>
    <x v="76"/>
    <x v="526"/>
    <x v="161"/>
    <x v="2"/>
    <x v="91"/>
    <x v="3"/>
    <x v="2"/>
    <x v="18"/>
    <x v="442"/>
    <x v="34"/>
    <x v="66"/>
    <x v="1"/>
    <x v="2"/>
    <x v="46"/>
    <x v="0"/>
    <x v="14"/>
    <x v="5"/>
  </r>
  <r>
    <x v="113"/>
    <x v="112"/>
    <x v="143"/>
    <x v="1"/>
    <x v="46"/>
    <x v="127"/>
    <x v="127"/>
    <x v="126"/>
    <x v="126"/>
    <x v="0"/>
    <x v="583"/>
    <x v="594"/>
    <x v="24"/>
    <x v="254"/>
    <x v="50"/>
    <x v="527"/>
    <x v="18"/>
    <x v="2"/>
    <x v="14"/>
    <x v="3"/>
    <x v="3"/>
    <x v="20"/>
    <x v="176"/>
    <x v="0"/>
    <x v="0"/>
    <x v="5"/>
    <x v="11"/>
    <x v="46"/>
    <x v="0"/>
    <x v="14"/>
    <x v="5"/>
  </r>
  <r>
    <x v="113"/>
    <x v="111"/>
    <x v="144"/>
    <x v="1"/>
    <x v="9"/>
    <x v="127"/>
    <x v="127"/>
    <x v="126"/>
    <x v="126"/>
    <x v="0"/>
    <x v="584"/>
    <x v="595"/>
    <x v="509"/>
    <x v="432"/>
    <x v="55"/>
    <x v="528"/>
    <x v="194"/>
    <x v="2"/>
    <x v="14"/>
    <x v="3"/>
    <x v="3"/>
    <x v="259"/>
    <x v="15"/>
    <x v="0"/>
    <x v="0"/>
    <x v="5"/>
    <x v="2"/>
    <x v="9"/>
    <x v="1"/>
    <x v="3"/>
    <x v="2"/>
  </r>
  <r>
    <x v="11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14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14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14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14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14"/>
    <x v="111"/>
    <x v="142"/>
    <x v="1"/>
    <x v="46"/>
    <x v="126"/>
    <x v="126"/>
    <x v="125"/>
    <x v="125"/>
    <x v="0"/>
    <x v="585"/>
    <x v="596"/>
    <x v="510"/>
    <x v="208"/>
    <x v="50"/>
    <x v="529"/>
    <x v="185"/>
    <x v="2"/>
    <x v="87"/>
    <x v="3"/>
    <x v="2"/>
    <x v="4"/>
    <x v="443"/>
    <x v="22"/>
    <x v="67"/>
    <x v="12"/>
    <x v="5"/>
    <x v="46"/>
    <x v="0"/>
    <x v="14"/>
    <x v="5"/>
  </r>
  <r>
    <x v="114"/>
    <x v="111"/>
    <x v="144"/>
    <x v="1"/>
    <x v="9"/>
    <x v="127"/>
    <x v="127"/>
    <x v="126"/>
    <x v="126"/>
    <x v="0"/>
    <x v="586"/>
    <x v="597"/>
    <x v="511"/>
    <x v="433"/>
    <x v="33"/>
    <x v="530"/>
    <x v="63"/>
    <x v="2"/>
    <x v="19"/>
    <x v="3"/>
    <x v="2"/>
    <x v="23"/>
    <x v="444"/>
    <x v="0"/>
    <x v="0"/>
    <x v="10"/>
    <x v="2"/>
    <x v="9"/>
    <x v="1"/>
    <x v="3"/>
    <x v="2"/>
  </r>
  <r>
    <x v="11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15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15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15"/>
    <x v="111"/>
    <x v="142"/>
    <x v="1"/>
    <x v="46"/>
    <x v="126"/>
    <x v="126"/>
    <x v="125"/>
    <x v="125"/>
    <x v="0"/>
    <x v="587"/>
    <x v="598"/>
    <x v="512"/>
    <x v="434"/>
    <x v="50"/>
    <x v="531"/>
    <x v="148"/>
    <x v="2"/>
    <x v="2"/>
    <x v="5"/>
    <x v="3"/>
    <x v="208"/>
    <x v="445"/>
    <x v="12"/>
    <x v="68"/>
    <x v="2"/>
    <x v="5"/>
    <x v="46"/>
    <x v="0"/>
    <x v="14"/>
    <x v="5"/>
  </r>
  <r>
    <x v="115"/>
    <x v="111"/>
    <x v="144"/>
    <x v="1"/>
    <x v="9"/>
    <x v="127"/>
    <x v="127"/>
    <x v="126"/>
    <x v="126"/>
    <x v="0"/>
    <x v="588"/>
    <x v="599"/>
    <x v="513"/>
    <x v="269"/>
    <x v="98"/>
    <x v="532"/>
    <x v="13"/>
    <x v="2"/>
    <x v="42"/>
    <x v="3"/>
    <x v="3"/>
    <x v="30"/>
    <x v="446"/>
    <x v="0"/>
    <x v="0"/>
    <x v="4"/>
    <x v="2"/>
    <x v="9"/>
    <x v="1"/>
    <x v="3"/>
    <x v="2"/>
  </r>
  <r>
    <x v="11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1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16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16"/>
    <x v="111"/>
    <x v="142"/>
    <x v="1"/>
    <x v="46"/>
    <x v="126"/>
    <x v="126"/>
    <x v="125"/>
    <x v="125"/>
    <x v="0"/>
    <x v="589"/>
    <x v="600"/>
    <x v="514"/>
    <x v="435"/>
    <x v="50"/>
    <x v="533"/>
    <x v="9"/>
    <x v="1"/>
    <x v="7"/>
    <x v="5"/>
    <x v="3"/>
    <x v="1"/>
    <x v="447"/>
    <x v="35"/>
    <x v="69"/>
    <x v="7"/>
    <x v="11"/>
    <x v="46"/>
    <x v="0"/>
    <x v="14"/>
    <x v="5"/>
  </r>
  <r>
    <x v="116"/>
    <x v="111"/>
    <x v="144"/>
    <x v="1"/>
    <x v="9"/>
    <x v="127"/>
    <x v="127"/>
    <x v="126"/>
    <x v="126"/>
    <x v="0"/>
    <x v="590"/>
    <x v="601"/>
    <x v="515"/>
    <x v="317"/>
    <x v="20"/>
    <x v="534"/>
    <x v="63"/>
    <x v="2"/>
    <x v="50"/>
    <x v="3"/>
    <x v="3"/>
    <x v="47"/>
    <x v="448"/>
    <x v="0"/>
    <x v="0"/>
    <x v="4"/>
    <x v="2"/>
    <x v="9"/>
    <x v="1"/>
    <x v="3"/>
    <x v="2"/>
  </r>
  <r>
    <x v="117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17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117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17"/>
    <x v="111"/>
    <x v="142"/>
    <x v="1"/>
    <x v="46"/>
    <x v="126"/>
    <x v="126"/>
    <x v="125"/>
    <x v="125"/>
    <x v="0"/>
    <x v="591"/>
    <x v="602"/>
    <x v="516"/>
    <x v="321"/>
    <x v="50"/>
    <x v="535"/>
    <x v="161"/>
    <x v="2"/>
    <x v="4"/>
    <x v="11"/>
    <x v="3"/>
    <x v="48"/>
    <x v="449"/>
    <x v="26"/>
    <x v="70"/>
    <x v="12"/>
    <x v="11"/>
    <x v="46"/>
    <x v="0"/>
    <x v="14"/>
    <x v="5"/>
  </r>
  <r>
    <x v="117"/>
    <x v="111"/>
    <x v="144"/>
    <x v="1"/>
    <x v="9"/>
    <x v="127"/>
    <x v="127"/>
    <x v="126"/>
    <x v="126"/>
    <x v="0"/>
    <x v="592"/>
    <x v="603"/>
    <x v="517"/>
    <x v="291"/>
    <x v="83"/>
    <x v="369"/>
    <x v="41"/>
    <x v="2"/>
    <x v="42"/>
    <x v="3"/>
    <x v="3"/>
    <x v="8"/>
    <x v="450"/>
    <x v="0"/>
    <x v="0"/>
    <x v="5"/>
    <x v="12"/>
    <x v="9"/>
    <x v="1"/>
    <x v="3"/>
    <x v="2"/>
  </r>
  <r>
    <x v="118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11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18"/>
    <x v="111"/>
    <x v="142"/>
    <x v="1"/>
    <x v="46"/>
    <x v="126"/>
    <x v="126"/>
    <x v="125"/>
    <x v="125"/>
    <x v="0"/>
    <x v="593"/>
    <x v="604"/>
    <x v="518"/>
    <x v="436"/>
    <x v="50"/>
    <x v="536"/>
    <x v="43"/>
    <x v="2"/>
    <x v="22"/>
    <x v="3"/>
    <x v="2"/>
    <x v="24"/>
    <x v="451"/>
    <x v="36"/>
    <x v="16"/>
    <x v="4"/>
    <x v="2"/>
    <x v="46"/>
    <x v="0"/>
    <x v="14"/>
    <x v="5"/>
  </r>
  <r>
    <x v="118"/>
    <x v="111"/>
    <x v="144"/>
    <x v="1"/>
    <x v="9"/>
    <x v="127"/>
    <x v="127"/>
    <x v="126"/>
    <x v="126"/>
    <x v="0"/>
    <x v="594"/>
    <x v="605"/>
    <x v="519"/>
    <x v="437"/>
    <x v="17"/>
    <x v="417"/>
    <x v="13"/>
    <x v="2"/>
    <x v="24"/>
    <x v="3"/>
    <x v="3"/>
    <x v="68"/>
    <x v="452"/>
    <x v="0"/>
    <x v="0"/>
    <x v="4"/>
    <x v="2"/>
    <x v="9"/>
    <x v="1"/>
    <x v="3"/>
    <x v="2"/>
  </r>
  <r>
    <x v="119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</r>
  <r>
    <x v="119"/>
    <x v="102"/>
    <x v="130"/>
    <x v="0"/>
    <x v="69"/>
    <x v="114"/>
    <x v="114"/>
    <x v="113"/>
    <x v="11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7"/>
    <x v="0"/>
    <x v="14"/>
    <x v="5"/>
  </r>
  <r>
    <x v="119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19"/>
    <x v="111"/>
    <x v="142"/>
    <x v="1"/>
    <x v="46"/>
    <x v="126"/>
    <x v="126"/>
    <x v="125"/>
    <x v="125"/>
    <x v="0"/>
    <x v="595"/>
    <x v="606"/>
    <x v="520"/>
    <x v="438"/>
    <x v="50"/>
    <x v="537"/>
    <x v="80"/>
    <x v="2"/>
    <x v="2"/>
    <x v="3"/>
    <x v="3"/>
    <x v="69"/>
    <x v="453"/>
    <x v="19"/>
    <x v="71"/>
    <x v="39"/>
    <x v="11"/>
    <x v="46"/>
    <x v="0"/>
    <x v="14"/>
    <x v="5"/>
  </r>
  <r>
    <x v="119"/>
    <x v="111"/>
    <x v="144"/>
    <x v="1"/>
    <x v="9"/>
    <x v="127"/>
    <x v="127"/>
    <x v="126"/>
    <x v="126"/>
    <x v="0"/>
    <x v="596"/>
    <x v="607"/>
    <x v="521"/>
    <x v="439"/>
    <x v="24"/>
    <x v="538"/>
    <x v="13"/>
    <x v="2"/>
    <x v="42"/>
    <x v="5"/>
    <x v="3"/>
    <x v="26"/>
    <x v="454"/>
    <x v="0"/>
    <x v="0"/>
    <x v="1"/>
    <x v="11"/>
    <x v="9"/>
    <x v="1"/>
    <x v="3"/>
    <x v="2"/>
  </r>
  <r>
    <x v="120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20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20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</r>
  <r>
    <x v="120"/>
    <x v="111"/>
    <x v="142"/>
    <x v="1"/>
    <x v="46"/>
    <x v="126"/>
    <x v="126"/>
    <x v="125"/>
    <x v="125"/>
    <x v="0"/>
    <x v="597"/>
    <x v="608"/>
    <x v="522"/>
    <x v="77"/>
    <x v="76"/>
    <x v="539"/>
    <x v="48"/>
    <x v="2"/>
    <x v="90"/>
    <x v="3"/>
    <x v="2"/>
    <x v="87"/>
    <x v="455"/>
    <x v="30"/>
    <x v="72"/>
    <x v="12"/>
    <x v="12"/>
    <x v="46"/>
    <x v="0"/>
    <x v="14"/>
    <x v="5"/>
  </r>
  <r>
    <x v="120"/>
    <x v="111"/>
    <x v="144"/>
    <x v="1"/>
    <x v="9"/>
    <x v="127"/>
    <x v="127"/>
    <x v="126"/>
    <x v="126"/>
    <x v="0"/>
    <x v="598"/>
    <x v="609"/>
    <x v="523"/>
    <x v="440"/>
    <x v="73"/>
    <x v="185"/>
    <x v="21"/>
    <x v="2"/>
    <x v="24"/>
    <x v="3"/>
    <x v="3"/>
    <x v="8"/>
    <x v="456"/>
    <x v="0"/>
    <x v="0"/>
    <x v="5"/>
    <x v="2"/>
    <x v="9"/>
    <x v="1"/>
    <x v="3"/>
    <x v="2"/>
  </r>
  <r>
    <x v="121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2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21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  <x v="0"/>
    <x v="16"/>
    <x v="5"/>
  </r>
  <r>
    <x v="121"/>
    <x v="107"/>
    <x v="136"/>
    <x v="0"/>
    <x v="72"/>
    <x v="120"/>
    <x v="120"/>
    <x v="119"/>
    <x v="1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0"/>
    <x v="0"/>
    <x v="14"/>
    <x v="5"/>
  </r>
  <r>
    <x v="121"/>
    <x v="111"/>
    <x v="142"/>
    <x v="1"/>
    <x v="46"/>
    <x v="126"/>
    <x v="126"/>
    <x v="125"/>
    <x v="125"/>
    <x v="0"/>
    <x v="599"/>
    <x v="610"/>
    <x v="524"/>
    <x v="268"/>
    <x v="35"/>
    <x v="540"/>
    <x v="54"/>
    <x v="1"/>
    <x v="91"/>
    <x v="5"/>
    <x v="2"/>
    <x v="69"/>
    <x v="457"/>
    <x v="37"/>
    <x v="73"/>
    <x v="7"/>
    <x v="12"/>
    <x v="46"/>
    <x v="0"/>
    <x v="14"/>
    <x v="5"/>
  </r>
  <r>
    <x v="121"/>
    <x v="111"/>
    <x v="144"/>
    <x v="1"/>
    <x v="9"/>
    <x v="127"/>
    <x v="127"/>
    <x v="126"/>
    <x v="126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2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22"/>
    <x v="104"/>
    <x v="131"/>
    <x v="0"/>
    <x v="70"/>
    <x v="115"/>
    <x v="115"/>
    <x v="114"/>
    <x v="114"/>
    <x v="0"/>
    <x v="600"/>
    <x v="611"/>
    <x v="471"/>
    <x v="421"/>
    <x v="71"/>
    <x v="541"/>
    <x v="195"/>
    <x v="3"/>
    <x v="55"/>
    <x v="3"/>
    <x v="4"/>
    <x v="260"/>
    <x v="20"/>
    <x v="0"/>
    <x v="0"/>
    <x v="2"/>
    <x v="6"/>
    <x v="68"/>
    <x v="0"/>
    <x v="14"/>
    <x v="5"/>
  </r>
  <r>
    <x v="122"/>
    <x v="111"/>
    <x v="142"/>
    <x v="1"/>
    <x v="46"/>
    <x v="126"/>
    <x v="126"/>
    <x v="125"/>
    <x v="125"/>
    <x v="0"/>
    <x v="601"/>
    <x v="612"/>
    <x v="525"/>
    <x v="309"/>
    <x v="35"/>
    <x v="76"/>
    <x v="23"/>
    <x v="2"/>
    <x v="50"/>
    <x v="3"/>
    <x v="3"/>
    <x v="93"/>
    <x v="458"/>
    <x v="4"/>
    <x v="74"/>
    <x v="4"/>
    <x v="2"/>
    <x v="46"/>
    <x v="0"/>
    <x v="14"/>
    <x v="5"/>
  </r>
  <r>
    <x v="123"/>
    <x v="104"/>
    <x v="131"/>
    <x v="0"/>
    <x v="70"/>
    <x v="115"/>
    <x v="115"/>
    <x v="114"/>
    <x v="114"/>
    <x v="0"/>
    <x v="602"/>
    <x v="613"/>
    <x v="301"/>
    <x v="441"/>
    <x v="76"/>
    <x v="542"/>
    <x v="13"/>
    <x v="2"/>
    <x v="14"/>
    <x v="3"/>
    <x v="3"/>
    <x v="8"/>
    <x v="263"/>
    <x v="0"/>
    <x v="0"/>
    <x v="5"/>
    <x v="2"/>
    <x v="68"/>
    <x v="0"/>
    <x v="14"/>
    <x v="5"/>
  </r>
  <r>
    <x v="124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</r>
  <r>
    <x v="124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24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124"/>
    <x v="113"/>
    <x v="145"/>
    <x v="0"/>
    <x v="76"/>
    <x v="128"/>
    <x v="128"/>
    <x v="127"/>
    <x v="127"/>
    <x v="0"/>
    <x v="603"/>
    <x v="614"/>
    <x v="526"/>
    <x v="442"/>
    <x v="99"/>
    <x v="543"/>
    <x v="48"/>
    <x v="2"/>
    <x v="4"/>
    <x v="3"/>
    <x v="3"/>
    <x v="57"/>
    <x v="373"/>
    <x v="0"/>
    <x v="0"/>
    <x v="2"/>
    <x v="2"/>
    <x v="74"/>
    <x v="0"/>
    <x v="14"/>
    <x v="5"/>
  </r>
  <r>
    <x v="124"/>
    <x v="113"/>
    <x v="146"/>
    <x v="0"/>
    <x v="77"/>
    <x v="129"/>
    <x v="129"/>
    <x v="128"/>
    <x v="128"/>
    <x v="0"/>
    <x v="604"/>
    <x v="615"/>
    <x v="527"/>
    <x v="284"/>
    <x v="15"/>
    <x v="544"/>
    <x v="112"/>
    <x v="1"/>
    <x v="91"/>
    <x v="3"/>
    <x v="2"/>
    <x v="261"/>
    <x v="459"/>
    <x v="0"/>
    <x v="0"/>
    <x v="10"/>
    <x v="2"/>
    <x v="75"/>
    <x v="0"/>
    <x v="14"/>
    <x v="5"/>
  </r>
  <r>
    <x v="12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2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125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125"/>
    <x v="113"/>
    <x v="145"/>
    <x v="0"/>
    <x v="76"/>
    <x v="128"/>
    <x v="128"/>
    <x v="127"/>
    <x v="127"/>
    <x v="0"/>
    <x v="605"/>
    <x v="616"/>
    <x v="528"/>
    <x v="367"/>
    <x v="83"/>
    <x v="545"/>
    <x v="125"/>
    <x v="2"/>
    <x v="42"/>
    <x v="3"/>
    <x v="3"/>
    <x v="26"/>
    <x v="460"/>
    <x v="0"/>
    <x v="0"/>
    <x v="5"/>
    <x v="2"/>
    <x v="74"/>
    <x v="0"/>
    <x v="14"/>
    <x v="5"/>
  </r>
  <r>
    <x v="125"/>
    <x v="113"/>
    <x v="146"/>
    <x v="0"/>
    <x v="77"/>
    <x v="129"/>
    <x v="129"/>
    <x v="128"/>
    <x v="128"/>
    <x v="0"/>
    <x v="606"/>
    <x v="617"/>
    <x v="529"/>
    <x v="112"/>
    <x v="48"/>
    <x v="546"/>
    <x v="71"/>
    <x v="2"/>
    <x v="22"/>
    <x v="3"/>
    <x v="3"/>
    <x v="24"/>
    <x v="461"/>
    <x v="0"/>
    <x v="0"/>
    <x v="7"/>
    <x v="5"/>
    <x v="75"/>
    <x v="0"/>
    <x v="14"/>
    <x v="5"/>
  </r>
  <r>
    <x v="12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26"/>
    <x v="113"/>
    <x v="145"/>
    <x v="0"/>
    <x v="76"/>
    <x v="128"/>
    <x v="128"/>
    <x v="127"/>
    <x v="127"/>
    <x v="0"/>
    <x v="607"/>
    <x v="618"/>
    <x v="32"/>
    <x v="377"/>
    <x v="83"/>
    <x v="547"/>
    <x v="8"/>
    <x v="2"/>
    <x v="24"/>
    <x v="3"/>
    <x v="3"/>
    <x v="70"/>
    <x v="462"/>
    <x v="0"/>
    <x v="0"/>
    <x v="5"/>
    <x v="2"/>
    <x v="74"/>
    <x v="0"/>
    <x v="14"/>
    <x v="5"/>
  </r>
  <r>
    <x v="126"/>
    <x v="113"/>
    <x v="146"/>
    <x v="0"/>
    <x v="77"/>
    <x v="129"/>
    <x v="129"/>
    <x v="128"/>
    <x v="128"/>
    <x v="0"/>
    <x v="608"/>
    <x v="619"/>
    <x v="530"/>
    <x v="390"/>
    <x v="3"/>
    <x v="548"/>
    <x v="54"/>
    <x v="1"/>
    <x v="22"/>
    <x v="3"/>
    <x v="2"/>
    <x v="24"/>
    <x v="461"/>
    <x v="0"/>
    <x v="0"/>
    <x v="2"/>
    <x v="2"/>
    <x v="75"/>
    <x v="0"/>
    <x v="14"/>
    <x v="5"/>
  </r>
  <r>
    <x v="126"/>
    <x v="114"/>
    <x v="147"/>
    <x v="0"/>
    <x v="51"/>
    <x v="130"/>
    <x v="130"/>
    <x v="129"/>
    <x v="129"/>
    <x v="0"/>
    <x v="609"/>
    <x v="620"/>
    <x v="531"/>
    <x v="385"/>
    <x v="7"/>
    <x v="549"/>
    <x v="1"/>
    <x v="2"/>
    <x v="42"/>
    <x v="3"/>
    <x v="23"/>
    <x v="7"/>
    <x v="463"/>
    <x v="3"/>
    <x v="35"/>
    <x v="2"/>
    <x v="5"/>
    <x v="49"/>
    <x v="0"/>
    <x v="14"/>
    <x v="5"/>
  </r>
  <r>
    <x v="127"/>
    <x v="114"/>
    <x v="147"/>
    <x v="0"/>
    <x v="51"/>
    <x v="130"/>
    <x v="130"/>
    <x v="129"/>
    <x v="129"/>
    <x v="0"/>
    <x v="610"/>
    <x v="621"/>
    <x v="532"/>
    <x v="309"/>
    <x v="10"/>
    <x v="550"/>
    <x v="8"/>
    <x v="2"/>
    <x v="14"/>
    <x v="3"/>
    <x v="3"/>
    <x v="27"/>
    <x v="464"/>
    <x v="0"/>
    <x v="0"/>
    <x v="5"/>
    <x v="2"/>
    <x v="49"/>
    <x v="0"/>
    <x v="14"/>
    <x v="5"/>
  </r>
  <r>
    <x v="127"/>
    <x v="115"/>
    <x v="148"/>
    <x v="0"/>
    <x v="73"/>
    <x v="131"/>
    <x v="131"/>
    <x v="130"/>
    <x v="130"/>
    <x v="0"/>
    <x v="611"/>
    <x v="622"/>
    <x v="533"/>
    <x v="435"/>
    <x v="55"/>
    <x v="359"/>
    <x v="115"/>
    <x v="0"/>
    <x v="137"/>
    <x v="5"/>
    <x v="8"/>
    <x v="262"/>
    <x v="291"/>
    <x v="0"/>
    <x v="0"/>
    <x v="18"/>
    <x v="1"/>
    <x v="71"/>
    <x v="0"/>
    <x v="14"/>
    <x v="5"/>
  </r>
  <r>
    <x v="127"/>
    <x v="115"/>
    <x v="149"/>
    <x v="0"/>
    <x v="7"/>
    <x v="132"/>
    <x v="132"/>
    <x v="131"/>
    <x v="131"/>
    <x v="0"/>
    <x v="164"/>
    <x v="623"/>
    <x v="70"/>
    <x v="443"/>
    <x v="42"/>
    <x v="551"/>
    <x v="15"/>
    <x v="2"/>
    <x v="14"/>
    <x v="3"/>
    <x v="3"/>
    <x v="15"/>
    <x v="15"/>
    <x v="0"/>
    <x v="0"/>
    <x v="5"/>
    <x v="2"/>
    <x v="7"/>
    <x v="0"/>
    <x v="6"/>
    <x v="0"/>
  </r>
  <r>
    <x v="128"/>
    <x v="115"/>
    <x v="148"/>
    <x v="0"/>
    <x v="73"/>
    <x v="131"/>
    <x v="131"/>
    <x v="130"/>
    <x v="130"/>
    <x v="0"/>
    <x v="612"/>
    <x v="624"/>
    <x v="534"/>
    <x v="444"/>
    <x v="36"/>
    <x v="61"/>
    <x v="196"/>
    <x v="1"/>
    <x v="138"/>
    <x v="3"/>
    <x v="8"/>
    <x v="263"/>
    <x v="339"/>
    <x v="0"/>
    <x v="0"/>
    <x v="41"/>
    <x v="1"/>
    <x v="71"/>
    <x v="0"/>
    <x v="14"/>
    <x v="5"/>
  </r>
  <r>
    <x v="128"/>
    <x v="115"/>
    <x v="149"/>
    <x v="0"/>
    <x v="7"/>
    <x v="132"/>
    <x v="132"/>
    <x v="131"/>
    <x v="131"/>
    <x v="0"/>
    <x v="613"/>
    <x v="625"/>
    <x v="535"/>
    <x v="424"/>
    <x v="37"/>
    <x v="552"/>
    <x v="197"/>
    <x v="1"/>
    <x v="32"/>
    <x v="10"/>
    <x v="8"/>
    <x v="29"/>
    <x v="158"/>
    <x v="0"/>
    <x v="0"/>
    <x v="5"/>
    <x v="6"/>
    <x v="7"/>
    <x v="0"/>
    <x v="6"/>
    <x v="0"/>
  </r>
  <r>
    <x v="129"/>
    <x v="115"/>
    <x v="148"/>
    <x v="0"/>
    <x v="73"/>
    <x v="131"/>
    <x v="131"/>
    <x v="130"/>
    <x v="130"/>
    <x v="0"/>
    <x v="614"/>
    <x v="626"/>
    <x v="536"/>
    <x v="445"/>
    <x v="7"/>
    <x v="66"/>
    <x v="198"/>
    <x v="7"/>
    <x v="139"/>
    <x v="5"/>
    <x v="13"/>
    <x v="264"/>
    <x v="279"/>
    <x v="0"/>
    <x v="0"/>
    <x v="21"/>
    <x v="1"/>
    <x v="71"/>
    <x v="0"/>
    <x v="14"/>
    <x v="5"/>
  </r>
  <r>
    <x v="129"/>
    <x v="115"/>
    <x v="149"/>
    <x v="0"/>
    <x v="7"/>
    <x v="132"/>
    <x v="132"/>
    <x v="131"/>
    <x v="131"/>
    <x v="0"/>
    <x v="615"/>
    <x v="627"/>
    <x v="537"/>
    <x v="19"/>
    <x v="8"/>
    <x v="553"/>
    <x v="60"/>
    <x v="2"/>
    <x v="28"/>
    <x v="14"/>
    <x v="23"/>
    <x v="28"/>
    <x v="465"/>
    <x v="0"/>
    <x v="0"/>
    <x v="2"/>
    <x v="5"/>
    <x v="7"/>
    <x v="0"/>
    <x v="6"/>
    <x v="0"/>
  </r>
  <r>
    <x v="130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30"/>
    <x v="115"/>
    <x v="148"/>
    <x v="0"/>
    <x v="73"/>
    <x v="131"/>
    <x v="131"/>
    <x v="130"/>
    <x v="130"/>
    <x v="0"/>
    <x v="616"/>
    <x v="628"/>
    <x v="518"/>
    <x v="446"/>
    <x v="55"/>
    <x v="554"/>
    <x v="94"/>
    <x v="2"/>
    <x v="13"/>
    <x v="1"/>
    <x v="2"/>
    <x v="265"/>
    <x v="114"/>
    <x v="0"/>
    <x v="0"/>
    <x v="10"/>
    <x v="11"/>
    <x v="71"/>
    <x v="0"/>
    <x v="14"/>
    <x v="5"/>
  </r>
  <r>
    <x v="130"/>
    <x v="115"/>
    <x v="149"/>
    <x v="0"/>
    <x v="7"/>
    <x v="132"/>
    <x v="132"/>
    <x v="131"/>
    <x v="1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</r>
  <r>
    <x v="130"/>
    <x v="116"/>
    <x v="150"/>
    <x v="0"/>
    <x v="73"/>
    <x v="133"/>
    <x v="133"/>
    <x v="132"/>
    <x v="132"/>
    <x v="0"/>
    <x v="617"/>
    <x v="629"/>
    <x v="538"/>
    <x v="447"/>
    <x v="81"/>
    <x v="555"/>
    <x v="199"/>
    <x v="7"/>
    <x v="140"/>
    <x v="11"/>
    <x v="13"/>
    <x v="215"/>
    <x v="135"/>
    <x v="0"/>
    <x v="0"/>
    <x v="20"/>
    <x v="25"/>
    <x v="71"/>
    <x v="0"/>
    <x v="14"/>
    <x v="5"/>
  </r>
  <r>
    <x v="131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31"/>
    <x v="115"/>
    <x v="148"/>
    <x v="0"/>
    <x v="73"/>
    <x v="131"/>
    <x v="131"/>
    <x v="130"/>
    <x v="130"/>
    <x v="0"/>
    <x v="618"/>
    <x v="630"/>
    <x v="539"/>
    <x v="448"/>
    <x v="89"/>
    <x v="349"/>
    <x v="18"/>
    <x v="2"/>
    <x v="24"/>
    <x v="3"/>
    <x v="3"/>
    <x v="27"/>
    <x v="466"/>
    <x v="0"/>
    <x v="0"/>
    <x v="5"/>
    <x v="2"/>
    <x v="71"/>
    <x v="0"/>
    <x v="14"/>
    <x v="5"/>
  </r>
  <r>
    <x v="131"/>
    <x v="116"/>
    <x v="150"/>
    <x v="0"/>
    <x v="73"/>
    <x v="133"/>
    <x v="133"/>
    <x v="132"/>
    <x v="132"/>
    <x v="0"/>
    <x v="619"/>
    <x v="631"/>
    <x v="540"/>
    <x v="449"/>
    <x v="100"/>
    <x v="556"/>
    <x v="1"/>
    <x v="0"/>
    <x v="7"/>
    <x v="3"/>
    <x v="4"/>
    <x v="69"/>
    <x v="357"/>
    <x v="0"/>
    <x v="0"/>
    <x v="1"/>
    <x v="11"/>
    <x v="71"/>
    <x v="0"/>
    <x v="14"/>
    <x v="5"/>
  </r>
  <r>
    <x v="131"/>
    <x v="117"/>
    <x v="151"/>
    <x v="0"/>
    <x v="78"/>
    <x v="134"/>
    <x v="134"/>
    <x v="133"/>
    <x v="133"/>
    <x v="0"/>
    <x v="620"/>
    <x v="632"/>
    <x v="541"/>
    <x v="450"/>
    <x v="77"/>
    <x v="557"/>
    <x v="26"/>
    <x v="2"/>
    <x v="14"/>
    <x v="3"/>
    <x v="2"/>
    <x v="83"/>
    <x v="467"/>
    <x v="0"/>
    <x v="0"/>
    <x v="5"/>
    <x v="2"/>
    <x v="76"/>
    <x v="0"/>
    <x v="0"/>
    <x v="6"/>
  </r>
  <r>
    <x v="131"/>
    <x v="117"/>
    <x v="152"/>
    <x v="0"/>
    <x v="79"/>
    <x v="135"/>
    <x v="135"/>
    <x v="134"/>
    <x v="134"/>
    <x v="0"/>
    <x v="621"/>
    <x v="633"/>
    <x v="249"/>
    <x v="451"/>
    <x v="19"/>
    <x v="558"/>
    <x v="15"/>
    <x v="2"/>
    <x v="14"/>
    <x v="3"/>
    <x v="3"/>
    <x v="15"/>
    <x v="15"/>
    <x v="0"/>
    <x v="0"/>
    <x v="5"/>
    <x v="2"/>
    <x v="77"/>
    <x v="0"/>
    <x v="17"/>
    <x v="6"/>
  </r>
  <r>
    <x v="131"/>
    <x v="117"/>
    <x v="153"/>
    <x v="0"/>
    <x v="9"/>
    <x v="136"/>
    <x v="136"/>
    <x v="135"/>
    <x v="135"/>
    <x v="0"/>
    <x v="622"/>
    <x v="634"/>
    <x v="542"/>
    <x v="452"/>
    <x v="73"/>
    <x v="559"/>
    <x v="125"/>
    <x v="2"/>
    <x v="14"/>
    <x v="11"/>
    <x v="3"/>
    <x v="30"/>
    <x v="468"/>
    <x v="0"/>
    <x v="0"/>
    <x v="2"/>
    <x v="2"/>
    <x v="9"/>
    <x v="1"/>
    <x v="3"/>
    <x v="2"/>
  </r>
  <r>
    <x v="131"/>
    <x v="117"/>
    <x v="154"/>
    <x v="0"/>
    <x v="9"/>
    <x v="137"/>
    <x v="137"/>
    <x v="136"/>
    <x v="136"/>
    <x v="0"/>
    <x v="623"/>
    <x v="635"/>
    <x v="543"/>
    <x v="46"/>
    <x v="81"/>
    <x v="56"/>
    <x v="15"/>
    <x v="2"/>
    <x v="14"/>
    <x v="3"/>
    <x v="3"/>
    <x v="15"/>
    <x v="15"/>
    <x v="0"/>
    <x v="0"/>
    <x v="5"/>
    <x v="2"/>
    <x v="9"/>
    <x v="1"/>
    <x v="3"/>
    <x v="2"/>
  </r>
  <r>
    <x v="131"/>
    <x v="118"/>
    <x v="155"/>
    <x v="0"/>
    <x v="73"/>
    <x v="138"/>
    <x v="138"/>
    <x v="137"/>
    <x v="137"/>
    <x v="0"/>
    <x v="30"/>
    <x v="636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31"/>
    <x v="119"/>
    <x v="156"/>
    <x v="0"/>
    <x v="79"/>
    <x v="139"/>
    <x v="139"/>
    <x v="138"/>
    <x v="138"/>
    <x v="0"/>
    <x v="624"/>
    <x v="637"/>
    <x v="544"/>
    <x v="318"/>
    <x v="49"/>
    <x v="560"/>
    <x v="18"/>
    <x v="2"/>
    <x v="14"/>
    <x v="3"/>
    <x v="3"/>
    <x v="20"/>
    <x v="469"/>
    <x v="0"/>
    <x v="0"/>
    <x v="5"/>
    <x v="2"/>
    <x v="77"/>
    <x v="0"/>
    <x v="17"/>
    <x v="6"/>
  </r>
  <r>
    <x v="13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32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32"/>
    <x v="116"/>
    <x v="150"/>
    <x v="0"/>
    <x v="73"/>
    <x v="133"/>
    <x v="133"/>
    <x v="132"/>
    <x v="132"/>
    <x v="0"/>
    <x v="625"/>
    <x v="638"/>
    <x v="545"/>
    <x v="413"/>
    <x v="55"/>
    <x v="561"/>
    <x v="88"/>
    <x v="0"/>
    <x v="26"/>
    <x v="3"/>
    <x v="23"/>
    <x v="266"/>
    <x v="470"/>
    <x v="0"/>
    <x v="0"/>
    <x v="14"/>
    <x v="5"/>
    <x v="71"/>
    <x v="0"/>
    <x v="14"/>
    <x v="5"/>
  </r>
  <r>
    <x v="132"/>
    <x v="117"/>
    <x v="151"/>
    <x v="0"/>
    <x v="78"/>
    <x v="134"/>
    <x v="134"/>
    <x v="133"/>
    <x v="133"/>
    <x v="0"/>
    <x v="626"/>
    <x v="639"/>
    <x v="32"/>
    <x v="453"/>
    <x v="47"/>
    <x v="562"/>
    <x v="8"/>
    <x v="2"/>
    <x v="14"/>
    <x v="3"/>
    <x v="3"/>
    <x v="27"/>
    <x v="281"/>
    <x v="0"/>
    <x v="0"/>
    <x v="5"/>
    <x v="2"/>
    <x v="76"/>
    <x v="0"/>
    <x v="0"/>
    <x v="6"/>
  </r>
  <r>
    <x v="132"/>
    <x v="117"/>
    <x v="153"/>
    <x v="0"/>
    <x v="9"/>
    <x v="136"/>
    <x v="136"/>
    <x v="135"/>
    <x v="135"/>
    <x v="0"/>
    <x v="627"/>
    <x v="640"/>
    <x v="546"/>
    <x v="210"/>
    <x v="0"/>
    <x v="60"/>
    <x v="7"/>
    <x v="2"/>
    <x v="20"/>
    <x v="56"/>
    <x v="3"/>
    <x v="13"/>
    <x v="471"/>
    <x v="0"/>
    <x v="0"/>
    <x v="1"/>
    <x v="2"/>
    <x v="9"/>
    <x v="1"/>
    <x v="3"/>
    <x v="2"/>
  </r>
  <r>
    <x v="132"/>
    <x v="117"/>
    <x v="154"/>
    <x v="0"/>
    <x v="9"/>
    <x v="137"/>
    <x v="137"/>
    <x v="136"/>
    <x v="136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32"/>
    <x v="118"/>
    <x v="155"/>
    <x v="0"/>
    <x v="73"/>
    <x v="138"/>
    <x v="138"/>
    <x v="137"/>
    <x v="137"/>
    <x v="0"/>
    <x v="628"/>
    <x v="641"/>
    <x v="547"/>
    <x v="454"/>
    <x v="43"/>
    <x v="563"/>
    <x v="112"/>
    <x v="2"/>
    <x v="31"/>
    <x v="3"/>
    <x v="2"/>
    <x v="64"/>
    <x v="472"/>
    <x v="0"/>
    <x v="0"/>
    <x v="9"/>
    <x v="12"/>
    <x v="71"/>
    <x v="0"/>
    <x v="14"/>
    <x v="5"/>
  </r>
  <r>
    <x v="132"/>
    <x v="119"/>
    <x v="156"/>
    <x v="0"/>
    <x v="79"/>
    <x v="139"/>
    <x v="139"/>
    <x v="138"/>
    <x v="138"/>
    <x v="0"/>
    <x v="629"/>
    <x v="642"/>
    <x v="548"/>
    <x v="197"/>
    <x v="52"/>
    <x v="561"/>
    <x v="63"/>
    <x v="1"/>
    <x v="50"/>
    <x v="3"/>
    <x v="3"/>
    <x v="13"/>
    <x v="473"/>
    <x v="0"/>
    <x v="0"/>
    <x v="4"/>
    <x v="2"/>
    <x v="77"/>
    <x v="0"/>
    <x v="17"/>
    <x v="6"/>
  </r>
  <r>
    <x v="132"/>
    <x v="120"/>
    <x v="157"/>
    <x v="0"/>
    <x v="80"/>
    <x v="140"/>
    <x v="140"/>
    <x v="139"/>
    <x v="139"/>
    <x v="0"/>
    <x v="630"/>
    <x v="643"/>
    <x v="549"/>
    <x v="455"/>
    <x v="81"/>
    <x v="564"/>
    <x v="161"/>
    <x v="1"/>
    <x v="4"/>
    <x v="11"/>
    <x v="2"/>
    <x v="1"/>
    <x v="145"/>
    <x v="0"/>
    <x v="0"/>
    <x v="2"/>
    <x v="2"/>
    <x v="78"/>
    <x v="1"/>
    <x v="3"/>
    <x v="2"/>
  </r>
  <r>
    <x v="132"/>
    <x v="120"/>
    <x v="158"/>
    <x v="0"/>
    <x v="81"/>
    <x v="141"/>
    <x v="141"/>
    <x v="140"/>
    <x v="140"/>
    <x v="0"/>
    <x v="631"/>
    <x v="644"/>
    <x v="550"/>
    <x v="456"/>
    <x v="76"/>
    <x v="565"/>
    <x v="99"/>
    <x v="2"/>
    <x v="21"/>
    <x v="0"/>
    <x v="2"/>
    <x v="32"/>
    <x v="186"/>
    <x v="0"/>
    <x v="0"/>
    <x v="12"/>
    <x v="12"/>
    <x v="79"/>
    <x v="0"/>
    <x v="14"/>
    <x v="5"/>
  </r>
  <r>
    <x v="132"/>
    <x v="120"/>
    <x v="159"/>
    <x v="0"/>
    <x v="82"/>
    <x v="142"/>
    <x v="142"/>
    <x v="141"/>
    <x v="141"/>
    <x v="0"/>
    <x v="632"/>
    <x v="645"/>
    <x v="551"/>
    <x v="457"/>
    <x v="3"/>
    <x v="566"/>
    <x v="149"/>
    <x v="0"/>
    <x v="15"/>
    <x v="4"/>
    <x v="1"/>
    <x v="5"/>
    <x v="292"/>
    <x v="0"/>
    <x v="0"/>
    <x v="0"/>
    <x v="43"/>
    <x v="80"/>
    <x v="0"/>
    <x v="0"/>
    <x v="6"/>
  </r>
  <r>
    <x v="133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33"/>
    <x v="116"/>
    <x v="150"/>
    <x v="0"/>
    <x v="73"/>
    <x v="133"/>
    <x v="133"/>
    <x v="132"/>
    <x v="132"/>
    <x v="0"/>
    <x v="633"/>
    <x v="646"/>
    <x v="552"/>
    <x v="294"/>
    <x v="76"/>
    <x v="359"/>
    <x v="200"/>
    <x v="2"/>
    <x v="141"/>
    <x v="5"/>
    <x v="0"/>
    <x v="267"/>
    <x v="474"/>
    <x v="0"/>
    <x v="0"/>
    <x v="0"/>
    <x v="11"/>
    <x v="71"/>
    <x v="0"/>
    <x v="14"/>
    <x v="5"/>
  </r>
  <r>
    <x v="133"/>
    <x v="120"/>
    <x v="157"/>
    <x v="0"/>
    <x v="80"/>
    <x v="140"/>
    <x v="140"/>
    <x v="139"/>
    <x v="139"/>
    <x v="0"/>
    <x v="632"/>
    <x v="647"/>
    <x v="553"/>
    <x v="190"/>
    <x v="12"/>
    <x v="567"/>
    <x v="33"/>
    <x v="2"/>
    <x v="73"/>
    <x v="51"/>
    <x v="2"/>
    <x v="33"/>
    <x v="475"/>
    <x v="0"/>
    <x v="0"/>
    <x v="1"/>
    <x v="11"/>
    <x v="78"/>
    <x v="1"/>
    <x v="3"/>
    <x v="2"/>
  </r>
  <r>
    <x v="133"/>
    <x v="120"/>
    <x v="158"/>
    <x v="0"/>
    <x v="81"/>
    <x v="141"/>
    <x v="141"/>
    <x v="140"/>
    <x v="140"/>
    <x v="0"/>
    <x v="634"/>
    <x v="648"/>
    <x v="554"/>
    <x v="458"/>
    <x v="34"/>
    <x v="568"/>
    <x v="96"/>
    <x v="2"/>
    <x v="16"/>
    <x v="0"/>
    <x v="3"/>
    <x v="122"/>
    <x v="476"/>
    <x v="0"/>
    <x v="0"/>
    <x v="12"/>
    <x v="2"/>
    <x v="79"/>
    <x v="0"/>
    <x v="14"/>
    <x v="5"/>
  </r>
  <r>
    <x v="133"/>
    <x v="120"/>
    <x v="159"/>
    <x v="0"/>
    <x v="82"/>
    <x v="142"/>
    <x v="142"/>
    <x v="141"/>
    <x v="141"/>
    <x v="0"/>
    <x v="635"/>
    <x v="649"/>
    <x v="555"/>
    <x v="262"/>
    <x v="0"/>
    <x v="569"/>
    <x v="114"/>
    <x v="2"/>
    <x v="142"/>
    <x v="1"/>
    <x v="0"/>
    <x v="266"/>
    <x v="152"/>
    <x v="0"/>
    <x v="0"/>
    <x v="42"/>
    <x v="0"/>
    <x v="80"/>
    <x v="0"/>
    <x v="0"/>
    <x v="6"/>
  </r>
  <r>
    <x v="133"/>
    <x v="121"/>
    <x v="160"/>
    <x v="0"/>
    <x v="79"/>
    <x v="143"/>
    <x v="143"/>
    <x v="142"/>
    <x v="142"/>
    <x v="0"/>
    <x v="636"/>
    <x v="650"/>
    <x v="556"/>
    <x v="459"/>
    <x v="41"/>
    <x v="570"/>
    <x v="13"/>
    <x v="2"/>
    <x v="19"/>
    <x v="3"/>
    <x v="3"/>
    <x v="26"/>
    <x v="477"/>
    <x v="0"/>
    <x v="0"/>
    <x v="7"/>
    <x v="5"/>
    <x v="77"/>
    <x v="0"/>
    <x v="17"/>
    <x v="6"/>
  </r>
  <r>
    <x v="133"/>
    <x v="121"/>
    <x v="161"/>
    <x v="0"/>
    <x v="83"/>
    <x v="144"/>
    <x v="144"/>
    <x v="143"/>
    <x v="143"/>
    <x v="0"/>
    <x v="632"/>
    <x v="466"/>
    <x v="557"/>
    <x v="397"/>
    <x v="26"/>
    <x v="571"/>
    <x v="176"/>
    <x v="2"/>
    <x v="32"/>
    <x v="9"/>
    <x v="2"/>
    <x v="268"/>
    <x v="478"/>
    <x v="0"/>
    <x v="0"/>
    <x v="2"/>
    <x v="2"/>
    <x v="81"/>
    <x v="1"/>
    <x v="3"/>
    <x v="2"/>
  </r>
  <r>
    <x v="134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134"/>
    <x v="116"/>
    <x v="150"/>
    <x v="0"/>
    <x v="73"/>
    <x v="133"/>
    <x v="133"/>
    <x v="132"/>
    <x v="132"/>
    <x v="0"/>
    <x v="637"/>
    <x v="651"/>
    <x v="558"/>
    <x v="460"/>
    <x v="20"/>
    <x v="572"/>
    <x v="201"/>
    <x v="1"/>
    <x v="125"/>
    <x v="11"/>
    <x v="4"/>
    <x v="269"/>
    <x v="479"/>
    <x v="0"/>
    <x v="0"/>
    <x v="0"/>
    <x v="6"/>
    <x v="71"/>
    <x v="0"/>
    <x v="14"/>
    <x v="5"/>
  </r>
  <r>
    <x v="134"/>
    <x v="120"/>
    <x v="157"/>
    <x v="0"/>
    <x v="80"/>
    <x v="140"/>
    <x v="140"/>
    <x v="139"/>
    <x v="139"/>
    <x v="0"/>
    <x v="630"/>
    <x v="652"/>
    <x v="559"/>
    <x v="461"/>
    <x v="10"/>
    <x v="573"/>
    <x v="92"/>
    <x v="2"/>
    <x v="91"/>
    <x v="1"/>
    <x v="2"/>
    <x v="244"/>
    <x v="480"/>
    <x v="0"/>
    <x v="0"/>
    <x v="2"/>
    <x v="5"/>
    <x v="78"/>
    <x v="1"/>
    <x v="3"/>
    <x v="2"/>
  </r>
  <r>
    <x v="134"/>
    <x v="120"/>
    <x v="158"/>
    <x v="0"/>
    <x v="81"/>
    <x v="141"/>
    <x v="141"/>
    <x v="140"/>
    <x v="140"/>
    <x v="0"/>
    <x v="638"/>
    <x v="653"/>
    <x v="560"/>
    <x v="275"/>
    <x v="101"/>
    <x v="574"/>
    <x v="8"/>
    <x v="2"/>
    <x v="42"/>
    <x v="5"/>
    <x v="3"/>
    <x v="93"/>
    <x v="481"/>
    <x v="0"/>
    <x v="0"/>
    <x v="5"/>
    <x v="2"/>
    <x v="79"/>
    <x v="0"/>
    <x v="14"/>
    <x v="5"/>
  </r>
  <r>
    <x v="134"/>
    <x v="120"/>
    <x v="159"/>
    <x v="0"/>
    <x v="82"/>
    <x v="142"/>
    <x v="142"/>
    <x v="141"/>
    <x v="141"/>
    <x v="0"/>
    <x v="632"/>
    <x v="654"/>
    <x v="561"/>
    <x v="16"/>
    <x v="7"/>
    <x v="575"/>
    <x v="202"/>
    <x v="2"/>
    <x v="135"/>
    <x v="11"/>
    <x v="0"/>
    <x v="270"/>
    <x v="482"/>
    <x v="0"/>
    <x v="0"/>
    <x v="21"/>
    <x v="21"/>
    <x v="80"/>
    <x v="0"/>
    <x v="0"/>
    <x v="6"/>
  </r>
  <r>
    <x v="134"/>
    <x v="121"/>
    <x v="160"/>
    <x v="0"/>
    <x v="79"/>
    <x v="143"/>
    <x v="143"/>
    <x v="142"/>
    <x v="142"/>
    <x v="0"/>
    <x v="639"/>
    <x v="442"/>
    <x v="73"/>
    <x v="462"/>
    <x v="76"/>
    <x v="576"/>
    <x v="15"/>
    <x v="2"/>
    <x v="14"/>
    <x v="3"/>
    <x v="3"/>
    <x v="15"/>
    <x v="15"/>
    <x v="0"/>
    <x v="0"/>
    <x v="5"/>
    <x v="2"/>
    <x v="77"/>
    <x v="0"/>
    <x v="17"/>
    <x v="6"/>
  </r>
  <r>
    <x v="134"/>
    <x v="121"/>
    <x v="161"/>
    <x v="0"/>
    <x v="83"/>
    <x v="144"/>
    <x v="144"/>
    <x v="143"/>
    <x v="143"/>
    <x v="0"/>
    <x v="640"/>
    <x v="655"/>
    <x v="286"/>
    <x v="240"/>
    <x v="102"/>
    <x v="577"/>
    <x v="18"/>
    <x v="2"/>
    <x v="24"/>
    <x v="3"/>
    <x v="3"/>
    <x v="27"/>
    <x v="482"/>
    <x v="0"/>
    <x v="0"/>
    <x v="5"/>
    <x v="2"/>
    <x v="81"/>
    <x v="1"/>
    <x v="3"/>
    <x v="2"/>
  </r>
  <r>
    <x v="134"/>
    <x v="122"/>
    <x v="162"/>
    <x v="0"/>
    <x v="84"/>
    <x v="145"/>
    <x v="145"/>
    <x v="144"/>
    <x v="144"/>
    <x v="0"/>
    <x v="126"/>
    <x v="656"/>
    <x v="562"/>
    <x v="463"/>
    <x v="9"/>
    <x v="578"/>
    <x v="71"/>
    <x v="4"/>
    <x v="42"/>
    <x v="5"/>
    <x v="6"/>
    <x v="19"/>
    <x v="483"/>
    <x v="0"/>
    <x v="0"/>
    <x v="24"/>
    <x v="12"/>
    <x v="82"/>
    <x v="1"/>
    <x v="3"/>
    <x v="2"/>
  </r>
  <r>
    <x v="134"/>
    <x v="123"/>
    <x v="163"/>
    <x v="0"/>
    <x v="73"/>
    <x v="146"/>
    <x v="146"/>
    <x v="145"/>
    <x v="145"/>
    <x v="0"/>
    <x v="641"/>
    <x v="657"/>
    <x v="563"/>
    <x v="252"/>
    <x v="50"/>
    <x v="579"/>
    <x v="203"/>
    <x v="2"/>
    <x v="17"/>
    <x v="3"/>
    <x v="4"/>
    <x v="114"/>
    <x v="484"/>
    <x v="0"/>
    <x v="0"/>
    <x v="10"/>
    <x v="5"/>
    <x v="71"/>
    <x v="0"/>
    <x v="14"/>
    <x v="5"/>
  </r>
  <r>
    <x v="135"/>
    <x v="116"/>
    <x v="150"/>
    <x v="0"/>
    <x v="73"/>
    <x v="133"/>
    <x v="133"/>
    <x v="132"/>
    <x v="132"/>
    <x v="0"/>
    <x v="642"/>
    <x v="658"/>
    <x v="564"/>
    <x v="352"/>
    <x v="14"/>
    <x v="580"/>
    <x v="18"/>
    <x v="2"/>
    <x v="24"/>
    <x v="3"/>
    <x v="3"/>
    <x v="27"/>
    <x v="485"/>
    <x v="0"/>
    <x v="0"/>
    <x v="5"/>
    <x v="2"/>
    <x v="71"/>
    <x v="0"/>
    <x v="14"/>
    <x v="5"/>
  </r>
  <r>
    <x v="135"/>
    <x v="117"/>
    <x v="153"/>
    <x v="0"/>
    <x v="9"/>
    <x v="136"/>
    <x v="136"/>
    <x v="135"/>
    <x v="13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35"/>
    <x v="120"/>
    <x v="157"/>
    <x v="0"/>
    <x v="80"/>
    <x v="140"/>
    <x v="140"/>
    <x v="139"/>
    <x v="13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8"/>
    <x v="1"/>
    <x v="3"/>
    <x v="2"/>
  </r>
  <r>
    <x v="135"/>
    <x v="120"/>
    <x v="159"/>
    <x v="0"/>
    <x v="82"/>
    <x v="142"/>
    <x v="142"/>
    <x v="141"/>
    <x v="1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0"/>
    <x v="0"/>
    <x v="0"/>
    <x v="6"/>
  </r>
  <r>
    <x v="135"/>
    <x v="121"/>
    <x v="161"/>
    <x v="0"/>
    <x v="83"/>
    <x v="144"/>
    <x v="144"/>
    <x v="143"/>
    <x v="143"/>
    <x v="0"/>
    <x v="632"/>
    <x v="659"/>
    <x v="254"/>
    <x v="37"/>
    <x v="73"/>
    <x v="581"/>
    <x v="121"/>
    <x v="1"/>
    <x v="141"/>
    <x v="10"/>
    <x v="1"/>
    <x v="226"/>
    <x v="486"/>
    <x v="0"/>
    <x v="0"/>
    <x v="2"/>
    <x v="3"/>
    <x v="81"/>
    <x v="1"/>
    <x v="3"/>
    <x v="2"/>
  </r>
  <r>
    <x v="135"/>
    <x v="122"/>
    <x v="162"/>
    <x v="0"/>
    <x v="84"/>
    <x v="145"/>
    <x v="145"/>
    <x v="144"/>
    <x v="1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2"/>
    <x v="1"/>
    <x v="3"/>
    <x v="2"/>
  </r>
  <r>
    <x v="135"/>
    <x v="123"/>
    <x v="163"/>
    <x v="0"/>
    <x v="73"/>
    <x v="146"/>
    <x v="146"/>
    <x v="145"/>
    <x v="145"/>
    <x v="0"/>
    <x v="643"/>
    <x v="660"/>
    <x v="565"/>
    <x v="464"/>
    <x v="32"/>
    <x v="582"/>
    <x v="15"/>
    <x v="2"/>
    <x v="14"/>
    <x v="3"/>
    <x v="3"/>
    <x v="15"/>
    <x v="15"/>
    <x v="0"/>
    <x v="0"/>
    <x v="5"/>
    <x v="2"/>
    <x v="71"/>
    <x v="0"/>
    <x v="14"/>
    <x v="5"/>
  </r>
  <r>
    <x v="135"/>
    <x v="124"/>
    <x v="164"/>
    <x v="0"/>
    <x v="72"/>
    <x v="147"/>
    <x v="147"/>
    <x v="146"/>
    <x v="146"/>
    <x v="0"/>
    <x v="644"/>
    <x v="661"/>
    <x v="566"/>
    <x v="195"/>
    <x v="7"/>
    <x v="583"/>
    <x v="165"/>
    <x v="3"/>
    <x v="136"/>
    <x v="0"/>
    <x v="7"/>
    <x v="271"/>
    <x v="162"/>
    <x v="0"/>
    <x v="0"/>
    <x v="18"/>
    <x v="11"/>
    <x v="70"/>
    <x v="0"/>
    <x v="14"/>
    <x v="5"/>
  </r>
  <r>
    <x v="135"/>
    <x v="124"/>
    <x v="165"/>
    <x v="0"/>
    <x v="85"/>
    <x v="148"/>
    <x v="148"/>
    <x v="147"/>
    <x v="147"/>
    <x v="0"/>
    <x v="645"/>
    <x v="662"/>
    <x v="567"/>
    <x v="52"/>
    <x v="82"/>
    <x v="584"/>
    <x v="204"/>
    <x v="3"/>
    <x v="143"/>
    <x v="44"/>
    <x v="30"/>
    <x v="272"/>
    <x v="487"/>
    <x v="0"/>
    <x v="0"/>
    <x v="2"/>
    <x v="21"/>
    <x v="83"/>
    <x v="0"/>
    <x v="14"/>
    <x v="5"/>
  </r>
  <r>
    <x v="136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36"/>
    <x v="121"/>
    <x v="161"/>
    <x v="0"/>
    <x v="83"/>
    <x v="144"/>
    <x v="144"/>
    <x v="143"/>
    <x v="143"/>
    <x v="0"/>
    <x v="204"/>
    <x v="663"/>
    <x v="568"/>
    <x v="465"/>
    <x v="42"/>
    <x v="585"/>
    <x v="205"/>
    <x v="0"/>
    <x v="139"/>
    <x v="17"/>
    <x v="23"/>
    <x v="189"/>
    <x v="267"/>
    <x v="0"/>
    <x v="0"/>
    <x v="43"/>
    <x v="13"/>
    <x v="81"/>
    <x v="1"/>
    <x v="3"/>
    <x v="2"/>
  </r>
  <r>
    <x v="136"/>
    <x v="124"/>
    <x v="164"/>
    <x v="0"/>
    <x v="72"/>
    <x v="147"/>
    <x v="147"/>
    <x v="146"/>
    <x v="146"/>
    <x v="0"/>
    <x v="646"/>
    <x v="664"/>
    <x v="569"/>
    <x v="97"/>
    <x v="3"/>
    <x v="586"/>
    <x v="6"/>
    <x v="0"/>
    <x v="144"/>
    <x v="5"/>
    <x v="8"/>
    <x v="270"/>
    <x v="488"/>
    <x v="0"/>
    <x v="0"/>
    <x v="37"/>
    <x v="13"/>
    <x v="70"/>
    <x v="0"/>
    <x v="14"/>
    <x v="5"/>
  </r>
  <r>
    <x v="136"/>
    <x v="124"/>
    <x v="165"/>
    <x v="0"/>
    <x v="85"/>
    <x v="148"/>
    <x v="148"/>
    <x v="147"/>
    <x v="147"/>
    <x v="0"/>
    <x v="647"/>
    <x v="665"/>
    <x v="570"/>
    <x v="93"/>
    <x v="51"/>
    <x v="587"/>
    <x v="142"/>
    <x v="0"/>
    <x v="145"/>
    <x v="22"/>
    <x v="24"/>
    <x v="161"/>
    <x v="489"/>
    <x v="0"/>
    <x v="0"/>
    <x v="1"/>
    <x v="25"/>
    <x v="83"/>
    <x v="0"/>
    <x v="14"/>
    <x v="5"/>
  </r>
  <r>
    <x v="137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</r>
  <r>
    <x v="137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</r>
  <r>
    <x v="137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</r>
  <r>
    <x v="137"/>
    <x v="116"/>
    <x v="150"/>
    <x v="0"/>
    <x v="73"/>
    <x v="133"/>
    <x v="133"/>
    <x v="132"/>
    <x v="13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37"/>
    <x v="121"/>
    <x v="161"/>
    <x v="0"/>
    <x v="83"/>
    <x v="144"/>
    <x v="144"/>
    <x v="143"/>
    <x v="143"/>
    <x v="0"/>
    <x v="648"/>
    <x v="666"/>
    <x v="571"/>
    <x v="466"/>
    <x v="2"/>
    <x v="588"/>
    <x v="49"/>
    <x v="1"/>
    <x v="81"/>
    <x v="6"/>
    <x v="0"/>
    <x v="226"/>
    <x v="490"/>
    <x v="0"/>
    <x v="0"/>
    <x v="2"/>
    <x v="13"/>
    <x v="81"/>
    <x v="1"/>
    <x v="3"/>
    <x v="2"/>
  </r>
  <r>
    <x v="137"/>
    <x v="124"/>
    <x v="164"/>
    <x v="0"/>
    <x v="72"/>
    <x v="147"/>
    <x v="147"/>
    <x v="146"/>
    <x v="146"/>
    <x v="0"/>
    <x v="649"/>
    <x v="667"/>
    <x v="572"/>
    <x v="390"/>
    <x v="35"/>
    <x v="589"/>
    <x v="121"/>
    <x v="3"/>
    <x v="136"/>
    <x v="3"/>
    <x v="6"/>
    <x v="188"/>
    <x v="491"/>
    <x v="0"/>
    <x v="0"/>
    <x v="7"/>
    <x v="5"/>
    <x v="70"/>
    <x v="0"/>
    <x v="14"/>
    <x v="5"/>
  </r>
  <r>
    <x v="137"/>
    <x v="124"/>
    <x v="165"/>
    <x v="0"/>
    <x v="85"/>
    <x v="148"/>
    <x v="148"/>
    <x v="147"/>
    <x v="147"/>
    <x v="0"/>
    <x v="650"/>
    <x v="668"/>
    <x v="573"/>
    <x v="300"/>
    <x v="32"/>
    <x v="590"/>
    <x v="206"/>
    <x v="1"/>
    <x v="146"/>
    <x v="21"/>
    <x v="15"/>
    <x v="273"/>
    <x v="492"/>
    <x v="0"/>
    <x v="0"/>
    <x v="10"/>
    <x v="7"/>
    <x v="83"/>
    <x v="0"/>
    <x v="14"/>
    <x v="5"/>
  </r>
  <r>
    <x v="137"/>
    <x v="125"/>
    <x v="166"/>
    <x v="1"/>
    <x v="73"/>
    <x v="149"/>
    <x v="149"/>
    <x v="148"/>
    <x v="148"/>
    <x v="0"/>
    <x v="651"/>
    <x v="669"/>
    <x v="574"/>
    <x v="467"/>
    <x v="22"/>
    <x v="591"/>
    <x v="26"/>
    <x v="2"/>
    <x v="14"/>
    <x v="3"/>
    <x v="3"/>
    <x v="70"/>
    <x v="493"/>
    <x v="0"/>
    <x v="0"/>
    <x v="2"/>
    <x v="2"/>
    <x v="71"/>
    <x v="0"/>
    <x v="14"/>
    <x v="5"/>
  </r>
  <r>
    <x v="137"/>
    <x v="126"/>
    <x v="167"/>
    <x v="1"/>
    <x v="73"/>
    <x v="150"/>
    <x v="150"/>
    <x v="149"/>
    <x v="149"/>
    <x v="0"/>
    <x v="652"/>
    <x v="670"/>
    <x v="344"/>
    <x v="468"/>
    <x v="29"/>
    <x v="592"/>
    <x v="17"/>
    <x v="1"/>
    <x v="42"/>
    <x v="3"/>
    <x v="3"/>
    <x v="139"/>
    <x v="494"/>
    <x v="0"/>
    <x v="0"/>
    <x v="2"/>
    <x v="11"/>
    <x v="71"/>
    <x v="0"/>
    <x v="14"/>
    <x v="5"/>
  </r>
  <r>
    <x v="137"/>
    <x v="127"/>
    <x v="168"/>
    <x v="0"/>
    <x v="9"/>
    <x v="151"/>
    <x v="151"/>
    <x v="150"/>
    <x v="150"/>
    <x v="0"/>
    <x v="653"/>
    <x v="671"/>
    <x v="575"/>
    <x v="241"/>
    <x v="4"/>
    <x v="376"/>
    <x v="50"/>
    <x v="0"/>
    <x v="20"/>
    <x v="5"/>
    <x v="3"/>
    <x v="52"/>
    <x v="495"/>
    <x v="0"/>
    <x v="0"/>
    <x v="4"/>
    <x v="2"/>
    <x v="9"/>
    <x v="1"/>
    <x v="3"/>
    <x v="2"/>
  </r>
  <r>
    <x v="137"/>
    <x v="128"/>
    <x v="169"/>
    <x v="1"/>
    <x v="73"/>
    <x v="152"/>
    <x v="152"/>
    <x v="151"/>
    <x v="151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37"/>
    <x v="125"/>
    <x v="170"/>
    <x v="1"/>
    <x v="9"/>
    <x v="152"/>
    <x v="152"/>
    <x v="151"/>
    <x v="151"/>
    <x v="0"/>
    <x v="654"/>
    <x v="672"/>
    <x v="72"/>
    <x v="367"/>
    <x v="37"/>
    <x v="593"/>
    <x v="15"/>
    <x v="2"/>
    <x v="14"/>
    <x v="3"/>
    <x v="3"/>
    <x v="15"/>
    <x v="15"/>
    <x v="0"/>
    <x v="0"/>
    <x v="5"/>
    <x v="2"/>
    <x v="9"/>
    <x v="1"/>
    <x v="3"/>
    <x v="2"/>
  </r>
  <r>
    <x v="137"/>
    <x v="129"/>
    <x v="171"/>
    <x v="1"/>
    <x v="9"/>
    <x v="153"/>
    <x v="153"/>
    <x v="152"/>
    <x v="152"/>
    <x v="0"/>
    <x v="655"/>
    <x v="673"/>
    <x v="576"/>
    <x v="294"/>
    <x v="103"/>
    <x v="594"/>
    <x v="18"/>
    <x v="2"/>
    <x v="14"/>
    <x v="3"/>
    <x v="3"/>
    <x v="20"/>
    <x v="496"/>
    <x v="0"/>
    <x v="0"/>
    <x v="5"/>
    <x v="2"/>
    <x v="9"/>
    <x v="1"/>
    <x v="3"/>
    <x v="2"/>
  </r>
  <r>
    <x v="138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138"/>
    <x v="121"/>
    <x v="161"/>
    <x v="0"/>
    <x v="83"/>
    <x v="144"/>
    <x v="144"/>
    <x v="143"/>
    <x v="143"/>
    <x v="0"/>
    <x v="290"/>
    <x v="674"/>
    <x v="301"/>
    <x v="469"/>
    <x v="5"/>
    <x v="595"/>
    <x v="15"/>
    <x v="2"/>
    <x v="24"/>
    <x v="5"/>
    <x v="3"/>
    <x v="27"/>
    <x v="268"/>
    <x v="0"/>
    <x v="0"/>
    <x v="2"/>
    <x v="2"/>
    <x v="81"/>
    <x v="1"/>
    <x v="3"/>
    <x v="2"/>
  </r>
  <r>
    <x v="138"/>
    <x v="124"/>
    <x v="164"/>
    <x v="0"/>
    <x v="72"/>
    <x v="147"/>
    <x v="147"/>
    <x v="146"/>
    <x v="146"/>
    <x v="0"/>
    <x v="656"/>
    <x v="675"/>
    <x v="577"/>
    <x v="436"/>
    <x v="82"/>
    <x v="596"/>
    <x v="164"/>
    <x v="0"/>
    <x v="147"/>
    <x v="11"/>
    <x v="1"/>
    <x v="29"/>
    <x v="346"/>
    <x v="0"/>
    <x v="0"/>
    <x v="7"/>
    <x v="11"/>
    <x v="70"/>
    <x v="0"/>
    <x v="14"/>
    <x v="5"/>
  </r>
  <r>
    <x v="138"/>
    <x v="124"/>
    <x v="165"/>
    <x v="0"/>
    <x v="85"/>
    <x v="148"/>
    <x v="148"/>
    <x v="147"/>
    <x v="147"/>
    <x v="0"/>
    <x v="657"/>
    <x v="676"/>
    <x v="396"/>
    <x v="470"/>
    <x v="4"/>
    <x v="33"/>
    <x v="21"/>
    <x v="2"/>
    <x v="7"/>
    <x v="5"/>
    <x v="3"/>
    <x v="56"/>
    <x v="497"/>
    <x v="0"/>
    <x v="0"/>
    <x v="5"/>
    <x v="2"/>
    <x v="83"/>
    <x v="0"/>
    <x v="14"/>
    <x v="5"/>
  </r>
  <r>
    <x v="138"/>
    <x v="125"/>
    <x v="166"/>
    <x v="1"/>
    <x v="73"/>
    <x v="149"/>
    <x v="149"/>
    <x v="148"/>
    <x v="148"/>
    <x v="0"/>
    <x v="658"/>
    <x v="677"/>
    <x v="578"/>
    <x v="471"/>
    <x v="44"/>
    <x v="597"/>
    <x v="125"/>
    <x v="2"/>
    <x v="24"/>
    <x v="3"/>
    <x v="3"/>
    <x v="37"/>
    <x v="498"/>
    <x v="0"/>
    <x v="0"/>
    <x v="2"/>
    <x v="5"/>
    <x v="71"/>
    <x v="0"/>
    <x v="14"/>
    <x v="5"/>
  </r>
  <r>
    <x v="138"/>
    <x v="126"/>
    <x v="167"/>
    <x v="1"/>
    <x v="73"/>
    <x v="150"/>
    <x v="150"/>
    <x v="149"/>
    <x v="149"/>
    <x v="0"/>
    <x v="659"/>
    <x v="678"/>
    <x v="579"/>
    <x v="470"/>
    <x v="80"/>
    <x v="598"/>
    <x v="13"/>
    <x v="2"/>
    <x v="50"/>
    <x v="3"/>
    <x v="3"/>
    <x v="37"/>
    <x v="499"/>
    <x v="0"/>
    <x v="0"/>
    <x v="5"/>
    <x v="2"/>
    <x v="71"/>
    <x v="0"/>
    <x v="14"/>
    <x v="5"/>
  </r>
  <r>
    <x v="138"/>
    <x v="127"/>
    <x v="168"/>
    <x v="0"/>
    <x v="9"/>
    <x v="151"/>
    <x v="151"/>
    <x v="150"/>
    <x v="150"/>
    <x v="0"/>
    <x v="660"/>
    <x v="679"/>
    <x v="580"/>
    <x v="147"/>
    <x v="51"/>
    <x v="599"/>
    <x v="16"/>
    <x v="7"/>
    <x v="7"/>
    <x v="11"/>
    <x v="1"/>
    <x v="114"/>
    <x v="500"/>
    <x v="0"/>
    <x v="0"/>
    <x v="7"/>
    <x v="2"/>
    <x v="9"/>
    <x v="1"/>
    <x v="3"/>
    <x v="2"/>
  </r>
  <r>
    <x v="138"/>
    <x v="125"/>
    <x v="170"/>
    <x v="1"/>
    <x v="9"/>
    <x v="152"/>
    <x v="152"/>
    <x v="151"/>
    <x v="151"/>
    <x v="0"/>
    <x v="661"/>
    <x v="680"/>
    <x v="581"/>
    <x v="472"/>
    <x v="44"/>
    <x v="266"/>
    <x v="8"/>
    <x v="2"/>
    <x v="14"/>
    <x v="3"/>
    <x v="3"/>
    <x v="27"/>
    <x v="501"/>
    <x v="0"/>
    <x v="0"/>
    <x v="5"/>
    <x v="2"/>
    <x v="9"/>
    <x v="1"/>
    <x v="3"/>
    <x v="2"/>
  </r>
  <r>
    <x v="138"/>
    <x v="129"/>
    <x v="171"/>
    <x v="1"/>
    <x v="9"/>
    <x v="153"/>
    <x v="153"/>
    <x v="152"/>
    <x v="152"/>
    <x v="0"/>
    <x v="662"/>
    <x v="681"/>
    <x v="582"/>
    <x v="328"/>
    <x v="88"/>
    <x v="600"/>
    <x v="26"/>
    <x v="2"/>
    <x v="24"/>
    <x v="3"/>
    <x v="3"/>
    <x v="83"/>
    <x v="502"/>
    <x v="0"/>
    <x v="0"/>
    <x v="5"/>
    <x v="2"/>
    <x v="9"/>
    <x v="1"/>
    <x v="3"/>
    <x v="2"/>
  </r>
  <r>
    <x v="138"/>
    <x v="130"/>
    <x v="172"/>
    <x v="0"/>
    <x v="86"/>
    <x v="154"/>
    <x v="154"/>
    <x v="153"/>
    <x v="153"/>
    <x v="0"/>
    <x v="663"/>
    <x v="682"/>
    <x v="583"/>
    <x v="150"/>
    <x v="3"/>
    <x v="83"/>
    <x v="207"/>
    <x v="1"/>
    <x v="12"/>
    <x v="0"/>
    <x v="23"/>
    <x v="274"/>
    <x v="1"/>
    <x v="0"/>
    <x v="0"/>
    <x v="5"/>
    <x v="10"/>
    <x v="84"/>
    <x v="0"/>
    <x v="0"/>
    <x v="6"/>
  </r>
  <r>
    <x v="138"/>
    <x v="130"/>
    <x v="173"/>
    <x v="0"/>
    <x v="78"/>
    <x v="155"/>
    <x v="155"/>
    <x v="154"/>
    <x v="154"/>
    <x v="0"/>
    <x v="664"/>
    <x v="683"/>
    <x v="396"/>
    <x v="361"/>
    <x v="37"/>
    <x v="601"/>
    <x v="8"/>
    <x v="2"/>
    <x v="14"/>
    <x v="3"/>
    <x v="3"/>
    <x v="27"/>
    <x v="503"/>
    <x v="0"/>
    <x v="0"/>
    <x v="5"/>
    <x v="2"/>
    <x v="76"/>
    <x v="0"/>
    <x v="0"/>
    <x v="6"/>
  </r>
  <r>
    <x v="139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</r>
  <r>
    <x v="139"/>
    <x v="124"/>
    <x v="164"/>
    <x v="0"/>
    <x v="72"/>
    <x v="147"/>
    <x v="147"/>
    <x v="146"/>
    <x v="146"/>
    <x v="0"/>
    <x v="665"/>
    <x v="684"/>
    <x v="584"/>
    <x v="336"/>
    <x v="81"/>
    <x v="602"/>
    <x v="83"/>
    <x v="7"/>
    <x v="30"/>
    <x v="3"/>
    <x v="1"/>
    <x v="268"/>
    <x v="166"/>
    <x v="0"/>
    <x v="0"/>
    <x v="12"/>
    <x v="5"/>
    <x v="70"/>
    <x v="0"/>
    <x v="14"/>
    <x v="5"/>
  </r>
  <r>
    <x v="139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</r>
  <r>
    <x v="139"/>
    <x v="125"/>
    <x v="166"/>
    <x v="1"/>
    <x v="73"/>
    <x v="149"/>
    <x v="149"/>
    <x v="148"/>
    <x v="148"/>
    <x v="0"/>
    <x v="30"/>
    <x v="68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39"/>
    <x v="126"/>
    <x v="167"/>
    <x v="1"/>
    <x v="73"/>
    <x v="150"/>
    <x v="150"/>
    <x v="149"/>
    <x v="14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39"/>
    <x v="127"/>
    <x v="168"/>
    <x v="0"/>
    <x v="9"/>
    <x v="151"/>
    <x v="151"/>
    <x v="150"/>
    <x v="150"/>
    <x v="0"/>
    <x v="666"/>
    <x v="686"/>
    <x v="585"/>
    <x v="473"/>
    <x v="30"/>
    <x v="603"/>
    <x v="71"/>
    <x v="2"/>
    <x v="19"/>
    <x v="3"/>
    <x v="2"/>
    <x v="7"/>
    <x v="254"/>
    <x v="0"/>
    <x v="0"/>
    <x v="2"/>
    <x v="5"/>
    <x v="9"/>
    <x v="1"/>
    <x v="3"/>
    <x v="2"/>
  </r>
  <r>
    <x v="139"/>
    <x v="125"/>
    <x v="170"/>
    <x v="1"/>
    <x v="9"/>
    <x v="152"/>
    <x v="152"/>
    <x v="151"/>
    <x v="151"/>
    <x v="0"/>
    <x v="667"/>
    <x v="687"/>
    <x v="586"/>
    <x v="474"/>
    <x v="73"/>
    <x v="230"/>
    <x v="8"/>
    <x v="2"/>
    <x v="50"/>
    <x v="3"/>
    <x v="3"/>
    <x v="83"/>
    <x v="504"/>
    <x v="0"/>
    <x v="0"/>
    <x v="2"/>
    <x v="2"/>
    <x v="9"/>
    <x v="1"/>
    <x v="3"/>
    <x v="2"/>
  </r>
  <r>
    <x v="139"/>
    <x v="129"/>
    <x v="171"/>
    <x v="1"/>
    <x v="9"/>
    <x v="153"/>
    <x v="153"/>
    <x v="152"/>
    <x v="152"/>
    <x v="0"/>
    <x v="668"/>
    <x v="688"/>
    <x v="587"/>
    <x v="475"/>
    <x v="88"/>
    <x v="604"/>
    <x v="26"/>
    <x v="2"/>
    <x v="24"/>
    <x v="3"/>
    <x v="3"/>
    <x v="83"/>
    <x v="505"/>
    <x v="0"/>
    <x v="0"/>
    <x v="5"/>
    <x v="2"/>
    <x v="9"/>
    <x v="1"/>
    <x v="3"/>
    <x v="2"/>
  </r>
  <r>
    <x v="139"/>
    <x v="130"/>
    <x v="172"/>
    <x v="0"/>
    <x v="86"/>
    <x v="154"/>
    <x v="154"/>
    <x v="153"/>
    <x v="153"/>
    <x v="0"/>
    <x v="669"/>
    <x v="689"/>
    <x v="588"/>
    <x v="403"/>
    <x v="30"/>
    <x v="266"/>
    <x v="19"/>
    <x v="1"/>
    <x v="55"/>
    <x v="5"/>
    <x v="3"/>
    <x v="86"/>
    <x v="71"/>
    <x v="0"/>
    <x v="0"/>
    <x v="5"/>
    <x v="11"/>
    <x v="84"/>
    <x v="0"/>
    <x v="0"/>
    <x v="6"/>
  </r>
  <r>
    <x v="139"/>
    <x v="130"/>
    <x v="173"/>
    <x v="0"/>
    <x v="78"/>
    <x v="155"/>
    <x v="155"/>
    <x v="154"/>
    <x v="154"/>
    <x v="0"/>
    <x v="670"/>
    <x v="690"/>
    <x v="589"/>
    <x v="476"/>
    <x v="101"/>
    <x v="605"/>
    <x v="46"/>
    <x v="1"/>
    <x v="19"/>
    <x v="3"/>
    <x v="1"/>
    <x v="275"/>
    <x v="430"/>
    <x v="0"/>
    <x v="0"/>
    <x v="12"/>
    <x v="2"/>
    <x v="76"/>
    <x v="0"/>
    <x v="0"/>
    <x v="6"/>
  </r>
  <r>
    <x v="139"/>
    <x v="131"/>
    <x v="174"/>
    <x v="0"/>
    <x v="70"/>
    <x v="156"/>
    <x v="156"/>
    <x v="155"/>
    <x v="155"/>
    <x v="0"/>
    <x v="671"/>
    <x v="691"/>
    <x v="590"/>
    <x v="477"/>
    <x v="8"/>
    <x v="276"/>
    <x v="187"/>
    <x v="7"/>
    <x v="33"/>
    <x v="3"/>
    <x v="8"/>
    <x v="276"/>
    <x v="506"/>
    <x v="0"/>
    <x v="0"/>
    <x v="11"/>
    <x v="13"/>
    <x v="68"/>
    <x v="0"/>
    <x v="14"/>
    <x v="5"/>
  </r>
  <r>
    <x v="139"/>
    <x v="132"/>
    <x v="175"/>
    <x v="1"/>
    <x v="62"/>
    <x v="157"/>
    <x v="157"/>
    <x v="156"/>
    <x v="156"/>
    <x v="0"/>
    <x v="672"/>
    <x v="692"/>
    <x v="591"/>
    <x v="478"/>
    <x v="26"/>
    <x v="606"/>
    <x v="8"/>
    <x v="2"/>
    <x v="14"/>
    <x v="3"/>
    <x v="3"/>
    <x v="27"/>
    <x v="507"/>
    <x v="3"/>
    <x v="75"/>
    <x v="5"/>
    <x v="5"/>
    <x v="60"/>
    <x v="0"/>
    <x v="16"/>
    <x v="5"/>
  </r>
  <r>
    <x v="140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40"/>
    <x v="124"/>
    <x v="164"/>
    <x v="0"/>
    <x v="72"/>
    <x v="147"/>
    <x v="147"/>
    <x v="146"/>
    <x v="146"/>
    <x v="0"/>
    <x v="673"/>
    <x v="693"/>
    <x v="543"/>
    <x v="479"/>
    <x v="51"/>
    <x v="142"/>
    <x v="15"/>
    <x v="2"/>
    <x v="14"/>
    <x v="3"/>
    <x v="3"/>
    <x v="15"/>
    <x v="15"/>
    <x v="0"/>
    <x v="0"/>
    <x v="5"/>
    <x v="2"/>
    <x v="70"/>
    <x v="0"/>
    <x v="14"/>
    <x v="5"/>
  </r>
  <r>
    <x v="140"/>
    <x v="124"/>
    <x v="165"/>
    <x v="0"/>
    <x v="85"/>
    <x v="148"/>
    <x v="148"/>
    <x v="147"/>
    <x v="147"/>
    <x v="0"/>
    <x v="674"/>
    <x v="694"/>
    <x v="592"/>
    <x v="387"/>
    <x v="32"/>
    <x v="361"/>
    <x v="208"/>
    <x v="7"/>
    <x v="148"/>
    <x v="57"/>
    <x v="10"/>
    <x v="277"/>
    <x v="212"/>
    <x v="0"/>
    <x v="0"/>
    <x v="44"/>
    <x v="44"/>
    <x v="83"/>
    <x v="0"/>
    <x v="14"/>
    <x v="5"/>
  </r>
  <r>
    <x v="140"/>
    <x v="127"/>
    <x v="168"/>
    <x v="0"/>
    <x v="9"/>
    <x v="151"/>
    <x v="151"/>
    <x v="150"/>
    <x v="150"/>
    <x v="0"/>
    <x v="675"/>
    <x v="695"/>
    <x v="593"/>
    <x v="280"/>
    <x v="51"/>
    <x v="607"/>
    <x v="62"/>
    <x v="0"/>
    <x v="2"/>
    <x v="5"/>
    <x v="2"/>
    <x v="241"/>
    <x v="508"/>
    <x v="0"/>
    <x v="0"/>
    <x v="7"/>
    <x v="2"/>
    <x v="9"/>
    <x v="1"/>
    <x v="3"/>
    <x v="2"/>
  </r>
  <r>
    <x v="140"/>
    <x v="125"/>
    <x v="170"/>
    <x v="1"/>
    <x v="9"/>
    <x v="152"/>
    <x v="152"/>
    <x v="151"/>
    <x v="151"/>
    <x v="0"/>
    <x v="676"/>
    <x v="696"/>
    <x v="594"/>
    <x v="480"/>
    <x v="44"/>
    <x v="608"/>
    <x v="23"/>
    <x v="2"/>
    <x v="24"/>
    <x v="3"/>
    <x v="3"/>
    <x v="75"/>
    <x v="509"/>
    <x v="0"/>
    <x v="0"/>
    <x v="5"/>
    <x v="2"/>
    <x v="9"/>
    <x v="1"/>
    <x v="3"/>
    <x v="2"/>
  </r>
  <r>
    <x v="140"/>
    <x v="129"/>
    <x v="171"/>
    <x v="1"/>
    <x v="9"/>
    <x v="153"/>
    <x v="153"/>
    <x v="152"/>
    <x v="152"/>
    <x v="0"/>
    <x v="677"/>
    <x v="697"/>
    <x v="582"/>
    <x v="481"/>
    <x v="104"/>
    <x v="609"/>
    <x v="8"/>
    <x v="2"/>
    <x v="24"/>
    <x v="3"/>
    <x v="3"/>
    <x v="70"/>
    <x v="510"/>
    <x v="0"/>
    <x v="0"/>
    <x v="2"/>
    <x v="2"/>
    <x v="9"/>
    <x v="1"/>
    <x v="3"/>
    <x v="2"/>
  </r>
  <r>
    <x v="140"/>
    <x v="130"/>
    <x v="172"/>
    <x v="0"/>
    <x v="86"/>
    <x v="154"/>
    <x v="154"/>
    <x v="153"/>
    <x v="153"/>
    <x v="0"/>
    <x v="678"/>
    <x v="698"/>
    <x v="595"/>
    <x v="482"/>
    <x v="37"/>
    <x v="610"/>
    <x v="16"/>
    <x v="2"/>
    <x v="13"/>
    <x v="5"/>
    <x v="1"/>
    <x v="41"/>
    <x v="511"/>
    <x v="0"/>
    <x v="0"/>
    <x v="5"/>
    <x v="5"/>
    <x v="84"/>
    <x v="0"/>
    <x v="0"/>
    <x v="6"/>
  </r>
  <r>
    <x v="140"/>
    <x v="130"/>
    <x v="173"/>
    <x v="0"/>
    <x v="78"/>
    <x v="155"/>
    <x v="155"/>
    <x v="154"/>
    <x v="154"/>
    <x v="0"/>
    <x v="679"/>
    <x v="699"/>
    <x v="27"/>
    <x v="483"/>
    <x v="105"/>
    <x v="611"/>
    <x v="8"/>
    <x v="2"/>
    <x v="14"/>
    <x v="3"/>
    <x v="3"/>
    <x v="27"/>
    <x v="512"/>
    <x v="0"/>
    <x v="0"/>
    <x v="2"/>
    <x v="2"/>
    <x v="76"/>
    <x v="0"/>
    <x v="0"/>
    <x v="6"/>
  </r>
  <r>
    <x v="140"/>
    <x v="131"/>
    <x v="174"/>
    <x v="0"/>
    <x v="70"/>
    <x v="156"/>
    <x v="156"/>
    <x v="155"/>
    <x v="155"/>
    <x v="0"/>
    <x v="680"/>
    <x v="700"/>
    <x v="142"/>
    <x v="484"/>
    <x v="8"/>
    <x v="612"/>
    <x v="15"/>
    <x v="2"/>
    <x v="14"/>
    <x v="3"/>
    <x v="3"/>
    <x v="15"/>
    <x v="15"/>
    <x v="0"/>
    <x v="0"/>
    <x v="5"/>
    <x v="2"/>
    <x v="68"/>
    <x v="0"/>
    <x v="14"/>
    <x v="5"/>
  </r>
  <r>
    <x v="140"/>
    <x v="132"/>
    <x v="175"/>
    <x v="1"/>
    <x v="62"/>
    <x v="157"/>
    <x v="157"/>
    <x v="156"/>
    <x v="156"/>
    <x v="0"/>
    <x v="681"/>
    <x v="701"/>
    <x v="596"/>
    <x v="485"/>
    <x v="15"/>
    <x v="613"/>
    <x v="18"/>
    <x v="2"/>
    <x v="14"/>
    <x v="3"/>
    <x v="3"/>
    <x v="20"/>
    <x v="513"/>
    <x v="18"/>
    <x v="76"/>
    <x v="5"/>
    <x v="11"/>
    <x v="60"/>
    <x v="0"/>
    <x v="16"/>
    <x v="5"/>
  </r>
  <r>
    <x v="140"/>
    <x v="132"/>
    <x v="176"/>
    <x v="1"/>
    <x v="62"/>
    <x v="158"/>
    <x v="158"/>
    <x v="157"/>
    <x v="157"/>
    <x v="0"/>
    <x v="682"/>
    <x v="702"/>
    <x v="597"/>
    <x v="161"/>
    <x v="64"/>
    <x v="614"/>
    <x v="23"/>
    <x v="2"/>
    <x v="24"/>
    <x v="3"/>
    <x v="1"/>
    <x v="31"/>
    <x v="514"/>
    <x v="1"/>
    <x v="77"/>
    <x v="4"/>
    <x v="11"/>
    <x v="60"/>
    <x v="0"/>
    <x v="16"/>
    <x v="5"/>
  </r>
  <r>
    <x v="141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</r>
  <r>
    <x v="141"/>
    <x v="124"/>
    <x v="164"/>
    <x v="0"/>
    <x v="72"/>
    <x v="147"/>
    <x v="147"/>
    <x v="146"/>
    <x v="1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0"/>
    <x v="0"/>
    <x v="14"/>
    <x v="5"/>
  </r>
  <r>
    <x v="141"/>
    <x v="124"/>
    <x v="165"/>
    <x v="0"/>
    <x v="85"/>
    <x v="148"/>
    <x v="148"/>
    <x v="147"/>
    <x v="147"/>
    <x v="0"/>
    <x v="683"/>
    <x v="703"/>
    <x v="598"/>
    <x v="248"/>
    <x v="32"/>
    <x v="615"/>
    <x v="209"/>
    <x v="1"/>
    <x v="149"/>
    <x v="58"/>
    <x v="10"/>
    <x v="278"/>
    <x v="492"/>
    <x v="0"/>
    <x v="0"/>
    <x v="28"/>
    <x v="45"/>
    <x v="83"/>
    <x v="0"/>
    <x v="14"/>
    <x v="5"/>
  </r>
  <r>
    <x v="141"/>
    <x v="127"/>
    <x v="168"/>
    <x v="0"/>
    <x v="9"/>
    <x v="151"/>
    <x v="151"/>
    <x v="150"/>
    <x v="150"/>
    <x v="0"/>
    <x v="220"/>
    <x v="704"/>
    <x v="73"/>
    <x v="486"/>
    <x v="1"/>
    <x v="616"/>
    <x v="15"/>
    <x v="2"/>
    <x v="14"/>
    <x v="3"/>
    <x v="3"/>
    <x v="15"/>
    <x v="15"/>
    <x v="0"/>
    <x v="0"/>
    <x v="5"/>
    <x v="2"/>
    <x v="9"/>
    <x v="1"/>
    <x v="3"/>
    <x v="2"/>
  </r>
  <r>
    <x v="141"/>
    <x v="125"/>
    <x v="170"/>
    <x v="1"/>
    <x v="9"/>
    <x v="152"/>
    <x v="152"/>
    <x v="151"/>
    <x v="151"/>
    <x v="0"/>
    <x v="684"/>
    <x v="705"/>
    <x v="132"/>
    <x v="449"/>
    <x v="22"/>
    <x v="617"/>
    <x v="15"/>
    <x v="2"/>
    <x v="14"/>
    <x v="3"/>
    <x v="3"/>
    <x v="15"/>
    <x v="15"/>
    <x v="0"/>
    <x v="0"/>
    <x v="5"/>
    <x v="2"/>
    <x v="9"/>
    <x v="1"/>
    <x v="3"/>
    <x v="2"/>
  </r>
  <r>
    <x v="141"/>
    <x v="129"/>
    <x v="171"/>
    <x v="1"/>
    <x v="9"/>
    <x v="153"/>
    <x v="153"/>
    <x v="152"/>
    <x v="152"/>
    <x v="0"/>
    <x v="685"/>
    <x v="706"/>
    <x v="599"/>
    <x v="179"/>
    <x v="78"/>
    <x v="618"/>
    <x v="18"/>
    <x v="2"/>
    <x v="50"/>
    <x v="3"/>
    <x v="3"/>
    <x v="70"/>
    <x v="448"/>
    <x v="0"/>
    <x v="0"/>
    <x v="5"/>
    <x v="2"/>
    <x v="9"/>
    <x v="1"/>
    <x v="3"/>
    <x v="2"/>
  </r>
  <r>
    <x v="141"/>
    <x v="130"/>
    <x v="172"/>
    <x v="0"/>
    <x v="86"/>
    <x v="154"/>
    <x v="154"/>
    <x v="153"/>
    <x v="153"/>
    <x v="0"/>
    <x v="686"/>
    <x v="707"/>
    <x v="600"/>
    <x v="487"/>
    <x v="10"/>
    <x v="619"/>
    <x v="162"/>
    <x v="1"/>
    <x v="136"/>
    <x v="1"/>
    <x v="0"/>
    <x v="11"/>
    <x v="515"/>
    <x v="0"/>
    <x v="0"/>
    <x v="2"/>
    <x v="11"/>
    <x v="84"/>
    <x v="0"/>
    <x v="0"/>
    <x v="6"/>
  </r>
  <r>
    <x v="141"/>
    <x v="132"/>
    <x v="175"/>
    <x v="1"/>
    <x v="62"/>
    <x v="157"/>
    <x v="157"/>
    <x v="156"/>
    <x v="156"/>
    <x v="0"/>
    <x v="687"/>
    <x v="708"/>
    <x v="309"/>
    <x v="488"/>
    <x v="43"/>
    <x v="620"/>
    <x v="15"/>
    <x v="2"/>
    <x v="14"/>
    <x v="3"/>
    <x v="3"/>
    <x v="15"/>
    <x v="15"/>
    <x v="2"/>
    <x v="78"/>
    <x v="5"/>
    <x v="2"/>
    <x v="60"/>
    <x v="0"/>
    <x v="16"/>
    <x v="5"/>
  </r>
  <r>
    <x v="141"/>
    <x v="132"/>
    <x v="176"/>
    <x v="1"/>
    <x v="62"/>
    <x v="158"/>
    <x v="158"/>
    <x v="157"/>
    <x v="157"/>
    <x v="0"/>
    <x v="688"/>
    <x v="709"/>
    <x v="601"/>
    <x v="489"/>
    <x v="106"/>
    <x v="621"/>
    <x v="41"/>
    <x v="2"/>
    <x v="14"/>
    <x v="3"/>
    <x v="3"/>
    <x v="75"/>
    <x v="516"/>
    <x v="18"/>
    <x v="79"/>
    <x v="7"/>
    <x v="2"/>
    <x v="60"/>
    <x v="0"/>
    <x v="16"/>
    <x v="5"/>
  </r>
  <r>
    <x v="14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</r>
  <r>
    <x v="142"/>
    <x v="124"/>
    <x v="165"/>
    <x v="0"/>
    <x v="85"/>
    <x v="148"/>
    <x v="148"/>
    <x v="147"/>
    <x v="147"/>
    <x v="0"/>
    <x v="689"/>
    <x v="633"/>
    <x v="279"/>
    <x v="44"/>
    <x v="4"/>
    <x v="622"/>
    <x v="1"/>
    <x v="2"/>
    <x v="73"/>
    <x v="11"/>
    <x v="3"/>
    <x v="243"/>
    <x v="517"/>
    <x v="0"/>
    <x v="0"/>
    <x v="2"/>
    <x v="2"/>
    <x v="83"/>
    <x v="0"/>
    <x v="14"/>
    <x v="5"/>
  </r>
  <r>
    <x v="142"/>
    <x v="127"/>
    <x v="168"/>
    <x v="0"/>
    <x v="9"/>
    <x v="151"/>
    <x v="151"/>
    <x v="150"/>
    <x v="150"/>
    <x v="0"/>
    <x v="690"/>
    <x v="710"/>
    <x v="602"/>
    <x v="162"/>
    <x v="32"/>
    <x v="189"/>
    <x v="185"/>
    <x v="1"/>
    <x v="19"/>
    <x v="3"/>
    <x v="3"/>
    <x v="69"/>
    <x v="256"/>
    <x v="0"/>
    <x v="0"/>
    <x v="2"/>
    <x v="11"/>
    <x v="9"/>
    <x v="1"/>
    <x v="3"/>
    <x v="2"/>
  </r>
  <r>
    <x v="142"/>
    <x v="125"/>
    <x v="170"/>
    <x v="1"/>
    <x v="9"/>
    <x v="152"/>
    <x v="152"/>
    <x v="151"/>
    <x v="151"/>
    <x v="0"/>
    <x v="691"/>
    <x v="630"/>
    <x v="603"/>
    <x v="360"/>
    <x v="15"/>
    <x v="623"/>
    <x v="18"/>
    <x v="2"/>
    <x v="24"/>
    <x v="3"/>
    <x v="3"/>
    <x v="27"/>
    <x v="518"/>
    <x v="0"/>
    <x v="0"/>
    <x v="5"/>
    <x v="2"/>
    <x v="9"/>
    <x v="1"/>
    <x v="3"/>
    <x v="2"/>
  </r>
  <r>
    <x v="142"/>
    <x v="129"/>
    <x v="171"/>
    <x v="1"/>
    <x v="9"/>
    <x v="153"/>
    <x v="153"/>
    <x v="152"/>
    <x v="152"/>
    <x v="0"/>
    <x v="692"/>
    <x v="711"/>
    <x v="604"/>
    <x v="490"/>
    <x v="79"/>
    <x v="624"/>
    <x v="22"/>
    <x v="1"/>
    <x v="50"/>
    <x v="3"/>
    <x v="3"/>
    <x v="68"/>
    <x v="519"/>
    <x v="0"/>
    <x v="0"/>
    <x v="5"/>
    <x v="2"/>
    <x v="9"/>
    <x v="1"/>
    <x v="3"/>
    <x v="2"/>
  </r>
  <r>
    <x v="142"/>
    <x v="130"/>
    <x v="172"/>
    <x v="0"/>
    <x v="86"/>
    <x v="154"/>
    <x v="154"/>
    <x v="153"/>
    <x v="153"/>
    <x v="0"/>
    <x v="693"/>
    <x v="712"/>
    <x v="605"/>
    <x v="491"/>
    <x v="12"/>
    <x v="315"/>
    <x v="210"/>
    <x v="2"/>
    <x v="71"/>
    <x v="0"/>
    <x v="2"/>
    <x v="279"/>
    <x v="422"/>
    <x v="0"/>
    <x v="0"/>
    <x v="1"/>
    <x v="6"/>
    <x v="84"/>
    <x v="0"/>
    <x v="0"/>
    <x v="6"/>
  </r>
  <r>
    <x v="142"/>
    <x v="132"/>
    <x v="175"/>
    <x v="1"/>
    <x v="62"/>
    <x v="157"/>
    <x v="157"/>
    <x v="156"/>
    <x v="156"/>
    <x v="0"/>
    <x v="694"/>
    <x v="713"/>
    <x v="606"/>
    <x v="186"/>
    <x v="25"/>
    <x v="625"/>
    <x v="26"/>
    <x v="2"/>
    <x v="24"/>
    <x v="3"/>
    <x v="3"/>
    <x v="83"/>
    <x v="520"/>
    <x v="2"/>
    <x v="80"/>
    <x v="4"/>
    <x v="2"/>
    <x v="60"/>
    <x v="0"/>
    <x v="16"/>
    <x v="5"/>
  </r>
  <r>
    <x v="142"/>
    <x v="132"/>
    <x v="176"/>
    <x v="1"/>
    <x v="62"/>
    <x v="158"/>
    <x v="158"/>
    <x v="157"/>
    <x v="157"/>
    <x v="0"/>
    <x v="695"/>
    <x v="714"/>
    <x v="526"/>
    <x v="492"/>
    <x v="107"/>
    <x v="626"/>
    <x v="26"/>
    <x v="1"/>
    <x v="50"/>
    <x v="3"/>
    <x v="4"/>
    <x v="68"/>
    <x v="521"/>
    <x v="13"/>
    <x v="10"/>
    <x v="1"/>
    <x v="5"/>
    <x v="60"/>
    <x v="0"/>
    <x v="16"/>
    <x v="5"/>
  </r>
  <r>
    <x v="142"/>
    <x v="133"/>
    <x v="177"/>
    <x v="0"/>
    <x v="69"/>
    <x v="159"/>
    <x v="159"/>
    <x v="158"/>
    <x v="158"/>
    <x v="0"/>
    <x v="696"/>
    <x v="715"/>
    <x v="607"/>
    <x v="493"/>
    <x v="43"/>
    <x v="627"/>
    <x v="185"/>
    <x v="2"/>
    <x v="4"/>
    <x v="3"/>
    <x v="1"/>
    <x v="178"/>
    <x v="316"/>
    <x v="0"/>
    <x v="0"/>
    <x v="2"/>
    <x v="5"/>
    <x v="67"/>
    <x v="0"/>
    <x v="14"/>
    <x v="5"/>
  </r>
  <r>
    <x v="143"/>
    <x v="124"/>
    <x v="164"/>
    <x v="0"/>
    <x v="72"/>
    <x v="147"/>
    <x v="147"/>
    <x v="146"/>
    <x v="146"/>
    <x v="0"/>
    <x v="697"/>
    <x v="716"/>
    <x v="608"/>
    <x v="494"/>
    <x v="2"/>
    <x v="376"/>
    <x v="8"/>
    <x v="2"/>
    <x v="24"/>
    <x v="3"/>
    <x v="3"/>
    <x v="70"/>
    <x v="522"/>
    <x v="0"/>
    <x v="0"/>
    <x v="5"/>
    <x v="2"/>
    <x v="70"/>
    <x v="0"/>
    <x v="14"/>
    <x v="5"/>
  </r>
  <r>
    <x v="143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</r>
  <r>
    <x v="143"/>
    <x v="127"/>
    <x v="168"/>
    <x v="0"/>
    <x v="9"/>
    <x v="151"/>
    <x v="151"/>
    <x v="150"/>
    <x v="150"/>
    <x v="0"/>
    <x v="119"/>
    <x v="717"/>
    <x v="72"/>
    <x v="495"/>
    <x v="4"/>
    <x v="628"/>
    <x v="15"/>
    <x v="2"/>
    <x v="14"/>
    <x v="3"/>
    <x v="3"/>
    <x v="15"/>
    <x v="15"/>
    <x v="0"/>
    <x v="0"/>
    <x v="5"/>
    <x v="2"/>
    <x v="9"/>
    <x v="1"/>
    <x v="3"/>
    <x v="2"/>
  </r>
  <r>
    <x v="143"/>
    <x v="125"/>
    <x v="170"/>
    <x v="1"/>
    <x v="9"/>
    <x v="152"/>
    <x v="152"/>
    <x v="151"/>
    <x v="151"/>
    <x v="0"/>
    <x v="698"/>
    <x v="718"/>
    <x v="609"/>
    <x v="115"/>
    <x v="83"/>
    <x v="186"/>
    <x v="26"/>
    <x v="2"/>
    <x v="24"/>
    <x v="3"/>
    <x v="3"/>
    <x v="83"/>
    <x v="523"/>
    <x v="0"/>
    <x v="0"/>
    <x v="5"/>
    <x v="2"/>
    <x v="9"/>
    <x v="1"/>
    <x v="3"/>
    <x v="2"/>
  </r>
  <r>
    <x v="143"/>
    <x v="129"/>
    <x v="171"/>
    <x v="1"/>
    <x v="9"/>
    <x v="153"/>
    <x v="153"/>
    <x v="152"/>
    <x v="152"/>
    <x v="0"/>
    <x v="699"/>
    <x v="719"/>
    <x v="610"/>
    <x v="496"/>
    <x v="15"/>
    <x v="629"/>
    <x v="13"/>
    <x v="2"/>
    <x v="24"/>
    <x v="3"/>
    <x v="3"/>
    <x v="68"/>
    <x v="524"/>
    <x v="0"/>
    <x v="0"/>
    <x v="5"/>
    <x v="5"/>
    <x v="9"/>
    <x v="1"/>
    <x v="3"/>
    <x v="2"/>
  </r>
  <r>
    <x v="143"/>
    <x v="130"/>
    <x v="172"/>
    <x v="0"/>
    <x v="86"/>
    <x v="154"/>
    <x v="154"/>
    <x v="153"/>
    <x v="153"/>
    <x v="0"/>
    <x v="700"/>
    <x v="720"/>
    <x v="611"/>
    <x v="157"/>
    <x v="41"/>
    <x v="544"/>
    <x v="207"/>
    <x v="2"/>
    <x v="61"/>
    <x v="11"/>
    <x v="4"/>
    <x v="144"/>
    <x v="525"/>
    <x v="0"/>
    <x v="0"/>
    <x v="1"/>
    <x v="11"/>
    <x v="84"/>
    <x v="0"/>
    <x v="0"/>
    <x v="6"/>
  </r>
  <r>
    <x v="143"/>
    <x v="132"/>
    <x v="175"/>
    <x v="1"/>
    <x v="62"/>
    <x v="157"/>
    <x v="157"/>
    <x v="156"/>
    <x v="156"/>
    <x v="0"/>
    <x v="701"/>
    <x v="721"/>
    <x v="612"/>
    <x v="497"/>
    <x v="44"/>
    <x v="630"/>
    <x v="8"/>
    <x v="2"/>
    <x v="24"/>
    <x v="3"/>
    <x v="2"/>
    <x v="83"/>
    <x v="526"/>
    <x v="1"/>
    <x v="81"/>
    <x v="1"/>
    <x v="2"/>
    <x v="60"/>
    <x v="0"/>
    <x v="16"/>
    <x v="5"/>
  </r>
  <r>
    <x v="143"/>
    <x v="132"/>
    <x v="176"/>
    <x v="1"/>
    <x v="62"/>
    <x v="158"/>
    <x v="158"/>
    <x v="157"/>
    <x v="157"/>
    <x v="0"/>
    <x v="702"/>
    <x v="722"/>
    <x v="227"/>
    <x v="498"/>
    <x v="82"/>
    <x v="631"/>
    <x v="23"/>
    <x v="2"/>
    <x v="50"/>
    <x v="3"/>
    <x v="3"/>
    <x v="93"/>
    <x v="527"/>
    <x v="14"/>
    <x v="82"/>
    <x v="1"/>
    <x v="2"/>
    <x v="60"/>
    <x v="0"/>
    <x v="16"/>
    <x v="5"/>
  </r>
  <r>
    <x v="143"/>
    <x v="133"/>
    <x v="177"/>
    <x v="0"/>
    <x v="69"/>
    <x v="159"/>
    <x v="159"/>
    <x v="158"/>
    <x v="158"/>
    <x v="0"/>
    <x v="703"/>
    <x v="723"/>
    <x v="613"/>
    <x v="211"/>
    <x v="108"/>
    <x v="632"/>
    <x v="211"/>
    <x v="1"/>
    <x v="132"/>
    <x v="5"/>
    <x v="1"/>
    <x v="280"/>
    <x v="78"/>
    <x v="0"/>
    <x v="0"/>
    <x v="12"/>
    <x v="13"/>
    <x v="67"/>
    <x v="0"/>
    <x v="14"/>
    <x v="5"/>
  </r>
  <r>
    <x v="144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144"/>
    <x v="116"/>
    <x v="150"/>
    <x v="0"/>
    <x v="73"/>
    <x v="133"/>
    <x v="133"/>
    <x v="132"/>
    <x v="132"/>
    <x v="0"/>
    <x v="704"/>
    <x v="724"/>
    <x v="614"/>
    <x v="499"/>
    <x v="44"/>
    <x v="633"/>
    <x v="93"/>
    <x v="0"/>
    <x v="61"/>
    <x v="5"/>
    <x v="4"/>
    <x v="217"/>
    <x v="528"/>
    <x v="0"/>
    <x v="0"/>
    <x v="8"/>
    <x v="12"/>
    <x v="71"/>
    <x v="0"/>
    <x v="14"/>
    <x v="5"/>
  </r>
  <r>
    <x v="144"/>
    <x v="124"/>
    <x v="164"/>
    <x v="0"/>
    <x v="72"/>
    <x v="147"/>
    <x v="147"/>
    <x v="146"/>
    <x v="146"/>
    <x v="0"/>
    <x v="705"/>
    <x v="725"/>
    <x v="615"/>
    <x v="224"/>
    <x v="47"/>
    <x v="634"/>
    <x v="143"/>
    <x v="10"/>
    <x v="133"/>
    <x v="5"/>
    <x v="2"/>
    <x v="253"/>
    <x v="529"/>
    <x v="0"/>
    <x v="0"/>
    <x v="24"/>
    <x v="5"/>
    <x v="70"/>
    <x v="0"/>
    <x v="14"/>
    <x v="5"/>
  </r>
  <r>
    <x v="144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</r>
  <r>
    <x v="144"/>
    <x v="127"/>
    <x v="168"/>
    <x v="0"/>
    <x v="9"/>
    <x v="151"/>
    <x v="151"/>
    <x v="150"/>
    <x v="150"/>
    <x v="0"/>
    <x v="393"/>
    <x v="726"/>
    <x v="616"/>
    <x v="435"/>
    <x v="74"/>
    <x v="635"/>
    <x v="66"/>
    <x v="2"/>
    <x v="90"/>
    <x v="3"/>
    <x v="3"/>
    <x v="1"/>
    <x v="530"/>
    <x v="0"/>
    <x v="0"/>
    <x v="5"/>
    <x v="2"/>
    <x v="9"/>
    <x v="1"/>
    <x v="3"/>
    <x v="2"/>
  </r>
  <r>
    <x v="144"/>
    <x v="125"/>
    <x v="170"/>
    <x v="1"/>
    <x v="9"/>
    <x v="152"/>
    <x v="152"/>
    <x v="151"/>
    <x v="151"/>
    <x v="0"/>
    <x v="706"/>
    <x v="727"/>
    <x v="560"/>
    <x v="500"/>
    <x v="15"/>
    <x v="636"/>
    <x v="15"/>
    <x v="2"/>
    <x v="14"/>
    <x v="3"/>
    <x v="3"/>
    <x v="15"/>
    <x v="15"/>
    <x v="0"/>
    <x v="0"/>
    <x v="5"/>
    <x v="2"/>
    <x v="9"/>
    <x v="1"/>
    <x v="3"/>
    <x v="2"/>
  </r>
  <r>
    <x v="144"/>
    <x v="129"/>
    <x v="171"/>
    <x v="1"/>
    <x v="9"/>
    <x v="153"/>
    <x v="153"/>
    <x v="152"/>
    <x v="152"/>
    <x v="0"/>
    <x v="707"/>
    <x v="728"/>
    <x v="617"/>
    <x v="354"/>
    <x v="59"/>
    <x v="637"/>
    <x v="18"/>
    <x v="2"/>
    <x v="14"/>
    <x v="3"/>
    <x v="3"/>
    <x v="20"/>
    <x v="531"/>
    <x v="0"/>
    <x v="0"/>
    <x v="5"/>
    <x v="2"/>
    <x v="9"/>
    <x v="1"/>
    <x v="3"/>
    <x v="2"/>
  </r>
  <r>
    <x v="144"/>
    <x v="130"/>
    <x v="172"/>
    <x v="0"/>
    <x v="86"/>
    <x v="154"/>
    <x v="154"/>
    <x v="153"/>
    <x v="153"/>
    <x v="0"/>
    <x v="30"/>
    <x v="40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</r>
  <r>
    <x v="144"/>
    <x v="131"/>
    <x v="174"/>
    <x v="0"/>
    <x v="70"/>
    <x v="156"/>
    <x v="156"/>
    <x v="155"/>
    <x v="155"/>
    <x v="0"/>
    <x v="708"/>
    <x v="729"/>
    <x v="618"/>
    <x v="288"/>
    <x v="82"/>
    <x v="638"/>
    <x v="89"/>
    <x v="5"/>
    <x v="3"/>
    <x v="11"/>
    <x v="1"/>
    <x v="53"/>
    <x v="51"/>
    <x v="0"/>
    <x v="0"/>
    <x v="10"/>
    <x v="3"/>
    <x v="68"/>
    <x v="0"/>
    <x v="14"/>
    <x v="5"/>
  </r>
  <r>
    <x v="144"/>
    <x v="132"/>
    <x v="175"/>
    <x v="1"/>
    <x v="62"/>
    <x v="157"/>
    <x v="157"/>
    <x v="156"/>
    <x v="156"/>
    <x v="0"/>
    <x v="709"/>
    <x v="730"/>
    <x v="619"/>
    <x v="501"/>
    <x v="73"/>
    <x v="639"/>
    <x v="18"/>
    <x v="1"/>
    <x v="24"/>
    <x v="3"/>
    <x v="3"/>
    <x v="70"/>
    <x v="532"/>
    <x v="27"/>
    <x v="44"/>
    <x v="11"/>
    <x v="12"/>
    <x v="60"/>
    <x v="0"/>
    <x v="16"/>
    <x v="5"/>
  </r>
  <r>
    <x v="144"/>
    <x v="132"/>
    <x v="176"/>
    <x v="1"/>
    <x v="62"/>
    <x v="158"/>
    <x v="158"/>
    <x v="157"/>
    <x v="157"/>
    <x v="0"/>
    <x v="710"/>
    <x v="731"/>
    <x v="290"/>
    <x v="213"/>
    <x v="43"/>
    <x v="640"/>
    <x v="18"/>
    <x v="2"/>
    <x v="24"/>
    <x v="3"/>
    <x v="3"/>
    <x v="27"/>
    <x v="533"/>
    <x v="14"/>
    <x v="83"/>
    <x v="5"/>
    <x v="2"/>
    <x v="60"/>
    <x v="0"/>
    <x v="16"/>
    <x v="5"/>
  </r>
  <r>
    <x v="144"/>
    <x v="133"/>
    <x v="177"/>
    <x v="0"/>
    <x v="69"/>
    <x v="159"/>
    <x v="159"/>
    <x v="158"/>
    <x v="158"/>
    <x v="0"/>
    <x v="711"/>
    <x v="732"/>
    <x v="308"/>
    <x v="72"/>
    <x v="29"/>
    <x v="641"/>
    <x v="23"/>
    <x v="2"/>
    <x v="14"/>
    <x v="3"/>
    <x v="3"/>
    <x v="83"/>
    <x v="64"/>
    <x v="0"/>
    <x v="0"/>
    <x v="5"/>
    <x v="2"/>
    <x v="67"/>
    <x v="0"/>
    <x v="14"/>
    <x v="5"/>
  </r>
  <r>
    <x v="144"/>
    <x v="134"/>
    <x v="178"/>
    <x v="1"/>
    <x v="62"/>
    <x v="160"/>
    <x v="160"/>
    <x v="159"/>
    <x v="159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144"/>
    <x v="135"/>
    <x v="179"/>
    <x v="1"/>
    <x v="46"/>
    <x v="160"/>
    <x v="160"/>
    <x v="159"/>
    <x v="159"/>
    <x v="0"/>
    <x v="712"/>
    <x v="733"/>
    <x v="62"/>
    <x v="275"/>
    <x v="25"/>
    <x v="642"/>
    <x v="26"/>
    <x v="2"/>
    <x v="14"/>
    <x v="3"/>
    <x v="3"/>
    <x v="70"/>
    <x v="534"/>
    <x v="3"/>
    <x v="84"/>
    <x v="5"/>
    <x v="2"/>
    <x v="46"/>
    <x v="0"/>
    <x v="14"/>
    <x v="5"/>
  </r>
  <r>
    <x v="144"/>
    <x v="136"/>
    <x v="180"/>
    <x v="1"/>
    <x v="46"/>
    <x v="161"/>
    <x v="161"/>
    <x v="160"/>
    <x v="160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144"/>
    <x v="135"/>
    <x v="181"/>
    <x v="1"/>
    <x v="7"/>
    <x v="161"/>
    <x v="161"/>
    <x v="160"/>
    <x v="160"/>
    <x v="0"/>
    <x v="713"/>
    <x v="734"/>
    <x v="620"/>
    <x v="99"/>
    <x v="82"/>
    <x v="643"/>
    <x v="7"/>
    <x v="2"/>
    <x v="7"/>
    <x v="5"/>
    <x v="2"/>
    <x v="165"/>
    <x v="119"/>
    <x v="0"/>
    <x v="0"/>
    <x v="2"/>
    <x v="2"/>
    <x v="7"/>
    <x v="0"/>
    <x v="6"/>
    <x v="0"/>
  </r>
  <r>
    <x v="144"/>
    <x v="137"/>
    <x v="182"/>
    <x v="1"/>
    <x v="62"/>
    <x v="162"/>
    <x v="162"/>
    <x v="161"/>
    <x v="161"/>
    <x v="0"/>
    <x v="714"/>
    <x v="685"/>
    <x v="72"/>
    <x v="372"/>
    <x v="14"/>
    <x v="644"/>
    <x v="15"/>
    <x v="2"/>
    <x v="14"/>
    <x v="3"/>
    <x v="3"/>
    <x v="15"/>
    <x v="15"/>
    <x v="0"/>
    <x v="0"/>
    <x v="5"/>
    <x v="2"/>
    <x v="60"/>
    <x v="0"/>
    <x v="16"/>
    <x v="5"/>
  </r>
  <r>
    <x v="144"/>
    <x v="135"/>
    <x v="183"/>
    <x v="1"/>
    <x v="87"/>
    <x v="162"/>
    <x v="162"/>
    <x v="161"/>
    <x v="161"/>
    <x v="0"/>
    <x v="715"/>
    <x v="735"/>
    <x v="621"/>
    <x v="12"/>
    <x v="25"/>
    <x v="645"/>
    <x v="31"/>
    <x v="2"/>
    <x v="55"/>
    <x v="0"/>
    <x v="4"/>
    <x v="281"/>
    <x v="394"/>
    <x v="0"/>
    <x v="0"/>
    <x v="5"/>
    <x v="11"/>
    <x v="85"/>
    <x v="1"/>
    <x v="18"/>
    <x v="2"/>
  </r>
  <r>
    <x v="144"/>
    <x v="138"/>
    <x v="184"/>
    <x v="1"/>
    <x v="87"/>
    <x v="163"/>
    <x v="163"/>
    <x v="162"/>
    <x v="162"/>
    <x v="0"/>
    <x v="716"/>
    <x v="592"/>
    <x v="113"/>
    <x v="502"/>
    <x v="23"/>
    <x v="646"/>
    <x v="15"/>
    <x v="2"/>
    <x v="14"/>
    <x v="3"/>
    <x v="3"/>
    <x v="15"/>
    <x v="15"/>
    <x v="0"/>
    <x v="0"/>
    <x v="5"/>
    <x v="2"/>
    <x v="85"/>
    <x v="1"/>
    <x v="18"/>
    <x v="2"/>
  </r>
  <r>
    <x v="144"/>
    <x v="135"/>
    <x v="185"/>
    <x v="1"/>
    <x v="83"/>
    <x v="163"/>
    <x v="163"/>
    <x v="162"/>
    <x v="162"/>
    <x v="0"/>
    <x v="717"/>
    <x v="736"/>
    <x v="622"/>
    <x v="503"/>
    <x v="27"/>
    <x v="647"/>
    <x v="125"/>
    <x v="2"/>
    <x v="91"/>
    <x v="5"/>
    <x v="3"/>
    <x v="275"/>
    <x v="118"/>
    <x v="0"/>
    <x v="0"/>
    <x v="5"/>
    <x v="5"/>
    <x v="81"/>
    <x v="1"/>
    <x v="3"/>
    <x v="2"/>
  </r>
  <r>
    <x v="144"/>
    <x v="135"/>
    <x v="186"/>
    <x v="1"/>
    <x v="87"/>
    <x v="164"/>
    <x v="164"/>
    <x v="163"/>
    <x v="163"/>
    <x v="0"/>
    <x v="718"/>
    <x v="737"/>
    <x v="85"/>
    <x v="504"/>
    <x v="27"/>
    <x v="648"/>
    <x v="8"/>
    <x v="2"/>
    <x v="14"/>
    <x v="5"/>
    <x v="2"/>
    <x v="83"/>
    <x v="535"/>
    <x v="0"/>
    <x v="0"/>
    <x v="5"/>
    <x v="2"/>
    <x v="85"/>
    <x v="1"/>
    <x v="18"/>
    <x v="2"/>
  </r>
  <r>
    <x v="144"/>
    <x v="139"/>
    <x v="187"/>
    <x v="0"/>
    <x v="72"/>
    <x v="165"/>
    <x v="165"/>
    <x v="164"/>
    <x v="164"/>
    <x v="0"/>
    <x v="719"/>
    <x v="738"/>
    <x v="623"/>
    <x v="272"/>
    <x v="8"/>
    <x v="649"/>
    <x v="15"/>
    <x v="2"/>
    <x v="14"/>
    <x v="3"/>
    <x v="3"/>
    <x v="15"/>
    <x v="15"/>
    <x v="0"/>
    <x v="0"/>
    <x v="2"/>
    <x v="2"/>
    <x v="70"/>
    <x v="0"/>
    <x v="14"/>
    <x v="5"/>
  </r>
  <r>
    <x v="144"/>
    <x v="140"/>
    <x v="188"/>
    <x v="1"/>
    <x v="87"/>
    <x v="166"/>
    <x v="166"/>
    <x v="165"/>
    <x v="165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</r>
  <r>
    <x v="144"/>
    <x v="135"/>
    <x v="189"/>
    <x v="1"/>
    <x v="83"/>
    <x v="166"/>
    <x v="166"/>
    <x v="165"/>
    <x v="165"/>
    <x v="0"/>
    <x v="720"/>
    <x v="739"/>
    <x v="624"/>
    <x v="505"/>
    <x v="35"/>
    <x v="650"/>
    <x v="15"/>
    <x v="2"/>
    <x v="14"/>
    <x v="3"/>
    <x v="3"/>
    <x v="15"/>
    <x v="15"/>
    <x v="0"/>
    <x v="0"/>
    <x v="5"/>
    <x v="2"/>
    <x v="81"/>
    <x v="1"/>
    <x v="3"/>
    <x v="2"/>
  </r>
  <r>
    <x v="145"/>
    <x v="116"/>
    <x v="150"/>
    <x v="0"/>
    <x v="73"/>
    <x v="133"/>
    <x v="133"/>
    <x v="132"/>
    <x v="132"/>
    <x v="0"/>
    <x v="721"/>
    <x v="740"/>
    <x v="625"/>
    <x v="493"/>
    <x v="76"/>
    <x v="651"/>
    <x v="146"/>
    <x v="0"/>
    <x v="55"/>
    <x v="3"/>
    <x v="2"/>
    <x v="143"/>
    <x v="536"/>
    <x v="0"/>
    <x v="0"/>
    <x v="0"/>
    <x v="10"/>
    <x v="71"/>
    <x v="0"/>
    <x v="14"/>
    <x v="5"/>
  </r>
  <r>
    <x v="145"/>
    <x v="121"/>
    <x v="161"/>
    <x v="0"/>
    <x v="83"/>
    <x v="144"/>
    <x v="144"/>
    <x v="143"/>
    <x v="143"/>
    <x v="0"/>
    <x v="722"/>
    <x v="741"/>
    <x v="626"/>
    <x v="506"/>
    <x v="28"/>
    <x v="652"/>
    <x v="40"/>
    <x v="2"/>
    <x v="144"/>
    <x v="11"/>
    <x v="7"/>
    <x v="43"/>
    <x v="537"/>
    <x v="0"/>
    <x v="0"/>
    <x v="4"/>
    <x v="8"/>
    <x v="81"/>
    <x v="1"/>
    <x v="3"/>
    <x v="2"/>
  </r>
  <r>
    <x v="145"/>
    <x v="124"/>
    <x v="164"/>
    <x v="0"/>
    <x v="72"/>
    <x v="147"/>
    <x v="147"/>
    <x v="146"/>
    <x v="146"/>
    <x v="0"/>
    <x v="723"/>
    <x v="742"/>
    <x v="627"/>
    <x v="174"/>
    <x v="21"/>
    <x v="653"/>
    <x v="30"/>
    <x v="0"/>
    <x v="31"/>
    <x v="3"/>
    <x v="3"/>
    <x v="282"/>
    <x v="538"/>
    <x v="0"/>
    <x v="0"/>
    <x v="12"/>
    <x v="12"/>
    <x v="70"/>
    <x v="0"/>
    <x v="14"/>
    <x v="5"/>
  </r>
  <r>
    <x v="145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</r>
  <r>
    <x v="145"/>
    <x v="127"/>
    <x v="168"/>
    <x v="0"/>
    <x v="9"/>
    <x v="151"/>
    <x v="151"/>
    <x v="150"/>
    <x v="150"/>
    <x v="0"/>
    <x v="724"/>
    <x v="743"/>
    <x v="37"/>
    <x v="507"/>
    <x v="47"/>
    <x v="654"/>
    <x v="194"/>
    <x v="2"/>
    <x v="14"/>
    <x v="3"/>
    <x v="3"/>
    <x v="259"/>
    <x v="15"/>
    <x v="0"/>
    <x v="0"/>
    <x v="5"/>
    <x v="2"/>
    <x v="9"/>
    <x v="1"/>
    <x v="3"/>
    <x v="2"/>
  </r>
  <r>
    <x v="145"/>
    <x v="125"/>
    <x v="170"/>
    <x v="1"/>
    <x v="9"/>
    <x v="152"/>
    <x v="152"/>
    <x v="151"/>
    <x v="151"/>
    <x v="0"/>
    <x v="30"/>
    <x v="717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45"/>
    <x v="129"/>
    <x v="171"/>
    <x v="1"/>
    <x v="9"/>
    <x v="153"/>
    <x v="153"/>
    <x v="152"/>
    <x v="152"/>
    <x v="0"/>
    <x v="725"/>
    <x v="744"/>
    <x v="628"/>
    <x v="277"/>
    <x v="104"/>
    <x v="655"/>
    <x v="18"/>
    <x v="1"/>
    <x v="14"/>
    <x v="3"/>
    <x v="3"/>
    <x v="27"/>
    <x v="539"/>
    <x v="0"/>
    <x v="0"/>
    <x v="5"/>
    <x v="6"/>
    <x v="9"/>
    <x v="1"/>
    <x v="3"/>
    <x v="2"/>
  </r>
  <r>
    <x v="145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</r>
  <r>
    <x v="145"/>
    <x v="131"/>
    <x v="174"/>
    <x v="0"/>
    <x v="70"/>
    <x v="156"/>
    <x v="156"/>
    <x v="155"/>
    <x v="155"/>
    <x v="0"/>
    <x v="726"/>
    <x v="745"/>
    <x v="629"/>
    <x v="508"/>
    <x v="48"/>
    <x v="656"/>
    <x v="202"/>
    <x v="11"/>
    <x v="29"/>
    <x v="3"/>
    <x v="12"/>
    <x v="283"/>
    <x v="540"/>
    <x v="0"/>
    <x v="0"/>
    <x v="11"/>
    <x v="6"/>
    <x v="68"/>
    <x v="0"/>
    <x v="14"/>
    <x v="5"/>
  </r>
  <r>
    <x v="145"/>
    <x v="132"/>
    <x v="175"/>
    <x v="1"/>
    <x v="62"/>
    <x v="157"/>
    <x v="157"/>
    <x v="156"/>
    <x v="156"/>
    <x v="0"/>
    <x v="727"/>
    <x v="746"/>
    <x v="630"/>
    <x v="509"/>
    <x v="73"/>
    <x v="657"/>
    <x v="23"/>
    <x v="2"/>
    <x v="20"/>
    <x v="3"/>
    <x v="2"/>
    <x v="37"/>
    <x v="541"/>
    <x v="5"/>
    <x v="85"/>
    <x v="4"/>
    <x v="5"/>
    <x v="60"/>
    <x v="0"/>
    <x v="16"/>
    <x v="5"/>
  </r>
  <r>
    <x v="145"/>
    <x v="132"/>
    <x v="176"/>
    <x v="1"/>
    <x v="62"/>
    <x v="158"/>
    <x v="158"/>
    <x v="157"/>
    <x v="157"/>
    <x v="0"/>
    <x v="728"/>
    <x v="747"/>
    <x v="180"/>
    <x v="510"/>
    <x v="43"/>
    <x v="195"/>
    <x v="18"/>
    <x v="2"/>
    <x v="14"/>
    <x v="3"/>
    <x v="3"/>
    <x v="20"/>
    <x v="542"/>
    <x v="14"/>
    <x v="86"/>
    <x v="1"/>
    <x v="2"/>
    <x v="60"/>
    <x v="0"/>
    <x v="16"/>
    <x v="5"/>
  </r>
  <r>
    <x v="145"/>
    <x v="135"/>
    <x v="179"/>
    <x v="1"/>
    <x v="46"/>
    <x v="160"/>
    <x v="160"/>
    <x v="159"/>
    <x v="159"/>
    <x v="0"/>
    <x v="729"/>
    <x v="748"/>
    <x v="631"/>
    <x v="219"/>
    <x v="25"/>
    <x v="658"/>
    <x v="46"/>
    <x v="2"/>
    <x v="22"/>
    <x v="5"/>
    <x v="3"/>
    <x v="284"/>
    <x v="33"/>
    <x v="6"/>
    <x v="87"/>
    <x v="7"/>
    <x v="5"/>
    <x v="46"/>
    <x v="0"/>
    <x v="14"/>
    <x v="5"/>
  </r>
  <r>
    <x v="145"/>
    <x v="135"/>
    <x v="181"/>
    <x v="1"/>
    <x v="7"/>
    <x v="161"/>
    <x v="161"/>
    <x v="160"/>
    <x v="160"/>
    <x v="0"/>
    <x v="730"/>
    <x v="749"/>
    <x v="632"/>
    <x v="511"/>
    <x v="76"/>
    <x v="659"/>
    <x v="177"/>
    <x v="2"/>
    <x v="90"/>
    <x v="5"/>
    <x v="1"/>
    <x v="285"/>
    <x v="474"/>
    <x v="0"/>
    <x v="0"/>
    <x v="2"/>
    <x v="2"/>
    <x v="7"/>
    <x v="0"/>
    <x v="6"/>
    <x v="0"/>
  </r>
  <r>
    <x v="145"/>
    <x v="135"/>
    <x v="183"/>
    <x v="1"/>
    <x v="87"/>
    <x v="162"/>
    <x v="162"/>
    <x v="161"/>
    <x v="16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</r>
  <r>
    <x v="145"/>
    <x v="135"/>
    <x v="185"/>
    <x v="1"/>
    <x v="83"/>
    <x v="163"/>
    <x v="163"/>
    <x v="162"/>
    <x v="16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</r>
  <r>
    <x v="145"/>
    <x v="135"/>
    <x v="186"/>
    <x v="1"/>
    <x v="87"/>
    <x v="164"/>
    <x v="164"/>
    <x v="163"/>
    <x v="163"/>
    <x v="0"/>
    <x v="731"/>
    <x v="750"/>
    <x v="51"/>
    <x v="215"/>
    <x v="26"/>
    <x v="660"/>
    <x v="139"/>
    <x v="0"/>
    <x v="150"/>
    <x v="7"/>
    <x v="7"/>
    <x v="279"/>
    <x v="543"/>
    <x v="2"/>
    <x v="88"/>
    <x v="5"/>
    <x v="10"/>
    <x v="85"/>
    <x v="1"/>
    <x v="18"/>
    <x v="2"/>
  </r>
  <r>
    <x v="145"/>
    <x v="135"/>
    <x v="189"/>
    <x v="1"/>
    <x v="83"/>
    <x v="166"/>
    <x v="166"/>
    <x v="165"/>
    <x v="165"/>
    <x v="0"/>
    <x v="732"/>
    <x v="179"/>
    <x v="113"/>
    <x v="161"/>
    <x v="3"/>
    <x v="661"/>
    <x v="15"/>
    <x v="2"/>
    <x v="14"/>
    <x v="3"/>
    <x v="3"/>
    <x v="15"/>
    <x v="15"/>
    <x v="0"/>
    <x v="0"/>
    <x v="5"/>
    <x v="2"/>
    <x v="81"/>
    <x v="1"/>
    <x v="3"/>
    <x v="2"/>
  </r>
  <r>
    <x v="145"/>
    <x v="141"/>
    <x v="190"/>
    <x v="0"/>
    <x v="88"/>
    <x v="167"/>
    <x v="167"/>
    <x v="166"/>
    <x v="166"/>
    <x v="0"/>
    <x v="733"/>
    <x v="751"/>
    <x v="633"/>
    <x v="512"/>
    <x v="2"/>
    <x v="662"/>
    <x v="10"/>
    <x v="1"/>
    <x v="42"/>
    <x v="4"/>
    <x v="3"/>
    <x v="7"/>
    <x v="544"/>
    <x v="0"/>
    <x v="0"/>
    <x v="11"/>
    <x v="6"/>
    <x v="86"/>
    <x v="1"/>
    <x v="3"/>
    <x v="2"/>
  </r>
  <r>
    <x v="145"/>
    <x v="141"/>
    <x v="191"/>
    <x v="0"/>
    <x v="89"/>
    <x v="168"/>
    <x v="168"/>
    <x v="167"/>
    <x v="167"/>
    <x v="0"/>
    <x v="734"/>
    <x v="752"/>
    <x v="634"/>
    <x v="147"/>
    <x v="73"/>
    <x v="663"/>
    <x v="28"/>
    <x v="2"/>
    <x v="30"/>
    <x v="11"/>
    <x v="1"/>
    <x v="117"/>
    <x v="249"/>
    <x v="0"/>
    <x v="0"/>
    <x v="5"/>
    <x v="5"/>
    <x v="87"/>
    <x v="0"/>
    <x v="0"/>
    <x v="6"/>
  </r>
  <r>
    <x v="145"/>
    <x v="141"/>
    <x v="192"/>
    <x v="0"/>
    <x v="90"/>
    <x v="169"/>
    <x v="169"/>
    <x v="168"/>
    <x v="168"/>
    <x v="0"/>
    <x v="735"/>
    <x v="753"/>
    <x v="635"/>
    <x v="513"/>
    <x v="35"/>
    <x v="664"/>
    <x v="126"/>
    <x v="2"/>
    <x v="49"/>
    <x v="3"/>
    <x v="4"/>
    <x v="42"/>
    <x v="545"/>
    <x v="0"/>
    <x v="0"/>
    <x v="10"/>
    <x v="11"/>
    <x v="88"/>
    <x v="0"/>
    <x v="0"/>
    <x v="6"/>
  </r>
  <r>
    <x v="146"/>
    <x v="116"/>
    <x v="150"/>
    <x v="0"/>
    <x v="73"/>
    <x v="133"/>
    <x v="133"/>
    <x v="132"/>
    <x v="132"/>
    <x v="0"/>
    <x v="736"/>
    <x v="754"/>
    <x v="636"/>
    <x v="140"/>
    <x v="74"/>
    <x v="665"/>
    <x v="212"/>
    <x v="2"/>
    <x v="142"/>
    <x v="3"/>
    <x v="1"/>
    <x v="271"/>
    <x v="546"/>
    <x v="0"/>
    <x v="0"/>
    <x v="39"/>
    <x v="2"/>
    <x v="71"/>
    <x v="0"/>
    <x v="14"/>
    <x v="5"/>
  </r>
  <r>
    <x v="146"/>
    <x v="121"/>
    <x v="161"/>
    <x v="0"/>
    <x v="83"/>
    <x v="144"/>
    <x v="144"/>
    <x v="143"/>
    <x v="143"/>
    <x v="0"/>
    <x v="737"/>
    <x v="755"/>
    <x v="637"/>
    <x v="514"/>
    <x v="9"/>
    <x v="666"/>
    <x v="128"/>
    <x v="7"/>
    <x v="6"/>
    <x v="14"/>
    <x v="5"/>
    <x v="218"/>
    <x v="547"/>
    <x v="0"/>
    <x v="0"/>
    <x v="13"/>
    <x v="13"/>
    <x v="81"/>
    <x v="1"/>
    <x v="3"/>
    <x v="2"/>
  </r>
  <r>
    <x v="146"/>
    <x v="124"/>
    <x v="164"/>
    <x v="0"/>
    <x v="72"/>
    <x v="147"/>
    <x v="147"/>
    <x v="146"/>
    <x v="146"/>
    <x v="0"/>
    <x v="738"/>
    <x v="756"/>
    <x v="638"/>
    <x v="515"/>
    <x v="53"/>
    <x v="359"/>
    <x v="212"/>
    <x v="3"/>
    <x v="61"/>
    <x v="3"/>
    <x v="2"/>
    <x v="286"/>
    <x v="548"/>
    <x v="0"/>
    <x v="0"/>
    <x v="13"/>
    <x v="5"/>
    <x v="70"/>
    <x v="0"/>
    <x v="14"/>
    <x v="5"/>
  </r>
  <r>
    <x v="146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</r>
  <r>
    <x v="146"/>
    <x v="125"/>
    <x v="170"/>
    <x v="1"/>
    <x v="9"/>
    <x v="152"/>
    <x v="152"/>
    <x v="151"/>
    <x v="151"/>
    <x v="0"/>
    <x v="75"/>
    <x v="274"/>
    <x v="73"/>
    <x v="445"/>
    <x v="35"/>
    <x v="667"/>
    <x v="15"/>
    <x v="2"/>
    <x v="14"/>
    <x v="3"/>
    <x v="3"/>
    <x v="15"/>
    <x v="15"/>
    <x v="0"/>
    <x v="0"/>
    <x v="5"/>
    <x v="2"/>
    <x v="9"/>
    <x v="1"/>
    <x v="3"/>
    <x v="2"/>
  </r>
  <r>
    <x v="146"/>
    <x v="129"/>
    <x v="171"/>
    <x v="1"/>
    <x v="9"/>
    <x v="153"/>
    <x v="153"/>
    <x v="152"/>
    <x v="152"/>
    <x v="0"/>
    <x v="739"/>
    <x v="757"/>
    <x v="639"/>
    <x v="147"/>
    <x v="38"/>
    <x v="668"/>
    <x v="26"/>
    <x v="2"/>
    <x v="14"/>
    <x v="3"/>
    <x v="3"/>
    <x v="70"/>
    <x v="549"/>
    <x v="0"/>
    <x v="0"/>
    <x v="2"/>
    <x v="2"/>
    <x v="9"/>
    <x v="1"/>
    <x v="3"/>
    <x v="2"/>
  </r>
  <r>
    <x v="146"/>
    <x v="131"/>
    <x v="174"/>
    <x v="0"/>
    <x v="70"/>
    <x v="156"/>
    <x v="156"/>
    <x v="155"/>
    <x v="155"/>
    <x v="0"/>
    <x v="740"/>
    <x v="758"/>
    <x v="640"/>
    <x v="337"/>
    <x v="12"/>
    <x v="449"/>
    <x v="49"/>
    <x v="11"/>
    <x v="23"/>
    <x v="5"/>
    <x v="24"/>
    <x v="247"/>
    <x v="550"/>
    <x v="0"/>
    <x v="0"/>
    <x v="39"/>
    <x v="2"/>
    <x v="68"/>
    <x v="0"/>
    <x v="14"/>
    <x v="5"/>
  </r>
  <r>
    <x v="146"/>
    <x v="132"/>
    <x v="175"/>
    <x v="1"/>
    <x v="62"/>
    <x v="157"/>
    <x v="157"/>
    <x v="156"/>
    <x v="156"/>
    <x v="0"/>
    <x v="741"/>
    <x v="759"/>
    <x v="641"/>
    <x v="516"/>
    <x v="15"/>
    <x v="669"/>
    <x v="15"/>
    <x v="1"/>
    <x v="24"/>
    <x v="3"/>
    <x v="1"/>
    <x v="83"/>
    <x v="551"/>
    <x v="14"/>
    <x v="48"/>
    <x v="2"/>
    <x v="2"/>
    <x v="60"/>
    <x v="0"/>
    <x v="16"/>
    <x v="5"/>
  </r>
  <r>
    <x v="146"/>
    <x v="132"/>
    <x v="176"/>
    <x v="1"/>
    <x v="62"/>
    <x v="158"/>
    <x v="158"/>
    <x v="157"/>
    <x v="157"/>
    <x v="0"/>
    <x v="742"/>
    <x v="760"/>
    <x v="642"/>
    <x v="517"/>
    <x v="14"/>
    <x v="670"/>
    <x v="18"/>
    <x v="2"/>
    <x v="14"/>
    <x v="3"/>
    <x v="3"/>
    <x v="20"/>
    <x v="552"/>
    <x v="1"/>
    <x v="89"/>
    <x v="5"/>
    <x v="2"/>
    <x v="60"/>
    <x v="0"/>
    <x v="16"/>
    <x v="5"/>
  </r>
  <r>
    <x v="146"/>
    <x v="135"/>
    <x v="179"/>
    <x v="1"/>
    <x v="46"/>
    <x v="160"/>
    <x v="160"/>
    <x v="159"/>
    <x v="159"/>
    <x v="0"/>
    <x v="743"/>
    <x v="761"/>
    <x v="643"/>
    <x v="518"/>
    <x v="25"/>
    <x v="671"/>
    <x v="56"/>
    <x v="1"/>
    <x v="20"/>
    <x v="11"/>
    <x v="3"/>
    <x v="165"/>
    <x v="553"/>
    <x v="30"/>
    <x v="90"/>
    <x v="2"/>
    <x v="11"/>
    <x v="46"/>
    <x v="0"/>
    <x v="14"/>
    <x v="5"/>
  </r>
  <r>
    <x v="146"/>
    <x v="135"/>
    <x v="181"/>
    <x v="1"/>
    <x v="7"/>
    <x v="161"/>
    <x v="161"/>
    <x v="160"/>
    <x v="160"/>
    <x v="0"/>
    <x v="744"/>
    <x v="762"/>
    <x v="113"/>
    <x v="197"/>
    <x v="21"/>
    <x v="672"/>
    <x v="18"/>
    <x v="2"/>
    <x v="14"/>
    <x v="3"/>
    <x v="3"/>
    <x v="20"/>
    <x v="554"/>
    <x v="0"/>
    <x v="0"/>
    <x v="5"/>
    <x v="2"/>
    <x v="7"/>
    <x v="0"/>
    <x v="6"/>
    <x v="0"/>
  </r>
  <r>
    <x v="146"/>
    <x v="135"/>
    <x v="186"/>
    <x v="1"/>
    <x v="87"/>
    <x v="164"/>
    <x v="164"/>
    <x v="163"/>
    <x v="163"/>
    <x v="0"/>
    <x v="745"/>
    <x v="763"/>
    <x v="36"/>
    <x v="69"/>
    <x v="22"/>
    <x v="673"/>
    <x v="63"/>
    <x v="2"/>
    <x v="36"/>
    <x v="11"/>
    <x v="3"/>
    <x v="18"/>
    <x v="83"/>
    <x v="0"/>
    <x v="0"/>
    <x v="5"/>
    <x v="11"/>
    <x v="85"/>
    <x v="1"/>
    <x v="18"/>
    <x v="2"/>
  </r>
  <r>
    <x v="146"/>
    <x v="141"/>
    <x v="190"/>
    <x v="0"/>
    <x v="88"/>
    <x v="167"/>
    <x v="167"/>
    <x v="166"/>
    <x v="16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6"/>
    <x v="1"/>
    <x v="3"/>
    <x v="2"/>
  </r>
  <r>
    <x v="146"/>
    <x v="141"/>
    <x v="191"/>
    <x v="0"/>
    <x v="89"/>
    <x v="168"/>
    <x v="168"/>
    <x v="167"/>
    <x v="167"/>
    <x v="0"/>
    <x v="746"/>
    <x v="764"/>
    <x v="497"/>
    <x v="303"/>
    <x v="21"/>
    <x v="674"/>
    <x v="33"/>
    <x v="2"/>
    <x v="34"/>
    <x v="5"/>
    <x v="2"/>
    <x v="105"/>
    <x v="0"/>
    <x v="0"/>
    <x v="0"/>
    <x v="5"/>
    <x v="11"/>
    <x v="87"/>
    <x v="0"/>
    <x v="0"/>
    <x v="6"/>
  </r>
  <r>
    <x v="146"/>
    <x v="141"/>
    <x v="192"/>
    <x v="0"/>
    <x v="90"/>
    <x v="169"/>
    <x v="169"/>
    <x v="168"/>
    <x v="168"/>
    <x v="0"/>
    <x v="747"/>
    <x v="765"/>
    <x v="199"/>
    <x v="519"/>
    <x v="51"/>
    <x v="675"/>
    <x v="15"/>
    <x v="2"/>
    <x v="14"/>
    <x v="3"/>
    <x v="3"/>
    <x v="15"/>
    <x v="15"/>
    <x v="0"/>
    <x v="0"/>
    <x v="5"/>
    <x v="2"/>
    <x v="88"/>
    <x v="0"/>
    <x v="0"/>
    <x v="6"/>
  </r>
  <r>
    <x v="146"/>
    <x v="142"/>
    <x v="193"/>
    <x v="0"/>
    <x v="91"/>
    <x v="170"/>
    <x v="170"/>
    <x v="169"/>
    <x v="169"/>
    <x v="0"/>
    <x v="748"/>
    <x v="766"/>
    <x v="644"/>
    <x v="520"/>
    <x v="44"/>
    <x v="676"/>
    <x v="98"/>
    <x v="2"/>
    <x v="151"/>
    <x v="10"/>
    <x v="4"/>
    <x v="287"/>
    <x v="555"/>
    <x v="0"/>
    <x v="0"/>
    <x v="5"/>
    <x v="3"/>
    <x v="89"/>
    <x v="0"/>
    <x v="14"/>
    <x v="5"/>
  </r>
  <r>
    <x v="147"/>
    <x v="116"/>
    <x v="150"/>
    <x v="0"/>
    <x v="73"/>
    <x v="133"/>
    <x v="133"/>
    <x v="132"/>
    <x v="132"/>
    <x v="0"/>
    <x v="749"/>
    <x v="767"/>
    <x v="645"/>
    <x v="521"/>
    <x v="55"/>
    <x v="677"/>
    <x v="213"/>
    <x v="2"/>
    <x v="37"/>
    <x v="3"/>
    <x v="2"/>
    <x v="159"/>
    <x v="50"/>
    <x v="0"/>
    <x v="0"/>
    <x v="10"/>
    <x v="12"/>
    <x v="71"/>
    <x v="0"/>
    <x v="14"/>
    <x v="5"/>
  </r>
  <r>
    <x v="147"/>
    <x v="121"/>
    <x v="161"/>
    <x v="0"/>
    <x v="83"/>
    <x v="144"/>
    <x v="144"/>
    <x v="143"/>
    <x v="143"/>
    <x v="0"/>
    <x v="750"/>
    <x v="486"/>
    <x v="37"/>
    <x v="502"/>
    <x v="28"/>
    <x v="678"/>
    <x v="15"/>
    <x v="2"/>
    <x v="14"/>
    <x v="3"/>
    <x v="2"/>
    <x v="20"/>
    <x v="556"/>
    <x v="0"/>
    <x v="0"/>
    <x v="5"/>
    <x v="2"/>
    <x v="81"/>
    <x v="1"/>
    <x v="3"/>
    <x v="2"/>
  </r>
  <r>
    <x v="147"/>
    <x v="124"/>
    <x v="164"/>
    <x v="0"/>
    <x v="72"/>
    <x v="147"/>
    <x v="147"/>
    <x v="146"/>
    <x v="146"/>
    <x v="0"/>
    <x v="751"/>
    <x v="768"/>
    <x v="646"/>
    <x v="404"/>
    <x v="52"/>
    <x v="679"/>
    <x v="0"/>
    <x v="4"/>
    <x v="119"/>
    <x v="5"/>
    <x v="0"/>
    <x v="54"/>
    <x v="264"/>
    <x v="0"/>
    <x v="0"/>
    <x v="39"/>
    <x v="10"/>
    <x v="70"/>
    <x v="0"/>
    <x v="14"/>
    <x v="5"/>
  </r>
  <r>
    <x v="147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</r>
  <r>
    <x v="147"/>
    <x v="125"/>
    <x v="170"/>
    <x v="1"/>
    <x v="9"/>
    <x v="152"/>
    <x v="152"/>
    <x v="151"/>
    <x v="151"/>
    <x v="0"/>
    <x v="752"/>
    <x v="30"/>
    <x v="72"/>
    <x v="522"/>
    <x v="53"/>
    <x v="680"/>
    <x v="15"/>
    <x v="2"/>
    <x v="14"/>
    <x v="3"/>
    <x v="3"/>
    <x v="15"/>
    <x v="15"/>
    <x v="0"/>
    <x v="0"/>
    <x v="5"/>
    <x v="2"/>
    <x v="9"/>
    <x v="1"/>
    <x v="3"/>
    <x v="2"/>
  </r>
  <r>
    <x v="147"/>
    <x v="129"/>
    <x v="171"/>
    <x v="1"/>
    <x v="9"/>
    <x v="153"/>
    <x v="153"/>
    <x v="152"/>
    <x v="152"/>
    <x v="0"/>
    <x v="753"/>
    <x v="769"/>
    <x v="73"/>
    <x v="134"/>
    <x v="101"/>
    <x v="681"/>
    <x v="15"/>
    <x v="2"/>
    <x v="14"/>
    <x v="3"/>
    <x v="3"/>
    <x v="15"/>
    <x v="15"/>
    <x v="0"/>
    <x v="0"/>
    <x v="5"/>
    <x v="2"/>
    <x v="9"/>
    <x v="1"/>
    <x v="3"/>
    <x v="2"/>
  </r>
  <r>
    <x v="147"/>
    <x v="131"/>
    <x v="174"/>
    <x v="0"/>
    <x v="70"/>
    <x v="156"/>
    <x v="156"/>
    <x v="155"/>
    <x v="155"/>
    <x v="0"/>
    <x v="754"/>
    <x v="770"/>
    <x v="647"/>
    <x v="279"/>
    <x v="41"/>
    <x v="682"/>
    <x v="214"/>
    <x v="5"/>
    <x v="38"/>
    <x v="3"/>
    <x v="29"/>
    <x v="257"/>
    <x v="159"/>
    <x v="0"/>
    <x v="0"/>
    <x v="12"/>
    <x v="6"/>
    <x v="68"/>
    <x v="0"/>
    <x v="14"/>
    <x v="5"/>
  </r>
  <r>
    <x v="147"/>
    <x v="132"/>
    <x v="175"/>
    <x v="1"/>
    <x v="62"/>
    <x v="157"/>
    <x v="157"/>
    <x v="156"/>
    <x v="156"/>
    <x v="0"/>
    <x v="755"/>
    <x v="771"/>
    <x v="648"/>
    <x v="523"/>
    <x v="44"/>
    <x v="683"/>
    <x v="8"/>
    <x v="2"/>
    <x v="14"/>
    <x v="3"/>
    <x v="1"/>
    <x v="83"/>
    <x v="557"/>
    <x v="1"/>
    <x v="91"/>
    <x v="1"/>
    <x v="2"/>
    <x v="60"/>
    <x v="0"/>
    <x v="16"/>
    <x v="5"/>
  </r>
  <r>
    <x v="147"/>
    <x v="132"/>
    <x v="176"/>
    <x v="1"/>
    <x v="62"/>
    <x v="158"/>
    <x v="158"/>
    <x v="157"/>
    <x v="157"/>
    <x v="0"/>
    <x v="756"/>
    <x v="772"/>
    <x v="19"/>
    <x v="223"/>
    <x v="82"/>
    <x v="684"/>
    <x v="8"/>
    <x v="1"/>
    <x v="50"/>
    <x v="3"/>
    <x v="3"/>
    <x v="75"/>
    <x v="558"/>
    <x v="0"/>
    <x v="0"/>
    <x v="5"/>
    <x v="2"/>
    <x v="60"/>
    <x v="0"/>
    <x v="16"/>
    <x v="5"/>
  </r>
  <r>
    <x v="147"/>
    <x v="135"/>
    <x v="179"/>
    <x v="1"/>
    <x v="46"/>
    <x v="160"/>
    <x v="160"/>
    <x v="159"/>
    <x v="159"/>
    <x v="0"/>
    <x v="757"/>
    <x v="773"/>
    <x v="649"/>
    <x v="280"/>
    <x v="25"/>
    <x v="685"/>
    <x v="1"/>
    <x v="1"/>
    <x v="49"/>
    <x v="3"/>
    <x v="1"/>
    <x v="170"/>
    <x v="559"/>
    <x v="6"/>
    <x v="50"/>
    <x v="10"/>
    <x v="6"/>
    <x v="46"/>
    <x v="0"/>
    <x v="14"/>
    <x v="5"/>
  </r>
  <r>
    <x v="147"/>
    <x v="135"/>
    <x v="186"/>
    <x v="1"/>
    <x v="87"/>
    <x v="164"/>
    <x v="164"/>
    <x v="163"/>
    <x v="163"/>
    <x v="0"/>
    <x v="758"/>
    <x v="774"/>
    <x v="650"/>
    <x v="524"/>
    <x v="73"/>
    <x v="686"/>
    <x v="16"/>
    <x v="2"/>
    <x v="9"/>
    <x v="14"/>
    <x v="1"/>
    <x v="34"/>
    <x v="560"/>
    <x v="0"/>
    <x v="0"/>
    <x v="5"/>
    <x v="10"/>
    <x v="85"/>
    <x v="1"/>
    <x v="18"/>
    <x v="2"/>
  </r>
  <r>
    <x v="147"/>
    <x v="141"/>
    <x v="190"/>
    <x v="0"/>
    <x v="88"/>
    <x v="167"/>
    <x v="167"/>
    <x v="166"/>
    <x v="16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6"/>
    <x v="1"/>
    <x v="3"/>
    <x v="2"/>
  </r>
  <r>
    <x v="147"/>
    <x v="141"/>
    <x v="191"/>
    <x v="0"/>
    <x v="89"/>
    <x v="168"/>
    <x v="168"/>
    <x v="167"/>
    <x v="1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7"/>
    <x v="0"/>
    <x v="0"/>
    <x v="6"/>
  </r>
  <r>
    <x v="147"/>
    <x v="142"/>
    <x v="193"/>
    <x v="0"/>
    <x v="91"/>
    <x v="170"/>
    <x v="170"/>
    <x v="169"/>
    <x v="169"/>
    <x v="0"/>
    <x v="759"/>
    <x v="775"/>
    <x v="651"/>
    <x v="148"/>
    <x v="53"/>
    <x v="687"/>
    <x v="215"/>
    <x v="7"/>
    <x v="88"/>
    <x v="17"/>
    <x v="7"/>
    <x v="288"/>
    <x v="30"/>
    <x v="0"/>
    <x v="0"/>
    <x v="2"/>
    <x v="30"/>
    <x v="89"/>
    <x v="0"/>
    <x v="14"/>
    <x v="5"/>
  </r>
  <r>
    <x v="147"/>
    <x v="143"/>
    <x v="194"/>
    <x v="0"/>
    <x v="92"/>
    <x v="171"/>
    <x v="171"/>
    <x v="170"/>
    <x v="170"/>
    <x v="0"/>
    <x v="760"/>
    <x v="776"/>
    <x v="652"/>
    <x v="525"/>
    <x v="28"/>
    <x v="198"/>
    <x v="14"/>
    <x v="2"/>
    <x v="19"/>
    <x v="1"/>
    <x v="2"/>
    <x v="284"/>
    <x v="561"/>
    <x v="0"/>
    <x v="0"/>
    <x v="7"/>
    <x v="12"/>
    <x v="90"/>
    <x v="1"/>
    <x v="3"/>
    <x v="2"/>
  </r>
  <r>
    <x v="14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</r>
  <r>
    <x v="148"/>
    <x v="116"/>
    <x v="150"/>
    <x v="0"/>
    <x v="73"/>
    <x v="133"/>
    <x v="133"/>
    <x v="132"/>
    <x v="132"/>
    <x v="0"/>
    <x v="761"/>
    <x v="78"/>
    <x v="113"/>
    <x v="526"/>
    <x v="12"/>
    <x v="688"/>
    <x v="15"/>
    <x v="2"/>
    <x v="14"/>
    <x v="3"/>
    <x v="3"/>
    <x v="15"/>
    <x v="15"/>
    <x v="0"/>
    <x v="0"/>
    <x v="5"/>
    <x v="2"/>
    <x v="71"/>
    <x v="0"/>
    <x v="14"/>
    <x v="5"/>
  </r>
  <r>
    <x v="148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</r>
  <r>
    <x v="148"/>
    <x v="124"/>
    <x v="164"/>
    <x v="0"/>
    <x v="72"/>
    <x v="147"/>
    <x v="147"/>
    <x v="146"/>
    <x v="146"/>
    <x v="0"/>
    <x v="762"/>
    <x v="777"/>
    <x v="653"/>
    <x v="123"/>
    <x v="12"/>
    <x v="417"/>
    <x v="8"/>
    <x v="2"/>
    <x v="14"/>
    <x v="3"/>
    <x v="3"/>
    <x v="27"/>
    <x v="562"/>
    <x v="0"/>
    <x v="0"/>
    <x v="5"/>
    <x v="2"/>
    <x v="70"/>
    <x v="0"/>
    <x v="14"/>
    <x v="5"/>
  </r>
  <r>
    <x v="148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</r>
  <r>
    <x v="148"/>
    <x v="131"/>
    <x v="174"/>
    <x v="0"/>
    <x v="70"/>
    <x v="156"/>
    <x v="156"/>
    <x v="155"/>
    <x v="155"/>
    <x v="0"/>
    <x v="763"/>
    <x v="778"/>
    <x v="406"/>
    <x v="326"/>
    <x v="51"/>
    <x v="689"/>
    <x v="8"/>
    <x v="2"/>
    <x v="24"/>
    <x v="3"/>
    <x v="3"/>
    <x v="70"/>
    <x v="563"/>
    <x v="0"/>
    <x v="0"/>
    <x v="5"/>
    <x v="2"/>
    <x v="68"/>
    <x v="0"/>
    <x v="14"/>
    <x v="5"/>
  </r>
  <r>
    <x v="148"/>
    <x v="132"/>
    <x v="175"/>
    <x v="1"/>
    <x v="62"/>
    <x v="157"/>
    <x v="157"/>
    <x v="156"/>
    <x v="156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148"/>
    <x v="132"/>
    <x v="176"/>
    <x v="1"/>
    <x v="62"/>
    <x v="158"/>
    <x v="158"/>
    <x v="157"/>
    <x v="157"/>
    <x v="0"/>
    <x v="479"/>
    <x v="141"/>
    <x v="199"/>
    <x v="527"/>
    <x v="36"/>
    <x v="690"/>
    <x v="15"/>
    <x v="2"/>
    <x v="14"/>
    <x v="3"/>
    <x v="3"/>
    <x v="15"/>
    <x v="15"/>
    <x v="0"/>
    <x v="0"/>
    <x v="5"/>
    <x v="2"/>
    <x v="60"/>
    <x v="0"/>
    <x v="16"/>
    <x v="5"/>
  </r>
  <r>
    <x v="148"/>
    <x v="135"/>
    <x v="179"/>
    <x v="1"/>
    <x v="46"/>
    <x v="160"/>
    <x v="160"/>
    <x v="159"/>
    <x v="159"/>
    <x v="0"/>
    <x v="764"/>
    <x v="779"/>
    <x v="406"/>
    <x v="512"/>
    <x v="43"/>
    <x v="691"/>
    <x v="15"/>
    <x v="2"/>
    <x v="14"/>
    <x v="3"/>
    <x v="3"/>
    <x v="15"/>
    <x v="15"/>
    <x v="0"/>
    <x v="0"/>
    <x v="5"/>
    <x v="2"/>
    <x v="46"/>
    <x v="0"/>
    <x v="14"/>
    <x v="5"/>
  </r>
  <r>
    <x v="148"/>
    <x v="135"/>
    <x v="186"/>
    <x v="1"/>
    <x v="87"/>
    <x v="164"/>
    <x v="164"/>
    <x v="163"/>
    <x v="163"/>
    <x v="0"/>
    <x v="765"/>
    <x v="780"/>
    <x v="70"/>
    <x v="528"/>
    <x v="25"/>
    <x v="692"/>
    <x v="8"/>
    <x v="2"/>
    <x v="50"/>
    <x v="3"/>
    <x v="3"/>
    <x v="83"/>
    <x v="517"/>
    <x v="0"/>
    <x v="0"/>
    <x v="5"/>
    <x v="2"/>
    <x v="85"/>
    <x v="1"/>
    <x v="18"/>
    <x v="2"/>
  </r>
  <r>
    <x v="148"/>
    <x v="142"/>
    <x v="193"/>
    <x v="0"/>
    <x v="91"/>
    <x v="170"/>
    <x v="170"/>
    <x v="169"/>
    <x v="169"/>
    <x v="0"/>
    <x v="766"/>
    <x v="781"/>
    <x v="654"/>
    <x v="529"/>
    <x v="22"/>
    <x v="461"/>
    <x v="216"/>
    <x v="0"/>
    <x v="152"/>
    <x v="32"/>
    <x v="14"/>
    <x v="289"/>
    <x v="564"/>
    <x v="0"/>
    <x v="0"/>
    <x v="7"/>
    <x v="26"/>
    <x v="89"/>
    <x v="0"/>
    <x v="14"/>
    <x v="5"/>
  </r>
  <r>
    <x v="148"/>
    <x v="143"/>
    <x v="194"/>
    <x v="0"/>
    <x v="92"/>
    <x v="171"/>
    <x v="171"/>
    <x v="170"/>
    <x v="17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0"/>
    <x v="1"/>
    <x v="3"/>
    <x v="2"/>
  </r>
  <r>
    <x v="148"/>
    <x v="144"/>
    <x v="195"/>
    <x v="0"/>
    <x v="91"/>
    <x v="172"/>
    <x v="172"/>
    <x v="171"/>
    <x v="171"/>
    <x v="0"/>
    <x v="767"/>
    <x v="782"/>
    <x v="655"/>
    <x v="187"/>
    <x v="47"/>
    <x v="693"/>
    <x v="217"/>
    <x v="2"/>
    <x v="153"/>
    <x v="18"/>
    <x v="6"/>
    <x v="290"/>
    <x v="565"/>
    <x v="0"/>
    <x v="0"/>
    <x v="2"/>
    <x v="3"/>
    <x v="89"/>
    <x v="0"/>
    <x v="14"/>
    <x v="5"/>
  </r>
  <r>
    <x v="149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</r>
  <r>
    <x v="149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49"/>
    <x v="135"/>
    <x v="179"/>
    <x v="1"/>
    <x v="46"/>
    <x v="160"/>
    <x v="160"/>
    <x v="159"/>
    <x v="1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</r>
  <r>
    <x v="149"/>
    <x v="142"/>
    <x v="193"/>
    <x v="0"/>
    <x v="91"/>
    <x v="170"/>
    <x v="170"/>
    <x v="169"/>
    <x v="169"/>
    <x v="0"/>
    <x v="768"/>
    <x v="276"/>
    <x v="73"/>
    <x v="240"/>
    <x v="12"/>
    <x v="694"/>
    <x v="15"/>
    <x v="2"/>
    <x v="14"/>
    <x v="3"/>
    <x v="3"/>
    <x v="15"/>
    <x v="15"/>
    <x v="0"/>
    <x v="0"/>
    <x v="5"/>
    <x v="2"/>
    <x v="89"/>
    <x v="0"/>
    <x v="14"/>
    <x v="5"/>
  </r>
  <r>
    <x v="149"/>
    <x v="144"/>
    <x v="195"/>
    <x v="0"/>
    <x v="91"/>
    <x v="172"/>
    <x v="172"/>
    <x v="171"/>
    <x v="171"/>
    <x v="0"/>
    <x v="769"/>
    <x v="93"/>
    <x v="73"/>
    <x v="530"/>
    <x v="51"/>
    <x v="695"/>
    <x v="15"/>
    <x v="2"/>
    <x v="14"/>
    <x v="3"/>
    <x v="3"/>
    <x v="15"/>
    <x v="15"/>
    <x v="0"/>
    <x v="0"/>
    <x v="5"/>
    <x v="2"/>
    <x v="89"/>
    <x v="0"/>
    <x v="14"/>
    <x v="5"/>
  </r>
  <r>
    <x v="149"/>
    <x v="145"/>
    <x v="196"/>
    <x v="0"/>
    <x v="90"/>
    <x v="173"/>
    <x v="173"/>
    <x v="172"/>
    <x v="172"/>
    <x v="0"/>
    <x v="770"/>
    <x v="783"/>
    <x v="656"/>
    <x v="531"/>
    <x v="53"/>
    <x v="696"/>
    <x v="218"/>
    <x v="0"/>
    <x v="58"/>
    <x v="0"/>
    <x v="0"/>
    <x v="291"/>
    <x v="160"/>
    <x v="0"/>
    <x v="0"/>
    <x v="22"/>
    <x v="0"/>
    <x v="88"/>
    <x v="0"/>
    <x v="0"/>
    <x v="6"/>
  </r>
  <r>
    <x v="150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</r>
  <r>
    <x v="150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</r>
  <r>
    <x v="150"/>
    <x v="127"/>
    <x v="168"/>
    <x v="0"/>
    <x v="9"/>
    <x v="151"/>
    <x v="151"/>
    <x v="150"/>
    <x v="15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50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</r>
  <r>
    <x v="150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50"/>
    <x v="142"/>
    <x v="193"/>
    <x v="0"/>
    <x v="91"/>
    <x v="170"/>
    <x v="170"/>
    <x v="169"/>
    <x v="16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5"/>
  </r>
  <r>
    <x v="150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5"/>
  </r>
  <r>
    <x v="150"/>
    <x v="145"/>
    <x v="196"/>
    <x v="0"/>
    <x v="90"/>
    <x v="173"/>
    <x v="173"/>
    <x v="172"/>
    <x v="172"/>
    <x v="0"/>
    <x v="93"/>
    <x v="780"/>
    <x v="72"/>
    <x v="532"/>
    <x v="12"/>
    <x v="697"/>
    <x v="15"/>
    <x v="2"/>
    <x v="14"/>
    <x v="3"/>
    <x v="3"/>
    <x v="15"/>
    <x v="15"/>
    <x v="0"/>
    <x v="0"/>
    <x v="5"/>
    <x v="2"/>
    <x v="88"/>
    <x v="0"/>
    <x v="0"/>
    <x v="6"/>
  </r>
  <r>
    <x v="150"/>
    <x v="146"/>
    <x v="197"/>
    <x v="0"/>
    <x v="86"/>
    <x v="174"/>
    <x v="174"/>
    <x v="173"/>
    <x v="173"/>
    <x v="0"/>
    <x v="771"/>
    <x v="784"/>
    <x v="657"/>
    <x v="303"/>
    <x v="53"/>
    <x v="696"/>
    <x v="135"/>
    <x v="7"/>
    <x v="154"/>
    <x v="10"/>
    <x v="8"/>
    <x v="292"/>
    <x v="566"/>
    <x v="0"/>
    <x v="0"/>
    <x v="2"/>
    <x v="8"/>
    <x v="84"/>
    <x v="0"/>
    <x v="0"/>
    <x v="6"/>
  </r>
  <r>
    <x v="151"/>
    <x v="116"/>
    <x v="150"/>
    <x v="0"/>
    <x v="73"/>
    <x v="133"/>
    <x v="133"/>
    <x v="132"/>
    <x v="132"/>
    <x v="0"/>
    <x v="772"/>
    <x v="785"/>
    <x v="658"/>
    <x v="376"/>
    <x v="52"/>
    <x v="698"/>
    <x v="219"/>
    <x v="2"/>
    <x v="32"/>
    <x v="3"/>
    <x v="0"/>
    <x v="293"/>
    <x v="567"/>
    <x v="0"/>
    <x v="0"/>
    <x v="14"/>
    <x v="2"/>
    <x v="71"/>
    <x v="0"/>
    <x v="14"/>
    <x v="5"/>
  </r>
  <r>
    <x v="151"/>
    <x v="124"/>
    <x v="164"/>
    <x v="0"/>
    <x v="72"/>
    <x v="147"/>
    <x v="147"/>
    <x v="146"/>
    <x v="146"/>
    <x v="0"/>
    <x v="773"/>
    <x v="786"/>
    <x v="659"/>
    <x v="204"/>
    <x v="44"/>
    <x v="699"/>
    <x v="94"/>
    <x v="1"/>
    <x v="73"/>
    <x v="3"/>
    <x v="4"/>
    <x v="90"/>
    <x v="568"/>
    <x v="0"/>
    <x v="0"/>
    <x v="12"/>
    <x v="11"/>
    <x v="70"/>
    <x v="0"/>
    <x v="14"/>
    <x v="5"/>
  </r>
  <r>
    <x v="151"/>
    <x v="132"/>
    <x v="175"/>
    <x v="1"/>
    <x v="62"/>
    <x v="157"/>
    <x v="157"/>
    <x v="156"/>
    <x v="156"/>
    <x v="0"/>
    <x v="774"/>
    <x v="787"/>
    <x v="660"/>
    <x v="533"/>
    <x v="15"/>
    <x v="700"/>
    <x v="41"/>
    <x v="2"/>
    <x v="24"/>
    <x v="3"/>
    <x v="3"/>
    <x v="93"/>
    <x v="569"/>
    <x v="1"/>
    <x v="92"/>
    <x v="2"/>
    <x v="5"/>
    <x v="60"/>
    <x v="0"/>
    <x v="16"/>
    <x v="5"/>
  </r>
  <r>
    <x v="151"/>
    <x v="132"/>
    <x v="176"/>
    <x v="1"/>
    <x v="62"/>
    <x v="158"/>
    <x v="158"/>
    <x v="157"/>
    <x v="157"/>
    <x v="0"/>
    <x v="775"/>
    <x v="788"/>
    <x v="661"/>
    <x v="226"/>
    <x v="34"/>
    <x v="701"/>
    <x v="18"/>
    <x v="2"/>
    <x v="24"/>
    <x v="5"/>
    <x v="3"/>
    <x v="70"/>
    <x v="570"/>
    <x v="2"/>
    <x v="24"/>
    <x v="2"/>
    <x v="11"/>
    <x v="60"/>
    <x v="0"/>
    <x v="16"/>
    <x v="5"/>
  </r>
  <r>
    <x v="151"/>
    <x v="141"/>
    <x v="191"/>
    <x v="0"/>
    <x v="89"/>
    <x v="168"/>
    <x v="168"/>
    <x v="167"/>
    <x v="1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7"/>
    <x v="0"/>
    <x v="0"/>
    <x v="6"/>
  </r>
  <r>
    <x v="151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5"/>
  </r>
  <r>
    <x v="151"/>
    <x v="146"/>
    <x v="197"/>
    <x v="0"/>
    <x v="86"/>
    <x v="174"/>
    <x v="174"/>
    <x v="173"/>
    <x v="173"/>
    <x v="0"/>
    <x v="776"/>
    <x v="789"/>
    <x v="94"/>
    <x v="232"/>
    <x v="42"/>
    <x v="389"/>
    <x v="18"/>
    <x v="2"/>
    <x v="14"/>
    <x v="3"/>
    <x v="3"/>
    <x v="20"/>
    <x v="153"/>
    <x v="0"/>
    <x v="0"/>
    <x v="5"/>
    <x v="2"/>
    <x v="84"/>
    <x v="0"/>
    <x v="0"/>
    <x v="6"/>
  </r>
  <r>
    <x v="151"/>
    <x v="147"/>
    <x v="198"/>
    <x v="1"/>
    <x v="62"/>
    <x v="175"/>
    <x v="175"/>
    <x v="174"/>
    <x v="174"/>
    <x v="0"/>
    <x v="30"/>
    <x v="337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151"/>
    <x v="148"/>
    <x v="199"/>
    <x v="1"/>
    <x v="73"/>
    <x v="175"/>
    <x v="175"/>
    <x v="174"/>
    <x v="174"/>
    <x v="0"/>
    <x v="777"/>
    <x v="790"/>
    <x v="662"/>
    <x v="4"/>
    <x v="14"/>
    <x v="702"/>
    <x v="10"/>
    <x v="2"/>
    <x v="91"/>
    <x v="3"/>
    <x v="3"/>
    <x v="149"/>
    <x v="311"/>
    <x v="0"/>
    <x v="0"/>
    <x v="1"/>
    <x v="2"/>
    <x v="71"/>
    <x v="0"/>
    <x v="14"/>
    <x v="5"/>
  </r>
  <r>
    <x v="151"/>
    <x v="149"/>
    <x v="200"/>
    <x v="0"/>
    <x v="93"/>
    <x v="176"/>
    <x v="176"/>
    <x v="175"/>
    <x v="175"/>
    <x v="0"/>
    <x v="778"/>
    <x v="791"/>
    <x v="663"/>
    <x v="534"/>
    <x v="10"/>
    <x v="703"/>
    <x v="220"/>
    <x v="7"/>
    <x v="85"/>
    <x v="26"/>
    <x v="1"/>
    <x v="294"/>
    <x v="8"/>
    <x v="0"/>
    <x v="0"/>
    <x v="2"/>
    <x v="2"/>
    <x v="91"/>
    <x v="0"/>
    <x v="19"/>
    <x v="0"/>
  </r>
  <r>
    <x v="151"/>
    <x v="150"/>
    <x v="201"/>
    <x v="0"/>
    <x v="94"/>
    <x v="177"/>
    <x v="177"/>
    <x v="176"/>
    <x v="176"/>
    <x v="0"/>
    <x v="779"/>
    <x v="792"/>
    <x v="664"/>
    <x v="405"/>
    <x v="73"/>
    <x v="704"/>
    <x v="4"/>
    <x v="1"/>
    <x v="8"/>
    <x v="3"/>
    <x v="8"/>
    <x v="243"/>
    <x v="571"/>
    <x v="0"/>
    <x v="0"/>
    <x v="11"/>
    <x v="2"/>
    <x v="92"/>
    <x v="0"/>
    <x v="0"/>
    <x v="6"/>
  </r>
  <r>
    <x v="151"/>
    <x v="151"/>
    <x v="202"/>
    <x v="0"/>
    <x v="95"/>
    <x v="178"/>
    <x v="178"/>
    <x v="177"/>
    <x v="177"/>
    <x v="0"/>
    <x v="469"/>
    <x v="793"/>
    <x v="205"/>
    <x v="496"/>
    <x v="55"/>
    <x v="705"/>
    <x v="43"/>
    <x v="0"/>
    <x v="49"/>
    <x v="3"/>
    <x v="3"/>
    <x v="148"/>
    <x v="572"/>
    <x v="0"/>
    <x v="0"/>
    <x v="5"/>
    <x v="2"/>
    <x v="93"/>
    <x v="1"/>
    <x v="3"/>
    <x v="2"/>
  </r>
  <r>
    <x v="151"/>
    <x v="149"/>
    <x v="203"/>
    <x v="0"/>
    <x v="96"/>
    <x v="179"/>
    <x v="179"/>
    <x v="178"/>
    <x v="178"/>
    <x v="0"/>
    <x v="780"/>
    <x v="794"/>
    <x v="665"/>
    <x v="108"/>
    <x v="52"/>
    <x v="706"/>
    <x v="80"/>
    <x v="2"/>
    <x v="8"/>
    <x v="3"/>
    <x v="3"/>
    <x v="170"/>
    <x v="573"/>
    <x v="0"/>
    <x v="0"/>
    <x v="4"/>
    <x v="5"/>
    <x v="94"/>
    <x v="1"/>
    <x v="3"/>
    <x v="2"/>
  </r>
  <r>
    <x v="151"/>
    <x v="152"/>
    <x v="204"/>
    <x v="0"/>
    <x v="72"/>
    <x v="180"/>
    <x v="180"/>
    <x v="179"/>
    <x v="179"/>
    <x v="0"/>
    <x v="781"/>
    <x v="795"/>
    <x v="666"/>
    <x v="535"/>
    <x v="12"/>
    <x v="707"/>
    <x v="17"/>
    <x v="2"/>
    <x v="2"/>
    <x v="3"/>
    <x v="2"/>
    <x v="295"/>
    <x v="574"/>
    <x v="0"/>
    <x v="0"/>
    <x v="11"/>
    <x v="2"/>
    <x v="70"/>
    <x v="0"/>
    <x v="14"/>
    <x v="5"/>
  </r>
  <r>
    <x v="152"/>
    <x v="116"/>
    <x v="150"/>
    <x v="0"/>
    <x v="73"/>
    <x v="133"/>
    <x v="133"/>
    <x v="132"/>
    <x v="132"/>
    <x v="0"/>
    <x v="782"/>
    <x v="796"/>
    <x v="667"/>
    <x v="167"/>
    <x v="76"/>
    <x v="212"/>
    <x v="158"/>
    <x v="1"/>
    <x v="39"/>
    <x v="5"/>
    <x v="1"/>
    <x v="193"/>
    <x v="575"/>
    <x v="0"/>
    <x v="0"/>
    <x v="12"/>
    <x v="10"/>
    <x v="71"/>
    <x v="0"/>
    <x v="14"/>
    <x v="5"/>
  </r>
  <r>
    <x v="152"/>
    <x v="124"/>
    <x v="164"/>
    <x v="0"/>
    <x v="72"/>
    <x v="147"/>
    <x v="147"/>
    <x v="146"/>
    <x v="146"/>
    <x v="0"/>
    <x v="783"/>
    <x v="797"/>
    <x v="668"/>
    <x v="88"/>
    <x v="53"/>
    <x v="708"/>
    <x v="120"/>
    <x v="6"/>
    <x v="155"/>
    <x v="1"/>
    <x v="2"/>
    <x v="212"/>
    <x v="576"/>
    <x v="0"/>
    <x v="0"/>
    <x v="0"/>
    <x v="11"/>
    <x v="70"/>
    <x v="0"/>
    <x v="14"/>
    <x v="5"/>
  </r>
  <r>
    <x v="152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</r>
  <r>
    <x v="152"/>
    <x v="132"/>
    <x v="175"/>
    <x v="1"/>
    <x v="62"/>
    <x v="157"/>
    <x v="157"/>
    <x v="156"/>
    <x v="156"/>
    <x v="0"/>
    <x v="784"/>
    <x v="798"/>
    <x v="660"/>
    <x v="536"/>
    <x v="73"/>
    <x v="709"/>
    <x v="18"/>
    <x v="2"/>
    <x v="24"/>
    <x v="3"/>
    <x v="3"/>
    <x v="27"/>
    <x v="577"/>
    <x v="0"/>
    <x v="0"/>
    <x v="4"/>
    <x v="2"/>
    <x v="60"/>
    <x v="0"/>
    <x v="16"/>
    <x v="5"/>
  </r>
  <r>
    <x v="152"/>
    <x v="132"/>
    <x v="176"/>
    <x v="1"/>
    <x v="62"/>
    <x v="158"/>
    <x v="158"/>
    <x v="157"/>
    <x v="157"/>
    <x v="0"/>
    <x v="785"/>
    <x v="799"/>
    <x v="669"/>
    <x v="162"/>
    <x v="101"/>
    <x v="710"/>
    <x v="21"/>
    <x v="1"/>
    <x v="14"/>
    <x v="3"/>
    <x v="3"/>
    <x v="8"/>
    <x v="578"/>
    <x v="14"/>
    <x v="93"/>
    <x v="2"/>
    <x v="5"/>
    <x v="60"/>
    <x v="0"/>
    <x v="16"/>
    <x v="5"/>
  </r>
  <r>
    <x v="152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5"/>
  </r>
  <r>
    <x v="152"/>
    <x v="146"/>
    <x v="197"/>
    <x v="0"/>
    <x v="86"/>
    <x v="174"/>
    <x v="174"/>
    <x v="173"/>
    <x v="17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</r>
  <r>
    <x v="152"/>
    <x v="148"/>
    <x v="199"/>
    <x v="1"/>
    <x v="73"/>
    <x v="175"/>
    <x v="175"/>
    <x v="174"/>
    <x v="174"/>
    <x v="0"/>
    <x v="30"/>
    <x v="51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52"/>
    <x v="149"/>
    <x v="200"/>
    <x v="0"/>
    <x v="93"/>
    <x v="176"/>
    <x v="176"/>
    <x v="175"/>
    <x v="175"/>
    <x v="0"/>
    <x v="786"/>
    <x v="800"/>
    <x v="670"/>
    <x v="537"/>
    <x v="51"/>
    <x v="711"/>
    <x v="221"/>
    <x v="3"/>
    <x v="92"/>
    <x v="22"/>
    <x v="3"/>
    <x v="296"/>
    <x v="579"/>
    <x v="0"/>
    <x v="0"/>
    <x v="2"/>
    <x v="5"/>
    <x v="91"/>
    <x v="0"/>
    <x v="19"/>
    <x v="0"/>
  </r>
  <r>
    <x v="152"/>
    <x v="150"/>
    <x v="201"/>
    <x v="0"/>
    <x v="94"/>
    <x v="177"/>
    <x v="177"/>
    <x v="176"/>
    <x v="176"/>
    <x v="0"/>
    <x v="787"/>
    <x v="801"/>
    <x v="671"/>
    <x v="538"/>
    <x v="23"/>
    <x v="712"/>
    <x v="14"/>
    <x v="1"/>
    <x v="50"/>
    <x v="3"/>
    <x v="3"/>
    <x v="78"/>
    <x v="264"/>
    <x v="0"/>
    <x v="0"/>
    <x v="5"/>
    <x v="2"/>
    <x v="92"/>
    <x v="0"/>
    <x v="0"/>
    <x v="6"/>
  </r>
  <r>
    <x v="152"/>
    <x v="151"/>
    <x v="202"/>
    <x v="0"/>
    <x v="95"/>
    <x v="178"/>
    <x v="178"/>
    <x v="177"/>
    <x v="177"/>
    <x v="0"/>
    <x v="788"/>
    <x v="802"/>
    <x v="672"/>
    <x v="53"/>
    <x v="10"/>
    <x v="341"/>
    <x v="41"/>
    <x v="2"/>
    <x v="19"/>
    <x v="3"/>
    <x v="3"/>
    <x v="68"/>
    <x v="580"/>
    <x v="0"/>
    <x v="0"/>
    <x v="1"/>
    <x v="5"/>
    <x v="93"/>
    <x v="1"/>
    <x v="3"/>
    <x v="2"/>
  </r>
  <r>
    <x v="152"/>
    <x v="149"/>
    <x v="203"/>
    <x v="0"/>
    <x v="96"/>
    <x v="179"/>
    <x v="179"/>
    <x v="178"/>
    <x v="178"/>
    <x v="0"/>
    <x v="789"/>
    <x v="803"/>
    <x v="673"/>
    <x v="191"/>
    <x v="3"/>
    <x v="713"/>
    <x v="13"/>
    <x v="2"/>
    <x v="19"/>
    <x v="3"/>
    <x v="2"/>
    <x v="50"/>
    <x v="581"/>
    <x v="0"/>
    <x v="0"/>
    <x v="2"/>
    <x v="2"/>
    <x v="94"/>
    <x v="1"/>
    <x v="3"/>
    <x v="2"/>
  </r>
  <r>
    <x v="152"/>
    <x v="152"/>
    <x v="204"/>
    <x v="0"/>
    <x v="72"/>
    <x v="180"/>
    <x v="180"/>
    <x v="179"/>
    <x v="179"/>
    <x v="0"/>
    <x v="790"/>
    <x v="804"/>
    <x v="161"/>
    <x v="397"/>
    <x v="41"/>
    <x v="714"/>
    <x v="18"/>
    <x v="1"/>
    <x v="24"/>
    <x v="3"/>
    <x v="3"/>
    <x v="70"/>
    <x v="582"/>
    <x v="0"/>
    <x v="0"/>
    <x v="5"/>
    <x v="2"/>
    <x v="70"/>
    <x v="0"/>
    <x v="14"/>
    <x v="5"/>
  </r>
  <r>
    <x v="152"/>
    <x v="153"/>
    <x v="205"/>
    <x v="0"/>
    <x v="97"/>
    <x v="181"/>
    <x v="181"/>
    <x v="180"/>
    <x v="180"/>
    <x v="0"/>
    <x v="791"/>
    <x v="805"/>
    <x v="674"/>
    <x v="539"/>
    <x v="42"/>
    <x v="348"/>
    <x v="35"/>
    <x v="10"/>
    <x v="4"/>
    <x v="1"/>
    <x v="4"/>
    <x v="282"/>
    <x v="583"/>
    <x v="0"/>
    <x v="0"/>
    <x v="0"/>
    <x v="11"/>
    <x v="95"/>
    <x v="0"/>
    <x v="14"/>
    <x v="5"/>
  </r>
  <r>
    <x v="152"/>
    <x v="153"/>
    <x v="206"/>
    <x v="0"/>
    <x v="92"/>
    <x v="182"/>
    <x v="182"/>
    <x v="181"/>
    <x v="181"/>
    <x v="0"/>
    <x v="792"/>
    <x v="806"/>
    <x v="675"/>
    <x v="540"/>
    <x v="28"/>
    <x v="715"/>
    <x v="21"/>
    <x v="2"/>
    <x v="20"/>
    <x v="1"/>
    <x v="3"/>
    <x v="13"/>
    <x v="584"/>
    <x v="0"/>
    <x v="0"/>
    <x v="4"/>
    <x v="5"/>
    <x v="90"/>
    <x v="1"/>
    <x v="3"/>
    <x v="2"/>
  </r>
  <r>
    <x v="152"/>
    <x v="154"/>
    <x v="207"/>
    <x v="1"/>
    <x v="72"/>
    <x v="183"/>
    <x v="183"/>
    <x v="182"/>
    <x v="182"/>
    <x v="0"/>
    <x v="793"/>
    <x v="807"/>
    <x v="676"/>
    <x v="145"/>
    <x v="14"/>
    <x v="619"/>
    <x v="2"/>
    <x v="7"/>
    <x v="7"/>
    <x v="5"/>
    <x v="1"/>
    <x v="7"/>
    <x v="585"/>
    <x v="0"/>
    <x v="0"/>
    <x v="1"/>
    <x v="5"/>
    <x v="70"/>
    <x v="0"/>
    <x v="14"/>
    <x v="5"/>
  </r>
  <r>
    <x v="153"/>
    <x v="116"/>
    <x v="150"/>
    <x v="0"/>
    <x v="73"/>
    <x v="133"/>
    <x v="133"/>
    <x v="132"/>
    <x v="132"/>
    <x v="0"/>
    <x v="794"/>
    <x v="808"/>
    <x v="677"/>
    <x v="541"/>
    <x v="50"/>
    <x v="716"/>
    <x v="162"/>
    <x v="1"/>
    <x v="156"/>
    <x v="3"/>
    <x v="2"/>
    <x v="180"/>
    <x v="586"/>
    <x v="0"/>
    <x v="0"/>
    <x v="10"/>
    <x v="12"/>
    <x v="71"/>
    <x v="0"/>
    <x v="14"/>
    <x v="5"/>
  </r>
  <r>
    <x v="153"/>
    <x v="124"/>
    <x v="164"/>
    <x v="0"/>
    <x v="72"/>
    <x v="147"/>
    <x v="147"/>
    <x v="146"/>
    <x v="146"/>
    <x v="0"/>
    <x v="795"/>
    <x v="809"/>
    <x v="678"/>
    <x v="280"/>
    <x v="82"/>
    <x v="717"/>
    <x v="222"/>
    <x v="10"/>
    <x v="58"/>
    <x v="5"/>
    <x v="8"/>
    <x v="297"/>
    <x v="587"/>
    <x v="0"/>
    <x v="0"/>
    <x v="0"/>
    <x v="11"/>
    <x v="70"/>
    <x v="0"/>
    <x v="14"/>
    <x v="5"/>
  </r>
  <r>
    <x v="153"/>
    <x v="125"/>
    <x v="170"/>
    <x v="1"/>
    <x v="9"/>
    <x v="152"/>
    <x v="152"/>
    <x v="151"/>
    <x v="151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53"/>
    <x v="129"/>
    <x v="171"/>
    <x v="1"/>
    <x v="9"/>
    <x v="153"/>
    <x v="153"/>
    <x v="152"/>
    <x v="152"/>
    <x v="0"/>
    <x v="796"/>
    <x v="810"/>
    <x v="679"/>
    <x v="339"/>
    <x v="104"/>
    <x v="718"/>
    <x v="8"/>
    <x v="2"/>
    <x v="14"/>
    <x v="3"/>
    <x v="1"/>
    <x v="83"/>
    <x v="588"/>
    <x v="0"/>
    <x v="0"/>
    <x v="5"/>
    <x v="2"/>
    <x v="9"/>
    <x v="1"/>
    <x v="3"/>
    <x v="2"/>
  </r>
  <r>
    <x v="153"/>
    <x v="132"/>
    <x v="175"/>
    <x v="1"/>
    <x v="62"/>
    <x v="157"/>
    <x v="157"/>
    <x v="156"/>
    <x v="156"/>
    <x v="0"/>
    <x v="797"/>
    <x v="811"/>
    <x v="680"/>
    <x v="542"/>
    <x v="71"/>
    <x v="70"/>
    <x v="8"/>
    <x v="1"/>
    <x v="14"/>
    <x v="3"/>
    <x v="3"/>
    <x v="70"/>
    <x v="589"/>
    <x v="2"/>
    <x v="94"/>
    <x v="5"/>
    <x v="2"/>
    <x v="60"/>
    <x v="0"/>
    <x v="16"/>
    <x v="5"/>
  </r>
  <r>
    <x v="153"/>
    <x v="132"/>
    <x v="176"/>
    <x v="1"/>
    <x v="62"/>
    <x v="158"/>
    <x v="158"/>
    <x v="157"/>
    <x v="157"/>
    <x v="0"/>
    <x v="798"/>
    <x v="812"/>
    <x v="156"/>
    <x v="0"/>
    <x v="99"/>
    <x v="719"/>
    <x v="8"/>
    <x v="2"/>
    <x v="14"/>
    <x v="3"/>
    <x v="3"/>
    <x v="27"/>
    <x v="590"/>
    <x v="2"/>
    <x v="28"/>
    <x v="2"/>
    <x v="5"/>
    <x v="60"/>
    <x v="0"/>
    <x v="16"/>
    <x v="5"/>
  </r>
  <r>
    <x v="153"/>
    <x v="141"/>
    <x v="192"/>
    <x v="0"/>
    <x v="90"/>
    <x v="169"/>
    <x v="169"/>
    <x v="168"/>
    <x v="168"/>
    <x v="0"/>
    <x v="799"/>
    <x v="813"/>
    <x v="681"/>
    <x v="543"/>
    <x v="21"/>
    <x v="720"/>
    <x v="223"/>
    <x v="0"/>
    <x v="32"/>
    <x v="5"/>
    <x v="4"/>
    <x v="298"/>
    <x v="358"/>
    <x v="0"/>
    <x v="0"/>
    <x v="8"/>
    <x v="28"/>
    <x v="88"/>
    <x v="0"/>
    <x v="0"/>
    <x v="6"/>
  </r>
  <r>
    <x v="153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  <x v="0"/>
    <x v="19"/>
    <x v="0"/>
  </r>
  <r>
    <x v="153"/>
    <x v="153"/>
    <x v="205"/>
    <x v="0"/>
    <x v="97"/>
    <x v="181"/>
    <x v="181"/>
    <x v="180"/>
    <x v="1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5"/>
    <x v="0"/>
    <x v="14"/>
    <x v="5"/>
  </r>
  <r>
    <x v="153"/>
    <x v="153"/>
    <x v="206"/>
    <x v="0"/>
    <x v="92"/>
    <x v="182"/>
    <x v="182"/>
    <x v="181"/>
    <x v="18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0"/>
    <x v="1"/>
    <x v="3"/>
    <x v="2"/>
  </r>
  <r>
    <x v="153"/>
    <x v="154"/>
    <x v="207"/>
    <x v="1"/>
    <x v="72"/>
    <x v="183"/>
    <x v="183"/>
    <x v="182"/>
    <x v="182"/>
    <x v="0"/>
    <x v="800"/>
    <x v="814"/>
    <x v="421"/>
    <x v="456"/>
    <x v="26"/>
    <x v="721"/>
    <x v="177"/>
    <x v="2"/>
    <x v="20"/>
    <x v="3"/>
    <x v="2"/>
    <x v="13"/>
    <x v="591"/>
    <x v="0"/>
    <x v="0"/>
    <x v="10"/>
    <x v="11"/>
    <x v="70"/>
    <x v="0"/>
    <x v="14"/>
    <x v="5"/>
  </r>
  <r>
    <x v="153"/>
    <x v="155"/>
    <x v="208"/>
    <x v="0"/>
    <x v="96"/>
    <x v="184"/>
    <x v="184"/>
    <x v="183"/>
    <x v="183"/>
    <x v="0"/>
    <x v="801"/>
    <x v="815"/>
    <x v="682"/>
    <x v="78"/>
    <x v="21"/>
    <x v="722"/>
    <x v="63"/>
    <x v="2"/>
    <x v="20"/>
    <x v="3"/>
    <x v="3"/>
    <x v="23"/>
    <x v="266"/>
    <x v="0"/>
    <x v="0"/>
    <x v="2"/>
    <x v="2"/>
    <x v="94"/>
    <x v="1"/>
    <x v="3"/>
    <x v="2"/>
  </r>
  <r>
    <x v="153"/>
    <x v="156"/>
    <x v="209"/>
    <x v="0"/>
    <x v="87"/>
    <x v="185"/>
    <x v="185"/>
    <x v="184"/>
    <x v="184"/>
    <x v="0"/>
    <x v="635"/>
    <x v="816"/>
    <x v="683"/>
    <x v="488"/>
    <x v="7"/>
    <x v="723"/>
    <x v="224"/>
    <x v="2"/>
    <x v="157"/>
    <x v="31"/>
    <x v="27"/>
    <x v="299"/>
    <x v="592"/>
    <x v="2"/>
    <x v="95"/>
    <x v="2"/>
    <x v="10"/>
    <x v="85"/>
    <x v="1"/>
    <x v="18"/>
    <x v="2"/>
  </r>
  <r>
    <x v="153"/>
    <x v="157"/>
    <x v="210"/>
    <x v="1"/>
    <x v="72"/>
    <x v="186"/>
    <x v="186"/>
    <x v="185"/>
    <x v="185"/>
    <x v="0"/>
    <x v="802"/>
    <x v="817"/>
    <x v="684"/>
    <x v="510"/>
    <x v="66"/>
    <x v="724"/>
    <x v="18"/>
    <x v="2"/>
    <x v="14"/>
    <x v="3"/>
    <x v="3"/>
    <x v="20"/>
    <x v="593"/>
    <x v="0"/>
    <x v="0"/>
    <x v="5"/>
    <x v="2"/>
    <x v="70"/>
    <x v="0"/>
    <x v="14"/>
    <x v="5"/>
  </r>
  <r>
    <x v="153"/>
    <x v="158"/>
    <x v="211"/>
    <x v="1"/>
    <x v="98"/>
    <x v="186"/>
    <x v="186"/>
    <x v="185"/>
    <x v="185"/>
    <x v="0"/>
    <x v="803"/>
    <x v="818"/>
    <x v="685"/>
    <x v="544"/>
    <x v="54"/>
    <x v="725"/>
    <x v="2"/>
    <x v="2"/>
    <x v="20"/>
    <x v="3"/>
    <x v="2"/>
    <x v="78"/>
    <x v="594"/>
    <x v="0"/>
    <x v="0"/>
    <x v="5"/>
    <x v="2"/>
    <x v="96"/>
    <x v="0"/>
    <x v="0"/>
    <x v="0"/>
  </r>
  <r>
    <x v="154"/>
    <x v="116"/>
    <x v="150"/>
    <x v="0"/>
    <x v="73"/>
    <x v="133"/>
    <x v="133"/>
    <x v="132"/>
    <x v="132"/>
    <x v="0"/>
    <x v="804"/>
    <x v="819"/>
    <x v="686"/>
    <x v="205"/>
    <x v="26"/>
    <x v="726"/>
    <x v="146"/>
    <x v="1"/>
    <x v="158"/>
    <x v="3"/>
    <x v="3"/>
    <x v="300"/>
    <x v="595"/>
    <x v="0"/>
    <x v="0"/>
    <x v="9"/>
    <x v="10"/>
    <x v="71"/>
    <x v="0"/>
    <x v="14"/>
    <x v="5"/>
  </r>
  <r>
    <x v="154"/>
    <x v="124"/>
    <x v="164"/>
    <x v="0"/>
    <x v="72"/>
    <x v="147"/>
    <x v="147"/>
    <x v="146"/>
    <x v="146"/>
    <x v="0"/>
    <x v="805"/>
    <x v="820"/>
    <x v="687"/>
    <x v="195"/>
    <x v="27"/>
    <x v="727"/>
    <x v="160"/>
    <x v="1"/>
    <x v="159"/>
    <x v="11"/>
    <x v="23"/>
    <x v="280"/>
    <x v="596"/>
    <x v="0"/>
    <x v="0"/>
    <x v="0"/>
    <x v="13"/>
    <x v="70"/>
    <x v="0"/>
    <x v="14"/>
    <x v="5"/>
  </r>
  <r>
    <x v="154"/>
    <x v="125"/>
    <x v="170"/>
    <x v="1"/>
    <x v="9"/>
    <x v="152"/>
    <x v="152"/>
    <x v="151"/>
    <x v="151"/>
    <x v="0"/>
    <x v="806"/>
    <x v="337"/>
    <x v="308"/>
    <x v="545"/>
    <x v="53"/>
    <x v="728"/>
    <x v="15"/>
    <x v="2"/>
    <x v="14"/>
    <x v="3"/>
    <x v="3"/>
    <x v="15"/>
    <x v="15"/>
    <x v="0"/>
    <x v="0"/>
    <x v="5"/>
    <x v="2"/>
    <x v="9"/>
    <x v="1"/>
    <x v="3"/>
    <x v="2"/>
  </r>
  <r>
    <x v="154"/>
    <x v="129"/>
    <x v="171"/>
    <x v="1"/>
    <x v="9"/>
    <x v="153"/>
    <x v="153"/>
    <x v="152"/>
    <x v="152"/>
    <x v="0"/>
    <x v="807"/>
    <x v="821"/>
    <x v="688"/>
    <x v="354"/>
    <x v="88"/>
    <x v="729"/>
    <x v="15"/>
    <x v="2"/>
    <x v="14"/>
    <x v="3"/>
    <x v="3"/>
    <x v="15"/>
    <x v="15"/>
    <x v="0"/>
    <x v="0"/>
    <x v="2"/>
    <x v="2"/>
    <x v="9"/>
    <x v="1"/>
    <x v="3"/>
    <x v="2"/>
  </r>
  <r>
    <x v="154"/>
    <x v="132"/>
    <x v="175"/>
    <x v="1"/>
    <x v="62"/>
    <x v="157"/>
    <x v="157"/>
    <x v="156"/>
    <x v="156"/>
    <x v="0"/>
    <x v="336"/>
    <x v="822"/>
    <x v="594"/>
    <x v="546"/>
    <x v="44"/>
    <x v="730"/>
    <x v="18"/>
    <x v="2"/>
    <x v="24"/>
    <x v="3"/>
    <x v="3"/>
    <x v="27"/>
    <x v="275"/>
    <x v="0"/>
    <x v="0"/>
    <x v="2"/>
    <x v="5"/>
    <x v="60"/>
    <x v="0"/>
    <x v="16"/>
    <x v="5"/>
  </r>
  <r>
    <x v="154"/>
    <x v="132"/>
    <x v="176"/>
    <x v="1"/>
    <x v="62"/>
    <x v="158"/>
    <x v="158"/>
    <x v="157"/>
    <x v="157"/>
    <x v="0"/>
    <x v="808"/>
    <x v="823"/>
    <x v="689"/>
    <x v="547"/>
    <x v="62"/>
    <x v="731"/>
    <x v="22"/>
    <x v="2"/>
    <x v="24"/>
    <x v="5"/>
    <x v="3"/>
    <x v="8"/>
    <x v="597"/>
    <x v="14"/>
    <x v="96"/>
    <x v="4"/>
    <x v="5"/>
    <x v="60"/>
    <x v="0"/>
    <x v="16"/>
    <x v="5"/>
  </r>
  <r>
    <x v="154"/>
    <x v="135"/>
    <x v="186"/>
    <x v="1"/>
    <x v="87"/>
    <x v="164"/>
    <x v="164"/>
    <x v="163"/>
    <x v="163"/>
    <x v="0"/>
    <x v="809"/>
    <x v="824"/>
    <x v="482"/>
    <x v="548"/>
    <x v="73"/>
    <x v="732"/>
    <x v="36"/>
    <x v="2"/>
    <x v="85"/>
    <x v="4"/>
    <x v="1"/>
    <x v="244"/>
    <x v="598"/>
    <x v="2"/>
    <x v="49"/>
    <x v="5"/>
    <x v="6"/>
    <x v="85"/>
    <x v="1"/>
    <x v="18"/>
    <x v="2"/>
  </r>
  <r>
    <x v="154"/>
    <x v="141"/>
    <x v="192"/>
    <x v="0"/>
    <x v="90"/>
    <x v="169"/>
    <x v="169"/>
    <x v="168"/>
    <x v="168"/>
    <x v="0"/>
    <x v="810"/>
    <x v="825"/>
    <x v="690"/>
    <x v="549"/>
    <x v="3"/>
    <x v="733"/>
    <x v="156"/>
    <x v="7"/>
    <x v="0"/>
    <x v="11"/>
    <x v="30"/>
    <x v="301"/>
    <x v="599"/>
    <x v="0"/>
    <x v="0"/>
    <x v="15"/>
    <x v="38"/>
    <x v="88"/>
    <x v="0"/>
    <x v="0"/>
    <x v="6"/>
  </r>
  <r>
    <x v="154"/>
    <x v="146"/>
    <x v="197"/>
    <x v="0"/>
    <x v="86"/>
    <x v="174"/>
    <x v="174"/>
    <x v="173"/>
    <x v="17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</r>
  <r>
    <x v="154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  <x v="0"/>
    <x v="19"/>
    <x v="0"/>
  </r>
  <r>
    <x v="154"/>
    <x v="149"/>
    <x v="203"/>
    <x v="0"/>
    <x v="96"/>
    <x v="179"/>
    <x v="179"/>
    <x v="178"/>
    <x v="1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4"/>
    <x v="1"/>
    <x v="3"/>
    <x v="2"/>
  </r>
  <r>
    <x v="154"/>
    <x v="154"/>
    <x v="207"/>
    <x v="1"/>
    <x v="72"/>
    <x v="183"/>
    <x v="183"/>
    <x v="182"/>
    <x v="182"/>
    <x v="0"/>
    <x v="811"/>
    <x v="826"/>
    <x v="691"/>
    <x v="326"/>
    <x v="15"/>
    <x v="734"/>
    <x v="17"/>
    <x v="2"/>
    <x v="8"/>
    <x v="3"/>
    <x v="3"/>
    <x v="275"/>
    <x v="600"/>
    <x v="0"/>
    <x v="0"/>
    <x v="10"/>
    <x v="2"/>
    <x v="70"/>
    <x v="0"/>
    <x v="14"/>
    <x v="5"/>
  </r>
  <r>
    <x v="154"/>
    <x v="155"/>
    <x v="208"/>
    <x v="0"/>
    <x v="96"/>
    <x v="184"/>
    <x v="184"/>
    <x v="183"/>
    <x v="183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4"/>
    <x v="1"/>
    <x v="3"/>
    <x v="2"/>
  </r>
  <r>
    <x v="154"/>
    <x v="156"/>
    <x v="209"/>
    <x v="0"/>
    <x v="87"/>
    <x v="185"/>
    <x v="185"/>
    <x v="184"/>
    <x v="18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</r>
  <r>
    <x v="154"/>
    <x v="159"/>
    <x v="212"/>
    <x v="0"/>
    <x v="99"/>
    <x v="187"/>
    <x v="187"/>
    <x v="186"/>
    <x v="186"/>
    <x v="0"/>
    <x v="812"/>
    <x v="827"/>
    <x v="692"/>
    <x v="550"/>
    <x v="10"/>
    <x v="735"/>
    <x v="127"/>
    <x v="2"/>
    <x v="147"/>
    <x v="3"/>
    <x v="1"/>
    <x v="302"/>
    <x v="601"/>
    <x v="0"/>
    <x v="0"/>
    <x v="1"/>
    <x v="5"/>
    <x v="97"/>
    <x v="0"/>
    <x v="14"/>
    <x v="5"/>
  </r>
  <r>
    <x v="154"/>
    <x v="159"/>
    <x v="213"/>
    <x v="0"/>
    <x v="100"/>
    <x v="188"/>
    <x v="188"/>
    <x v="187"/>
    <x v="187"/>
    <x v="0"/>
    <x v="813"/>
    <x v="828"/>
    <x v="693"/>
    <x v="321"/>
    <x v="71"/>
    <x v="736"/>
    <x v="54"/>
    <x v="2"/>
    <x v="22"/>
    <x v="5"/>
    <x v="2"/>
    <x v="24"/>
    <x v="544"/>
    <x v="0"/>
    <x v="0"/>
    <x v="5"/>
    <x v="5"/>
    <x v="98"/>
    <x v="0"/>
    <x v="0"/>
    <x v="6"/>
  </r>
  <r>
    <x v="154"/>
    <x v="159"/>
    <x v="214"/>
    <x v="0"/>
    <x v="101"/>
    <x v="189"/>
    <x v="189"/>
    <x v="188"/>
    <x v="188"/>
    <x v="0"/>
    <x v="814"/>
    <x v="829"/>
    <x v="694"/>
    <x v="551"/>
    <x v="32"/>
    <x v="737"/>
    <x v="172"/>
    <x v="1"/>
    <x v="4"/>
    <x v="0"/>
    <x v="4"/>
    <x v="303"/>
    <x v="602"/>
    <x v="0"/>
    <x v="0"/>
    <x v="1"/>
    <x v="5"/>
    <x v="99"/>
    <x v="1"/>
    <x v="3"/>
    <x v="2"/>
  </r>
  <r>
    <x v="154"/>
    <x v="160"/>
    <x v="215"/>
    <x v="1"/>
    <x v="102"/>
    <x v="186"/>
    <x v="186"/>
    <x v="185"/>
    <x v="185"/>
    <x v="0"/>
    <x v="815"/>
    <x v="830"/>
    <x v="695"/>
    <x v="552"/>
    <x v="104"/>
    <x v="738"/>
    <x v="14"/>
    <x v="2"/>
    <x v="8"/>
    <x v="5"/>
    <x v="2"/>
    <x v="275"/>
    <x v="603"/>
    <x v="0"/>
    <x v="0"/>
    <x v="5"/>
    <x v="2"/>
    <x v="96"/>
    <x v="2"/>
    <x v="20"/>
    <x v="7"/>
  </r>
  <r>
    <x v="155"/>
    <x v="116"/>
    <x v="150"/>
    <x v="0"/>
    <x v="73"/>
    <x v="133"/>
    <x v="133"/>
    <x v="132"/>
    <x v="132"/>
    <x v="0"/>
    <x v="816"/>
    <x v="831"/>
    <x v="696"/>
    <x v="187"/>
    <x v="14"/>
    <x v="664"/>
    <x v="120"/>
    <x v="2"/>
    <x v="16"/>
    <x v="5"/>
    <x v="1"/>
    <x v="304"/>
    <x v="146"/>
    <x v="0"/>
    <x v="0"/>
    <x v="36"/>
    <x v="13"/>
    <x v="71"/>
    <x v="0"/>
    <x v="14"/>
    <x v="5"/>
  </r>
  <r>
    <x v="155"/>
    <x v="124"/>
    <x v="164"/>
    <x v="0"/>
    <x v="72"/>
    <x v="147"/>
    <x v="147"/>
    <x v="146"/>
    <x v="146"/>
    <x v="0"/>
    <x v="817"/>
    <x v="832"/>
    <x v="697"/>
    <x v="79"/>
    <x v="19"/>
    <x v="739"/>
    <x v="178"/>
    <x v="7"/>
    <x v="160"/>
    <x v="11"/>
    <x v="7"/>
    <x v="305"/>
    <x v="604"/>
    <x v="0"/>
    <x v="0"/>
    <x v="18"/>
    <x v="23"/>
    <x v="70"/>
    <x v="0"/>
    <x v="14"/>
    <x v="5"/>
  </r>
  <r>
    <x v="155"/>
    <x v="125"/>
    <x v="170"/>
    <x v="1"/>
    <x v="9"/>
    <x v="152"/>
    <x v="152"/>
    <x v="151"/>
    <x v="151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55"/>
    <x v="129"/>
    <x v="171"/>
    <x v="1"/>
    <x v="9"/>
    <x v="153"/>
    <x v="153"/>
    <x v="152"/>
    <x v="152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</r>
  <r>
    <x v="155"/>
    <x v="132"/>
    <x v="175"/>
    <x v="1"/>
    <x v="62"/>
    <x v="157"/>
    <x v="157"/>
    <x v="156"/>
    <x v="156"/>
    <x v="0"/>
    <x v="818"/>
    <x v="833"/>
    <x v="698"/>
    <x v="553"/>
    <x v="17"/>
    <x v="740"/>
    <x v="18"/>
    <x v="2"/>
    <x v="24"/>
    <x v="3"/>
    <x v="3"/>
    <x v="27"/>
    <x v="605"/>
    <x v="0"/>
    <x v="0"/>
    <x v="5"/>
    <x v="2"/>
    <x v="60"/>
    <x v="0"/>
    <x v="16"/>
    <x v="5"/>
  </r>
  <r>
    <x v="155"/>
    <x v="132"/>
    <x v="176"/>
    <x v="1"/>
    <x v="62"/>
    <x v="158"/>
    <x v="158"/>
    <x v="157"/>
    <x v="157"/>
    <x v="0"/>
    <x v="819"/>
    <x v="834"/>
    <x v="631"/>
    <x v="554"/>
    <x v="56"/>
    <x v="741"/>
    <x v="22"/>
    <x v="2"/>
    <x v="24"/>
    <x v="3"/>
    <x v="3"/>
    <x v="31"/>
    <x v="606"/>
    <x v="3"/>
    <x v="57"/>
    <x v="1"/>
    <x v="2"/>
    <x v="60"/>
    <x v="0"/>
    <x v="16"/>
    <x v="5"/>
  </r>
  <r>
    <x v="155"/>
    <x v="135"/>
    <x v="186"/>
    <x v="1"/>
    <x v="87"/>
    <x v="164"/>
    <x v="164"/>
    <x v="163"/>
    <x v="163"/>
    <x v="0"/>
    <x v="820"/>
    <x v="835"/>
    <x v="699"/>
    <x v="555"/>
    <x v="97"/>
    <x v="742"/>
    <x v="54"/>
    <x v="2"/>
    <x v="45"/>
    <x v="12"/>
    <x v="2"/>
    <x v="101"/>
    <x v="607"/>
    <x v="2"/>
    <x v="81"/>
    <x v="2"/>
    <x v="5"/>
    <x v="85"/>
    <x v="1"/>
    <x v="18"/>
    <x v="2"/>
  </r>
  <r>
    <x v="155"/>
    <x v="141"/>
    <x v="192"/>
    <x v="0"/>
    <x v="90"/>
    <x v="169"/>
    <x v="169"/>
    <x v="168"/>
    <x v="168"/>
    <x v="0"/>
    <x v="821"/>
    <x v="836"/>
    <x v="700"/>
    <x v="556"/>
    <x v="36"/>
    <x v="743"/>
    <x v="225"/>
    <x v="0"/>
    <x v="161"/>
    <x v="3"/>
    <x v="13"/>
    <x v="162"/>
    <x v="279"/>
    <x v="0"/>
    <x v="0"/>
    <x v="21"/>
    <x v="17"/>
    <x v="88"/>
    <x v="0"/>
    <x v="0"/>
    <x v="6"/>
  </r>
  <r>
    <x v="155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  <x v="0"/>
    <x v="19"/>
    <x v="0"/>
  </r>
  <r>
    <x v="155"/>
    <x v="154"/>
    <x v="207"/>
    <x v="1"/>
    <x v="72"/>
    <x v="183"/>
    <x v="183"/>
    <x v="182"/>
    <x v="182"/>
    <x v="0"/>
    <x v="822"/>
    <x v="837"/>
    <x v="701"/>
    <x v="326"/>
    <x v="17"/>
    <x v="744"/>
    <x v="9"/>
    <x v="2"/>
    <x v="91"/>
    <x v="5"/>
    <x v="3"/>
    <x v="1"/>
    <x v="608"/>
    <x v="0"/>
    <x v="0"/>
    <x v="9"/>
    <x v="2"/>
    <x v="70"/>
    <x v="0"/>
    <x v="14"/>
    <x v="5"/>
  </r>
  <r>
    <x v="155"/>
    <x v="159"/>
    <x v="212"/>
    <x v="0"/>
    <x v="99"/>
    <x v="187"/>
    <x v="187"/>
    <x v="186"/>
    <x v="186"/>
    <x v="0"/>
    <x v="250"/>
    <x v="123"/>
    <x v="27"/>
    <x v="557"/>
    <x v="0"/>
    <x v="173"/>
    <x v="15"/>
    <x v="2"/>
    <x v="14"/>
    <x v="3"/>
    <x v="3"/>
    <x v="15"/>
    <x v="15"/>
    <x v="0"/>
    <x v="0"/>
    <x v="5"/>
    <x v="2"/>
    <x v="97"/>
    <x v="0"/>
    <x v="14"/>
    <x v="5"/>
  </r>
  <r>
    <x v="155"/>
    <x v="159"/>
    <x v="213"/>
    <x v="0"/>
    <x v="100"/>
    <x v="188"/>
    <x v="188"/>
    <x v="187"/>
    <x v="187"/>
    <x v="0"/>
    <x v="823"/>
    <x v="838"/>
    <x v="286"/>
    <x v="412"/>
    <x v="95"/>
    <x v="745"/>
    <x v="15"/>
    <x v="2"/>
    <x v="14"/>
    <x v="3"/>
    <x v="3"/>
    <x v="15"/>
    <x v="15"/>
    <x v="0"/>
    <x v="0"/>
    <x v="5"/>
    <x v="2"/>
    <x v="98"/>
    <x v="0"/>
    <x v="0"/>
    <x v="6"/>
  </r>
  <r>
    <x v="155"/>
    <x v="159"/>
    <x v="214"/>
    <x v="0"/>
    <x v="101"/>
    <x v="189"/>
    <x v="189"/>
    <x v="188"/>
    <x v="188"/>
    <x v="0"/>
    <x v="824"/>
    <x v="839"/>
    <x v="702"/>
    <x v="558"/>
    <x v="50"/>
    <x v="746"/>
    <x v="104"/>
    <x v="3"/>
    <x v="142"/>
    <x v="17"/>
    <x v="4"/>
    <x v="306"/>
    <x v="609"/>
    <x v="0"/>
    <x v="0"/>
    <x v="12"/>
    <x v="5"/>
    <x v="99"/>
    <x v="1"/>
    <x v="3"/>
    <x v="2"/>
  </r>
  <r>
    <x v="155"/>
    <x v="161"/>
    <x v="216"/>
    <x v="0"/>
    <x v="103"/>
    <x v="190"/>
    <x v="190"/>
    <x v="189"/>
    <x v="189"/>
    <x v="0"/>
    <x v="825"/>
    <x v="840"/>
    <x v="703"/>
    <x v="447"/>
    <x v="72"/>
    <x v="747"/>
    <x v="28"/>
    <x v="2"/>
    <x v="30"/>
    <x v="4"/>
    <x v="3"/>
    <x v="33"/>
    <x v="248"/>
    <x v="0"/>
    <x v="0"/>
    <x v="5"/>
    <x v="11"/>
    <x v="100"/>
    <x v="2"/>
    <x v="20"/>
    <x v="7"/>
  </r>
  <r>
    <x v="155"/>
    <x v="162"/>
    <x v="217"/>
    <x v="1"/>
    <x v="87"/>
    <x v="191"/>
    <x v="191"/>
    <x v="190"/>
    <x v="190"/>
    <x v="0"/>
    <x v="30"/>
    <x v="97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</r>
  <r>
    <x v="155"/>
    <x v="163"/>
    <x v="218"/>
    <x v="1"/>
    <x v="47"/>
    <x v="191"/>
    <x v="191"/>
    <x v="190"/>
    <x v="190"/>
    <x v="0"/>
    <x v="826"/>
    <x v="841"/>
    <x v="704"/>
    <x v="308"/>
    <x v="109"/>
    <x v="748"/>
    <x v="21"/>
    <x v="2"/>
    <x v="50"/>
    <x v="5"/>
    <x v="3"/>
    <x v="37"/>
    <x v="189"/>
    <x v="0"/>
    <x v="0"/>
    <x v="5"/>
    <x v="2"/>
    <x v="31"/>
    <x v="0"/>
    <x v="14"/>
    <x v="5"/>
  </r>
  <r>
    <x v="156"/>
    <x v="116"/>
    <x v="150"/>
    <x v="0"/>
    <x v="73"/>
    <x v="133"/>
    <x v="133"/>
    <x v="132"/>
    <x v="132"/>
    <x v="0"/>
    <x v="827"/>
    <x v="842"/>
    <x v="73"/>
    <x v="87"/>
    <x v="68"/>
    <x v="749"/>
    <x v="194"/>
    <x v="2"/>
    <x v="14"/>
    <x v="3"/>
    <x v="3"/>
    <x v="259"/>
    <x v="15"/>
    <x v="0"/>
    <x v="0"/>
    <x v="5"/>
    <x v="2"/>
    <x v="71"/>
    <x v="0"/>
    <x v="14"/>
    <x v="5"/>
  </r>
  <r>
    <x v="156"/>
    <x v="124"/>
    <x v="164"/>
    <x v="0"/>
    <x v="72"/>
    <x v="147"/>
    <x v="147"/>
    <x v="146"/>
    <x v="146"/>
    <x v="0"/>
    <x v="828"/>
    <x v="843"/>
    <x v="38"/>
    <x v="559"/>
    <x v="43"/>
    <x v="223"/>
    <x v="15"/>
    <x v="2"/>
    <x v="14"/>
    <x v="3"/>
    <x v="3"/>
    <x v="15"/>
    <x v="15"/>
    <x v="0"/>
    <x v="0"/>
    <x v="4"/>
    <x v="2"/>
    <x v="70"/>
    <x v="0"/>
    <x v="14"/>
    <x v="5"/>
  </r>
  <r>
    <x v="156"/>
    <x v="132"/>
    <x v="176"/>
    <x v="1"/>
    <x v="62"/>
    <x v="158"/>
    <x v="158"/>
    <x v="157"/>
    <x v="157"/>
    <x v="0"/>
    <x v="452"/>
    <x v="844"/>
    <x v="72"/>
    <x v="359"/>
    <x v="110"/>
    <x v="750"/>
    <x v="15"/>
    <x v="2"/>
    <x v="14"/>
    <x v="3"/>
    <x v="3"/>
    <x v="15"/>
    <x v="15"/>
    <x v="0"/>
    <x v="0"/>
    <x v="5"/>
    <x v="2"/>
    <x v="60"/>
    <x v="0"/>
    <x v="16"/>
    <x v="5"/>
  </r>
  <r>
    <x v="156"/>
    <x v="141"/>
    <x v="192"/>
    <x v="0"/>
    <x v="90"/>
    <x v="169"/>
    <x v="169"/>
    <x v="168"/>
    <x v="168"/>
    <x v="0"/>
    <x v="829"/>
    <x v="845"/>
    <x v="705"/>
    <x v="315"/>
    <x v="3"/>
    <x v="751"/>
    <x v="23"/>
    <x v="2"/>
    <x v="14"/>
    <x v="3"/>
    <x v="3"/>
    <x v="83"/>
    <x v="431"/>
    <x v="0"/>
    <x v="0"/>
    <x v="5"/>
    <x v="2"/>
    <x v="88"/>
    <x v="0"/>
    <x v="0"/>
    <x v="6"/>
  </r>
  <r>
    <x v="156"/>
    <x v="159"/>
    <x v="214"/>
    <x v="0"/>
    <x v="101"/>
    <x v="189"/>
    <x v="189"/>
    <x v="188"/>
    <x v="188"/>
    <x v="0"/>
    <x v="830"/>
    <x v="226"/>
    <x v="72"/>
    <x v="197"/>
    <x v="7"/>
    <x v="73"/>
    <x v="15"/>
    <x v="2"/>
    <x v="14"/>
    <x v="3"/>
    <x v="3"/>
    <x v="15"/>
    <x v="15"/>
    <x v="0"/>
    <x v="0"/>
    <x v="5"/>
    <x v="2"/>
    <x v="99"/>
    <x v="1"/>
    <x v="3"/>
    <x v="2"/>
  </r>
  <r>
    <x v="157"/>
    <x v="164"/>
    <x v="219"/>
    <x v="0"/>
    <x v="104"/>
    <x v="192"/>
    <x v="192"/>
    <x v="191"/>
    <x v="191"/>
    <x v="0"/>
    <x v="831"/>
    <x v="846"/>
    <x v="706"/>
    <x v="560"/>
    <x v="42"/>
    <x v="130"/>
    <x v="226"/>
    <x v="24"/>
    <x v="162"/>
    <x v="59"/>
    <x v="39"/>
    <x v="307"/>
    <x v="610"/>
    <x v="2"/>
    <x v="97"/>
    <x v="2"/>
    <x v="5"/>
    <x v="101"/>
    <x v="0"/>
    <x v="6"/>
    <x v="0"/>
  </r>
  <r>
    <x v="157"/>
    <x v="165"/>
    <x v="220"/>
    <x v="0"/>
    <x v="7"/>
    <x v="193"/>
    <x v="193"/>
    <x v="192"/>
    <x v="192"/>
    <x v="0"/>
    <x v="832"/>
    <x v="847"/>
    <x v="707"/>
    <x v="229"/>
    <x v="111"/>
    <x v="752"/>
    <x v="225"/>
    <x v="10"/>
    <x v="163"/>
    <x v="2"/>
    <x v="40"/>
    <x v="308"/>
    <x v="611"/>
    <x v="1"/>
    <x v="98"/>
    <x v="4"/>
    <x v="11"/>
    <x v="7"/>
    <x v="0"/>
    <x v="6"/>
    <x v="0"/>
  </r>
  <r>
    <x v="157"/>
    <x v="166"/>
    <x v="221"/>
    <x v="0"/>
    <x v="105"/>
    <x v="194"/>
    <x v="194"/>
    <x v="193"/>
    <x v="193"/>
    <x v="0"/>
    <x v="833"/>
    <x v="848"/>
    <x v="708"/>
    <x v="508"/>
    <x v="110"/>
    <x v="753"/>
    <x v="227"/>
    <x v="0"/>
    <x v="164"/>
    <x v="32"/>
    <x v="30"/>
    <x v="309"/>
    <x v="612"/>
    <x v="13"/>
    <x v="99"/>
    <x v="1"/>
    <x v="12"/>
    <x v="102"/>
    <x v="0"/>
    <x v="16"/>
    <x v="0"/>
  </r>
  <r>
    <x v="157"/>
    <x v="167"/>
    <x v="222"/>
    <x v="0"/>
    <x v="106"/>
    <x v="195"/>
    <x v="195"/>
    <x v="194"/>
    <x v="194"/>
    <x v="0"/>
    <x v="834"/>
    <x v="849"/>
    <x v="709"/>
    <x v="561"/>
    <x v="80"/>
    <x v="754"/>
    <x v="228"/>
    <x v="7"/>
    <x v="123"/>
    <x v="1"/>
    <x v="12"/>
    <x v="310"/>
    <x v="613"/>
    <x v="14"/>
    <x v="100"/>
    <x v="7"/>
    <x v="6"/>
    <x v="103"/>
    <x v="0"/>
    <x v="6"/>
    <x v="8"/>
  </r>
  <r>
    <x v="157"/>
    <x v="168"/>
    <x v="223"/>
    <x v="0"/>
    <x v="107"/>
    <x v="196"/>
    <x v="196"/>
    <x v="195"/>
    <x v="195"/>
    <x v="0"/>
    <x v="835"/>
    <x v="850"/>
    <x v="710"/>
    <x v="562"/>
    <x v="14"/>
    <x v="755"/>
    <x v="229"/>
    <x v="0"/>
    <x v="165"/>
    <x v="60"/>
    <x v="6"/>
    <x v="311"/>
    <x v="427"/>
    <x v="18"/>
    <x v="101"/>
    <x v="10"/>
    <x v="10"/>
    <x v="104"/>
    <x v="1"/>
    <x v="21"/>
    <x v="2"/>
  </r>
  <r>
    <x v="157"/>
    <x v="169"/>
    <x v="224"/>
    <x v="0"/>
    <x v="108"/>
    <x v="197"/>
    <x v="197"/>
    <x v="196"/>
    <x v="196"/>
    <x v="0"/>
    <x v="836"/>
    <x v="851"/>
    <x v="711"/>
    <x v="563"/>
    <x v="28"/>
    <x v="183"/>
    <x v="230"/>
    <x v="25"/>
    <x v="166"/>
    <x v="46"/>
    <x v="41"/>
    <x v="312"/>
    <x v="614"/>
    <x v="16"/>
    <x v="102"/>
    <x v="12"/>
    <x v="13"/>
    <x v="105"/>
    <x v="1"/>
    <x v="3"/>
    <x v="2"/>
  </r>
  <r>
    <x v="157"/>
    <x v="170"/>
    <x v="225"/>
    <x v="0"/>
    <x v="109"/>
    <x v="198"/>
    <x v="198"/>
    <x v="197"/>
    <x v="197"/>
    <x v="0"/>
    <x v="837"/>
    <x v="852"/>
    <x v="712"/>
    <x v="564"/>
    <x v="5"/>
    <x v="56"/>
    <x v="231"/>
    <x v="12"/>
    <x v="60"/>
    <x v="61"/>
    <x v="42"/>
    <x v="313"/>
    <x v="615"/>
    <x v="3"/>
    <x v="103"/>
    <x v="11"/>
    <x v="3"/>
    <x v="106"/>
    <x v="1"/>
    <x v="3"/>
    <x v="2"/>
  </r>
  <r>
    <x v="157"/>
    <x v="171"/>
    <x v="226"/>
    <x v="0"/>
    <x v="110"/>
    <x v="199"/>
    <x v="199"/>
    <x v="198"/>
    <x v="198"/>
    <x v="0"/>
    <x v="838"/>
    <x v="853"/>
    <x v="713"/>
    <x v="484"/>
    <x v="60"/>
    <x v="234"/>
    <x v="40"/>
    <x v="3"/>
    <x v="1"/>
    <x v="17"/>
    <x v="0"/>
    <x v="131"/>
    <x v="616"/>
    <x v="27"/>
    <x v="104"/>
    <x v="3"/>
    <x v="1"/>
    <x v="107"/>
    <x v="1"/>
    <x v="3"/>
    <x v="2"/>
  </r>
  <r>
    <x v="157"/>
    <x v="172"/>
    <x v="227"/>
    <x v="0"/>
    <x v="111"/>
    <x v="200"/>
    <x v="200"/>
    <x v="199"/>
    <x v="199"/>
    <x v="0"/>
    <x v="839"/>
    <x v="854"/>
    <x v="714"/>
    <x v="565"/>
    <x v="5"/>
    <x v="756"/>
    <x v="232"/>
    <x v="26"/>
    <x v="167"/>
    <x v="34"/>
    <x v="43"/>
    <x v="314"/>
    <x v="210"/>
    <x v="5"/>
    <x v="105"/>
    <x v="9"/>
    <x v="8"/>
    <x v="108"/>
    <x v="0"/>
    <x v="6"/>
    <x v="0"/>
  </r>
  <r>
    <x v="157"/>
    <x v="173"/>
    <x v="228"/>
    <x v="0"/>
    <x v="112"/>
    <x v="201"/>
    <x v="201"/>
    <x v="200"/>
    <x v="200"/>
    <x v="0"/>
    <x v="840"/>
    <x v="855"/>
    <x v="715"/>
    <x v="234"/>
    <x v="12"/>
    <x v="757"/>
    <x v="152"/>
    <x v="2"/>
    <x v="9"/>
    <x v="51"/>
    <x v="4"/>
    <x v="25"/>
    <x v="617"/>
    <x v="4"/>
    <x v="106"/>
    <x v="39"/>
    <x v="26"/>
    <x v="109"/>
    <x v="1"/>
    <x v="21"/>
    <x v="2"/>
  </r>
  <r>
    <x v="157"/>
    <x v="174"/>
    <x v="229"/>
    <x v="0"/>
    <x v="113"/>
    <x v="202"/>
    <x v="202"/>
    <x v="201"/>
    <x v="201"/>
    <x v="0"/>
    <x v="841"/>
    <x v="856"/>
    <x v="716"/>
    <x v="566"/>
    <x v="66"/>
    <x v="758"/>
    <x v="14"/>
    <x v="2"/>
    <x v="22"/>
    <x v="3"/>
    <x v="3"/>
    <x v="285"/>
    <x v="618"/>
    <x v="15"/>
    <x v="107"/>
    <x v="0"/>
    <x v="9"/>
    <x v="110"/>
    <x v="0"/>
    <x v="6"/>
    <x v="0"/>
  </r>
  <r>
    <x v="157"/>
    <x v="175"/>
    <x v="230"/>
    <x v="0"/>
    <x v="9"/>
    <x v="203"/>
    <x v="203"/>
    <x v="202"/>
    <x v="202"/>
    <x v="0"/>
    <x v="842"/>
    <x v="857"/>
    <x v="717"/>
    <x v="567"/>
    <x v="9"/>
    <x v="759"/>
    <x v="233"/>
    <x v="5"/>
    <x v="158"/>
    <x v="18"/>
    <x v="0"/>
    <x v="315"/>
    <x v="18"/>
    <x v="8"/>
    <x v="108"/>
    <x v="8"/>
    <x v="23"/>
    <x v="9"/>
    <x v="1"/>
    <x v="3"/>
    <x v="2"/>
  </r>
  <r>
    <x v="157"/>
    <x v="176"/>
    <x v="231"/>
    <x v="0"/>
    <x v="114"/>
    <x v="204"/>
    <x v="204"/>
    <x v="203"/>
    <x v="203"/>
    <x v="0"/>
    <x v="843"/>
    <x v="858"/>
    <x v="718"/>
    <x v="568"/>
    <x v="112"/>
    <x v="760"/>
    <x v="234"/>
    <x v="11"/>
    <x v="12"/>
    <x v="48"/>
    <x v="24"/>
    <x v="316"/>
    <x v="265"/>
    <x v="38"/>
    <x v="109"/>
    <x v="14"/>
    <x v="30"/>
    <x v="111"/>
    <x v="0"/>
    <x v="6"/>
    <x v="0"/>
  </r>
  <r>
    <x v="157"/>
    <x v="177"/>
    <x v="232"/>
    <x v="0"/>
    <x v="17"/>
    <x v="205"/>
    <x v="205"/>
    <x v="204"/>
    <x v="204"/>
    <x v="0"/>
    <x v="844"/>
    <x v="859"/>
    <x v="719"/>
    <x v="569"/>
    <x v="32"/>
    <x v="139"/>
    <x v="217"/>
    <x v="1"/>
    <x v="72"/>
    <x v="10"/>
    <x v="23"/>
    <x v="63"/>
    <x v="619"/>
    <x v="20"/>
    <x v="110"/>
    <x v="23"/>
    <x v="28"/>
    <x v="17"/>
    <x v="0"/>
    <x v="0"/>
    <x v="0"/>
  </r>
  <r>
    <x v="157"/>
    <x v="178"/>
    <x v="233"/>
    <x v="0"/>
    <x v="115"/>
    <x v="206"/>
    <x v="206"/>
    <x v="205"/>
    <x v="205"/>
    <x v="0"/>
    <x v="845"/>
    <x v="860"/>
    <x v="720"/>
    <x v="570"/>
    <x v="51"/>
    <x v="108"/>
    <x v="144"/>
    <x v="0"/>
    <x v="168"/>
    <x v="62"/>
    <x v="0"/>
    <x v="317"/>
    <x v="261"/>
    <x v="39"/>
    <x v="111"/>
    <x v="13"/>
    <x v="25"/>
    <x v="112"/>
    <x v="0"/>
    <x v="6"/>
    <x v="0"/>
  </r>
  <r>
    <x v="157"/>
    <x v="179"/>
    <x v="234"/>
    <x v="0"/>
    <x v="116"/>
    <x v="207"/>
    <x v="207"/>
    <x v="206"/>
    <x v="206"/>
    <x v="0"/>
    <x v="846"/>
    <x v="861"/>
    <x v="721"/>
    <x v="571"/>
    <x v="9"/>
    <x v="761"/>
    <x v="76"/>
    <x v="2"/>
    <x v="39"/>
    <x v="26"/>
    <x v="0"/>
    <x v="16"/>
    <x v="298"/>
    <x v="23"/>
    <x v="112"/>
    <x v="24"/>
    <x v="31"/>
    <x v="113"/>
    <x v="1"/>
    <x v="3"/>
    <x v="2"/>
  </r>
  <r>
    <x v="158"/>
    <x v="161"/>
    <x v="235"/>
    <x v="0"/>
    <x v="103"/>
    <x v="208"/>
    <x v="208"/>
    <x v="207"/>
    <x v="207"/>
    <x v="0"/>
    <x v="847"/>
    <x v="862"/>
    <x v="116"/>
    <x v="572"/>
    <x v="10"/>
    <x v="762"/>
    <x v="235"/>
    <x v="2"/>
    <x v="169"/>
    <x v="12"/>
    <x v="2"/>
    <x v="318"/>
    <x v="95"/>
    <x v="0"/>
    <x v="0"/>
    <x v="10"/>
    <x v="26"/>
    <x v="100"/>
    <x v="2"/>
    <x v="20"/>
    <x v="7"/>
  </r>
  <r>
    <x v="158"/>
    <x v="180"/>
    <x v="236"/>
    <x v="0"/>
    <x v="117"/>
    <x v="209"/>
    <x v="209"/>
    <x v="208"/>
    <x v="208"/>
    <x v="0"/>
    <x v="848"/>
    <x v="863"/>
    <x v="722"/>
    <x v="573"/>
    <x v="37"/>
    <x v="763"/>
    <x v="215"/>
    <x v="1"/>
    <x v="170"/>
    <x v="1"/>
    <x v="4"/>
    <x v="319"/>
    <x v="152"/>
    <x v="0"/>
    <x v="0"/>
    <x v="2"/>
    <x v="3"/>
    <x v="114"/>
    <x v="0"/>
    <x v="14"/>
    <x v="5"/>
  </r>
  <r>
    <x v="159"/>
    <x v="161"/>
    <x v="235"/>
    <x v="0"/>
    <x v="103"/>
    <x v="208"/>
    <x v="208"/>
    <x v="207"/>
    <x v="207"/>
    <x v="0"/>
    <x v="849"/>
    <x v="864"/>
    <x v="113"/>
    <x v="395"/>
    <x v="35"/>
    <x v="764"/>
    <x v="15"/>
    <x v="2"/>
    <x v="14"/>
    <x v="3"/>
    <x v="3"/>
    <x v="15"/>
    <x v="15"/>
    <x v="0"/>
    <x v="0"/>
    <x v="5"/>
    <x v="2"/>
    <x v="100"/>
    <x v="2"/>
    <x v="20"/>
    <x v="7"/>
  </r>
  <r>
    <x v="159"/>
    <x v="180"/>
    <x v="236"/>
    <x v="0"/>
    <x v="117"/>
    <x v="209"/>
    <x v="209"/>
    <x v="208"/>
    <x v="208"/>
    <x v="0"/>
    <x v="850"/>
    <x v="865"/>
    <x v="723"/>
    <x v="105"/>
    <x v="9"/>
    <x v="765"/>
    <x v="227"/>
    <x v="21"/>
    <x v="141"/>
    <x v="63"/>
    <x v="29"/>
    <x v="320"/>
    <x v="4"/>
    <x v="0"/>
    <x v="0"/>
    <x v="23"/>
    <x v="1"/>
    <x v="114"/>
    <x v="0"/>
    <x v="14"/>
    <x v="5"/>
  </r>
  <r>
    <x v="159"/>
    <x v="181"/>
    <x v="237"/>
    <x v="0"/>
    <x v="118"/>
    <x v="210"/>
    <x v="210"/>
    <x v="209"/>
    <x v="209"/>
    <x v="0"/>
    <x v="851"/>
    <x v="866"/>
    <x v="170"/>
    <x v="574"/>
    <x v="9"/>
    <x v="766"/>
    <x v="236"/>
    <x v="6"/>
    <x v="45"/>
    <x v="22"/>
    <x v="2"/>
    <x v="321"/>
    <x v="620"/>
    <x v="0"/>
    <x v="0"/>
    <x v="10"/>
    <x v="2"/>
    <x v="115"/>
    <x v="2"/>
    <x v="20"/>
    <x v="7"/>
  </r>
  <r>
    <x v="160"/>
    <x v="180"/>
    <x v="236"/>
    <x v="0"/>
    <x v="117"/>
    <x v="209"/>
    <x v="209"/>
    <x v="208"/>
    <x v="208"/>
    <x v="0"/>
    <x v="852"/>
    <x v="442"/>
    <x v="565"/>
    <x v="217"/>
    <x v="0"/>
    <x v="767"/>
    <x v="15"/>
    <x v="2"/>
    <x v="14"/>
    <x v="3"/>
    <x v="3"/>
    <x v="15"/>
    <x v="15"/>
    <x v="0"/>
    <x v="0"/>
    <x v="5"/>
    <x v="2"/>
    <x v="114"/>
    <x v="0"/>
    <x v="14"/>
    <x v="5"/>
  </r>
  <r>
    <x v="160"/>
    <x v="182"/>
    <x v="238"/>
    <x v="0"/>
    <x v="119"/>
    <x v="211"/>
    <x v="211"/>
    <x v="210"/>
    <x v="210"/>
    <x v="0"/>
    <x v="254"/>
    <x v="867"/>
    <x v="724"/>
    <x v="575"/>
    <x v="1"/>
    <x v="214"/>
    <x v="29"/>
    <x v="1"/>
    <x v="55"/>
    <x v="4"/>
    <x v="2"/>
    <x v="142"/>
    <x v="621"/>
    <x v="0"/>
    <x v="0"/>
    <x v="9"/>
    <x v="31"/>
    <x v="116"/>
    <x v="0"/>
    <x v="0"/>
    <x v="6"/>
  </r>
  <r>
    <x v="160"/>
    <x v="183"/>
    <x v="239"/>
    <x v="0"/>
    <x v="62"/>
    <x v="212"/>
    <x v="212"/>
    <x v="211"/>
    <x v="211"/>
    <x v="0"/>
    <x v="853"/>
    <x v="868"/>
    <x v="725"/>
    <x v="335"/>
    <x v="41"/>
    <x v="768"/>
    <x v="119"/>
    <x v="2"/>
    <x v="23"/>
    <x v="3"/>
    <x v="4"/>
    <x v="99"/>
    <x v="381"/>
    <x v="17"/>
    <x v="113"/>
    <x v="11"/>
    <x v="6"/>
    <x v="60"/>
    <x v="0"/>
    <x v="16"/>
    <x v="5"/>
  </r>
  <r>
    <x v="160"/>
    <x v="184"/>
    <x v="240"/>
    <x v="0"/>
    <x v="120"/>
    <x v="213"/>
    <x v="213"/>
    <x v="212"/>
    <x v="212"/>
    <x v="0"/>
    <x v="854"/>
    <x v="869"/>
    <x v="726"/>
    <x v="576"/>
    <x v="1"/>
    <x v="769"/>
    <x v="210"/>
    <x v="10"/>
    <x v="147"/>
    <x v="1"/>
    <x v="1"/>
    <x v="12"/>
    <x v="622"/>
    <x v="0"/>
    <x v="0"/>
    <x v="41"/>
    <x v="46"/>
    <x v="117"/>
    <x v="2"/>
    <x v="20"/>
    <x v="7"/>
  </r>
  <r>
    <x v="161"/>
    <x v="183"/>
    <x v="239"/>
    <x v="0"/>
    <x v="62"/>
    <x v="212"/>
    <x v="212"/>
    <x v="211"/>
    <x v="211"/>
    <x v="0"/>
    <x v="855"/>
    <x v="870"/>
    <x v="565"/>
    <x v="267"/>
    <x v="0"/>
    <x v="770"/>
    <x v="15"/>
    <x v="2"/>
    <x v="14"/>
    <x v="3"/>
    <x v="3"/>
    <x v="15"/>
    <x v="15"/>
    <x v="0"/>
    <x v="0"/>
    <x v="5"/>
    <x v="2"/>
    <x v="60"/>
    <x v="0"/>
    <x v="16"/>
    <x v="5"/>
  </r>
  <r>
    <x v="161"/>
    <x v="185"/>
    <x v="241"/>
    <x v="0"/>
    <x v="73"/>
    <x v="214"/>
    <x v="214"/>
    <x v="213"/>
    <x v="213"/>
    <x v="0"/>
    <x v="856"/>
    <x v="871"/>
    <x v="727"/>
    <x v="281"/>
    <x v="3"/>
    <x v="534"/>
    <x v="163"/>
    <x v="1"/>
    <x v="171"/>
    <x v="5"/>
    <x v="0"/>
    <x v="322"/>
    <x v="206"/>
    <x v="0"/>
    <x v="0"/>
    <x v="9"/>
    <x v="13"/>
    <x v="71"/>
    <x v="0"/>
    <x v="14"/>
    <x v="5"/>
  </r>
  <r>
    <x v="161"/>
    <x v="186"/>
    <x v="242"/>
    <x v="0"/>
    <x v="90"/>
    <x v="215"/>
    <x v="215"/>
    <x v="214"/>
    <x v="214"/>
    <x v="0"/>
    <x v="857"/>
    <x v="872"/>
    <x v="728"/>
    <x v="320"/>
    <x v="4"/>
    <x v="771"/>
    <x v="237"/>
    <x v="2"/>
    <x v="155"/>
    <x v="11"/>
    <x v="2"/>
    <x v="323"/>
    <x v="623"/>
    <x v="0"/>
    <x v="0"/>
    <x v="24"/>
    <x v="13"/>
    <x v="88"/>
    <x v="0"/>
    <x v="0"/>
    <x v="6"/>
  </r>
  <r>
    <x v="161"/>
    <x v="187"/>
    <x v="243"/>
    <x v="0"/>
    <x v="102"/>
    <x v="216"/>
    <x v="216"/>
    <x v="215"/>
    <x v="215"/>
    <x v="0"/>
    <x v="858"/>
    <x v="873"/>
    <x v="729"/>
    <x v="577"/>
    <x v="2"/>
    <x v="772"/>
    <x v="82"/>
    <x v="7"/>
    <x v="130"/>
    <x v="12"/>
    <x v="5"/>
    <x v="324"/>
    <x v="624"/>
    <x v="0"/>
    <x v="0"/>
    <x v="1"/>
    <x v="10"/>
    <x v="96"/>
    <x v="2"/>
    <x v="20"/>
    <x v="7"/>
  </r>
  <r>
    <x v="162"/>
    <x v="183"/>
    <x v="239"/>
    <x v="0"/>
    <x v="62"/>
    <x v="212"/>
    <x v="212"/>
    <x v="211"/>
    <x v="211"/>
    <x v="0"/>
    <x v="859"/>
    <x v="874"/>
    <x v="730"/>
    <x v="289"/>
    <x v="36"/>
    <x v="773"/>
    <x v="49"/>
    <x v="1"/>
    <x v="73"/>
    <x v="5"/>
    <x v="2"/>
    <x v="21"/>
    <x v="379"/>
    <x v="40"/>
    <x v="114"/>
    <x v="4"/>
    <x v="10"/>
    <x v="60"/>
    <x v="0"/>
    <x v="16"/>
    <x v="5"/>
  </r>
  <r>
    <x v="162"/>
    <x v="184"/>
    <x v="240"/>
    <x v="0"/>
    <x v="120"/>
    <x v="213"/>
    <x v="213"/>
    <x v="212"/>
    <x v="212"/>
    <x v="0"/>
    <x v="860"/>
    <x v="875"/>
    <x v="731"/>
    <x v="578"/>
    <x v="1"/>
    <x v="774"/>
    <x v="33"/>
    <x v="0"/>
    <x v="53"/>
    <x v="12"/>
    <x v="3"/>
    <x v="28"/>
    <x v="625"/>
    <x v="0"/>
    <x v="0"/>
    <x v="44"/>
    <x v="4"/>
    <x v="117"/>
    <x v="2"/>
    <x v="20"/>
    <x v="7"/>
  </r>
  <r>
    <x v="162"/>
    <x v="185"/>
    <x v="241"/>
    <x v="0"/>
    <x v="73"/>
    <x v="214"/>
    <x v="214"/>
    <x v="213"/>
    <x v="213"/>
    <x v="0"/>
    <x v="861"/>
    <x v="876"/>
    <x v="732"/>
    <x v="456"/>
    <x v="10"/>
    <x v="775"/>
    <x v="238"/>
    <x v="1"/>
    <x v="104"/>
    <x v="3"/>
    <x v="8"/>
    <x v="325"/>
    <x v="312"/>
    <x v="0"/>
    <x v="0"/>
    <x v="3"/>
    <x v="6"/>
    <x v="71"/>
    <x v="0"/>
    <x v="14"/>
    <x v="5"/>
  </r>
  <r>
    <x v="162"/>
    <x v="186"/>
    <x v="242"/>
    <x v="0"/>
    <x v="90"/>
    <x v="215"/>
    <x v="215"/>
    <x v="214"/>
    <x v="214"/>
    <x v="0"/>
    <x v="862"/>
    <x v="877"/>
    <x v="733"/>
    <x v="579"/>
    <x v="42"/>
    <x v="331"/>
    <x v="239"/>
    <x v="7"/>
    <x v="172"/>
    <x v="5"/>
    <x v="0"/>
    <x v="326"/>
    <x v="391"/>
    <x v="0"/>
    <x v="0"/>
    <x v="22"/>
    <x v="37"/>
    <x v="88"/>
    <x v="0"/>
    <x v="0"/>
    <x v="6"/>
  </r>
  <r>
    <x v="162"/>
    <x v="187"/>
    <x v="243"/>
    <x v="0"/>
    <x v="102"/>
    <x v="216"/>
    <x v="216"/>
    <x v="215"/>
    <x v="215"/>
    <x v="0"/>
    <x v="863"/>
    <x v="878"/>
    <x v="734"/>
    <x v="580"/>
    <x v="9"/>
    <x v="131"/>
    <x v="240"/>
    <x v="10"/>
    <x v="130"/>
    <x v="4"/>
    <x v="13"/>
    <x v="324"/>
    <x v="626"/>
    <x v="0"/>
    <x v="0"/>
    <x v="2"/>
    <x v="8"/>
    <x v="96"/>
    <x v="2"/>
    <x v="20"/>
    <x v="7"/>
  </r>
  <r>
    <x v="162"/>
    <x v="188"/>
    <x v="244"/>
    <x v="0"/>
    <x v="72"/>
    <x v="217"/>
    <x v="217"/>
    <x v="216"/>
    <x v="216"/>
    <x v="0"/>
    <x v="864"/>
    <x v="879"/>
    <x v="735"/>
    <x v="581"/>
    <x v="0"/>
    <x v="449"/>
    <x v="128"/>
    <x v="2"/>
    <x v="158"/>
    <x v="5"/>
    <x v="1"/>
    <x v="5"/>
    <x v="579"/>
    <x v="0"/>
    <x v="0"/>
    <x v="1"/>
    <x v="10"/>
    <x v="70"/>
    <x v="0"/>
    <x v="14"/>
    <x v="5"/>
  </r>
  <r>
    <x v="162"/>
    <x v="189"/>
    <x v="245"/>
    <x v="0"/>
    <x v="76"/>
    <x v="218"/>
    <x v="218"/>
    <x v="217"/>
    <x v="217"/>
    <x v="0"/>
    <x v="865"/>
    <x v="880"/>
    <x v="736"/>
    <x v="134"/>
    <x v="81"/>
    <x v="776"/>
    <x v="16"/>
    <x v="2"/>
    <x v="45"/>
    <x v="3"/>
    <x v="2"/>
    <x v="327"/>
    <x v="319"/>
    <x v="0"/>
    <x v="0"/>
    <x v="4"/>
    <x v="2"/>
    <x v="74"/>
    <x v="0"/>
    <x v="14"/>
    <x v="5"/>
  </r>
  <r>
    <x v="162"/>
    <x v="190"/>
    <x v="246"/>
    <x v="0"/>
    <x v="121"/>
    <x v="219"/>
    <x v="219"/>
    <x v="218"/>
    <x v="218"/>
    <x v="0"/>
    <x v="866"/>
    <x v="881"/>
    <x v="737"/>
    <x v="397"/>
    <x v="58"/>
    <x v="777"/>
    <x v="19"/>
    <x v="3"/>
    <x v="33"/>
    <x v="5"/>
    <x v="13"/>
    <x v="45"/>
    <x v="427"/>
    <x v="0"/>
    <x v="0"/>
    <x v="9"/>
    <x v="25"/>
    <x v="118"/>
    <x v="0"/>
    <x v="0"/>
    <x v="9"/>
  </r>
  <r>
    <x v="163"/>
    <x v="183"/>
    <x v="239"/>
    <x v="0"/>
    <x v="62"/>
    <x v="212"/>
    <x v="212"/>
    <x v="211"/>
    <x v="211"/>
    <x v="0"/>
    <x v="867"/>
    <x v="882"/>
    <x v="376"/>
    <x v="278"/>
    <x v="21"/>
    <x v="587"/>
    <x v="241"/>
    <x v="2"/>
    <x v="73"/>
    <x v="5"/>
    <x v="2"/>
    <x v="328"/>
    <x v="627"/>
    <x v="5"/>
    <x v="77"/>
    <x v="8"/>
    <x v="12"/>
    <x v="60"/>
    <x v="0"/>
    <x v="16"/>
    <x v="5"/>
  </r>
  <r>
    <x v="163"/>
    <x v="184"/>
    <x v="240"/>
    <x v="0"/>
    <x v="120"/>
    <x v="213"/>
    <x v="213"/>
    <x v="212"/>
    <x v="212"/>
    <x v="0"/>
    <x v="868"/>
    <x v="883"/>
    <x v="113"/>
    <x v="17"/>
    <x v="41"/>
    <x v="778"/>
    <x v="15"/>
    <x v="2"/>
    <x v="24"/>
    <x v="3"/>
    <x v="3"/>
    <x v="20"/>
    <x v="628"/>
    <x v="0"/>
    <x v="0"/>
    <x v="5"/>
    <x v="2"/>
    <x v="117"/>
    <x v="2"/>
    <x v="20"/>
    <x v="7"/>
  </r>
  <r>
    <x v="163"/>
    <x v="185"/>
    <x v="241"/>
    <x v="0"/>
    <x v="73"/>
    <x v="214"/>
    <x v="214"/>
    <x v="213"/>
    <x v="213"/>
    <x v="0"/>
    <x v="869"/>
    <x v="884"/>
    <x v="738"/>
    <x v="347"/>
    <x v="8"/>
    <x v="779"/>
    <x v="205"/>
    <x v="2"/>
    <x v="141"/>
    <x v="3"/>
    <x v="1"/>
    <x v="329"/>
    <x v="543"/>
    <x v="0"/>
    <x v="0"/>
    <x v="12"/>
    <x v="6"/>
    <x v="71"/>
    <x v="0"/>
    <x v="14"/>
    <x v="5"/>
  </r>
  <r>
    <x v="163"/>
    <x v="186"/>
    <x v="242"/>
    <x v="0"/>
    <x v="90"/>
    <x v="215"/>
    <x v="215"/>
    <x v="214"/>
    <x v="214"/>
    <x v="0"/>
    <x v="870"/>
    <x v="885"/>
    <x v="739"/>
    <x v="312"/>
    <x v="42"/>
    <x v="780"/>
    <x v="242"/>
    <x v="0"/>
    <x v="173"/>
    <x v="5"/>
    <x v="27"/>
    <x v="330"/>
    <x v="629"/>
    <x v="0"/>
    <x v="0"/>
    <x v="45"/>
    <x v="21"/>
    <x v="88"/>
    <x v="0"/>
    <x v="0"/>
    <x v="6"/>
  </r>
  <r>
    <x v="163"/>
    <x v="187"/>
    <x v="243"/>
    <x v="0"/>
    <x v="102"/>
    <x v="216"/>
    <x v="216"/>
    <x v="215"/>
    <x v="215"/>
    <x v="0"/>
    <x v="871"/>
    <x v="886"/>
    <x v="740"/>
    <x v="582"/>
    <x v="9"/>
    <x v="715"/>
    <x v="243"/>
    <x v="4"/>
    <x v="174"/>
    <x v="13"/>
    <x v="41"/>
    <x v="331"/>
    <x v="138"/>
    <x v="0"/>
    <x v="0"/>
    <x v="39"/>
    <x v="9"/>
    <x v="96"/>
    <x v="2"/>
    <x v="20"/>
    <x v="7"/>
  </r>
  <r>
    <x v="163"/>
    <x v="188"/>
    <x v="244"/>
    <x v="0"/>
    <x v="72"/>
    <x v="217"/>
    <x v="217"/>
    <x v="216"/>
    <x v="216"/>
    <x v="0"/>
    <x v="872"/>
    <x v="887"/>
    <x v="741"/>
    <x v="298"/>
    <x v="51"/>
    <x v="482"/>
    <x v="244"/>
    <x v="1"/>
    <x v="41"/>
    <x v="11"/>
    <x v="6"/>
    <x v="332"/>
    <x v="429"/>
    <x v="0"/>
    <x v="0"/>
    <x v="13"/>
    <x v="3"/>
    <x v="70"/>
    <x v="0"/>
    <x v="14"/>
    <x v="5"/>
  </r>
  <r>
    <x v="163"/>
    <x v="189"/>
    <x v="245"/>
    <x v="0"/>
    <x v="76"/>
    <x v="218"/>
    <x v="218"/>
    <x v="217"/>
    <x v="217"/>
    <x v="0"/>
    <x v="873"/>
    <x v="888"/>
    <x v="239"/>
    <x v="305"/>
    <x v="3"/>
    <x v="781"/>
    <x v="23"/>
    <x v="2"/>
    <x v="14"/>
    <x v="3"/>
    <x v="3"/>
    <x v="83"/>
    <x v="555"/>
    <x v="0"/>
    <x v="0"/>
    <x v="5"/>
    <x v="2"/>
    <x v="74"/>
    <x v="0"/>
    <x v="14"/>
    <x v="5"/>
  </r>
  <r>
    <x v="163"/>
    <x v="190"/>
    <x v="246"/>
    <x v="0"/>
    <x v="121"/>
    <x v="219"/>
    <x v="219"/>
    <x v="218"/>
    <x v="218"/>
    <x v="0"/>
    <x v="874"/>
    <x v="889"/>
    <x v="278"/>
    <x v="583"/>
    <x v="51"/>
    <x v="782"/>
    <x v="15"/>
    <x v="2"/>
    <x v="24"/>
    <x v="3"/>
    <x v="3"/>
    <x v="20"/>
    <x v="630"/>
    <x v="0"/>
    <x v="0"/>
    <x v="5"/>
    <x v="2"/>
    <x v="118"/>
    <x v="0"/>
    <x v="0"/>
    <x v="9"/>
  </r>
  <r>
    <x v="163"/>
    <x v="191"/>
    <x v="247"/>
    <x v="0"/>
    <x v="122"/>
    <x v="220"/>
    <x v="220"/>
    <x v="219"/>
    <x v="219"/>
    <x v="0"/>
    <x v="875"/>
    <x v="890"/>
    <x v="742"/>
    <x v="154"/>
    <x v="36"/>
    <x v="783"/>
    <x v="86"/>
    <x v="0"/>
    <x v="91"/>
    <x v="3"/>
    <x v="2"/>
    <x v="232"/>
    <x v="631"/>
    <x v="0"/>
    <x v="0"/>
    <x v="11"/>
    <x v="5"/>
    <x v="119"/>
    <x v="0"/>
    <x v="22"/>
    <x v="6"/>
  </r>
  <r>
    <x v="164"/>
    <x v="183"/>
    <x v="239"/>
    <x v="0"/>
    <x v="62"/>
    <x v="212"/>
    <x v="212"/>
    <x v="211"/>
    <x v="211"/>
    <x v="0"/>
    <x v="876"/>
    <x v="891"/>
    <x v="743"/>
    <x v="584"/>
    <x v="43"/>
    <x v="140"/>
    <x v="66"/>
    <x v="1"/>
    <x v="17"/>
    <x v="3"/>
    <x v="4"/>
    <x v="66"/>
    <x v="632"/>
    <x v="3"/>
    <x v="115"/>
    <x v="5"/>
    <x v="13"/>
    <x v="60"/>
    <x v="0"/>
    <x v="16"/>
    <x v="5"/>
  </r>
  <r>
    <x v="164"/>
    <x v="185"/>
    <x v="241"/>
    <x v="0"/>
    <x v="73"/>
    <x v="214"/>
    <x v="214"/>
    <x v="213"/>
    <x v="213"/>
    <x v="0"/>
    <x v="877"/>
    <x v="892"/>
    <x v="744"/>
    <x v="551"/>
    <x v="48"/>
    <x v="587"/>
    <x v="245"/>
    <x v="2"/>
    <x v="12"/>
    <x v="3"/>
    <x v="3"/>
    <x v="333"/>
    <x v="316"/>
    <x v="0"/>
    <x v="0"/>
    <x v="10"/>
    <x v="5"/>
    <x v="71"/>
    <x v="0"/>
    <x v="14"/>
    <x v="5"/>
  </r>
  <r>
    <x v="164"/>
    <x v="186"/>
    <x v="242"/>
    <x v="0"/>
    <x v="90"/>
    <x v="215"/>
    <x v="215"/>
    <x v="214"/>
    <x v="214"/>
    <x v="0"/>
    <x v="878"/>
    <x v="893"/>
    <x v="400"/>
    <x v="585"/>
    <x v="7"/>
    <x v="779"/>
    <x v="246"/>
    <x v="1"/>
    <x v="81"/>
    <x v="3"/>
    <x v="4"/>
    <x v="334"/>
    <x v="312"/>
    <x v="0"/>
    <x v="0"/>
    <x v="18"/>
    <x v="13"/>
    <x v="88"/>
    <x v="0"/>
    <x v="0"/>
    <x v="6"/>
  </r>
  <r>
    <x v="164"/>
    <x v="187"/>
    <x v="243"/>
    <x v="0"/>
    <x v="102"/>
    <x v="216"/>
    <x v="216"/>
    <x v="215"/>
    <x v="215"/>
    <x v="0"/>
    <x v="879"/>
    <x v="894"/>
    <x v="745"/>
    <x v="586"/>
    <x v="9"/>
    <x v="784"/>
    <x v="182"/>
    <x v="7"/>
    <x v="131"/>
    <x v="4"/>
    <x v="7"/>
    <x v="332"/>
    <x v="265"/>
    <x v="0"/>
    <x v="0"/>
    <x v="13"/>
    <x v="10"/>
    <x v="96"/>
    <x v="2"/>
    <x v="20"/>
    <x v="7"/>
  </r>
  <r>
    <x v="164"/>
    <x v="188"/>
    <x v="244"/>
    <x v="0"/>
    <x v="72"/>
    <x v="217"/>
    <x v="217"/>
    <x v="216"/>
    <x v="216"/>
    <x v="0"/>
    <x v="880"/>
    <x v="895"/>
    <x v="746"/>
    <x v="125"/>
    <x v="42"/>
    <x v="785"/>
    <x v="16"/>
    <x v="2"/>
    <x v="92"/>
    <x v="5"/>
    <x v="3"/>
    <x v="109"/>
    <x v="473"/>
    <x v="0"/>
    <x v="0"/>
    <x v="12"/>
    <x v="2"/>
    <x v="70"/>
    <x v="0"/>
    <x v="14"/>
    <x v="5"/>
  </r>
  <r>
    <x v="164"/>
    <x v="191"/>
    <x v="247"/>
    <x v="0"/>
    <x v="122"/>
    <x v="220"/>
    <x v="220"/>
    <x v="219"/>
    <x v="219"/>
    <x v="0"/>
    <x v="881"/>
    <x v="896"/>
    <x v="747"/>
    <x v="226"/>
    <x v="58"/>
    <x v="786"/>
    <x v="30"/>
    <x v="2"/>
    <x v="91"/>
    <x v="5"/>
    <x v="2"/>
    <x v="14"/>
    <x v="401"/>
    <x v="0"/>
    <x v="0"/>
    <x v="4"/>
    <x v="11"/>
    <x v="119"/>
    <x v="0"/>
    <x v="22"/>
    <x v="6"/>
  </r>
  <r>
    <x v="164"/>
    <x v="183"/>
    <x v="248"/>
    <x v="1"/>
    <x v="62"/>
    <x v="221"/>
    <x v="221"/>
    <x v="220"/>
    <x v="220"/>
    <x v="0"/>
    <x v="882"/>
    <x v="897"/>
    <x v="748"/>
    <x v="76"/>
    <x v="40"/>
    <x v="787"/>
    <x v="8"/>
    <x v="2"/>
    <x v="50"/>
    <x v="3"/>
    <x v="3"/>
    <x v="83"/>
    <x v="633"/>
    <x v="13"/>
    <x v="116"/>
    <x v="2"/>
    <x v="5"/>
    <x v="60"/>
    <x v="0"/>
    <x v="16"/>
    <x v="5"/>
  </r>
  <r>
    <x v="164"/>
    <x v="192"/>
    <x v="249"/>
    <x v="1"/>
    <x v="62"/>
    <x v="222"/>
    <x v="222"/>
    <x v="221"/>
    <x v="221"/>
    <x v="0"/>
    <x v="883"/>
    <x v="467"/>
    <x v="113"/>
    <x v="587"/>
    <x v="74"/>
    <x v="216"/>
    <x v="15"/>
    <x v="2"/>
    <x v="14"/>
    <x v="3"/>
    <x v="3"/>
    <x v="15"/>
    <x v="15"/>
    <x v="0"/>
    <x v="0"/>
    <x v="5"/>
    <x v="2"/>
    <x v="60"/>
    <x v="0"/>
    <x v="16"/>
    <x v="5"/>
  </r>
  <r>
    <x v="164"/>
    <x v="186"/>
    <x v="250"/>
    <x v="1"/>
    <x v="90"/>
    <x v="222"/>
    <x v="222"/>
    <x v="221"/>
    <x v="221"/>
    <x v="0"/>
    <x v="884"/>
    <x v="898"/>
    <x v="749"/>
    <x v="585"/>
    <x v="108"/>
    <x v="788"/>
    <x v="17"/>
    <x v="0"/>
    <x v="22"/>
    <x v="3"/>
    <x v="3"/>
    <x v="165"/>
    <x v="634"/>
    <x v="0"/>
    <x v="0"/>
    <x v="7"/>
    <x v="2"/>
    <x v="88"/>
    <x v="0"/>
    <x v="0"/>
    <x v="6"/>
  </r>
  <r>
    <x v="164"/>
    <x v="193"/>
    <x v="251"/>
    <x v="0"/>
    <x v="123"/>
    <x v="223"/>
    <x v="223"/>
    <x v="222"/>
    <x v="222"/>
    <x v="0"/>
    <x v="885"/>
    <x v="899"/>
    <x v="750"/>
    <x v="588"/>
    <x v="2"/>
    <x v="789"/>
    <x v="86"/>
    <x v="10"/>
    <x v="8"/>
    <x v="11"/>
    <x v="1"/>
    <x v="232"/>
    <x v="548"/>
    <x v="0"/>
    <x v="0"/>
    <x v="11"/>
    <x v="6"/>
    <x v="120"/>
    <x v="2"/>
    <x v="20"/>
    <x v="7"/>
  </r>
  <r>
    <x v="165"/>
    <x v="183"/>
    <x v="239"/>
    <x v="0"/>
    <x v="62"/>
    <x v="212"/>
    <x v="212"/>
    <x v="211"/>
    <x v="211"/>
    <x v="0"/>
    <x v="886"/>
    <x v="900"/>
    <x v="751"/>
    <x v="589"/>
    <x v="15"/>
    <x v="790"/>
    <x v="36"/>
    <x v="0"/>
    <x v="49"/>
    <x v="3"/>
    <x v="4"/>
    <x v="1"/>
    <x v="545"/>
    <x v="14"/>
    <x v="113"/>
    <x v="7"/>
    <x v="2"/>
    <x v="60"/>
    <x v="0"/>
    <x v="16"/>
    <x v="5"/>
  </r>
  <r>
    <x v="165"/>
    <x v="185"/>
    <x v="241"/>
    <x v="0"/>
    <x v="73"/>
    <x v="214"/>
    <x v="214"/>
    <x v="213"/>
    <x v="213"/>
    <x v="0"/>
    <x v="887"/>
    <x v="901"/>
    <x v="752"/>
    <x v="590"/>
    <x v="52"/>
    <x v="791"/>
    <x v="202"/>
    <x v="3"/>
    <x v="122"/>
    <x v="11"/>
    <x v="0"/>
    <x v="335"/>
    <x v="432"/>
    <x v="0"/>
    <x v="0"/>
    <x v="24"/>
    <x v="13"/>
    <x v="71"/>
    <x v="0"/>
    <x v="14"/>
    <x v="5"/>
  </r>
  <r>
    <x v="165"/>
    <x v="186"/>
    <x v="242"/>
    <x v="0"/>
    <x v="90"/>
    <x v="215"/>
    <x v="215"/>
    <x v="214"/>
    <x v="214"/>
    <x v="0"/>
    <x v="888"/>
    <x v="902"/>
    <x v="753"/>
    <x v="591"/>
    <x v="7"/>
    <x v="281"/>
    <x v="247"/>
    <x v="3"/>
    <x v="126"/>
    <x v="11"/>
    <x v="0"/>
    <x v="111"/>
    <x v="249"/>
    <x v="0"/>
    <x v="0"/>
    <x v="8"/>
    <x v="28"/>
    <x v="88"/>
    <x v="0"/>
    <x v="0"/>
    <x v="6"/>
  </r>
  <r>
    <x v="165"/>
    <x v="187"/>
    <x v="243"/>
    <x v="0"/>
    <x v="102"/>
    <x v="216"/>
    <x v="216"/>
    <x v="215"/>
    <x v="215"/>
    <x v="0"/>
    <x v="889"/>
    <x v="903"/>
    <x v="754"/>
    <x v="271"/>
    <x v="9"/>
    <x v="792"/>
    <x v="248"/>
    <x v="7"/>
    <x v="175"/>
    <x v="0"/>
    <x v="6"/>
    <x v="233"/>
    <x v="317"/>
    <x v="0"/>
    <x v="0"/>
    <x v="4"/>
    <x v="5"/>
    <x v="96"/>
    <x v="2"/>
    <x v="20"/>
    <x v="7"/>
  </r>
  <r>
    <x v="165"/>
    <x v="188"/>
    <x v="244"/>
    <x v="0"/>
    <x v="72"/>
    <x v="217"/>
    <x v="217"/>
    <x v="216"/>
    <x v="216"/>
    <x v="0"/>
    <x v="890"/>
    <x v="904"/>
    <x v="248"/>
    <x v="113"/>
    <x v="4"/>
    <x v="793"/>
    <x v="15"/>
    <x v="2"/>
    <x v="24"/>
    <x v="3"/>
    <x v="3"/>
    <x v="20"/>
    <x v="635"/>
    <x v="0"/>
    <x v="0"/>
    <x v="5"/>
    <x v="2"/>
    <x v="70"/>
    <x v="0"/>
    <x v="14"/>
    <x v="5"/>
  </r>
  <r>
    <x v="165"/>
    <x v="191"/>
    <x v="247"/>
    <x v="0"/>
    <x v="122"/>
    <x v="220"/>
    <x v="220"/>
    <x v="219"/>
    <x v="219"/>
    <x v="0"/>
    <x v="30"/>
    <x v="90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22"/>
    <x v="6"/>
  </r>
  <r>
    <x v="165"/>
    <x v="183"/>
    <x v="248"/>
    <x v="1"/>
    <x v="62"/>
    <x v="221"/>
    <x v="221"/>
    <x v="223"/>
    <x v="220"/>
    <x v="0"/>
    <x v="891"/>
    <x v="906"/>
    <x v="755"/>
    <x v="592"/>
    <x v="33"/>
    <x v="794"/>
    <x v="8"/>
    <x v="2"/>
    <x v="14"/>
    <x v="3"/>
    <x v="3"/>
    <x v="27"/>
    <x v="636"/>
    <x v="0"/>
    <x v="0"/>
    <x v="1"/>
    <x v="2"/>
    <x v="60"/>
    <x v="0"/>
    <x v="16"/>
    <x v="5"/>
  </r>
  <r>
    <x v="165"/>
    <x v="186"/>
    <x v="250"/>
    <x v="1"/>
    <x v="90"/>
    <x v="222"/>
    <x v="222"/>
    <x v="224"/>
    <x v="221"/>
    <x v="0"/>
    <x v="892"/>
    <x v="907"/>
    <x v="756"/>
    <x v="187"/>
    <x v="98"/>
    <x v="795"/>
    <x v="23"/>
    <x v="2"/>
    <x v="50"/>
    <x v="3"/>
    <x v="3"/>
    <x v="93"/>
    <x v="637"/>
    <x v="0"/>
    <x v="0"/>
    <x v="2"/>
    <x v="11"/>
    <x v="88"/>
    <x v="0"/>
    <x v="0"/>
    <x v="6"/>
  </r>
  <r>
    <x v="165"/>
    <x v="193"/>
    <x v="251"/>
    <x v="0"/>
    <x v="123"/>
    <x v="223"/>
    <x v="223"/>
    <x v="222"/>
    <x v="222"/>
    <x v="0"/>
    <x v="893"/>
    <x v="908"/>
    <x v="113"/>
    <x v="335"/>
    <x v="13"/>
    <x v="796"/>
    <x v="15"/>
    <x v="2"/>
    <x v="14"/>
    <x v="3"/>
    <x v="3"/>
    <x v="15"/>
    <x v="15"/>
    <x v="0"/>
    <x v="0"/>
    <x v="5"/>
    <x v="2"/>
    <x v="120"/>
    <x v="2"/>
    <x v="20"/>
    <x v="7"/>
  </r>
  <r>
    <x v="165"/>
    <x v="194"/>
    <x v="252"/>
    <x v="0"/>
    <x v="124"/>
    <x v="224"/>
    <x v="224"/>
    <x v="225"/>
    <x v="223"/>
    <x v="0"/>
    <x v="894"/>
    <x v="909"/>
    <x v="757"/>
    <x v="521"/>
    <x v="14"/>
    <x v="797"/>
    <x v="185"/>
    <x v="1"/>
    <x v="49"/>
    <x v="3"/>
    <x v="2"/>
    <x v="1"/>
    <x v="157"/>
    <x v="0"/>
    <x v="0"/>
    <x v="2"/>
    <x v="2"/>
    <x v="121"/>
    <x v="0"/>
    <x v="0"/>
    <x v="6"/>
  </r>
  <r>
    <x v="16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</r>
  <r>
    <x v="166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</r>
  <r>
    <x v="166"/>
    <x v="182"/>
    <x v="238"/>
    <x v="0"/>
    <x v="119"/>
    <x v="211"/>
    <x v="211"/>
    <x v="210"/>
    <x v="2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6"/>
    <x v="0"/>
    <x v="0"/>
    <x v="6"/>
  </r>
  <r>
    <x v="166"/>
    <x v="183"/>
    <x v="239"/>
    <x v="0"/>
    <x v="62"/>
    <x v="212"/>
    <x v="212"/>
    <x v="211"/>
    <x v="211"/>
    <x v="0"/>
    <x v="895"/>
    <x v="779"/>
    <x v="27"/>
    <x v="150"/>
    <x v="48"/>
    <x v="425"/>
    <x v="15"/>
    <x v="2"/>
    <x v="14"/>
    <x v="3"/>
    <x v="3"/>
    <x v="15"/>
    <x v="15"/>
    <x v="0"/>
    <x v="0"/>
    <x v="5"/>
    <x v="2"/>
    <x v="60"/>
    <x v="0"/>
    <x v="16"/>
    <x v="5"/>
  </r>
  <r>
    <x v="166"/>
    <x v="185"/>
    <x v="241"/>
    <x v="0"/>
    <x v="73"/>
    <x v="214"/>
    <x v="214"/>
    <x v="213"/>
    <x v="213"/>
    <x v="0"/>
    <x v="896"/>
    <x v="910"/>
    <x v="758"/>
    <x v="272"/>
    <x v="74"/>
    <x v="798"/>
    <x v="58"/>
    <x v="2"/>
    <x v="71"/>
    <x v="3"/>
    <x v="1"/>
    <x v="214"/>
    <x v="292"/>
    <x v="0"/>
    <x v="0"/>
    <x v="0"/>
    <x v="6"/>
    <x v="71"/>
    <x v="0"/>
    <x v="14"/>
    <x v="5"/>
  </r>
  <r>
    <x v="166"/>
    <x v="186"/>
    <x v="242"/>
    <x v="0"/>
    <x v="90"/>
    <x v="215"/>
    <x v="215"/>
    <x v="214"/>
    <x v="214"/>
    <x v="0"/>
    <x v="897"/>
    <x v="911"/>
    <x v="759"/>
    <x v="593"/>
    <x v="7"/>
    <x v="799"/>
    <x v="249"/>
    <x v="1"/>
    <x v="176"/>
    <x v="3"/>
    <x v="4"/>
    <x v="336"/>
    <x v="397"/>
    <x v="0"/>
    <x v="0"/>
    <x v="28"/>
    <x v="23"/>
    <x v="88"/>
    <x v="0"/>
    <x v="0"/>
    <x v="6"/>
  </r>
  <r>
    <x v="166"/>
    <x v="187"/>
    <x v="243"/>
    <x v="0"/>
    <x v="102"/>
    <x v="216"/>
    <x v="216"/>
    <x v="215"/>
    <x v="215"/>
    <x v="0"/>
    <x v="898"/>
    <x v="912"/>
    <x v="577"/>
    <x v="594"/>
    <x v="5"/>
    <x v="800"/>
    <x v="107"/>
    <x v="0"/>
    <x v="12"/>
    <x v="5"/>
    <x v="8"/>
    <x v="142"/>
    <x v="95"/>
    <x v="0"/>
    <x v="0"/>
    <x v="2"/>
    <x v="5"/>
    <x v="96"/>
    <x v="2"/>
    <x v="20"/>
    <x v="7"/>
  </r>
  <r>
    <x v="166"/>
    <x v="190"/>
    <x v="246"/>
    <x v="0"/>
    <x v="121"/>
    <x v="219"/>
    <x v="219"/>
    <x v="218"/>
    <x v="2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8"/>
    <x v="0"/>
    <x v="0"/>
    <x v="9"/>
  </r>
  <r>
    <x v="166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22"/>
    <x v="6"/>
  </r>
  <r>
    <x v="166"/>
    <x v="183"/>
    <x v="248"/>
    <x v="1"/>
    <x v="62"/>
    <x v="221"/>
    <x v="221"/>
    <x v="223"/>
    <x v="220"/>
    <x v="0"/>
    <x v="899"/>
    <x v="913"/>
    <x v="760"/>
    <x v="595"/>
    <x v="44"/>
    <x v="801"/>
    <x v="23"/>
    <x v="2"/>
    <x v="24"/>
    <x v="3"/>
    <x v="2"/>
    <x v="93"/>
    <x v="638"/>
    <x v="13"/>
    <x v="115"/>
    <x v="2"/>
    <x v="5"/>
    <x v="60"/>
    <x v="0"/>
    <x v="16"/>
    <x v="5"/>
  </r>
  <r>
    <x v="166"/>
    <x v="193"/>
    <x v="251"/>
    <x v="0"/>
    <x v="123"/>
    <x v="223"/>
    <x v="223"/>
    <x v="222"/>
    <x v="2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20"/>
    <x v="2"/>
    <x v="20"/>
    <x v="7"/>
  </r>
  <r>
    <x v="166"/>
    <x v="194"/>
    <x v="252"/>
    <x v="0"/>
    <x v="124"/>
    <x v="224"/>
    <x v="224"/>
    <x v="225"/>
    <x v="223"/>
    <x v="0"/>
    <x v="900"/>
    <x v="914"/>
    <x v="27"/>
    <x v="596"/>
    <x v="44"/>
    <x v="802"/>
    <x v="15"/>
    <x v="2"/>
    <x v="24"/>
    <x v="3"/>
    <x v="3"/>
    <x v="20"/>
    <x v="639"/>
    <x v="0"/>
    <x v="0"/>
    <x v="2"/>
    <x v="2"/>
    <x v="121"/>
    <x v="0"/>
    <x v="0"/>
    <x v="6"/>
  </r>
  <r>
    <x v="166"/>
    <x v="163"/>
    <x v="253"/>
    <x v="0"/>
    <x v="47"/>
    <x v="225"/>
    <x v="225"/>
    <x v="226"/>
    <x v="224"/>
    <x v="0"/>
    <x v="901"/>
    <x v="915"/>
    <x v="761"/>
    <x v="597"/>
    <x v="36"/>
    <x v="803"/>
    <x v="5"/>
    <x v="2"/>
    <x v="159"/>
    <x v="4"/>
    <x v="23"/>
    <x v="337"/>
    <x v="302"/>
    <x v="0"/>
    <x v="0"/>
    <x v="2"/>
    <x v="13"/>
    <x v="31"/>
    <x v="0"/>
    <x v="14"/>
    <x v="5"/>
  </r>
  <r>
    <x v="167"/>
    <x v="180"/>
    <x v="236"/>
    <x v="0"/>
    <x v="117"/>
    <x v="209"/>
    <x v="209"/>
    <x v="208"/>
    <x v="20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4"/>
    <x v="0"/>
    <x v="14"/>
    <x v="5"/>
  </r>
  <r>
    <x v="167"/>
    <x v="183"/>
    <x v="239"/>
    <x v="0"/>
    <x v="62"/>
    <x v="212"/>
    <x v="212"/>
    <x v="211"/>
    <x v="2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</r>
  <r>
    <x v="167"/>
    <x v="185"/>
    <x v="241"/>
    <x v="0"/>
    <x v="73"/>
    <x v="214"/>
    <x v="214"/>
    <x v="213"/>
    <x v="213"/>
    <x v="0"/>
    <x v="902"/>
    <x v="916"/>
    <x v="762"/>
    <x v="295"/>
    <x v="25"/>
    <x v="804"/>
    <x v="250"/>
    <x v="1"/>
    <x v="168"/>
    <x v="5"/>
    <x v="8"/>
    <x v="338"/>
    <x v="640"/>
    <x v="0"/>
    <x v="0"/>
    <x v="8"/>
    <x v="6"/>
    <x v="71"/>
    <x v="0"/>
    <x v="14"/>
    <x v="5"/>
  </r>
  <r>
    <x v="167"/>
    <x v="186"/>
    <x v="242"/>
    <x v="0"/>
    <x v="90"/>
    <x v="215"/>
    <x v="215"/>
    <x v="214"/>
    <x v="214"/>
    <x v="0"/>
    <x v="903"/>
    <x v="917"/>
    <x v="763"/>
    <x v="62"/>
    <x v="51"/>
    <x v="805"/>
    <x v="193"/>
    <x v="0"/>
    <x v="142"/>
    <x v="11"/>
    <x v="2"/>
    <x v="339"/>
    <x v="421"/>
    <x v="0"/>
    <x v="0"/>
    <x v="21"/>
    <x v="37"/>
    <x v="88"/>
    <x v="0"/>
    <x v="0"/>
    <x v="6"/>
  </r>
  <r>
    <x v="167"/>
    <x v="187"/>
    <x v="243"/>
    <x v="0"/>
    <x v="102"/>
    <x v="216"/>
    <x v="216"/>
    <x v="215"/>
    <x v="215"/>
    <x v="0"/>
    <x v="904"/>
    <x v="918"/>
    <x v="764"/>
    <x v="598"/>
    <x v="5"/>
    <x v="162"/>
    <x v="95"/>
    <x v="0"/>
    <x v="25"/>
    <x v="3"/>
    <x v="7"/>
    <x v="116"/>
    <x v="155"/>
    <x v="0"/>
    <x v="0"/>
    <x v="2"/>
    <x v="5"/>
    <x v="96"/>
    <x v="2"/>
    <x v="20"/>
    <x v="7"/>
  </r>
  <r>
    <x v="167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22"/>
    <x v="6"/>
  </r>
  <r>
    <x v="167"/>
    <x v="183"/>
    <x v="248"/>
    <x v="1"/>
    <x v="62"/>
    <x v="221"/>
    <x v="221"/>
    <x v="223"/>
    <x v="220"/>
    <x v="0"/>
    <x v="905"/>
    <x v="919"/>
    <x v="765"/>
    <x v="42"/>
    <x v="44"/>
    <x v="806"/>
    <x v="26"/>
    <x v="2"/>
    <x v="19"/>
    <x v="3"/>
    <x v="2"/>
    <x v="8"/>
    <x v="641"/>
    <x v="20"/>
    <x v="117"/>
    <x v="3"/>
    <x v="3"/>
    <x v="60"/>
    <x v="0"/>
    <x v="16"/>
    <x v="5"/>
  </r>
  <r>
    <x v="167"/>
    <x v="163"/>
    <x v="253"/>
    <x v="0"/>
    <x v="47"/>
    <x v="225"/>
    <x v="225"/>
    <x v="226"/>
    <x v="224"/>
    <x v="0"/>
    <x v="906"/>
    <x v="883"/>
    <x v="113"/>
    <x v="17"/>
    <x v="51"/>
    <x v="807"/>
    <x v="15"/>
    <x v="2"/>
    <x v="14"/>
    <x v="3"/>
    <x v="3"/>
    <x v="15"/>
    <x v="15"/>
    <x v="0"/>
    <x v="0"/>
    <x v="5"/>
    <x v="2"/>
    <x v="31"/>
    <x v="0"/>
    <x v="14"/>
    <x v="5"/>
  </r>
  <r>
    <x v="168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</r>
  <r>
    <x v="168"/>
    <x v="185"/>
    <x v="241"/>
    <x v="0"/>
    <x v="73"/>
    <x v="214"/>
    <x v="214"/>
    <x v="213"/>
    <x v="213"/>
    <x v="0"/>
    <x v="907"/>
    <x v="920"/>
    <x v="766"/>
    <x v="599"/>
    <x v="23"/>
    <x v="808"/>
    <x v="157"/>
    <x v="1"/>
    <x v="176"/>
    <x v="3"/>
    <x v="23"/>
    <x v="340"/>
    <x v="642"/>
    <x v="0"/>
    <x v="0"/>
    <x v="24"/>
    <x v="6"/>
    <x v="71"/>
    <x v="0"/>
    <x v="14"/>
    <x v="5"/>
  </r>
  <r>
    <x v="168"/>
    <x v="186"/>
    <x v="242"/>
    <x v="0"/>
    <x v="90"/>
    <x v="215"/>
    <x v="215"/>
    <x v="214"/>
    <x v="214"/>
    <x v="0"/>
    <x v="908"/>
    <x v="921"/>
    <x v="767"/>
    <x v="600"/>
    <x v="51"/>
    <x v="809"/>
    <x v="251"/>
    <x v="7"/>
    <x v="61"/>
    <x v="5"/>
    <x v="4"/>
    <x v="334"/>
    <x v="643"/>
    <x v="0"/>
    <x v="0"/>
    <x v="13"/>
    <x v="0"/>
    <x v="88"/>
    <x v="0"/>
    <x v="0"/>
    <x v="6"/>
  </r>
  <r>
    <x v="168"/>
    <x v="187"/>
    <x v="243"/>
    <x v="0"/>
    <x v="102"/>
    <x v="216"/>
    <x v="216"/>
    <x v="215"/>
    <x v="215"/>
    <x v="0"/>
    <x v="909"/>
    <x v="922"/>
    <x v="768"/>
    <x v="601"/>
    <x v="5"/>
    <x v="810"/>
    <x v="118"/>
    <x v="0"/>
    <x v="15"/>
    <x v="11"/>
    <x v="4"/>
    <x v="39"/>
    <x v="240"/>
    <x v="0"/>
    <x v="0"/>
    <x v="4"/>
    <x v="11"/>
    <x v="96"/>
    <x v="2"/>
    <x v="20"/>
    <x v="7"/>
  </r>
  <r>
    <x v="168"/>
    <x v="188"/>
    <x v="244"/>
    <x v="0"/>
    <x v="72"/>
    <x v="217"/>
    <x v="217"/>
    <x v="216"/>
    <x v="216"/>
    <x v="0"/>
    <x v="910"/>
    <x v="923"/>
    <x v="769"/>
    <x v="40"/>
    <x v="41"/>
    <x v="811"/>
    <x v="99"/>
    <x v="1"/>
    <x v="35"/>
    <x v="11"/>
    <x v="0"/>
    <x v="143"/>
    <x v="644"/>
    <x v="0"/>
    <x v="0"/>
    <x v="12"/>
    <x v="5"/>
    <x v="70"/>
    <x v="0"/>
    <x v="14"/>
    <x v="5"/>
  </r>
  <r>
    <x v="168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22"/>
    <x v="6"/>
  </r>
  <r>
    <x v="168"/>
    <x v="183"/>
    <x v="248"/>
    <x v="1"/>
    <x v="62"/>
    <x v="221"/>
    <x v="221"/>
    <x v="223"/>
    <x v="220"/>
    <x v="0"/>
    <x v="911"/>
    <x v="924"/>
    <x v="770"/>
    <x v="602"/>
    <x v="44"/>
    <x v="812"/>
    <x v="41"/>
    <x v="2"/>
    <x v="14"/>
    <x v="3"/>
    <x v="2"/>
    <x v="93"/>
    <x v="645"/>
    <x v="27"/>
    <x v="118"/>
    <x v="1"/>
    <x v="5"/>
    <x v="60"/>
    <x v="0"/>
    <x v="16"/>
    <x v="5"/>
  </r>
  <r>
    <x v="169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</r>
  <r>
    <x v="169"/>
    <x v="185"/>
    <x v="241"/>
    <x v="0"/>
    <x v="73"/>
    <x v="214"/>
    <x v="214"/>
    <x v="213"/>
    <x v="213"/>
    <x v="0"/>
    <x v="912"/>
    <x v="925"/>
    <x v="393"/>
    <x v="585"/>
    <x v="14"/>
    <x v="813"/>
    <x v="0"/>
    <x v="7"/>
    <x v="147"/>
    <x v="5"/>
    <x v="2"/>
    <x v="159"/>
    <x v="474"/>
    <x v="0"/>
    <x v="0"/>
    <x v="8"/>
    <x v="12"/>
    <x v="71"/>
    <x v="0"/>
    <x v="14"/>
    <x v="5"/>
  </r>
  <r>
    <x v="169"/>
    <x v="186"/>
    <x v="242"/>
    <x v="0"/>
    <x v="90"/>
    <x v="215"/>
    <x v="215"/>
    <x v="214"/>
    <x v="214"/>
    <x v="0"/>
    <x v="458"/>
    <x v="123"/>
    <x v="113"/>
    <x v="115"/>
    <x v="37"/>
    <x v="814"/>
    <x v="15"/>
    <x v="2"/>
    <x v="14"/>
    <x v="3"/>
    <x v="3"/>
    <x v="15"/>
    <x v="15"/>
    <x v="0"/>
    <x v="0"/>
    <x v="5"/>
    <x v="2"/>
    <x v="88"/>
    <x v="0"/>
    <x v="0"/>
    <x v="6"/>
  </r>
  <r>
    <x v="169"/>
    <x v="187"/>
    <x v="243"/>
    <x v="0"/>
    <x v="102"/>
    <x v="216"/>
    <x v="216"/>
    <x v="215"/>
    <x v="2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6"/>
    <x v="2"/>
    <x v="20"/>
    <x v="7"/>
  </r>
  <r>
    <x v="169"/>
    <x v="188"/>
    <x v="244"/>
    <x v="0"/>
    <x v="72"/>
    <x v="217"/>
    <x v="217"/>
    <x v="216"/>
    <x v="216"/>
    <x v="0"/>
    <x v="913"/>
    <x v="926"/>
    <x v="771"/>
    <x v="603"/>
    <x v="52"/>
    <x v="815"/>
    <x v="176"/>
    <x v="2"/>
    <x v="89"/>
    <x v="3"/>
    <x v="4"/>
    <x v="145"/>
    <x v="178"/>
    <x v="0"/>
    <x v="0"/>
    <x v="4"/>
    <x v="2"/>
    <x v="70"/>
    <x v="0"/>
    <x v="14"/>
    <x v="5"/>
  </r>
  <r>
    <x v="169"/>
    <x v="183"/>
    <x v="248"/>
    <x v="1"/>
    <x v="62"/>
    <x v="221"/>
    <x v="221"/>
    <x v="223"/>
    <x v="220"/>
    <x v="0"/>
    <x v="914"/>
    <x v="927"/>
    <x v="772"/>
    <x v="604"/>
    <x v="26"/>
    <x v="816"/>
    <x v="18"/>
    <x v="2"/>
    <x v="103"/>
    <x v="3"/>
    <x v="2"/>
    <x v="20"/>
    <x v="646"/>
    <x v="5"/>
    <x v="11"/>
    <x v="5"/>
    <x v="2"/>
    <x v="60"/>
    <x v="0"/>
    <x v="16"/>
    <x v="5"/>
  </r>
  <r>
    <x v="169"/>
    <x v="195"/>
    <x v="254"/>
    <x v="1"/>
    <x v="62"/>
    <x v="226"/>
    <x v="226"/>
    <x v="227"/>
    <x v="225"/>
    <x v="0"/>
    <x v="915"/>
    <x v="30"/>
    <x v="72"/>
    <x v="522"/>
    <x v="17"/>
    <x v="817"/>
    <x v="15"/>
    <x v="2"/>
    <x v="14"/>
    <x v="3"/>
    <x v="3"/>
    <x v="15"/>
    <x v="15"/>
    <x v="0"/>
    <x v="0"/>
    <x v="5"/>
    <x v="2"/>
    <x v="60"/>
    <x v="0"/>
    <x v="16"/>
    <x v="5"/>
  </r>
  <r>
    <x v="169"/>
    <x v="163"/>
    <x v="255"/>
    <x v="1"/>
    <x v="47"/>
    <x v="226"/>
    <x v="226"/>
    <x v="227"/>
    <x v="225"/>
    <x v="0"/>
    <x v="916"/>
    <x v="928"/>
    <x v="773"/>
    <x v="515"/>
    <x v="15"/>
    <x v="746"/>
    <x v="65"/>
    <x v="2"/>
    <x v="38"/>
    <x v="1"/>
    <x v="4"/>
    <x v="64"/>
    <x v="647"/>
    <x v="0"/>
    <x v="0"/>
    <x v="5"/>
    <x v="5"/>
    <x v="31"/>
    <x v="0"/>
    <x v="14"/>
    <x v="5"/>
  </r>
  <r>
    <x v="170"/>
    <x v="196"/>
    <x v="256"/>
    <x v="2"/>
    <x v="125"/>
    <x v="227"/>
    <x v="227"/>
    <x v="228"/>
    <x v="226"/>
    <x v="1"/>
    <x v="917"/>
    <x v="929"/>
    <x v="774"/>
    <x v="605"/>
    <x v="113"/>
    <x v="818"/>
    <x v="252"/>
    <x v="27"/>
    <x v="177"/>
    <x v="64"/>
    <x v="44"/>
    <x v="341"/>
    <x v="648"/>
    <x v="41"/>
    <x v="119"/>
    <x v="46"/>
    <x v="47"/>
    <x v="122"/>
    <x v="3"/>
    <x v="23"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  <x v="0"/>
    <x v="1"/>
    <x v="0"/>
    <x v="1"/>
  </r>
  <r>
    <x v="0"/>
    <x v="2"/>
    <x v="2"/>
    <x v="0"/>
    <x v="2"/>
    <x v="0"/>
    <x v="0"/>
    <x v="0"/>
    <x v="0"/>
    <x v="0"/>
    <x v="2"/>
    <x v="2"/>
    <x v="2"/>
    <x v="2"/>
    <x v="2"/>
    <x v="2"/>
    <x v="2"/>
    <x v="2"/>
    <x v="2"/>
    <x v="1"/>
    <x v="2"/>
    <x v="2"/>
    <x v="2"/>
    <x v="0"/>
    <x v="0"/>
    <x v="2"/>
    <x v="2"/>
    <x v="2"/>
    <x v="0"/>
    <x v="1"/>
    <x v="0"/>
    <x v="2"/>
  </r>
  <r>
    <x v="0"/>
    <x v="3"/>
    <x v="3"/>
    <x v="0"/>
    <x v="3"/>
    <x v="1"/>
    <x v="1"/>
    <x v="1"/>
    <x v="1"/>
    <x v="0"/>
    <x v="3"/>
    <x v="3"/>
    <x v="3"/>
    <x v="3"/>
    <x v="3"/>
    <x v="3"/>
    <x v="3"/>
    <x v="0"/>
    <x v="3"/>
    <x v="2"/>
    <x v="2"/>
    <x v="3"/>
    <x v="3"/>
    <x v="0"/>
    <x v="0"/>
    <x v="3"/>
    <x v="2"/>
    <x v="3"/>
    <x v="1"/>
    <x v="2"/>
    <x v="1"/>
    <x v="3"/>
  </r>
  <r>
    <x v="0"/>
    <x v="4"/>
    <x v="4"/>
    <x v="0"/>
    <x v="4"/>
    <x v="2"/>
    <x v="2"/>
    <x v="2"/>
    <x v="2"/>
    <x v="0"/>
    <x v="4"/>
    <x v="4"/>
    <x v="4"/>
    <x v="4"/>
    <x v="2"/>
    <x v="4"/>
    <x v="4"/>
    <x v="0"/>
    <x v="4"/>
    <x v="3"/>
    <x v="2"/>
    <x v="4"/>
    <x v="4"/>
    <x v="0"/>
    <x v="0"/>
    <x v="4"/>
    <x v="3"/>
    <x v="4"/>
    <x v="1"/>
    <x v="3"/>
    <x v="2"/>
    <x v="4"/>
  </r>
  <r>
    <x v="0"/>
    <x v="5"/>
    <x v="5"/>
    <x v="0"/>
    <x v="5"/>
    <x v="2"/>
    <x v="2"/>
    <x v="2"/>
    <x v="2"/>
    <x v="0"/>
    <x v="5"/>
    <x v="5"/>
    <x v="5"/>
    <x v="5"/>
    <x v="4"/>
    <x v="5"/>
    <x v="5"/>
    <x v="2"/>
    <x v="5"/>
    <x v="0"/>
    <x v="1"/>
    <x v="5"/>
    <x v="5"/>
    <x v="0"/>
    <x v="0"/>
    <x v="5"/>
    <x v="2"/>
    <x v="5"/>
    <x v="1"/>
    <x v="4"/>
    <x v="2"/>
    <x v="5"/>
  </r>
  <r>
    <x v="1"/>
    <x v="0"/>
    <x v="0"/>
    <x v="0"/>
    <x v="0"/>
    <x v="0"/>
    <x v="0"/>
    <x v="0"/>
    <x v="0"/>
    <x v="0"/>
    <x v="6"/>
    <x v="6"/>
    <x v="6"/>
    <x v="6"/>
    <x v="5"/>
    <x v="6"/>
    <x v="6"/>
    <x v="0"/>
    <x v="6"/>
    <x v="4"/>
    <x v="2"/>
    <x v="6"/>
    <x v="6"/>
    <x v="0"/>
    <x v="0"/>
    <x v="6"/>
    <x v="4"/>
    <x v="0"/>
    <x v="0"/>
    <x v="0"/>
    <x v="0"/>
    <x v="0"/>
  </r>
  <r>
    <x v="1"/>
    <x v="1"/>
    <x v="1"/>
    <x v="0"/>
    <x v="1"/>
    <x v="0"/>
    <x v="0"/>
    <x v="0"/>
    <x v="0"/>
    <x v="0"/>
    <x v="7"/>
    <x v="7"/>
    <x v="7"/>
    <x v="7"/>
    <x v="6"/>
    <x v="7"/>
    <x v="7"/>
    <x v="3"/>
    <x v="7"/>
    <x v="5"/>
    <x v="3"/>
    <x v="7"/>
    <x v="7"/>
    <x v="0"/>
    <x v="0"/>
    <x v="7"/>
    <x v="1"/>
    <x v="1"/>
    <x v="0"/>
    <x v="1"/>
    <x v="0"/>
    <x v="1"/>
  </r>
  <r>
    <x v="1"/>
    <x v="2"/>
    <x v="2"/>
    <x v="0"/>
    <x v="2"/>
    <x v="0"/>
    <x v="0"/>
    <x v="0"/>
    <x v="0"/>
    <x v="0"/>
    <x v="8"/>
    <x v="8"/>
    <x v="8"/>
    <x v="8"/>
    <x v="5"/>
    <x v="8"/>
    <x v="8"/>
    <x v="2"/>
    <x v="8"/>
    <x v="3"/>
    <x v="3"/>
    <x v="8"/>
    <x v="8"/>
    <x v="0"/>
    <x v="0"/>
    <x v="2"/>
    <x v="2"/>
    <x v="2"/>
    <x v="0"/>
    <x v="1"/>
    <x v="0"/>
    <x v="2"/>
  </r>
  <r>
    <x v="1"/>
    <x v="3"/>
    <x v="3"/>
    <x v="0"/>
    <x v="3"/>
    <x v="1"/>
    <x v="1"/>
    <x v="1"/>
    <x v="1"/>
    <x v="0"/>
    <x v="9"/>
    <x v="9"/>
    <x v="9"/>
    <x v="9"/>
    <x v="7"/>
    <x v="9"/>
    <x v="9"/>
    <x v="1"/>
    <x v="9"/>
    <x v="6"/>
    <x v="3"/>
    <x v="9"/>
    <x v="9"/>
    <x v="0"/>
    <x v="0"/>
    <x v="4"/>
    <x v="5"/>
    <x v="3"/>
    <x v="1"/>
    <x v="2"/>
    <x v="1"/>
    <x v="3"/>
  </r>
  <r>
    <x v="1"/>
    <x v="4"/>
    <x v="4"/>
    <x v="0"/>
    <x v="4"/>
    <x v="2"/>
    <x v="2"/>
    <x v="2"/>
    <x v="2"/>
    <x v="0"/>
    <x v="10"/>
    <x v="10"/>
    <x v="10"/>
    <x v="10"/>
    <x v="5"/>
    <x v="10"/>
    <x v="10"/>
    <x v="2"/>
    <x v="10"/>
    <x v="3"/>
    <x v="3"/>
    <x v="10"/>
    <x v="10"/>
    <x v="0"/>
    <x v="0"/>
    <x v="5"/>
    <x v="3"/>
    <x v="4"/>
    <x v="1"/>
    <x v="3"/>
    <x v="2"/>
    <x v="4"/>
  </r>
  <r>
    <x v="1"/>
    <x v="5"/>
    <x v="5"/>
    <x v="0"/>
    <x v="5"/>
    <x v="2"/>
    <x v="2"/>
    <x v="2"/>
    <x v="2"/>
    <x v="0"/>
    <x v="11"/>
    <x v="11"/>
    <x v="11"/>
    <x v="11"/>
    <x v="5"/>
    <x v="11"/>
    <x v="11"/>
    <x v="2"/>
    <x v="11"/>
    <x v="7"/>
    <x v="4"/>
    <x v="11"/>
    <x v="11"/>
    <x v="0"/>
    <x v="0"/>
    <x v="5"/>
    <x v="2"/>
    <x v="5"/>
    <x v="1"/>
    <x v="4"/>
    <x v="2"/>
    <x v="5"/>
  </r>
  <r>
    <x v="2"/>
    <x v="0"/>
    <x v="0"/>
    <x v="0"/>
    <x v="0"/>
    <x v="0"/>
    <x v="0"/>
    <x v="0"/>
    <x v="0"/>
    <x v="0"/>
    <x v="12"/>
    <x v="12"/>
    <x v="12"/>
    <x v="12"/>
    <x v="6"/>
    <x v="12"/>
    <x v="12"/>
    <x v="2"/>
    <x v="12"/>
    <x v="0"/>
    <x v="1"/>
    <x v="12"/>
    <x v="12"/>
    <x v="0"/>
    <x v="0"/>
    <x v="8"/>
    <x v="0"/>
    <x v="0"/>
    <x v="0"/>
    <x v="0"/>
    <x v="0"/>
    <x v="0"/>
  </r>
  <r>
    <x v="2"/>
    <x v="1"/>
    <x v="1"/>
    <x v="0"/>
    <x v="1"/>
    <x v="0"/>
    <x v="0"/>
    <x v="0"/>
    <x v="0"/>
    <x v="0"/>
    <x v="13"/>
    <x v="13"/>
    <x v="13"/>
    <x v="13"/>
    <x v="6"/>
    <x v="13"/>
    <x v="13"/>
    <x v="2"/>
    <x v="8"/>
    <x v="5"/>
    <x v="2"/>
    <x v="13"/>
    <x v="13"/>
    <x v="0"/>
    <x v="0"/>
    <x v="5"/>
    <x v="6"/>
    <x v="1"/>
    <x v="0"/>
    <x v="1"/>
    <x v="0"/>
    <x v="1"/>
  </r>
  <r>
    <x v="2"/>
    <x v="3"/>
    <x v="3"/>
    <x v="0"/>
    <x v="3"/>
    <x v="1"/>
    <x v="1"/>
    <x v="1"/>
    <x v="1"/>
    <x v="0"/>
    <x v="14"/>
    <x v="14"/>
    <x v="14"/>
    <x v="14"/>
    <x v="8"/>
    <x v="14"/>
    <x v="14"/>
    <x v="0"/>
    <x v="13"/>
    <x v="8"/>
    <x v="4"/>
    <x v="14"/>
    <x v="14"/>
    <x v="0"/>
    <x v="0"/>
    <x v="4"/>
    <x v="5"/>
    <x v="3"/>
    <x v="1"/>
    <x v="2"/>
    <x v="1"/>
    <x v="3"/>
  </r>
  <r>
    <x v="2"/>
    <x v="4"/>
    <x v="4"/>
    <x v="0"/>
    <x v="4"/>
    <x v="2"/>
    <x v="2"/>
    <x v="2"/>
    <x v="2"/>
    <x v="0"/>
    <x v="15"/>
    <x v="15"/>
    <x v="15"/>
    <x v="15"/>
    <x v="2"/>
    <x v="15"/>
    <x v="15"/>
    <x v="2"/>
    <x v="14"/>
    <x v="3"/>
    <x v="3"/>
    <x v="15"/>
    <x v="15"/>
    <x v="0"/>
    <x v="0"/>
    <x v="5"/>
    <x v="2"/>
    <x v="4"/>
    <x v="1"/>
    <x v="3"/>
    <x v="2"/>
    <x v="4"/>
  </r>
  <r>
    <x v="2"/>
    <x v="5"/>
    <x v="5"/>
    <x v="0"/>
    <x v="5"/>
    <x v="2"/>
    <x v="2"/>
    <x v="2"/>
    <x v="2"/>
    <x v="0"/>
    <x v="16"/>
    <x v="16"/>
    <x v="16"/>
    <x v="16"/>
    <x v="5"/>
    <x v="16"/>
    <x v="16"/>
    <x v="2"/>
    <x v="15"/>
    <x v="9"/>
    <x v="0"/>
    <x v="16"/>
    <x v="16"/>
    <x v="1"/>
    <x v="1"/>
    <x v="5"/>
    <x v="2"/>
    <x v="5"/>
    <x v="1"/>
    <x v="4"/>
    <x v="2"/>
    <x v="5"/>
  </r>
  <r>
    <x v="3"/>
    <x v="0"/>
    <x v="0"/>
    <x v="0"/>
    <x v="0"/>
    <x v="0"/>
    <x v="0"/>
    <x v="0"/>
    <x v="0"/>
    <x v="0"/>
    <x v="17"/>
    <x v="17"/>
    <x v="17"/>
    <x v="17"/>
    <x v="9"/>
    <x v="17"/>
    <x v="5"/>
    <x v="2"/>
    <x v="16"/>
    <x v="3"/>
    <x v="2"/>
    <x v="17"/>
    <x v="17"/>
    <x v="0"/>
    <x v="0"/>
    <x v="9"/>
    <x v="7"/>
    <x v="0"/>
    <x v="0"/>
    <x v="0"/>
    <x v="0"/>
    <x v="0"/>
  </r>
  <r>
    <x v="3"/>
    <x v="1"/>
    <x v="1"/>
    <x v="0"/>
    <x v="1"/>
    <x v="0"/>
    <x v="0"/>
    <x v="0"/>
    <x v="0"/>
    <x v="0"/>
    <x v="18"/>
    <x v="18"/>
    <x v="18"/>
    <x v="18"/>
    <x v="5"/>
    <x v="18"/>
    <x v="17"/>
    <x v="2"/>
    <x v="17"/>
    <x v="5"/>
    <x v="2"/>
    <x v="18"/>
    <x v="18"/>
    <x v="0"/>
    <x v="0"/>
    <x v="10"/>
    <x v="8"/>
    <x v="1"/>
    <x v="0"/>
    <x v="1"/>
    <x v="0"/>
    <x v="1"/>
  </r>
  <r>
    <x v="3"/>
    <x v="3"/>
    <x v="3"/>
    <x v="0"/>
    <x v="3"/>
    <x v="1"/>
    <x v="1"/>
    <x v="1"/>
    <x v="1"/>
    <x v="0"/>
    <x v="19"/>
    <x v="19"/>
    <x v="19"/>
    <x v="19"/>
    <x v="10"/>
    <x v="19"/>
    <x v="14"/>
    <x v="2"/>
    <x v="17"/>
    <x v="10"/>
    <x v="3"/>
    <x v="19"/>
    <x v="19"/>
    <x v="0"/>
    <x v="0"/>
    <x v="5"/>
    <x v="2"/>
    <x v="3"/>
    <x v="1"/>
    <x v="2"/>
    <x v="1"/>
    <x v="3"/>
  </r>
  <r>
    <x v="3"/>
    <x v="4"/>
    <x v="4"/>
    <x v="0"/>
    <x v="4"/>
    <x v="2"/>
    <x v="2"/>
    <x v="2"/>
    <x v="2"/>
    <x v="0"/>
    <x v="20"/>
    <x v="20"/>
    <x v="20"/>
    <x v="20"/>
    <x v="5"/>
    <x v="20"/>
    <x v="18"/>
    <x v="2"/>
    <x v="14"/>
    <x v="3"/>
    <x v="3"/>
    <x v="20"/>
    <x v="20"/>
    <x v="0"/>
    <x v="0"/>
    <x v="5"/>
    <x v="2"/>
    <x v="4"/>
    <x v="1"/>
    <x v="3"/>
    <x v="2"/>
    <x v="4"/>
  </r>
  <r>
    <x v="3"/>
    <x v="5"/>
    <x v="5"/>
    <x v="0"/>
    <x v="5"/>
    <x v="2"/>
    <x v="2"/>
    <x v="2"/>
    <x v="2"/>
    <x v="0"/>
    <x v="21"/>
    <x v="21"/>
    <x v="21"/>
    <x v="21"/>
    <x v="5"/>
    <x v="21"/>
    <x v="19"/>
    <x v="1"/>
    <x v="5"/>
    <x v="4"/>
    <x v="0"/>
    <x v="21"/>
    <x v="6"/>
    <x v="0"/>
    <x v="0"/>
    <x v="5"/>
    <x v="2"/>
    <x v="5"/>
    <x v="1"/>
    <x v="4"/>
    <x v="2"/>
    <x v="5"/>
  </r>
  <r>
    <x v="4"/>
    <x v="0"/>
    <x v="0"/>
    <x v="0"/>
    <x v="0"/>
    <x v="0"/>
    <x v="0"/>
    <x v="0"/>
    <x v="0"/>
    <x v="0"/>
    <x v="22"/>
    <x v="22"/>
    <x v="22"/>
    <x v="22"/>
    <x v="6"/>
    <x v="22"/>
    <x v="20"/>
    <x v="2"/>
    <x v="18"/>
    <x v="0"/>
    <x v="2"/>
    <x v="21"/>
    <x v="21"/>
    <x v="0"/>
    <x v="0"/>
    <x v="11"/>
    <x v="9"/>
    <x v="0"/>
    <x v="0"/>
    <x v="0"/>
    <x v="0"/>
    <x v="0"/>
  </r>
  <r>
    <x v="4"/>
    <x v="1"/>
    <x v="1"/>
    <x v="0"/>
    <x v="1"/>
    <x v="0"/>
    <x v="0"/>
    <x v="0"/>
    <x v="0"/>
    <x v="0"/>
    <x v="23"/>
    <x v="23"/>
    <x v="23"/>
    <x v="23"/>
    <x v="11"/>
    <x v="13"/>
    <x v="21"/>
    <x v="1"/>
    <x v="19"/>
    <x v="11"/>
    <x v="3"/>
    <x v="22"/>
    <x v="22"/>
    <x v="0"/>
    <x v="0"/>
    <x v="5"/>
    <x v="10"/>
    <x v="1"/>
    <x v="0"/>
    <x v="1"/>
    <x v="0"/>
    <x v="1"/>
  </r>
  <r>
    <x v="4"/>
    <x v="3"/>
    <x v="3"/>
    <x v="0"/>
    <x v="3"/>
    <x v="1"/>
    <x v="1"/>
    <x v="1"/>
    <x v="1"/>
    <x v="0"/>
    <x v="24"/>
    <x v="24"/>
    <x v="15"/>
    <x v="24"/>
    <x v="12"/>
    <x v="23"/>
    <x v="22"/>
    <x v="2"/>
    <x v="20"/>
    <x v="4"/>
    <x v="1"/>
    <x v="23"/>
    <x v="23"/>
    <x v="0"/>
    <x v="0"/>
    <x v="5"/>
    <x v="2"/>
    <x v="3"/>
    <x v="1"/>
    <x v="2"/>
    <x v="1"/>
    <x v="3"/>
  </r>
  <r>
    <x v="4"/>
    <x v="4"/>
    <x v="4"/>
    <x v="0"/>
    <x v="4"/>
    <x v="2"/>
    <x v="2"/>
    <x v="2"/>
    <x v="2"/>
    <x v="0"/>
    <x v="25"/>
    <x v="25"/>
    <x v="24"/>
    <x v="25"/>
    <x v="13"/>
    <x v="24"/>
    <x v="15"/>
    <x v="2"/>
    <x v="14"/>
    <x v="3"/>
    <x v="3"/>
    <x v="15"/>
    <x v="15"/>
    <x v="0"/>
    <x v="0"/>
    <x v="5"/>
    <x v="2"/>
    <x v="4"/>
    <x v="1"/>
    <x v="3"/>
    <x v="2"/>
    <x v="4"/>
  </r>
  <r>
    <x v="4"/>
    <x v="5"/>
    <x v="5"/>
    <x v="0"/>
    <x v="5"/>
    <x v="2"/>
    <x v="2"/>
    <x v="2"/>
    <x v="2"/>
    <x v="0"/>
    <x v="26"/>
    <x v="26"/>
    <x v="25"/>
    <x v="26"/>
    <x v="13"/>
    <x v="25"/>
    <x v="7"/>
    <x v="2"/>
    <x v="4"/>
    <x v="1"/>
    <x v="3"/>
    <x v="24"/>
    <x v="24"/>
    <x v="0"/>
    <x v="0"/>
    <x v="5"/>
    <x v="2"/>
    <x v="5"/>
    <x v="1"/>
    <x v="4"/>
    <x v="2"/>
    <x v="5"/>
  </r>
  <r>
    <x v="5"/>
    <x v="6"/>
    <x v="6"/>
    <x v="0"/>
    <x v="6"/>
    <x v="3"/>
    <x v="3"/>
    <x v="3"/>
    <x v="3"/>
    <x v="0"/>
    <x v="27"/>
    <x v="27"/>
    <x v="26"/>
    <x v="27"/>
    <x v="5"/>
    <x v="26"/>
    <x v="11"/>
    <x v="4"/>
    <x v="21"/>
    <x v="12"/>
    <x v="5"/>
    <x v="25"/>
    <x v="25"/>
    <x v="0"/>
    <x v="0"/>
    <x v="11"/>
    <x v="2"/>
    <x v="6"/>
    <x v="2"/>
    <x v="5"/>
    <x v="3"/>
    <x v="6"/>
  </r>
  <r>
    <x v="5"/>
    <x v="7"/>
    <x v="7"/>
    <x v="1"/>
    <x v="3"/>
    <x v="4"/>
    <x v="4"/>
    <x v="4"/>
    <x v="4"/>
    <x v="0"/>
    <x v="28"/>
    <x v="28"/>
    <x v="27"/>
    <x v="28"/>
    <x v="14"/>
    <x v="27"/>
    <x v="15"/>
    <x v="2"/>
    <x v="14"/>
    <x v="3"/>
    <x v="3"/>
    <x v="15"/>
    <x v="15"/>
    <x v="0"/>
    <x v="0"/>
    <x v="5"/>
    <x v="2"/>
    <x v="3"/>
    <x v="1"/>
    <x v="2"/>
    <x v="1"/>
    <x v="3"/>
  </r>
  <r>
    <x v="5"/>
    <x v="8"/>
    <x v="8"/>
    <x v="1"/>
    <x v="7"/>
    <x v="5"/>
    <x v="5"/>
    <x v="5"/>
    <x v="5"/>
    <x v="0"/>
    <x v="29"/>
    <x v="29"/>
    <x v="28"/>
    <x v="29"/>
    <x v="15"/>
    <x v="28"/>
    <x v="23"/>
    <x v="2"/>
    <x v="22"/>
    <x v="5"/>
    <x v="3"/>
    <x v="26"/>
    <x v="26"/>
    <x v="0"/>
    <x v="0"/>
    <x v="5"/>
    <x v="2"/>
    <x v="7"/>
    <x v="0"/>
    <x v="6"/>
    <x v="0"/>
    <x v="7"/>
  </r>
  <r>
    <x v="5"/>
    <x v="9"/>
    <x v="9"/>
    <x v="1"/>
    <x v="7"/>
    <x v="6"/>
    <x v="6"/>
    <x v="5"/>
    <x v="5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  <x v="7"/>
  </r>
  <r>
    <x v="5"/>
    <x v="0"/>
    <x v="10"/>
    <x v="1"/>
    <x v="0"/>
    <x v="7"/>
    <x v="7"/>
    <x v="6"/>
    <x v="6"/>
    <x v="0"/>
    <x v="31"/>
    <x v="31"/>
    <x v="30"/>
    <x v="31"/>
    <x v="17"/>
    <x v="30"/>
    <x v="13"/>
    <x v="2"/>
    <x v="8"/>
    <x v="3"/>
    <x v="3"/>
    <x v="22"/>
    <x v="27"/>
    <x v="0"/>
    <x v="0"/>
    <x v="5"/>
    <x v="2"/>
    <x v="0"/>
    <x v="0"/>
    <x v="0"/>
    <x v="0"/>
    <x v="0"/>
  </r>
  <r>
    <x v="5"/>
    <x v="10"/>
    <x v="11"/>
    <x v="0"/>
    <x v="8"/>
    <x v="8"/>
    <x v="8"/>
    <x v="7"/>
    <x v="7"/>
    <x v="0"/>
    <x v="32"/>
    <x v="32"/>
    <x v="31"/>
    <x v="32"/>
    <x v="5"/>
    <x v="31"/>
    <x v="10"/>
    <x v="2"/>
    <x v="23"/>
    <x v="6"/>
    <x v="4"/>
    <x v="4"/>
    <x v="28"/>
    <x v="0"/>
    <x v="0"/>
    <x v="2"/>
    <x v="11"/>
    <x v="8"/>
    <x v="0"/>
    <x v="6"/>
    <x v="0"/>
    <x v="8"/>
  </r>
  <r>
    <x v="5"/>
    <x v="11"/>
    <x v="12"/>
    <x v="1"/>
    <x v="9"/>
    <x v="9"/>
    <x v="9"/>
    <x v="8"/>
    <x v="8"/>
    <x v="0"/>
    <x v="33"/>
    <x v="33"/>
    <x v="32"/>
    <x v="33"/>
    <x v="18"/>
    <x v="32"/>
    <x v="18"/>
    <x v="2"/>
    <x v="24"/>
    <x v="3"/>
    <x v="3"/>
    <x v="27"/>
    <x v="29"/>
    <x v="0"/>
    <x v="0"/>
    <x v="5"/>
    <x v="2"/>
    <x v="9"/>
    <x v="1"/>
    <x v="3"/>
    <x v="2"/>
    <x v="9"/>
  </r>
  <r>
    <x v="5"/>
    <x v="12"/>
    <x v="13"/>
    <x v="1"/>
    <x v="5"/>
    <x v="10"/>
    <x v="10"/>
    <x v="9"/>
    <x v="9"/>
    <x v="0"/>
    <x v="34"/>
    <x v="34"/>
    <x v="27"/>
    <x v="34"/>
    <x v="19"/>
    <x v="33"/>
    <x v="15"/>
    <x v="2"/>
    <x v="14"/>
    <x v="3"/>
    <x v="3"/>
    <x v="15"/>
    <x v="15"/>
    <x v="0"/>
    <x v="0"/>
    <x v="5"/>
    <x v="2"/>
    <x v="5"/>
    <x v="1"/>
    <x v="4"/>
    <x v="2"/>
    <x v="5"/>
  </r>
  <r>
    <x v="5"/>
    <x v="13"/>
    <x v="14"/>
    <x v="0"/>
    <x v="10"/>
    <x v="11"/>
    <x v="11"/>
    <x v="10"/>
    <x v="10"/>
    <x v="0"/>
    <x v="35"/>
    <x v="35"/>
    <x v="33"/>
    <x v="35"/>
    <x v="1"/>
    <x v="34"/>
    <x v="24"/>
    <x v="2"/>
    <x v="25"/>
    <x v="5"/>
    <x v="2"/>
    <x v="28"/>
    <x v="30"/>
    <x v="0"/>
    <x v="0"/>
    <x v="2"/>
    <x v="12"/>
    <x v="10"/>
    <x v="1"/>
    <x v="4"/>
    <x v="2"/>
    <x v="10"/>
  </r>
  <r>
    <x v="6"/>
    <x v="6"/>
    <x v="6"/>
    <x v="0"/>
    <x v="6"/>
    <x v="3"/>
    <x v="3"/>
    <x v="3"/>
    <x v="3"/>
    <x v="0"/>
    <x v="36"/>
    <x v="36"/>
    <x v="34"/>
    <x v="36"/>
    <x v="5"/>
    <x v="35"/>
    <x v="25"/>
    <x v="0"/>
    <x v="26"/>
    <x v="8"/>
    <x v="5"/>
    <x v="29"/>
    <x v="31"/>
    <x v="0"/>
    <x v="0"/>
    <x v="10"/>
    <x v="12"/>
    <x v="6"/>
    <x v="2"/>
    <x v="5"/>
    <x v="3"/>
    <x v="6"/>
  </r>
  <r>
    <x v="6"/>
    <x v="8"/>
    <x v="8"/>
    <x v="1"/>
    <x v="7"/>
    <x v="5"/>
    <x v="5"/>
    <x v="5"/>
    <x v="5"/>
    <x v="0"/>
    <x v="37"/>
    <x v="37"/>
    <x v="35"/>
    <x v="14"/>
    <x v="19"/>
    <x v="36"/>
    <x v="26"/>
    <x v="2"/>
    <x v="22"/>
    <x v="3"/>
    <x v="2"/>
    <x v="30"/>
    <x v="32"/>
    <x v="0"/>
    <x v="0"/>
    <x v="5"/>
    <x v="2"/>
    <x v="7"/>
    <x v="0"/>
    <x v="6"/>
    <x v="0"/>
    <x v="7"/>
  </r>
  <r>
    <x v="6"/>
    <x v="0"/>
    <x v="10"/>
    <x v="1"/>
    <x v="0"/>
    <x v="7"/>
    <x v="7"/>
    <x v="6"/>
    <x v="6"/>
    <x v="0"/>
    <x v="38"/>
    <x v="38"/>
    <x v="36"/>
    <x v="37"/>
    <x v="20"/>
    <x v="37"/>
    <x v="26"/>
    <x v="2"/>
    <x v="19"/>
    <x v="3"/>
    <x v="3"/>
    <x v="31"/>
    <x v="33"/>
    <x v="0"/>
    <x v="0"/>
    <x v="4"/>
    <x v="2"/>
    <x v="0"/>
    <x v="0"/>
    <x v="0"/>
    <x v="0"/>
    <x v="0"/>
  </r>
  <r>
    <x v="6"/>
    <x v="10"/>
    <x v="11"/>
    <x v="0"/>
    <x v="8"/>
    <x v="8"/>
    <x v="8"/>
    <x v="7"/>
    <x v="7"/>
    <x v="0"/>
    <x v="39"/>
    <x v="39"/>
    <x v="37"/>
    <x v="38"/>
    <x v="1"/>
    <x v="38"/>
    <x v="15"/>
    <x v="2"/>
    <x v="14"/>
    <x v="3"/>
    <x v="3"/>
    <x v="15"/>
    <x v="15"/>
    <x v="0"/>
    <x v="0"/>
    <x v="5"/>
    <x v="2"/>
    <x v="8"/>
    <x v="0"/>
    <x v="6"/>
    <x v="0"/>
    <x v="8"/>
  </r>
  <r>
    <x v="6"/>
    <x v="11"/>
    <x v="12"/>
    <x v="1"/>
    <x v="9"/>
    <x v="9"/>
    <x v="9"/>
    <x v="8"/>
    <x v="8"/>
    <x v="0"/>
    <x v="30"/>
    <x v="40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6"/>
    <x v="12"/>
    <x v="13"/>
    <x v="1"/>
    <x v="5"/>
    <x v="10"/>
    <x v="10"/>
    <x v="9"/>
    <x v="9"/>
    <x v="0"/>
    <x v="40"/>
    <x v="41"/>
    <x v="38"/>
    <x v="39"/>
    <x v="21"/>
    <x v="39"/>
    <x v="18"/>
    <x v="2"/>
    <x v="24"/>
    <x v="3"/>
    <x v="3"/>
    <x v="27"/>
    <x v="34"/>
    <x v="0"/>
    <x v="0"/>
    <x v="5"/>
    <x v="2"/>
    <x v="5"/>
    <x v="1"/>
    <x v="4"/>
    <x v="2"/>
    <x v="5"/>
  </r>
  <r>
    <x v="6"/>
    <x v="13"/>
    <x v="14"/>
    <x v="0"/>
    <x v="10"/>
    <x v="11"/>
    <x v="11"/>
    <x v="10"/>
    <x v="10"/>
    <x v="0"/>
    <x v="41"/>
    <x v="42"/>
    <x v="39"/>
    <x v="40"/>
    <x v="1"/>
    <x v="40"/>
    <x v="27"/>
    <x v="2"/>
    <x v="27"/>
    <x v="12"/>
    <x v="2"/>
    <x v="32"/>
    <x v="35"/>
    <x v="0"/>
    <x v="0"/>
    <x v="5"/>
    <x v="13"/>
    <x v="10"/>
    <x v="1"/>
    <x v="4"/>
    <x v="2"/>
    <x v="10"/>
  </r>
  <r>
    <x v="6"/>
    <x v="14"/>
    <x v="15"/>
    <x v="0"/>
    <x v="9"/>
    <x v="12"/>
    <x v="12"/>
    <x v="11"/>
    <x v="11"/>
    <x v="0"/>
    <x v="42"/>
    <x v="43"/>
    <x v="40"/>
    <x v="41"/>
    <x v="13"/>
    <x v="41"/>
    <x v="28"/>
    <x v="3"/>
    <x v="28"/>
    <x v="6"/>
    <x v="2"/>
    <x v="33"/>
    <x v="36"/>
    <x v="0"/>
    <x v="0"/>
    <x v="12"/>
    <x v="11"/>
    <x v="9"/>
    <x v="1"/>
    <x v="3"/>
    <x v="2"/>
    <x v="9"/>
  </r>
  <r>
    <x v="6"/>
    <x v="15"/>
    <x v="16"/>
    <x v="0"/>
    <x v="1"/>
    <x v="13"/>
    <x v="13"/>
    <x v="12"/>
    <x v="12"/>
    <x v="0"/>
    <x v="43"/>
    <x v="44"/>
    <x v="41"/>
    <x v="42"/>
    <x v="5"/>
    <x v="42"/>
    <x v="19"/>
    <x v="1"/>
    <x v="21"/>
    <x v="9"/>
    <x v="2"/>
    <x v="34"/>
    <x v="37"/>
    <x v="0"/>
    <x v="0"/>
    <x v="12"/>
    <x v="14"/>
    <x v="1"/>
    <x v="0"/>
    <x v="1"/>
    <x v="0"/>
    <x v="1"/>
  </r>
  <r>
    <x v="7"/>
    <x v="6"/>
    <x v="6"/>
    <x v="0"/>
    <x v="6"/>
    <x v="3"/>
    <x v="3"/>
    <x v="3"/>
    <x v="3"/>
    <x v="0"/>
    <x v="44"/>
    <x v="45"/>
    <x v="42"/>
    <x v="43"/>
    <x v="6"/>
    <x v="43"/>
    <x v="29"/>
    <x v="1"/>
    <x v="29"/>
    <x v="11"/>
    <x v="6"/>
    <x v="25"/>
    <x v="38"/>
    <x v="0"/>
    <x v="0"/>
    <x v="2"/>
    <x v="6"/>
    <x v="6"/>
    <x v="2"/>
    <x v="5"/>
    <x v="3"/>
    <x v="6"/>
  </r>
  <r>
    <x v="7"/>
    <x v="8"/>
    <x v="8"/>
    <x v="1"/>
    <x v="7"/>
    <x v="5"/>
    <x v="5"/>
    <x v="5"/>
    <x v="5"/>
    <x v="0"/>
    <x v="45"/>
    <x v="46"/>
    <x v="43"/>
    <x v="44"/>
    <x v="14"/>
    <x v="44"/>
    <x v="30"/>
    <x v="2"/>
    <x v="30"/>
    <x v="1"/>
    <x v="7"/>
    <x v="35"/>
    <x v="36"/>
    <x v="0"/>
    <x v="0"/>
    <x v="4"/>
    <x v="5"/>
    <x v="7"/>
    <x v="0"/>
    <x v="6"/>
    <x v="0"/>
    <x v="7"/>
  </r>
  <r>
    <x v="7"/>
    <x v="0"/>
    <x v="10"/>
    <x v="1"/>
    <x v="0"/>
    <x v="7"/>
    <x v="7"/>
    <x v="6"/>
    <x v="6"/>
    <x v="0"/>
    <x v="46"/>
    <x v="47"/>
    <x v="44"/>
    <x v="45"/>
    <x v="22"/>
    <x v="45"/>
    <x v="31"/>
    <x v="2"/>
    <x v="31"/>
    <x v="5"/>
    <x v="4"/>
    <x v="36"/>
    <x v="39"/>
    <x v="0"/>
    <x v="0"/>
    <x v="1"/>
    <x v="6"/>
    <x v="0"/>
    <x v="0"/>
    <x v="0"/>
    <x v="0"/>
    <x v="0"/>
  </r>
  <r>
    <x v="7"/>
    <x v="12"/>
    <x v="13"/>
    <x v="1"/>
    <x v="5"/>
    <x v="10"/>
    <x v="10"/>
    <x v="9"/>
    <x v="9"/>
    <x v="0"/>
    <x v="47"/>
    <x v="48"/>
    <x v="45"/>
    <x v="46"/>
    <x v="23"/>
    <x v="46"/>
    <x v="26"/>
    <x v="2"/>
    <x v="8"/>
    <x v="5"/>
    <x v="3"/>
    <x v="37"/>
    <x v="40"/>
    <x v="0"/>
    <x v="0"/>
    <x v="5"/>
    <x v="2"/>
    <x v="5"/>
    <x v="1"/>
    <x v="4"/>
    <x v="2"/>
    <x v="5"/>
  </r>
  <r>
    <x v="7"/>
    <x v="13"/>
    <x v="14"/>
    <x v="0"/>
    <x v="10"/>
    <x v="11"/>
    <x v="11"/>
    <x v="10"/>
    <x v="10"/>
    <x v="0"/>
    <x v="48"/>
    <x v="49"/>
    <x v="46"/>
    <x v="47"/>
    <x v="9"/>
    <x v="47"/>
    <x v="32"/>
    <x v="0"/>
    <x v="32"/>
    <x v="4"/>
    <x v="3"/>
    <x v="38"/>
    <x v="41"/>
    <x v="0"/>
    <x v="0"/>
    <x v="5"/>
    <x v="12"/>
    <x v="10"/>
    <x v="1"/>
    <x v="4"/>
    <x v="2"/>
    <x v="10"/>
  </r>
  <r>
    <x v="7"/>
    <x v="14"/>
    <x v="15"/>
    <x v="0"/>
    <x v="9"/>
    <x v="12"/>
    <x v="12"/>
    <x v="11"/>
    <x v="11"/>
    <x v="0"/>
    <x v="49"/>
    <x v="50"/>
    <x v="47"/>
    <x v="48"/>
    <x v="13"/>
    <x v="48"/>
    <x v="33"/>
    <x v="3"/>
    <x v="33"/>
    <x v="13"/>
    <x v="2"/>
    <x v="16"/>
    <x v="42"/>
    <x v="0"/>
    <x v="0"/>
    <x v="10"/>
    <x v="6"/>
    <x v="9"/>
    <x v="1"/>
    <x v="3"/>
    <x v="2"/>
    <x v="9"/>
  </r>
  <r>
    <x v="7"/>
    <x v="15"/>
    <x v="16"/>
    <x v="0"/>
    <x v="1"/>
    <x v="13"/>
    <x v="13"/>
    <x v="12"/>
    <x v="12"/>
    <x v="0"/>
    <x v="50"/>
    <x v="51"/>
    <x v="48"/>
    <x v="49"/>
    <x v="13"/>
    <x v="49"/>
    <x v="34"/>
    <x v="0"/>
    <x v="34"/>
    <x v="8"/>
    <x v="4"/>
    <x v="39"/>
    <x v="43"/>
    <x v="0"/>
    <x v="0"/>
    <x v="13"/>
    <x v="15"/>
    <x v="1"/>
    <x v="0"/>
    <x v="1"/>
    <x v="0"/>
    <x v="1"/>
  </r>
  <r>
    <x v="8"/>
    <x v="6"/>
    <x v="6"/>
    <x v="0"/>
    <x v="6"/>
    <x v="3"/>
    <x v="3"/>
    <x v="3"/>
    <x v="3"/>
    <x v="0"/>
    <x v="51"/>
    <x v="52"/>
    <x v="49"/>
    <x v="50"/>
    <x v="11"/>
    <x v="50"/>
    <x v="33"/>
    <x v="5"/>
    <x v="35"/>
    <x v="9"/>
    <x v="6"/>
    <x v="40"/>
    <x v="44"/>
    <x v="0"/>
    <x v="0"/>
    <x v="2"/>
    <x v="3"/>
    <x v="6"/>
    <x v="2"/>
    <x v="5"/>
    <x v="3"/>
    <x v="6"/>
  </r>
  <r>
    <x v="8"/>
    <x v="8"/>
    <x v="8"/>
    <x v="1"/>
    <x v="7"/>
    <x v="5"/>
    <x v="5"/>
    <x v="5"/>
    <x v="5"/>
    <x v="0"/>
    <x v="52"/>
    <x v="53"/>
    <x v="50"/>
    <x v="51"/>
    <x v="24"/>
    <x v="51"/>
    <x v="35"/>
    <x v="2"/>
    <x v="9"/>
    <x v="11"/>
    <x v="2"/>
    <x v="41"/>
    <x v="45"/>
    <x v="0"/>
    <x v="0"/>
    <x v="4"/>
    <x v="2"/>
    <x v="7"/>
    <x v="0"/>
    <x v="6"/>
    <x v="0"/>
    <x v="7"/>
  </r>
  <r>
    <x v="8"/>
    <x v="0"/>
    <x v="10"/>
    <x v="1"/>
    <x v="0"/>
    <x v="7"/>
    <x v="7"/>
    <x v="6"/>
    <x v="6"/>
    <x v="0"/>
    <x v="53"/>
    <x v="54"/>
    <x v="51"/>
    <x v="52"/>
    <x v="17"/>
    <x v="52"/>
    <x v="36"/>
    <x v="2"/>
    <x v="31"/>
    <x v="5"/>
    <x v="2"/>
    <x v="42"/>
    <x v="46"/>
    <x v="0"/>
    <x v="0"/>
    <x v="10"/>
    <x v="12"/>
    <x v="0"/>
    <x v="0"/>
    <x v="0"/>
    <x v="0"/>
    <x v="0"/>
  </r>
  <r>
    <x v="8"/>
    <x v="10"/>
    <x v="11"/>
    <x v="0"/>
    <x v="8"/>
    <x v="8"/>
    <x v="8"/>
    <x v="7"/>
    <x v="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"/>
    <x v="0"/>
    <x v="6"/>
    <x v="0"/>
    <x v="8"/>
  </r>
  <r>
    <x v="8"/>
    <x v="12"/>
    <x v="13"/>
    <x v="1"/>
    <x v="5"/>
    <x v="10"/>
    <x v="10"/>
    <x v="9"/>
    <x v="9"/>
    <x v="0"/>
    <x v="54"/>
    <x v="56"/>
    <x v="52"/>
    <x v="53"/>
    <x v="25"/>
    <x v="53"/>
    <x v="13"/>
    <x v="2"/>
    <x v="19"/>
    <x v="3"/>
    <x v="3"/>
    <x v="26"/>
    <x v="47"/>
    <x v="0"/>
    <x v="0"/>
    <x v="5"/>
    <x v="2"/>
    <x v="5"/>
    <x v="1"/>
    <x v="4"/>
    <x v="2"/>
    <x v="5"/>
  </r>
  <r>
    <x v="8"/>
    <x v="13"/>
    <x v="14"/>
    <x v="0"/>
    <x v="10"/>
    <x v="11"/>
    <x v="11"/>
    <x v="10"/>
    <x v="10"/>
    <x v="0"/>
    <x v="55"/>
    <x v="57"/>
    <x v="53"/>
    <x v="54"/>
    <x v="9"/>
    <x v="54"/>
    <x v="37"/>
    <x v="1"/>
    <x v="18"/>
    <x v="4"/>
    <x v="2"/>
    <x v="43"/>
    <x v="12"/>
    <x v="0"/>
    <x v="0"/>
    <x v="5"/>
    <x v="13"/>
    <x v="10"/>
    <x v="1"/>
    <x v="4"/>
    <x v="2"/>
    <x v="10"/>
  </r>
  <r>
    <x v="8"/>
    <x v="14"/>
    <x v="15"/>
    <x v="0"/>
    <x v="9"/>
    <x v="12"/>
    <x v="12"/>
    <x v="11"/>
    <x v="11"/>
    <x v="0"/>
    <x v="56"/>
    <x v="58"/>
    <x v="54"/>
    <x v="55"/>
    <x v="5"/>
    <x v="55"/>
    <x v="38"/>
    <x v="3"/>
    <x v="36"/>
    <x v="4"/>
    <x v="2"/>
    <x v="21"/>
    <x v="48"/>
    <x v="0"/>
    <x v="0"/>
    <x v="10"/>
    <x v="11"/>
    <x v="9"/>
    <x v="1"/>
    <x v="3"/>
    <x v="2"/>
    <x v="9"/>
  </r>
  <r>
    <x v="8"/>
    <x v="15"/>
    <x v="16"/>
    <x v="0"/>
    <x v="1"/>
    <x v="13"/>
    <x v="13"/>
    <x v="12"/>
    <x v="12"/>
    <x v="0"/>
    <x v="57"/>
    <x v="59"/>
    <x v="55"/>
    <x v="56"/>
    <x v="13"/>
    <x v="56"/>
    <x v="39"/>
    <x v="6"/>
    <x v="37"/>
    <x v="5"/>
    <x v="8"/>
    <x v="44"/>
    <x v="49"/>
    <x v="0"/>
    <x v="0"/>
    <x v="9"/>
    <x v="16"/>
    <x v="1"/>
    <x v="0"/>
    <x v="1"/>
    <x v="0"/>
    <x v="1"/>
  </r>
  <r>
    <x v="9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  <x v="5"/>
  </r>
  <r>
    <x v="9"/>
    <x v="6"/>
    <x v="6"/>
    <x v="0"/>
    <x v="6"/>
    <x v="3"/>
    <x v="3"/>
    <x v="3"/>
    <x v="3"/>
    <x v="0"/>
    <x v="58"/>
    <x v="60"/>
    <x v="56"/>
    <x v="57"/>
    <x v="6"/>
    <x v="57"/>
    <x v="19"/>
    <x v="2"/>
    <x v="38"/>
    <x v="1"/>
    <x v="0"/>
    <x v="45"/>
    <x v="20"/>
    <x v="0"/>
    <x v="0"/>
    <x v="2"/>
    <x v="5"/>
    <x v="6"/>
    <x v="2"/>
    <x v="5"/>
    <x v="3"/>
    <x v="6"/>
  </r>
  <r>
    <x v="9"/>
    <x v="8"/>
    <x v="8"/>
    <x v="1"/>
    <x v="7"/>
    <x v="5"/>
    <x v="5"/>
    <x v="5"/>
    <x v="5"/>
    <x v="0"/>
    <x v="59"/>
    <x v="61"/>
    <x v="57"/>
    <x v="58"/>
    <x v="26"/>
    <x v="58"/>
    <x v="40"/>
    <x v="2"/>
    <x v="39"/>
    <x v="11"/>
    <x v="2"/>
    <x v="46"/>
    <x v="50"/>
    <x v="0"/>
    <x v="0"/>
    <x v="10"/>
    <x v="2"/>
    <x v="7"/>
    <x v="0"/>
    <x v="6"/>
    <x v="0"/>
    <x v="7"/>
  </r>
  <r>
    <x v="9"/>
    <x v="0"/>
    <x v="10"/>
    <x v="1"/>
    <x v="0"/>
    <x v="7"/>
    <x v="7"/>
    <x v="6"/>
    <x v="6"/>
    <x v="0"/>
    <x v="60"/>
    <x v="62"/>
    <x v="58"/>
    <x v="59"/>
    <x v="27"/>
    <x v="59"/>
    <x v="13"/>
    <x v="2"/>
    <x v="8"/>
    <x v="3"/>
    <x v="2"/>
    <x v="47"/>
    <x v="51"/>
    <x v="0"/>
    <x v="0"/>
    <x v="4"/>
    <x v="6"/>
    <x v="0"/>
    <x v="0"/>
    <x v="0"/>
    <x v="0"/>
    <x v="0"/>
  </r>
  <r>
    <x v="9"/>
    <x v="12"/>
    <x v="13"/>
    <x v="1"/>
    <x v="5"/>
    <x v="10"/>
    <x v="10"/>
    <x v="9"/>
    <x v="9"/>
    <x v="0"/>
    <x v="30"/>
    <x v="63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  <x v="5"/>
  </r>
  <r>
    <x v="9"/>
    <x v="13"/>
    <x v="14"/>
    <x v="0"/>
    <x v="10"/>
    <x v="11"/>
    <x v="11"/>
    <x v="10"/>
    <x v="10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10"/>
    <x v="1"/>
    <x v="4"/>
    <x v="2"/>
    <x v="10"/>
  </r>
  <r>
    <x v="9"/>
    <x v="14"/>
    <x v="15"/>
    <x v="0"/>
    <x v="9"/>
    <x v="12"/>
    <x v="12"/>
    <x v="11"/>
    <x v="11"/>
    <x v="0"/>
    <x v="61"/>
    <x v="64"/>
    <x v="59"/>
    <x v="60"/>
    <x v="5"/>
    <x v="60"/>
    <x v="36"/>
    <x v="7"/>
    <x v="20"/>
    <x v="0"/>
    <x v="2"/>
    <x v="48"/>
    <x v="52"/>
    <x v="0"/>
    <x v="0"/>
    <x v="5"/>
    <x v="2"/>
    <x v="9"/>
    <x v="1"/>
    <x v="3"/>
    <x v="2"/>
    <x v="9"/>
  </r>
  <r>
    <x v="9"/>
    <x v="15"/>
    <x v="16"/>
    <x v="0"/>
    <x v="1"/>
    <x v="13"/>
    <x v="13"/>
    <x v="12"/>
    <x v="12"/>
    <x v="0"/>
    <x v="62"/>
    <x v="65"/>
    <x v="60"/>
    <x v="61"/>
    <x v="28"/>
    <x v="61"/>
    <x v="37"/>
    <x v="0"/>
    <x v="40"/>
    <x v="14"/>
    <x v="7"/>
    <x v="49"/>
    <x v="53"/>
    <x v="0"/>
    <x v="0"/>
    <x v="9"/>
    <x v="17"/>
    <x v="1"/>
    <x v="0"/>
    <x v="1"/>
    <x v="0"/>
    <x v="1"/>
  </r>
  <r>
    <x v="9"/>
    <x v="16"/>
    <x v="17"/>
    <x v="0"/>
    <x v="3"/>
    <x v="14"/>
    <x v="14"/>
    <x v="13"/>
    <x v="13"/>
    <x v="0"/>
    <x v="63"/>
    <x v="66"/>
    <x v="61"/>
    <x v="62"/>
    <x v="27"/>
    <x v="62"/>
    <x v="41"/>
    <x v="2"/>
    <x v="8"/>
    <x v="11"/>
    <x v="3"/>
    <x v="50"/>
    <x v="54"/>
    <x v="0"/>
    <x v="0"/>
    <x v="5"/>
    <x v="2"/>
    <x v="3"/>
    <x v="1"/>
    <x v="2"/>
    <x v="1"/>
    <x v="3"/>
  </r>
  <r>
    <x v="9"/>
    <x v="17"/>
    <x v="18"/>
    <x v="1"/>
    <x v="10"/>
    <x v="15"/>
    <x v="15"/>
    <x v="14"/>
    <x v="14"/>
    <x v="0"/>
    <x v="64"/>
    <x v="67"/>
    <x v="62"/>
    <x v="63"/>
    <x v="29"/>
    <x v="63"/>
    <x v="7"/>
    <x v="2"/>
    <x v="7"/>
    <x v="5"/>
    <x v="3"/>
    <x v="51"/>
    <x v="55"/>
    <x v="0"/>
    <x v="0"/>
    <x v="5"/>
    <x v="2"/>
    <x v="10"/>
    <x v="1"/>
    <x v="4"/>
    <x v="2"/>
    <x v="10"/>
  </r>
  <r>
    <x v="9"/>
    <x v="18"/>
    <x v="19"/>
    <x v="0"/>
    <x v="11"/>
    <x v="16"/>
    <x v="16"/>
    <x v="15"/>
    <x v="15"/>
    <x v="0"/>
    <x v="65"/>
    <x v="68"/>
    <x v="63"/>
    <x v="64"/>
    <x v="6"/>
    <x v="64"/>
    <x v="9"/>
    <x v="8"/>
    <x v="20"/>
    <x v="4"/>
    <x v="4"/>
    <x v="52"/>
    <x v="56"/>
    <x v="2"/>
    <x v="2"/>
    <x v="14"/>
    <x v="18"/>
    <x v="11"/>
    <x v="2"/>
    <x v="4"/>
    <x v="2"/>
    <x v="11"/>
  </r>
  <r>
    <x v="9"/>
    <x v="19"/>
    <x v="20"/>
    <x v="0"/>
    <x v="12"/>
    <x v="17"/>
    <x v="17"/>
    <x v="16"/>
    <x v="16"/>
    <x v="0"/>
    <x v="66"/>
    <x v="69"/>
    <x v="64"/>
    <x v="65"/>
    <x v="30"/>
    <x v="65"/>
    <x v="42"/>
    <x v="2"/>
    <x v="41"/>
    <x v="4"/>
    <x v="0"/>
    <x v="53"/>
    <x v="57"/>
    <x v="0"/>
    <x v="0"/>
    <x v="5"/>
    <x v="2"/>
    <x v="12"/>
    <x v="1"/>
    <x v="3"/>
    <x v="2"/>
    <x v="12"/>
  </r>
  <r>
    <x v="10"/>
    <x v="6"/>
    <x v="6"/>
    <x v="0"/>
    <x v="6"/>
    <x v="3"/>
    <x v="3"/>
    <x v="3"/>
    <x v="3"/>
    <x v="0"/>
    <x v="67"/>
    <x v="70"/>
    <x v="65"/>
    <x v="66"/>
    <x v="13"/>
    <x v="66"/>
    <x v="23"/>
    <x v="2"/>
    <x v="42"/>
    <x v="5"/>
    <x v="3"/>
    <x v="8"/>
    <x v="10"/>
    <x v="0"/>
    <x v="0"/>
    <x v="5"/>
    <x v="5"/>
    <x v="6"/>
    <x v="2"/>
    <x v="5"/>
    <x v="3"/>
    <x v="6"/>
  </r>
  <r>
    <x v="10"/>
    <x v="8"/>
    <x v="8"/>
    <x v="1"/>
    <x v="7"/>
    <x v="5"/>
    <x v="5"/>
    <x v="5"/>
    <x v="5"/>
    <x v="0"/>
    <x v="68"/>
    <x v="71"/>
    <x v="66"/>
    <x v="67"/>
    <x v="31"/>
    <x v="67"/>
    <x v="43"/>
    <x v="2"/>
    <x v="13"/>
    <x v="3"/>
    <x v="4"/>
    <x v="4"/>
    <x v="58"/>
    <x v="0"/>
    <x v="0"/>
    <x v="2"/>
    <x v="5"/>
    <x v="7"/>
    <x v="0"/>
    <x v="6"/>
    <x v="0"/>
    <x v="7"/>
  </r>
  <r>
    <x v="10"/>
    <x v="0"/>
    <x v="10"/>
    <x v="1"/>
    <x v="0"/>
    <x v="7"/>
    <x v="7"/>
    <x v="6"/>
    <x v="6"/>
    <x v="0"/>
    <x v="69"/>
    <x v="72"/>
    <x v="67"/>
    <x v="68"/>
    <x v="26"/>
    <x v="68"/>
    <x v="36"/>
    <x v="0"/>
    <x v="33"/>
    <x v="5"/>
    <x v="3"/>
    <x v="52"/>
    <x v="59"/>
    <x v="0"/>
    <x v="0"/>
    <x v="5"/>
    <x v="6"/>
    <x v="0"/>
    <x v="0"/>
    <x v="0"/>
    <x v="0"/>
    <x v="0"/>
  </r>
  <r>
    <x v="10"/>
    <x v="14"/>
    <x v="15"/>
    <x v="0"/>
    <x v="9"/>
    <x v="12"/>
    <x v="12"/>
    <x v="11"/>
    <x v="11"/>
    <x v="0"/>
    <x v="70"/>
    <x v="73"/>
    <x v="68"/>
    <x v="69"/>
    <x v="32"/>
    <x v="69"/>
    <x v="44"/>
    <x v="6"/>
    <x v="16"/>
    <x v="14"/>
    <x v="1"/>
    <x v="54"/>
    <x v="60"/>
    <x v="0"/>
    <x v="0"/>
    <x v="11"/>
    <x v="5"/>
    <x v="9"/>
    <x v="1"/>
    <x v="3"/>
    <x v="2"/>
    <x v="9"/>
  </r>
  <r>
    <x v="10"/>
    <x v="15"/>
    <x v="16"/>
    <x v="0"/>
    <x v="1"/>
    <x v="13"/>
    <x v="13"/>
    <x v="12"/>
    <x v="12"/>
    <x v="0"/>
    <x v="71"/>
    <x v="74"/>
    <x v="69"/>
    <x v="70"/>
    <x v="0"/>
    <x v="9"/>
    <x v="45"/>
    <x v="8"/>
    <x v="43"/>
    <x v="15"/>
    <x v="9"/>
    <x v="55"/>
    <x v="61"/>
    <x v="0"/>
    <x v="0"/>
    <x v="15"/>
    <x v="19"/>
    <x v="1"/>
    <x v="0"/>
    <x v="1"/>
    <x v="0"/>
    <x v="1"/>
  </r>
  <r>
    <x v="10"/>
    <x v="16"/>
    <x v="17"/>
    <x v="0"/>
    <x v="3"/>
    <x v="14"/>
    <x v="14"/>
    <x v="13"/>
    <x v="13"/>
    <x v="0"/>
    <x v="72"/>
    <x v="75"/>
    <x v="70"/>
    <x v="36"/>
    <x v="33"/>
    <x v="70"/>
    <x v="15"/>
    <x v="2"/>
    <x v="24"/>
    <x v="3"/>
    <x v="3"/>
    <x v="20"/>
    <x v="62"/>
    <x v="0"/>
    <x v="0"/>
    <x v="5"/>
    <x v="2"/>
    <x v="3"/>
    <x v="1"/>
    <x v="2"/>
    <x v="1"/>
    <x v="3"/>
  </r>
  <r>
    <x v="10"/>
    <x v="17"/>
    <x v="18"/>
    <x v="1"/>
    <x v="10"/>
    <x v="15"/>
    <x v="15"/>
    <x v="14"/>
    <x v="14"/>
    <x v="0"/>
    <x v="73"/>
    <x v="76"/>
    <x v="71"/>
    <x v="71"/>
    <x v="34"/>
    <x v="71"/>
    <x v="7"/>
    <x v="2"/>
    <x v="8"/>
    <x v="5"/>
    <x v="3"/>
    <x v="56"/>
    <x v="63"/>
    <x v="0"/>
    <x v="0"/>
    <x v="5"/>
    <x v="2"/>
    <x v="10"/>
    <x v="1"/>
    <x v="4"/>
    <x v="2"/>
    <x v="10"/>
  </r>
  <r>
    <x v="10"/>
    <x v="18"/>
    <x v="19"/>
    <x v="0"/>
    <x v="11"/>
    <x v="16"/>
    <x v="16"/>
    <x v="15"/>
    <x v="15"/>
    <x v="0"/>
    <x v="74"/>
    <x v="77"/>
    <x v="72"/>
    <x v="17"/>
    <x v="13"/>
    <x v="72"/>
    <x v="15"/>
    <x v="2"/>
    <x v="14"/>
    <x v="3"/>
    <x v="3"/>
    <x v="15"/>
    <x v="15"/>
    <x v="0"/>
    <x v="0"/>
    <x v="5"/>
    <x v="2"/>
    <x v="11"/>
    <x v="2"/>
    <x v="4"/>
    <x v="2"/>
    <x v="11"/>
  </r>
  <r>
    <x v="10"/>
    <x v="19"/>
    <x v="20"/>
    <x v="0"/>
    <x v="12"/>
    <x v="17"/>
    <x v="17"/>
    <x v="16"/>
    <x v="16"/>
    <x v="0"/>
    <x v="75"/>
    <x v="78"/>
    <x v="73"/>
    <x v="72"/>
    <x v="35"/>
    <x v="73"/>
    <x v="15"/>
    <x v="2"/>
    <x v="14"/>
    <x v="3"/>
    <x v="3"/>
    <x v="15"/>
    <x v="15"/>
    <x v="0"/>
    <x v="0"/>
    <x v="5"/>
    <x v="2"/>
    <x v="12"/>
    <x v="1"/>
    <x v="3"/>
    <x v="2"/>
    <x v="12"/>
  </r>
  <r>
    <x v="10"/>
    <x v="20"/>
    <x v="21"/>
    <x v="0"/>
    <x v="13"/>
    <x v="18"/>
    <x v="18"/>
    <x v="17"/>
    <x v="17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0"/>
    <x v="21"/>
    <x v="22"/>
    <x v="0"/>
    <x v="14"/>
    <x v="19"/>
    <x v="19"/>
    <x v="18"/>
    <x v="18"/>
    <x v="0"/>
    <x v="76"/>
    <x v="80"/>
    <x v="74"/>
    <x v="73"/>
    <x v="2"/>
    <x v="74"/>
    <x v="46"/>
    <x v="0"/>
    <x v="23"/>
    <x v="12"/>
    <x v="4"/>
    <x v="57"/>
    <x v="64"/>
    <x v="0"/>
    <x v="0"/>
    <x v="5"/>
    <x v="2"/>
    <x v="14"/>
    <x v="2"/>
    <x v="7"/>
    <x v="3"/>
    <x v="14"/>
  </r>
  <r>
    <x v="10"/>
    <x v="22"/>
    <x v="23"/>
    <x v="0"/>
    <x v="13"/>
    <x v="19"/>
    <x v="19"/>
    <x v="18"/>
    <x v="18"/>
    <x v="0"/>
    <x v="77"/>
    <x v="81"/>
    <x v="75"/>
    <x v="74"/>
    <x v="5"/>
    <x v="56"/>
    <x v="41"/>
    <x v="1"/>
    <x v="19"/>
    <x v="0"/>
    <x v="2"/>
    <x v="22"/>
    <x v="65"/>
    <x v="0"/>
    <x v="0"/>
    <x v="2"/>
    <x v="12"/>
    <x v="13"/>
    <x v="2"/>
    <x v="7"/>
    <x v="3"/>
    <x v="13"/>
  </r>
  <r>
    <x v="10"/>
    <x v="23"/>
    <x v="24"/>
    <x v="0"/>
    <x v="6"/>
    <x v="19"/>
    <x v="19"/>
    <x v="18"/>
    <x v="18"/>
    <x v="0"/>
    <x v="78"/>
    <x v="82"/>
    <x v="76"/>
    <x v="75"/>
    <x v="5"/>
    <x v="75"/>
    <x v="47"/>
    <x v="9"/>
    <x v="44"/>
    <x v="16"/>
    <x v="10"/>
    <x v="58"/>
    <x v="66"/>
    <x v="0"/>
    <x v="0"/>
    <x v="14"/>
    <x v="8"/>
    <x v="6"/>
    <x v="2"/>
    <x v="5"/>
    <x v="3"/>
    <x v="6"/>
  </r>
  <r>
    <x v="10"/>
    <x v="24"/>
    <x v="25"/>
    <x v="0"/>
    <x v="15"/>
    <x v="20"/>
    <x v="20"/>
    <x v="19"/>
    <x v="19"/>
    <x v="0"/>
    <x v="79"/>
    <x v="83"/>
    <x v="77"/>
    <x v="76"/>
    <x v="21"/>
    <x v="76"/>
    <x v="9"/>
    <x v="2"/>
    <x v="32"/>
    <x v="4"/>
    <x v="0"/>
    <x v="35"/>
    <x v="67"/>
    <x v="0"/>
    <x v="0"/>
    <x v="7"/>
    <x v="11"/>
    <x v="15"/>
    <x v="1"/>
    <x v="2"/>
    <x v="1"/>
    <x v="15"/>
  </r>
  <r>
    <x v="10"/>
    <x v="25"/>
    <x v="26"/>
    <x v="0"/>
    <x v="16"/>
    <x v="20"/>
    <x v="20"/>
    <x v="19"/>
    <x v="19"/>
    <x v="0"/>
    <x v="80"/>
    <x v="84"/>
    <x v="78"/>
    <x v="77"/>
    <x v="12"/>
    <x v="77"/>
    <x v="46"/>
    <x v="2"/>
    <x v="45"/>
    <x v="3"/>
    <x v="3"/>
    <x v="7"/>
    <x v="68"/>
    <x v="0"/>
    <x v="0"/>
    <x v="5"/>
    <x v="5"/>
    <x v="16"/>
    <x v="1"/>
    <x v="2"/>
    <x v="1"/>
    <x v="16"/>
  </r>
  <r>
    <x v="10"/>
    <x v="3"/>
    <x v="27"/>
    <x v="0"/>
    <x v="3"/>
    <x v="20"/>
    <x v="20"/>
    <x v="19"/>
    <x v="19"/>
    <x v="0"/>
    <x v="81"/>
    <x v="85"/>
    <x v="79"/>
    <x v="78"/>
    <x v="36"/>
    <x v="78"/>
    <x v="22"/>
    <x v="2"/>
    <x v="22"/>
    <x v="3"/>
    <x v="3"/>
    <x v="50"/>
    <x v="69"/>
    <x v="0"/>
    <x v="0"/>
    <x v="5"/>
    <x v="2"/>
    <x v="3"/>
    <x v="1"/>
    <x v="2"/>
    <x v="1"/>
    <x v="3"/>
  </r>
  <r>
    <x v="10"/>
    <x v="26"/>
    <x v="28"/>
    <x v="1"/>
    <x v="17"/>
    <x v="7"/>
    <x v="7"/>
    <x v="6"/>
    <x v="6"/>
    <x v="0"/>
    <x v="82"/>
    <x v="86"/>
    <x v="80"/>
    <x v="79"/>
    <x v="22"/>
    <x v="79"/>
    <x v="48"/>
    <x v="2"/>
    <x v="33"/>
    <x v="5"/>
    <x v="3"/>
    <x v="52"/>
    <x v="70"/>
    <x v="0"/>
    <x v="0"/>
    <x v="4"/>
    <x v="2"/>
    <x v="17"/>
    <x v="0"/>
    <x v="0"/>
    <x v="0"/>
    <x v="17"/>
  </r>
  <r>
    <x v="10"/>
    <x v="27"/>
    <x v="29"/>
    <x v="0"/>
    <x v="11"/>
    <x v="21"/>
    <x v="21"/>
    <x v="20"/>
    <x v="20"/>
    <x v="0"/>
    <x v="83"/>
    <x v="87"/>
    <x v="81"/>
    <x v="80"/>
    <x v="11"/>
    <x v="80"/>
    <x v="49"/>
    <x v="10"/>
    <x v="10"/>
    <x v="17"/>
    <x v="0"/>
    <x v="59"/>
    <x v="71"/>
    <x v="0"/>
    <x v="0"/>
    <x v="10"/>
    <x v="16"/>
    <x v="11"/>
    <x v="2"/>
    <x v="4"/>
    <x v="2"/>
    <x v="11"/>
  </r>
  <r>
    <x v="11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1"/>
    <x v="0"/>
    <x v="10"/>
    <x v="1"/>
    <x v="0"/>
    <x v="7"/>
    <x v="7"/>
    <x v="6"/>
    <x v="6"/>
    <x v="0"/>
    <x v="84"/>
    <x v="88"/>
    <x v="82"/>
    <x v="81"/>
    <x v="15"/>
    <x v="81"/>
    <x v="50"/>
    <x v="2"/>
    <x v="39"/>
    <x v="4"/>
    <x v="1"/>
    <x v="60"/>
    <x v="72"/>
    <x v="0"/>
    <x v="0"/>
    <x v="9"/>
    <x v="3"/>
    <x v="0"/>
    <x v="0"/>
    <x v="0"/>
    <x v="0"/>
    <x v="0"/>
  </r>
  <r>
    <x v="11"/>
    <x v="14"/>
    <x v="15"/>
    <x v="0"/>
    <x v="9"/>
    <x v="12"/>
    <x v="12"/>
    <x v="11"/>
    <x v="11"/>
    <x v="0"/>
    <x v="85"/>
    <x v="89"/>
    <x v="83"/>
    <x v="82"/>
    <x v="12"/>
    <x v="82"/>
    <x v="51"/>
    <x v="11"/>
    <x v="46"/>
    <x v="18"/>
    <x v="4"/>
    <x v="61"/>
    <x v="40"/>
    <x v="0"/>
    <x v="0"/>
    <x v="11"/>
    <x v="6"/>
    <x v="9"/>
    <x v="1"/>
    <x v="3"/>
    <x v="2"/>
    <x v="9"/>
  </r>
  <r>
    <x v="11"/>
    <x v="15"/>
    <x v="16"/>
    <x v="0"/>
    <x v="1"/>
    <x v="13"/>
    <x v="13"/>
    <x v="12"/>
    <x v="12"/>
    <x v="0"/>
    <x v="86"/>
    <x v="90"/>
    <x v="84"/>
    <x v="83"/>
    <x v="37"/>
    <x v="83"/>
    <x v="52"/>
    <x v="12"/>
    <x v="47"/>
    <x v="19"/>
    <x v="11"/>
    <x v="62"/>
    <x v="73"/>
    <x v="0"/>
    <x v="0"/>
    <x v="16"/>
    <x v="20"/>
    <x v="1"/>
    <x v="0"/>
    <x v="1"/>
    <x v="0"/>
    <x v="1"/>
  </r>
  <r>
    <x v="11"/>
    <x v="17"/>
    <x v="18"/>
    <x v="1"/>
    <x v="10"/>
    <x v="15"/>
    <x v="15"/>
    <x v="14"/>
    <x v="14"/>
    <x v="0"/>
    <x v="87"/>
    <x v="91"/>
    <x v="85"/>
    <x v="84"/>
    <x v="38"/>
    <x v="84"/>
    <x v="18"/>
    <x v="2"/>
    <x v="14"/>
    <x v="3"/>
    <x v="3"/>
    <x v="20"/>
    <x v="74"/>
    <x v="0"/>
    <x v="0"/>
    <x v="5"/>
    <x v="2"/>
    <x v="10"/>
    <x v="1"/>
    <x v="4"/>
    <x v="2"/>
    <x v="10"/>
  </r>
  <r>
    <x v="11"/>
    <x v="21"/>
    <x v="22"/>
    <x v="0"/>
    <x v="14"/>
    <x v="19"/>
    <x v="19"/>
    <x v="18"/>
    <x v="18"/>
    <x v="0"/>
    <x v="88"/>
    <x v="92"/>
    <x v="86"/>
    <x v="79"/>
    <x v="12"/>
    <x v="85"/>
    <x v="53"/>
    <x v="3"/>
    <x v="48"/>
    <x v="20"/>
    <x v="12"/>
    <x v="63"/>
    <x v="75"/>
    <x v="0"/>
    <x v="0"/>
    <x v="12"/>
    <x v="2"/>
    <x v="14"/>
    <x v="2"/>
    <x v="7"/>
    <x v="3"/>
    <x v="14"/>
  </r>
  <r>
    <x v="11"/>
    <x v="22"/>
    <x v="23"/>
    <x v="0"/>
    <x v="13"/>
    <x v="19"/>
    <x v="19"/>
    <x v="18"/>
    <x v="18"/>
    <x v="0"/>
    <x v="89"/>
    <x v="93"/>
    <x v="72"/>
    <x v="85"/>
    <x v="39"/>
    <x v="86"/>
    <x v="15"/>
    <x v="2"/>
    <x v="14"/>
    <x v="3"/>
    <x v="3"/>
    <x v="15"/>
    <x v="15"/>
    <x v="0"/>
    <x v="0"/>
    <x v="5"/>
    <x v="2"/>
    <x v="13"/>
    <x v="2"/>
    <x v="7"/>
    <x v="3"/>
    <x v="13"/>
  </r>
  <r>
    <x v="11"/>
    <x v="23"/>
    <x v="24"/>
    <x v="0"/>
    <x v="6"/>
    <x v="19"/>
    <x v="19"/>
    <x v="18"/>
    <x v="18"/>
    <x v="0"/>
    <x v="90"/>
    <x v="94"/>
    <x v="87"/>
    <x v="86"/>
    <x v="6"/>
    <x v="87"/>
    <x v="18"/>
    <x v="2"/>
    <x v="14"/>
    <x v="3"/>
    <x v="3"/>
    <x v="20"/>
    <x v="38"/>
    <x v="0"/>
    <x v="0"/>
    <x v="5"/>
    <x v="2"/>
    <x v="6"/>
    <x v="2"/>
    <x v="5"/>
    <x v="3"/>
    <x v="6"/>
  </r>
  <r>
    <x v="11"/>
    <x v="24"/>
    <x v="25"/>
    <x v="0"/>
    <x v="15"/>
    <x v="20"/>
    <x v="20"/>
    <x v="19"/>
    <x v="19"/>
    <x v="0"/>
    <x v="91"/>
    <x v="95"/>
    <x v="88"/>
    <x v="87"/>
    <x v="36"/>
    <x v="88"/>
    <x v="54"/>
    <x v="2"/>
    <x v="28"/>
    <x v="12"/>
    <x v="4"/>
    <x v="64"/>
    <x v="76"/>
    <x v="0"/>
    <x v="0"/>
    <x v="2"/>
    <x v="12"/>
    <x v="15"/>
    <x v="1"/>
    <x v="2"/>
    <x v="1"/>
    <x v="15"/>
  </r>
  <r>
    <x v="11"/>
    <x v="25"/>
    <x v="26"/>
    <x v="0"/>
    <x v="16"/>
    <x v="20"/>
    <x v="20"/>
    <x v="19"/>
    <x v="19"/>
    <x v="0"/>
    <x v="92"/>
    <x v="96"/>
    <x v="70"/>
    <x v="88"/>
    <x v="12"/>
    <x v="73"/>
    <x v="15"/>
    <x v="2"/>
    <x v="14"/>
    <x v="3"/>
    <x v="3"/>
    <x v="15"/>
    <x v="15"/>
    <x v="0"/>
    <x v="0"/>
    <x v="5"/>
    <x v="2"/>
    <x v="16"/>
    <x v="1"/>
    <x v="2"/>
    <x v="1"/>
    <x v="16"/>
  </r>
  <r>
    <x v="11"/>
    <x v="3"/>
    <x v="27"/>
    <x v="0"/>
    <x v="3"/>
    <x v="20"/>
    <x v="20"/>
    <x v="19"/>
    <x v="19"/>
    <x v="0"/>
    <x v="93"/>
    <x v="97"/>
    <x v="72"/>
    <x v="89"/>
    <x v="12"/>
    <x v="89"/>
    <x v="15"/>
    <x v="2"/>
    <x v="24"/>
    <x v="3"/>
    <x v="3"/>
    <x v="20"/>
    <x v="77"/>
    <x v="0"/>
    <x v="0"/>
    <x v="5"/>
    <x v="2"/>
    <x v="3"/>
    <x v="1"/>
    <x v="2"/>
    <x v="1"/>
    <x v="3"/>
  </r>
  <r>
    <x v="11"/>
    <x v="27"/>
    <x v="29"/>
    <x v="0"/>
    <x v="11"/>
    <x v="21"/>
    <x v="21"/>
    <x v="20"/>
    <x v="20"/>
    <x v="0"/>
    <x v="94"/>
    <x v="98"/>
    <x v="89"/>
    <x v="90"/>
    <x v="11"/>
    <x v="90"/>
    <x v="55"/>
    <x v="13"/>
    <x v="49"/>
    <x v="8"/>
    <x v="13"/>
    <x v="65"/>
    <x v="78"/>
    <x v="0"/>
    <x v="0"/>
    <x v="14"/>
    <x v="21"/>
    <x v="11"/>
    <x v="2"/>
    <x v="4"/>
    <x v="2"/>
    <x v="11"/>
  </r>
  <r>
    <x v="11"/>
    <x v="26"/>
    <x v="30"/>
    <x v="1"/>
    <x v="17"/>
    <x v="22"/>
    <x v="22"/>
    <x v="21"/>
    <x v="21"/>
    <x v="0"/>
    <x v="95"/>
    <x v="99"/>
    <x v="90"/>
    <x v="91"/>
    <x v="40"/>
    <x v="91"/>
    <x v="48"/>
    <x v="2"/>
    <x v="39"/>
    <x v="5"/>
    <x v="2"/>
    <x v="66"/>
    <x v="79"/>
    <x v="0"/>
    <x v="0"/>
    <x v="1"/>
    <x v="2"/>
    <x v="17"/>
    <x v="0"/>
    <x v="0"/>
    <x v="0"/>
    <x v="17"/>
  </r>
  <r>
    <x v="12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2"/>
    <x v="20"/>
    <x v="15"/>
    <x v="0"/>
    <x v="0"/>
    <x v="5"/>
    <x v="2"/>
    <x v="5"/>
    <x v="1"/>
    <x v="4"/>
    <x v="2"/>
    <x v="5"/>
  </r>
  <r>
    <x v="12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2"/>
    <x v="0"/>
    <x v="10"/>
    <x v="1"/>
    <x v="0"/>
    <x v="7"/>
    <x v="7"/>
    <x v="6"/>
    <x v="6"/>
    <x v="0"/>
    <x v="96"/>
    <x v="100"/>
    <x v="91"/>
    <x v="92"/>
    <x v="20"/>
    <x v="92"/>
    <x v="19"/>
    <x v="2"/>
    <x v="17"/>
    <x v="11"/>
    <x v="3"/>
    <x v="67"/>
    <x v="80"/>
    <x v="0"/>
    <x v="0"/>
    <x v="1"/>
    <x v="13"/>
    <x v="0"/>
    <x v="0"/>
    <x v="0"/>
    <x v="0"/>
    <x v="0"/>
  </r>
  <r>
    <x v="12"/>
    <x v="14"/>
    <x v="15"/>
    <x v="0"/>
    <x v="9"/>
    <x v="12"/>
    <x v="12"/>
    <x v="11"/>
    <x v="11"/>
    <x v="0"/>
    <x v="97"/>
    <x v="101"/>
    <x v="92"/>
    <x v="93"/>
    <x v="41"/>
    <x v="93"/>
    <x v="41"/>
    <x v="2"/>
    <x v="50"/>
    <x v="5"/>
    <x v="2"/>
    <x v="68"/>
    <x v="81"/>
    <x v="0"/>
    <x v="0"/>
    <x v="5"/>
    <x v="2"/>
    <x v="9"/>
    <x v="1"/>
    <x v="3"/>
    <x v="2"/>
    <x v="9"/>
  </r>
  <r>
    <x v="12"/>
    <x v="15"/>
    <x v="16"/>
    <x v="0"/>
    <x v="1"/>
    <x v="13"/>
    <x v="13"/>
    <x v="12"/>
    <x v="12"/>
    <x v="0"/>
    <x v="98"/>
    <x v="102"/>
    <x v="93"/>
    <x v="94"/>
    <x v="42"/>
    <x v="94"/>
    <x v="56"/>
    <x v="2"/>
    <x v="1"/>
    <x v="0"/>
    <x v="2"/>
    <x v="69"/>
    <x v="82"/>
    <x v="0"/>
    <x v="0"/>
    <x v="2"/>
    <x v="5"/>
    <x v="1"/>
    <x v="0"/>
    <x v="1"/>
    <x v="0"/>
    <x v="1"/>
  </r>
  <r>
    <x v="12"/>
    <x v="17"/>
    <x v="18"/>
    <x v="1"/>
    <x v="10"/>
    <x v="15"/>
    <x v="15"/>
    <x v="14"/>
    <x v="14"/>
    <x v="0"/>
    <x v="99"/>
    <x v="103"/>
    <x v="94"/>
    <x v="95"/>
    <x v="19"/>
    <x v="95"/>
    <x v="26"/>
    <x v="2"/>
    <x v="14"/>
    <x v="3"/>
    <x v="3"/>
    <x v="70"/>
    <x v="83"/>
    <x v="0"/>
    <x v="0"/>
    <x v="5"/>
    <x v="2"/>
    <x v="10"/>
    <x v="1"/>
    <x v="4"/>
    <x v="2"/>
    <x v="10"/>
  </r>
  <r>
    <x v="12"/>
    <x v="21"/>
    <x v="22"/>
    <x v="0"/>
    <x v="14"/>
    <x v="19"/>
    <x v="19"/>
    <x v="18"/>
    <x v="18"/>
    <x v="0"/>
    <x v="100"/>
    <x v="104"/>
    <x v="95"/>
    <x v="96"/>
    <x v="36"/>
    <x v="96"/>
    <x v="57"/>
    <x v="8"/>
    <x v="51"/>
    <x v="21"/>
    <x v="14"/>
    <x v="71"/>
    <x v="84"/>
    <x v="0"/>
    <x v="0"/>
    <x v="7"/>
    <x v="2"/>
    <x v="14"/>
    <x v="2"/>
    <x v="7"/>
    <x v="3"/>
    <x v="14"/>
  </r>
  <r>
    <x v="12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2"/>
    <x v="24"/>
    <x v="25"/>
    <x v="0"/>
    <x v="15"/>
    <x v="20"/>
    <x v="20"/>
    <x v="19"/>
    <x v="19"/>
    <x v="0"/>
    <x v="101"/>
    <x v="105"/>
    <x v="96"/>
    <x v="97"/>
    <x v="43"/>
    <x v="97"/>
    <x v="58"/>
    <x v="0"/>
    <x v="52"/>
    <x v="22"/>
    <x v="12"/>
    <x v="72"/>
    <x v="85"/>
    <x v="0"/>
    <x v="0"/>
    <x v="8"/>
    <x v="3"/>
    <x v="15"/>
    <x v="1"/>
    <x v="2"/>
    <x v="1"/>
    <x v="15"/>
  </r>
  <r>
    <x v="12"/>
    <x v="27"/>
    <x v="29"/>
    <x v="0"/>
    <x v="11"/>
    <x v="21"/>
    <x v="21"/>
    <x v="20"/>
    <x v="20"/>
    <x v="0"/>
    <x v="102"/>
    <x v="106"/>
    <x v="97"/>
    <x v="98"/>
    <x v="39"/>
    <x v="98"/>
    <x v="59"/>
    <x v="14"/>
    <x v="53"/>
    <x v="23"/>
    <x v="14"/>
    <x v="73"/>
    <x v="86"/>
    <x v="3"/>
    <x v="3"/>
    <x v="17"/>
    <x v="22"/>
    <x v="11"/>
    <x v="2"/>
    <x v="4"/>
    <x v="2"/>
    <x v="11"/>
  </r>
  <r>
    <x v="12"/>
    <x v="26"/>
    <x v="30"/>
    <x v="1"/>
    <x v="17"/>
    <x v="22"/>
    <x v="22"/>
    <x v="21"/>
    <x v="21"/>
    <x v="0"/>
    <x v="103"/>
    <x v="107"/>
    <x v="98"/>
    <x v="99"/>
    <x v="40"/>
    <x v="99"/>
    <x v="60"/>
    <x v="2"/>
    <x v="11"/>
    <x v="12"/>
    <x v="1"/>
    <x v="74"/>
    <x v="87"/>
    <x v="0"/>
    <x v="0"/>
    <x v="2"/>
    <x v="3"/>
    <x v="17"/>
    <x v="0"/>
    <x v="0"/>
    <x v="0"/>
    <x v="17"/>
  </r>
  <r>
    <x v="12"/>
    <x v="28"/>
    <x v="31"/>
    <x v="1"/>
    <x v="9"/>
    <x v="15"/>
    <x v="15"/>
    <x v="14"/>
    <x v="14"/>
    <x v="0"/>
    <x v="104"/>
    <x v="108"/>
    <x v="99"/>
    <x v="100"/>
    <x v="44"/>
    <x v="100"/>
    <x v="23"/>
    <x v="2"/>
    <x v="14"/>
    <x v="5"/>
    <x v="3"/>
    <x v="75"/>
    <x v="88"/>
    <x v="0"/>
    <x v="0"/>
    <x v="2"/>
    <x v="2"/>
    <x v="9"/>
    <x v="1"/>
    <x v="3"/>
    <x v="2"/>
    <x v="9"/>
  </r>
  <r>
    <x v="12"/>
    <x v="29"/>
    <x v="32"/>
    <x v="1"/>
    <x v="11"/>
    <x v="15"/>
    <x v="15"/>
    <x v="14"/>
    <x v="14"/>
    <x v="0"/>
    <x v="105"/>
    <x v="109"/>
    <x v="100"/>
    <x v="101"/>
    <x v="18"/>
    <x v="101"/>
    <x v="26"/>
    <x v="2"/>
    <x v="14"/>
    <x v="3"/>
    <x v="3"/>
    <x v="70"/>
    <x v="89"/>
    <x v="0"/>
    <x v="0"/>
    <x v="5"/>
    <x v="2"/>
    <x v="11"/>
    <x v="2"/>
    <x v="4"/>
    <x v="2"/>
    <x v="11"/>
  </r>
  <r>
    <x v="12"/>
    <x v="26"/>
    <x v="33"/>
    <x v="0"/>
    <x v="17"/>
    <x v="23"/>
    <x v="23"/>
    <x v="22"/>
    <x v="22"/>
    <x v="0"/>
    <x v="106"/>
    <x v="110"/>
    <x v="101"/>
    <x v="102"/>
    <x v="42"/>
    <x v="102"/>
    <x v="61"/>
    <x v="15"/>
    <x v="54"/>
    <x v="15"/>
    <x v="15"/>
    <x v="76"/>
    <x v="13"/>
    <x v="0"/>
    <x v="0"/>
    <x v="18"/>
    <x v="9"/>
    <x v="17"/>
    <x v="0"/>
    <x v="0"/>
    <x v="0"/>
    <x v="17"/>
  </r>
  <r>
    <x v="12"/>
    <x v="30"/>
    <x v="34"/>
    <x v="0"/>
    <x v="18"/>
    <x v="24"/>
    <x v="24"/>
    <x v="23"/>
    <x v="23"/>
    <x v="0"/>
    <x v="107"/>
    <x v="111"/>
    <x v="102"/>
    <x v="103"/>
    <x v="13"/>
    <x v="103"/>
    <x v="62"/>
    <x v="1"/>
    <x v="22"/>
    <x v="13"/>
    <x v="2"/>
    <x v="77"/>
    <x v="90"/>
    <x v="0"/>
    <x v="0"/>
    <x v="5"/>
    <x v="13"/>
    <x v="18"/>
    <x v="0"/>
    <x v="6"/>
    <x v="0"/>
    <x v="18"/>
  </r>
  <r>
    <x v="12"/>
    <x v="31"/>
    <x v="35"/>
    <x v="0"/>
    <x v="19"/>
    <x v="25"/>
    <x v="25"/>
    <x v="24"/>
    <x v="24"/>
    <x v="0"/>
    <x v="108"/>
    <x v="112"/>
    <x v="103"/>
    <x v="104"/>
    <x v="9"/>
    <x v="104"/>
    <x v="63"/>
    <x v="0"/>
    <x v="14"/>
    <x v="11"/>
    <x v="3"/>
    <x v="78"/>
    <x v="91"/>
    <x v="0"/>
    <x v="0"/>
    <x v="5"/>
    <x v="5"/>
    <x v="19"/>
    <x v="1"/>
    <x v="2"/>
    <x v="1"/>
    <x v="19"/>
  </r>
  <r>
    <x v="12"/>
    <x v="32"/>
    <x v="36"/>
    <x v="0"/>
    <x v="20"/>
    <x v="25"/>
    <x v="25"/>
    <x v="24"/>
    <x v="24"/>
    <x v="0"/>
    <x v="109"/>
    <x v="113"/>
    <x v="104"/>
    <x v="105"/>
    <x v="5"/>
    <x v="105"/>
    <x v="64"/>
    <x v="0"/>
    <x v="50"/>
    <x v="5"/>
    <x v="2"/>
    <x v="51"/>
    <x v="92"/>
    <x v="0"/>
    <x v="0"/>
    <x v="5"/>
    <x v="12"/>
    <x v="20"/>
    <x v="1"/>
    <x v="2"/>
    <x v="1"/>
    <x v="20"/>
  </r>
  <r>
    <x v="12"/>
    <x v="29"/>
    <x v="37"/>
    <x v="0"/>
    <x v="13"/>
    <x v="26"/>
    <x v="26"/>
    <x v="25"/>
    <x v="25"/>
    <x v="0"/>
    <x v="110"/>
    <x v="114"/>
    <x v="105"/>
    <x v="106"/>
    <x v="13"/>
    <x v="106"/>
    <x v="65"/>
    <x v="6"/>
    <x v="7"/>
    <x v="4"/>
    <x v="1"/>
    <x v="4"/>
    <x v="93"/>
    <x v="0"/>
    <x v="0"/>
    <x v="1"/>
    <x v="9"/>
    <x v="13"/>
    <x v="2"/>
    <x v="7"/>
    <x v="3"/>
    <x v="13"/>
  </r>
  <r>
    <x v="13"/>
    <x v="0"/>
    <x v="10"/>
    <x v="1"/>
    <x v="0"/>
    <x v="7"/>
    <x v="7"/>
    <x v="6"/>
    <x v="6"/>
    <x v="0"/>
    <x v="111"/>
    <x v="115"/>
    <x v="106"/>
    <x v="107"/>
    <x v="24"/>
    <x v="107"/>
    <x v="66"/>
    <x v="1"/>
    <x v="55"/>
    <x v="11"/>
    <x v="3"/>
    <x v="79"/>
    <x v="94"/>
    <x v="0"/>
    <x v="0"/>
    <x v="7"/>
    <x v="23"/>
    <x v="0"/>
    <x v="0"/>
    <x v="0"/>
    <x v="0"/>
    <x v="0"/>
  </r>
  <r>
    <x v="13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  <x v="1"/>
  </r>
  <r>
    <x v="13"/>
    <x v="21"/>
    <x v="22"/>
    <x v="0"/>
    <x v="14"/>
    <x v="19"/>
    <x v="19"/>
    <x v="18"/>
    <x v="18"/>
    <x v="0"/>
    <x v="112"/>
    <x v="116"/>
    <x v="107"/>
    <x v="108"/>
    <x v="36"/>
    <x v="108"/>
    <x v="67"/>
    <x v="16"/>
    <x v="56"/>
    <x v="24"/>
    <x v="16"/>
    <x v="80"/>
    <x v="95"/>
    <x v="2"/>
    <x v="3"/>
    <x v="18"/>
    <x v="2"/>
    <x v="14"/>
    <x v="2"/>
    <x v="7"/>
    <x v="3"/>
    <x v="14"/>
  </r>
  <r>
    <x v="13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3"/>
    <x v="24"/>
    <x v="25"/>
    <x v="0"/>
    <x v="15"/>
    <x v="20"/>
    <x v="20"/>
    <x v="19"/>
    <x v="19"/>
    <x v="0"/>
    <x v="113"/>
    <x v="117"/>
    <x v="94"/>
    <x v="109"/>
    <x v="27"/>
    <x v="109"/>
    <x v="15"/>
    <x v="2"/>
    <x v="24"/>
    <x v="3"/>
    <x v="3"/>
    <x v="20"/>
    <x v="96"/>
    <x v="0"/>
    <x v="0"/>
    <x v="5"/>
    <x v="2"/>
    <x v="15"/>
    <x v="1"/>
    <x v="2"/>
    <x v="1"/>
    <x v="15"/>
  </r>
  <r>
    <x v="13"/>
    <x v="27"/>
    <x v="29"/>
    <x v="0"/>
    <x v="11"/>
    <x v="21"/>
    <x v="21"/>
    <x v="20"/>
    <x v="20"/>
    <x v="0"/>
    <x v="114"/>
    <x v="118"/>
    <x v="108"/>
    <x v="110"/>
    <x v="11"/>
    <x v="106"/>
    <x v="68"/>
    <x v="17"/>
    <x v="57"/>
    <x v="25"/>
    <x v="17"/>
    <x v="81"/>
    <x v="97"/>
    <x v="4"/>
    <x v="3"/>
    <x v="19"/>
    <x v="24"/>
    <x v="11"/>
    <x v="2"/>
    <x v="4"/>
    <x v="2"/>
    <x v="11"/>
  </r>
  <r>
    <x v="13"/>
    <x v="26"/>
    <x v="30"/>
    <x v="1"/>
    <x v="17"/>
    <x v="22"/>
    <x v="22"/>
    <x v="21"/>
    <x v="21"/>
    <x v="0"/>
    <x v="115"/>
    <x v="119"/>
    <x v="109"/>
    <x v="111"/>
    <x v="45"/>
    <x v="110"/>
    <x v="12"/>
    <x v="0"/>
    <x v="58"/>
    <x v="12"/>
    <x v="4"/>
    <x v="82"/>
    <x v="98"/>
    <x v="0"/>
    <x v="0"/>
    <x v="1"/>
    <x v="5"/>
    <x v="17"/>
    <x v="0"/>
    <x v="0"/>
    <x v="0"/>
    <x v="17"/>
  </r>
  <r>
    <x v="13"/>
    <x v="28"/>
    <x v="31"/>
    <x v="1"/>
    <x v="9"/>
    <x v="15"/>
    <x v="15"/>
    <x v="14"/>
    <x v="14"/>
    <x v="0"/>
    <x v="116"/>
    <x v="120"/>
    <x v="110"/>
    <x v="112"/>
    <x v="46"/>
    <x v="111"/>
    <x v="18"/>
    <x v="2"/>
    <x v="24"/>
    <x v="5"/>
    <x v="2"/>
    <x v="83"/>
    <x v="99"/>
    <x v="0"/>
    <x v="0"/>
    <x v="2"/>
    <x v="2"/>
    <x v="9"/>
    <x v="1"/>
    <x v="3"/>
    <x v="2"/>
    <x v="9"/>
  </r>
  <r>
    <x v="13"/>
    <x v="29"/>
    <x v="32"/>
    <x v="1"/>
    <x v="11"/>
    <x v="15"/>
    <x v="15"/>
    <x v="14"/>
    <x v="14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3"/>
    <x v="26"/>
    <x v="33"/>
    <x v="0"/>
    <x v="17"/>
    <x v="23"/>
    <x v="23"/>
    <x v="22"/>
    <x v="22"/>
    <x v="0"/>
    <x v="117"/>
    <x v="121"/>
    <x v="111"/>
    <x v="113"/>
    <x v="8"/>
    <x v="112"/>
    <x v="69"/>
    <x v="6"/>
    <x v="59"/>
    <x v="26"/>
    <x v="13"/>
    <x v="84"/>
    <x v="100"/>
    <x v="0"/>
    <x v="0"/>
    <x v="10"/>
    <x v="11"/>
    <x v="17"/>
    <x v="0"/>
    <x v="0"/>
    <x v="0"/>
    <x v="17"/>
  </r>
  <r>
    <x v="13"/>
    <x v="30"/>
    <x v="34"/>
    <x v="0"/>
    <x v="18"/>
    <x v="24"/>
    <x v="24"/>
    <x v="23"/>
    <x v="23"/>
    <x v="0"/>
    <x v="118"/>
    <x v="122"/>
    <x v="112"/>
    <x v="114"/>
    <x v="6"/>
    <x v="113"/>
    <x v="46"/>
    <x v="2"/>
    <x v="8"/>
    <x v="8"/>
    <x v="2"/>
    <x v="85"/>
    <x v="13"/>
    <x v="0"/>
    <x v="0"/>
    <x v="2"/>
    <x v="25"/>
    <x v="18"/>
    <x v="0"/>
    <x v="6"/>
    <x v="0"/>
    <x v="18"/>
  </r>
  <r>
    <x v="13"/>
    <x v="31"/>
    <x v="35"/>
    <x v="0"/>
    <x v="19"/>
    <x v="25"/>
    <x v="25"/>
    <x v="24"/>
    <x v="24"/>
    <x v="0"/>
    <x v="119"/>
    <x v="123"/>
    <x v="113"/>
    <x v="115"/>
    <x v="13"/>
    <x v="114"/>
    <x v="15"/>
    <x v="2"/>
    <x v="14"/>
    <x v="3"/>
    <x v="3"/>
    <x v="15"/>
    <x v="15"/>
    <x v="0"/>
    <x v="0"/>
    <x v="5"/>
    <x v="2"/>
    <x v="19"/>
    <x v="1"/>
    <x v="2"/>
    <x v="1"/>
    <x v="19"/>
  </r>
  <r>
    <x v="13"/>
    <x v="32"/>
    <x v="36"/>
    <x v="0"/>
    <x v="20"/>
    <x v="25"/>
    <x v="25"/>
    <x v="24"/>
    <x v="24"/>
    <x v="0"/>
    <x v="120"/>
    <x v="124"/>
    <x v="114"/>
    <x v="116"/>
    <x v="13"/>
    <x v="115"/>
    <x v="70"/>
    <x v="3"/>
    <x v="8"/>
    <x v="12"/>
    <x v="0"/>
    <x v="86"/>
    <x v="101"/>
    <x v="0"/>
    <x v="0"/>
    <x v="7"/>
    <x v="11"/>
    <x v="20"/>
    <x v="1"/>
    <x v="2"/>
    <x v="1"/>
    <x v="20"/>
  </r>
  <r>
    <x v="13"/>
    <x v="29"/>
    <x v="37"/>
    <x v="0"/>
    <x v="13"/>
    <x v="26"/>
    <x v="26"/>
    <x v="25"/>
    <x v="25"/>
    <x v="0"/>
    <x v="121"/>
    <x v="125"/>
    <x v="115"/>
    <x v="117"/>
    <x v="13"/>
    <x v="116"/>
    <x v="71"/>
    <x v="3"/>
    <x v="22"/>
    <x v="4"/>
    <x v="3"/>
    <x v="87"/>
    <x v="102"/>
    <x v="0"/>
    <x v="0"/>
    <x v="5"/>
    <x v="26"/>
    <x v="13"/>
    <x v="2"/>
    <x v="7"/>
    <x v="3"/>
    <x v="13"/>
  </r>
  <r>
    <x v="14"/>
    <x v="0"/>
    <x v="10"/>
    <x v="1"/>
    <x v="0"/>
    <x v="7"/>
    <x v="7"/>
    <x v="6"/>
    <x v="6"/>
    <x v="0"/>
    <x v="122"/>
    <x v="126"/>
    <x v="116"/>
    <x v="118"/>
    <x v="17"/>
    <x v="117"/>
    <x v="50"/>
    <x v="2"/>
    <x v="39"/>
    <x v="1"/>
    <x v="2"/>
    <x v="41"/>
    <x v="103"/>
    <x v="0"/>
    <x v="0"/>
    <x v="11"/>
    <x v="26"/>
    <x v="0"/>
    <x v="0"/>
    <x v="0"/>
    <x v="0"/>
    <x v="0"/>
  </r>
  <r>
    <x v="14"/>
    <x v="12"/>
    <x v="13"/>
    <x v="1"/>
    <x v="5"/>
    <x v="10"/>
    <x v="10"/>
    <x v="9"/>
    <x v="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  <x v="5"/>
  </r>
  <r>
    <x v="14"/>
    <x v="21"/>
    <x v="22"/>
    <x v="0"/>
    <x v="14"/>
    <x v="19"/>
    <x v="19"/>
    <x v="18"/>
    <x v="18"/>
    <x v="0"/>
    <x v="123"/>
    <x v="127"/>
    <x v="117"/>
    <x v="119"/>
    <x v="35"/>
    <x v="118"/>
    <x v="72"/>
    <x v="18"/>
    <x v="60"/>
    <x v="27"/>
    <x v="18"/>
    <x v="88"/>
    <x v="104"/>
    <x v="0"/>
    <x v="0"/>
    <x v="20"/>
    <x v="2"/>
    <x v="14"/>
    <x v="2"/>
    <x v="7"/>
    <x v="3"/>
    <x v="14"/>
  </r>
  <r>
    <x v="14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5"/>
    <x v="6"/>
    <x v="2"/>
    <x v="5"/>
    <x v="3"/>
    <x v="6"/>
  </r>
  <r>
    <x v="14"/>
    <x v="24"/>
    <x v="25"/>
    <x v="0"/>
    <x v="15"/>
    <x v="20"/>
    <x v="20"/>
    <x v="19"/>
    <x v="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5"/>
    <x v="1"/>
    <x v="2"/>
    <x v="1"/>
    <x v="15"/>
  </r>
  <r>
    <x v="14"/>
    <x v="27"/>
    <x v="29"/>
    <x v="0"/>
    <x v="11"/>
    <x v="21"/>
    <x v="21"/>
    <x v="20"/>
    <x v="20"/>
    <x v="0"/>
    <x v="124"/>
    <x v="128"/>
    <x v="118"/>
    <x v="120"/>
    <x v="11"/>
    <x v="119"/>
    <x v="18"/>
    <x v="2"/>
    <x v="14"/>
    <x v="5"/>
    <x v="3"/>
    <x v="27"/>
    <x v="105"/>
    <x v="0"/>
    <x v="0"/>
    <x v="2"/>
    <x v="2"/>
    <x v="11"/>
    <x v="2"/>
    <x v="4"/>
    <x v="2"/>
    <x v="11"/>
  </r>
  <r>
    <x v="14"/>
    <x v="26"/>
    <x v="30"/>
    <x v="1"/>
    <x v="17"/>
    <x v="22"/>
    <x v="22"/>
    <x v="21"/>
    <x v="21"/>
    <x v="0"/>
    <x v="125"/>
    <x v="129"/>
    <x v="119"/>
    <x v="121"/>
    <x v="18"/>
    <x v="120"/>
    <x v="25"/>
    <x v="2"/>
    <x v="61"/>
    <x v="1"/>
    <x v="1"/>
    <x v="89"/>
    <x v="106"/>
    <x v="0"/>
    <x v="0"/>
    <x v="12"/>
    <x v="10"/>
    <x v="17"/>
    <x v="0"/>
    <x v="0"/>
    <x v="0"/>
    <x v="17"/>
  </r>
  <r>
    <x v="14"/>
    <x v="28"/>
    <x v="31"/>
    <x v="1"/>
    <x v="9"/>
    <x v="15"/>
    <x v="15"/>
    <x v="14"/>
    <x v="14"/>
    <x v="0"/>
    <x v="126"/>
    <x v="130"/>
    <x v="120"/>
    <x v="122"/>
    <x v="19"/>
    <x v="121"/>
    <x v="8"/>
    <x v="2"/>
    <x v="19"/>
    <x v="5"/>
    <x v="3"/>
    <x v="31"/>
    <x v="107"/>
    <x v="0"/>
    <x v="0"/>
    <x v="2"/>
    <x v="2"/>
    <x v="9"/>
    <x v="1"/>
    <x v="3"/>
    <x v="2"/>
    <x v="9"/>
  </r>
  <r>
    <x v="14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4"/>
    <x v="30"/>
    <x v="34"/>
    <x v="0"/>
    <x v="18"/>
    <x v="24"/>
    <x v="24"/>
    <x v="23"/>
    <x v="2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4"/>
    <x v="32"/>
    <x v="36"/>
    <x v="0"/>
    <x v="20"/>
    <x v="25"/>
    <x v="25"/>
    <x v="24"/>
    <x v="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14"/>
    <x v="29"/>
    <x v="37"/>
    <x v="0"/>
    <x v="13"/>
    <x v="26"/>
    <x v="26"/>
    <x v="25"/>
    <x v="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5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5"/>
    <x v="0"/>
    <x v="10"/>
    <x v="1"/>
    <x v="0"/>
    <x v="7"/>
    <x v="7"/>
    <x v="6"/>
    <x v="6"/>
    <x v="0"/>
    <x v="127"/>
    <x v="131"/>
    <x v="121"/>
    <x v="123"/>
    <x v="47"/>
    <x v="122"/>
    <x v="20"/>
    <x v="1"/>
    <x v="3"/>
    <x v="5"/>
    <x v="1"/>
    <x v="90"/>
    <x v="108"/>
    <x v="0"/>
    <x v="0"/>
    <x v="0"/>
    <x v="3"/>
    <x v="0"/>
    <x v="0"/>
    <x v="0"/>
    <x v="0"/>
    <x v="0"/>
  </r>
  <r>
    <x v="15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5"/>
    <x v="1"/>
    <x v="0"/>
    <x v="1"/>
    <x v="0"/>
    <x v="1"/>
  </r>
  <r>
    <x v="15"/>
    <x v="21"/>
    <x v="22"/>
    <x v="0"/>
    <x v="14"/>
    <x v="19"/>
    <x v="19"/>
    <x v="18"/>
    <x v="18"/>
    <x v="0"/>
    <x v="128"/>
    <x v="132"/>
    <x v="122"/>
    <x v="124"/>
    <x v="48"/>
    <x v="123"/>
    <x v="73"/>
    <x v="19"/>
    <x v="62"/>
    <x v="28"/>
    <x v="19"/>
    <x v="91"/>
    <x v="109"/>
    <x v="2"/>
    <x v="0"/>
    <x v="21"/>
    <x v="2"/>
    <x v="14"/>
    <x v="2"/>
    <x v="7"/>
    <x v="3"/>
    <x v="14"/>
  </r>
  <r>
    <x v="15"/>
    <x v="24"/>
    <x v="25"/>
    <x v="0"/>
    <x v="15"/>
    <x v="20"/>
    <x v="20"/>
    <x v="19"/>
    <x v="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5"/>
    <x v="1"/>
    <x v="2"/>
    <x v="1"/>
    <x v="15"/>
  </r>
  <r>
    <x v="15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5"/>
    <x v="26"/>
    <x v="30"/>
    <x v="1"/>
    <x v="17"/>
    <x v="22"/>
    <x v="22"/>
    <x v="21"/>
    <x v="21"/>
    <x v="0"/>
    <x v="129"/>
    <x v="133"/>
    <x v="123"/>
    <x v="125"/>
    <x v="49"/>
    <x v="124"/>
    <x v="74"/>
    <x v="2"/>
    <x v="40"/>
    <x v="13"/>
    <x v="0"/>
    <x v="92"/>
    <x v="110"/>
    <x v="0"/>
    <x v="0"/>
    <x v="11"/>
    <x v="3"/>
    <x v="17"/>
    <x v="0"/>
    <x v="0"/>
    <x v="0"/>
    <x v="17"/>
  </r>
  <r>
    <x v="15"/>
    <x v="28"/>
    <x v="31"/>
    <x v="1"/>
    <x v="9"/>
    <x v="15"/>
    <x v="15"/>
    <x v="14"/>
    <x v="14"/>
    <x v="0"/>
    <x v="130"/>
    <x v="134"/>
    <x v="124"/>
    <x v="126"/>
    <x v="19"/>
    <x v="125"/>
    <x v="41"/>
    <x v="2"/>
    <x v="24"/>
    <x v="3"/>
    <x v="3"/>
    <x v="93"/>
    <x v="111"/>
    <x v="0"/>
    <x v="0"/>
    <x v="2"/>
    <x v="2"/>
    <x v="9"/>
    <x v="1"/>
    <x v="3"/>
    <x v="2"/>
    <x v="9"/>
  </r>
  <r>
    <x v="15"/>
    <x v="26"/>
    <x v="38"/>
    <x v="0"/>
    <x v="17"/>
    <x v="27"/>
    <x v="27"/>
    <x v="26"/>
    <x v="26"/>
    <x v="0"/>
    <x v="131"/>
    <x v="135"/>
    <x v="125"/>
    <x v="127"/>
    <x v="0"/>
    <x v="126"/>
    <x v="75"/>
    <x v="20"/>
    <x v="47"/>
    <x v="29"/>
    <x v="20"/>
    <x v="94"/>
    <x v="112"/>
    <x v="0"/>
    <x v="0"/>
    <x v="22"/>
    <x v="27"/>
    <x v="17"/>
    <x v="0"/>
    <x v="0"/>
    <x v="0"/>
    <x v="17"/>
  </r>
  <r>
    <x v="15"/>
    <x v="22"/>
    <x v="39"/>
    <x v="0"/>
    <x v="13"/>
    <x v="28"/>
    <x v="28"/>
    <x v="27"/>
    <x v="27"/>
    <x v="0"/>
    <x v="132"/>
    <x v="136"/>
    <x v="126"/>
    <x v="128"/>
    <x v="13"/>
    <x v="127"/>
    <x v="76"/>
    <x v="11"/>
    <x v="17"/>
    <x v="12"/>
    <x v="2"/>
    <x v="95"/>
    <x v="113"/>
    <x v="0"/>
    <x v="0"/>
    <x v="10"/>
    <x v="28"/>
    <x v="13"/>
    <x v="2"/>
    <x v="7"/>
    <x v="3"/>
    <x v="13"/>
  </r>
  <r>
    <x v="15"/>
    <x v="32"/>
    <x v="40"/>
    <x v="0"/>
    <x v="20"/>
    <x v="29"/>
    <x v="29"/>
    <x v="28"/>
    <x v="28"/>
    <x v="0"/>
    <x v="133"/>
    <x v="137"/>
    <x v="127"/>
    <x v="89"/>
    <x v="6"/>
    <x v="128"/>
    <x v="77"/>
    <x v="5"/>
    <x v="7"/>
    <x v="9"/>
    <x v="6"/>
    <x v="96"/>
    <x v="114"/>
    <x v="0"/>
    <x v="0"/>
    <x v="23"/>
    <x v="23"/>
    <x v="20"/>
    <x v="1"/>
    <x v="2"/>
    <x v="1"/>
    <x v="20"/>
  </r>
  <r>
    <x v="15"/>
    <x v="33"/>
    <x v="41"/>
    <x v="0"/>
    <x v="18"/>
    <x v="30"/>
    <x v="30"/>
    <x v="29"/>
    <x v="29"/>
    <x v="0"/>
    <x v="134"/>
    <x v="138"/>
    <x v="128"/>
    <x v="129"/>
    <x v="5"/>
    <x v="129"/>
    <x v="78"/>
    <x v="12"/>
    <x v="63"/>
    <x v="30"/>
    <x v="13"/>
    <x v="97"/>
    <x v="115"/>
    <x v="0"/>
    <x v="0"/>
    <x v="6"/>
    <x v="29"/>
    <x v="18"/>
    <x v="0"/>
    <x v="6"/>
    <x v="0"/>
    <x v="18"/>
  </r>
  <r>
    <x v="16"/>
    <x v="21"/>
    <x v="22"/>
    <x v="0"/>
    <x v="14"/>
    <x v="19"/>
    <x v="19"/>
    <x v="18"/>
    <x v="18"/>
    <x v="0"/>
    <x v="135"/>
    <x v="139"/>
    <x v="129"/>
    <x v="130"/>
    <x v="3"/>
    <x v="130"/>
    <x v="79"/>
    <x v="6"/>
    <x v="64"/>
    <x v="31"/>
    <x v="21"/>
    <x v="98"/>
    <x v="116"/>
    <x v="0"/>
    <x v="0"/>
    <x v="3"/>
    <x v="2"/>
    <x v="14"/>
    <x v="2"/>
    <x v="7"/>
    <x v="3"/>
    <x v="14"/>
  </r>
  <r>
    <x v="1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6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6"/>
    <x v="32"/>
    <x v="36"/>
    <x v="0"/>
    <x v="20"/>
    <x v="25"/>
    <x v="25"/>
    <x v="24"/>
    <x v="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16"/>
    <x v="29"/>
    <x v="37"/>
    <x v="0"/>
    <x v="13"/>
    <x v="26"/>
    <x v="26"/>
    <x v="25"/>
    <x v="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6"/>
    <x v="26"/>
    <x v="38"/>
    <x v="0"/>
    <x v="17"/>
    <x v="27"/>
    <x v="27"/>
    <x v="26"/>
    <x v="26"/>
    <x v="0"/>
    <x v="136"/>
    <x v="140"/>
    <x v="130"/>
    <x v="131"/>
    <x v="1"/>
    <x v="131"/>
    <x v="22"/>
    <x v="2"/>
    <x v="24"/>
    <x v="3"/>
    <x v="3"/>
    <x v="31"/>
    <x v="117"/>
    <x v="0"/>
    <x v="0"/>
    <x v="5"/>
    <x v="2"/>
    <x v="17"/>
    <x v="0"/>
    <x v="0"/>
    <x v="0"/>
    <x v="17"/>
  </r>
  <r>
    <x v="16"/>
    <x v="22"/>
    <x v="39"/>
    <x v="0"/>
    <x v="13"/>
    <x v="28"/>
    <x v="28"/>
    <x v="27"/>
    <x v="27"/>
    <x v="0"/>
    <x v="137"/>
    <x v="141"/>
    <x v="113"/>
    <x v="132"/>
    <x v="2"/>
    <x v="132"/>
    <x v="15"/>
    <x v="2"/>
    <x v="14"/>
    <x v="3"/>
    <x v="3"/>
    <x v="15"/>
    <x v="15"/>
    <x v="0"/>
    <x v="0"/>
    <x v="5"/>
    <x v="2"/>
    <x v="13"/>
    <x v="2"/>
    <x v="7"/>
    <x v="3"/>
    <x v="13"/>
  </r>
  <r>
    <x v="16"/>
    <x v="32"/>
    <x v="40"/>
    <x v="0"/>
    <x v="20"/>
    <x v="29"/>
    <x v="29"/>
    <x v="28"/>
    <x v="28"/>
    <x v="0"/>
    <x v="138"/>
    <x v="142"/>
    <x v="131"/>
    <x v="41"/>
    <x v="11"/>
    <x v="133"/>
    <x v="15"/>
    <x v="2"/>
    <x v="14"/>
    <x v="3"/>
    <x v="3"/>
    <x v="15"/>
    <x v="15"/>
    <x v="0"/>
    <x v="0"/>
    <x v="5"/>
    <x v="2"/>
    <x v="20"/>
    <x v="1"/>
    <x v="2"/>
    <x v="1"/>
    <x v="20"/>
  </r>
  <r>
    <x v="16"/>
    <x v="33"/>
    <x v="41"/>
    <x v="0"/>
    <x v="18"/>
    <x v="30"/>
    <x v="30"/>
    <x v="29"/>
    <x v="29"/>
    <x v="0"/>
    <x v="139"/>
    <x v="143"/>
    <x v="132"/>
    <x v="133"/>
    <x v="11"/>
    <x v="134"/>
    <x v="15"/>
    <x v="2"/>
    <x v="14"/>
    <x v="3"/>
    <x v="3"/>
    <x v="15"/>
    <x v="15"/>
    <x v="0"/>
    <x v="0"/>
    <x v="5"/>
    <x v="2"/>
    <x v="18"/>
    <x v="0"/>
    <x v="6"/>
    <x v="0"/>
    <x v="18"/>
  </r>
  <r>
    <x v="16"/>
    <x v="34"/>
    <x v="42"/>
    <x v="0"/>
    <x v="19"/>
    <x v="31"/>
    <x v="31"/>
    <x v="30"/>
    <x v="30"/>
    <x v="0"/>
    <x v="140"/>
    <x v="144"/>
    <x v="133"/>
    <x v="134"/>
    <x v="2"/>
    <x v="135"/>
    <x v="80"/>
    <x v="3"/>
    <x v="2"/>
    <x v="5"/>
    <x v="2"/>
    <x v="1"/>
    <x v="118"/>
    <x v="0"/>
    <x v="0"/>
    <x v="2"/>
    <x v="2"/>
    <x v="19"/>
    <x v="1"/>
    <x v="2"/>
    <x v="1"/>
    <x v="19"/>
  </r>
  <r>
    <x v="16"/>
    <x v="33"/>
    <x v="43"/>
    <x v="0"/>
    <x v="18"/>
    <x v="32"/>
    <x v="32"/>
    <x v="31"/>
    <x v="31"/>
    <x v="0"/>
    <x v="141"/>
    <x v="145"/>
    <x v="134"/>
    <x v="105"/>
    <x v="5"/>
    <x v="136"/>
    <x v="70"/>
    <x v="3"/>
    <x v="45"/>
    <x v="32"/>
    <x v="5"/>
    <x v="99"/>
    <x v="119"/>
    <x v="0"/>
    <x v="0"/>
    <x v="10"/>
    <x v="27"/>
    <x v="18"/>
    <x v="0"/>
    <x v="6"/>
    <x v="0"/>
    <x v="18"/>
  </r>
  <r>
    <x v="16"/>
    <x v="35"/>
    <x v="44"/>
    <x v="1"/>
    <x v="17"/>
    <x v="33"/>
    <x v="33"/>
    <x v="32"/>
    <x v="32"/>
    <x v="0"/>
    <x v="142"/>
    <x v="146"/>
    <x v="135"/>
    <x v="118"/>
    <x v="14"/>
    <x v="137"/>
    <x v="81"/>
    <x v="0"/>
    <x v="65"/>
    <x v="0"/>
    <x v="1"/>
    <x v="100"/>
    <x v="120"/>
    <x v="0"/>
    <x v="0"/>
    <x v="5"/>
    <x v="26"/>
    <x v="17"/>
    <x v="0"/>
    <x v="0"/>
    <x v="0"/>
    <x v="17"/>
  </r>
  <r>
    <x v="16"/>
    <x v="36"/>
    <x v="45"/>
    <x v="1"/>
    <x v="0"/>
    <x v="34"/>
    <x v="34"/>
    <x v="33"/>
    <x v="33"/>
    <x v="0"/>
    <x v="143"/>
    <x v="147"/>
    <x v="136"/>
    <x v="135"/>
    <x v="50"/>
    <x v="138"/>
    <x v="36"/>
    <x v="2"/>
    <x v="45"/>
    <x v="3"/>
    <x v="3"/>
    <x v="101"/>
    <x v="121"/>
    <x v="0"/>
    <x v="0"/>
    <x v="4"/>
    <x v="12"/>
    <x v="0"/>
    <x v="0"/>
    <x v="0"/>
    <x v="0"/>
    <x v="0"/>
  </r>
  <r>
    <x v="16"/>
    <x v="37"/>
    <x v="46"/>
    <x v="0"/>
    <x v="21"/>
    <x v="35"/>
    <x v="35"/>
    <x v="34"/>
    <x v="34"/>
    <x v="0"/>
    <x v="144"/>
    <x v="148"/>
    <x v="137"/>
    <x v="136"/>
    <x v="30"/>
    <x v="139"/>
    <x v="24"/>
    <x v="10"/>
    <x v="53"/>
    <x v="4"/>
    <x v="5"/>
    <x v="102"/>
    <x v="122"/>
    <x v="0"/>
    <x v="0"/>
    <x v="21"/>
    <x v="0"/>
    <x v="21"/>
    <x v="1"/>
    <x v="4"/>
    <x v="2"/>
    <x v="21"/>
  </r>
  <r>
    <x v="16"/>
    <x v="38"/>
    <x v="47"/>
    <x v="1"/>
    <x v="9"/>
    <x v="36"/>
    <x v="36"/>
    <x v="35"/>
    <x v="35"/>
    <x v="0"/>
    <x v="145"/>
    <x v="149"/>
    <x v="138"/>
    <x v="137"/>
    <x v="44"/>
    <x v="140"/>
    <x v="41"/>
    <x v="2"/>
    <x v="24"/>
    <x v="5"/>
    <x v="3"/>
    <x v="31"/>
    <x v="123"/>
    <x v="0"/>
    <x v="0"/>
    <x v="5"/>
    <x v="2"/>
    <x v="9"/>
    <x v="1"/>
    <x v="3"/>
    <x v="2"/>
    <x v="9"/>
  </r>
  <r>
    <x v="16"/>
    <x v="39"/>
    <x v="48"/>
    <x v="0"/>
    <x v="9"/>
    <x v="37"/>
    <x v="37"/>
    <x v="36"/>
    <x v="36"/>
    <x v="0"/>
    <x v="146"/>
    <x v="150"/>
    <x v="139"/>
    <x v="138"/>
    <x v="0"/>
    <x v="141"/>
    <x v="82"/>
    <x v="0"/>
    <x v="0"/>
    <x v="2"/>
    <x v="1"/>
    <x v="103"/>
    <x v="56"/>
    <x v="0"/>
    <x v="0"/>
    <x v="24"/>
    <x v="1"/>
    <x v="9"/>
    <x v="1"/>
    <x v="3"/>
    <x v="2"/>
    <x v="9"/>
  </r>
  <r>
    <x v="17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  <x v="1"/>
  </r>
  <r>
    <x v="17"/>
    <x v="21"/>
    <x v="22"/>
    <x v="0"/>
    <x v="14"/>
    <x v="19"/>
    <x v="19"/>
    <x v="18"/>
    <x v="18"/>
    <x v="0"/>
    <x v="147"/>
    <x v="151"/>
    <x v="140"/>
    <x v="139"/>
    <x v="51"/>
    <x v="142"/>
    <x v="26"/>
    <x v="2"/>
    <x v="20"/>
    <x v="5"/>
    <x v="3"/>
    <x v="68"/>
    <x v="124"/>
    <x v="0"/>
    <x v="0"/>
    <x v="5"/>
    <x v="2"/>
    <x v="14"/>
    <x v="2"/>
    <x v="7"/>
    <x v="3"/>
    <x v="14"/>
  </r>
  <r>
    <x v="17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7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7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7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7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17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7"/>
    <x v="34"/>
    <x v="42"/>
    <x v="0"/>
    <x v="19"/>
    <x v="31"/>
    <x v="31"/>
    <x v="30"/>
    <x v="30"/>
    <x v="0"/>
    <x v="148"/>
    <x v="152"/>
    <x v="94"/>
    <x v="140"/>
    <x v="37"/>
    <x v="143"/>
    <x v="18"/>
    <x v="2"/>
    <x v="14"/>
    <x v="3"/>
    <x v="3"/>
    <x v="20"/>
    <x v="125"/>
    <x v="0"/>
    <x v="0"/>
    <x v="5"/>
    <x v="2"/>
    <x v="19"/>
    <x v="1"/>
    <x v="2"/>
    <x v="1"/>
    <x v="19"/>
  </r>
  <r>
    <x v="17"/>
    <x v="33"/>
    <x v="43"/>
    <x v="0"/>
    <x v="18"/>
    <x v="32"/>
    <x v="32"/>
    <x v="31"/>
    <x v="31"/>
    <x v="0"/>
    <x v="149"/>
    <x v="153"/>
    <x v="141"/>
    <x v="141"/>
    <x v="1"/>
    <x v="144"/>
    <x v="33"/>
    <x v="1"/>
    <x v="23"/>
    <x v="18"/>
    <x v="8"/>
    <x v="104"/>
    <x v="42"/>
    <x v="0"/>
    <x v="0"/>
    <x v="1"/>
    <x v="9"/>
    <x v="18"/>
    <x v="0"/>
    <x v="6"/>
    <x v="0"/>
    <x v="18"/>
  </r>
  <r>
    <x v="17"/>
    <x v="35"/>
    <x v="44"/>
    <x v="1"/>
    <x v="17"/>
    <x v="33"/>
    <x v="33"/>
    <x v="32"/>
    <x v="32"/>
    <x v="0"/>
    <x v="150"/>
    <x v="154"/>
    <x v="142"/>
    <x v="142"/>
    <x v="25"/>
    <x v="145"/>
    <x v="18"/>
    <x v="2"/>
    <x v="14"/>
    <x v="3"/>
    <x v="3"/>
    <x v="20"/>
    <x v="126"/>
    <x v="0"/>
    <x v="0"/>
    <x v="5"/>
    <x v="2"/>
    <x v="17"/>
    <x v="0"/>
    <x v="0"/>
    <x v="0"/>
    <x v="17"/>
  </r>
  <r>
    <x v="17"/>
    <x v="36"/>
    <x v="45"/>
    <x v="1"/>
    <x v="0"/>
    <x v="34"/>
    <x v="34"/>
    <x v="33"/>
    <x v="3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0"/>
    <x v="0"/>
    <x v="0"/>
    <x v="0"/>
    <x v="0"/>
  </r>
  <r>
    <x v="17"/>
    <x v="37"/>
    <x v="46"/>
    <x v="0"/>
    <x v="21"/>
    <x v="35"/>
    <x v="35"/>
    <x v="34"/>
    <x v="34"/>
    <x v="0"/>
    <x v="151"/>
    <x v="155"/>
    <x v="143"/>
    <x v="143"/>
    <x v="37"/>
    <x v="146"/>
    <x v="83"/>
    <x v="0"/>
    <x v="28"/>
    <x v="5"/>
    <x v="8"/>
    <x v="105"/>
    <x v="127"/>
    <x v="0"/>
    <x v="0"/>
    <x v="8"/>
    <x v="30"/>
    <x v="21"/>
    <x v="1"/>
    <x v="4"/>
    <x v="2"/>
    <x v="21"/>
  </r>
  <r>
    <x v="17"/>
    <x v="38"/>
    <x v="47"/>
    <x v="1"/>
    <x v="9"/>
    <x v="36"/>
    <x v="36"/>
    <x v="35"/>
    <x v="35"/>
    <x v="0"/>
    <x v="30"/>
    <x v="156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7"/>
    <x v="39"/>
    <x v="48"/>
    <x v="0"/>
    <x v="9"/>
    <x v="37"/>
    <x v="37"/>
    <x v="36"/>
    <x v="36"/>
    <x v="0"/>
    <x v="152"/>
    <x v="157"/>
    <x v="144"/>
    <x v="144"/>
    <x v="4"/>
    <x v="147"/>
    <x v="84"/>
    <x v="6"/>
    <x v="53"/>
    <x v="2"/>
    <x v="4"/>
    <x v="106"/>
    <x v="128"/>
    <x v="0"/>
    <x v="0"/>
    <x v="3"/>
    <x v="10"/>
    <x v="9"/>
    <x v="1"/>
    <x v="3"/>
    <x v="2"/>
    <x v="9"/>
  </r>
  <r>
    <x v="17"/>
    <x v="26"/>
    <x v="49"/>
    <x v="0"/>
    <x v="17"/>
    <x v="38"/>
    <x v="38"/>
    <x v="37"/>
    <x v="37"/>
    <x v="0"/>
    <x v="153"/>
    <x v="158"/>
    <x v="145"/>
    <x v="125"/>
    <x v="30"/>
    <x v="148"/>
    <x v="85"/>
    <x v="21"/>
    <x v="66"/>
    <x v="33"/>
    <x v="22"/>
    <x v="107"/>
    <x v="129"/>
    <x v="0"/>
    <x v="0"/>
    <x v="3"/>
    <x v="13"/>
    <x v="17"/>
    <x v="0"/>
    <x v="0"/>
    <x v="0"/>
    <x v="17"/>
  </r>
  <r>
    <x v="17"/>
    <x v="40"/>
    <x v="50"/>
    <x v="0"/>
    <x v="22"/>
    <x v="39"/>
    <x v="39"/>
    <x v="38"/>
    <x v="38"/>
    <x v="0"/>
    <x v="154"/>
    <x v="159"/>
    <x v="146"/>
    <x v="145"/>
    <x v="0"/>
    <x v="149"/>
    <x v="86"/>
    <x v="4"/>
    <x v="23"/>
    <x v="1"/>
    <x v="2"/>
    <x v="95"/>
    <x v="130"/>
    <x v="0"/>
    <x v="0"/>
    <x v="4"/>
    <x v="12"/>
    <x v="22"/>
    <x v="0"/>
    <x v="6"/>
    <x v="0"/>
    <x v="22"/>
  </r>
  <r>
    <x v="17"/>
    <x v="41"/>
    <x v="51"/>
    <x v="0"/>
    <x v="23"/>
    <x v="40"/>
    <x v="40"/>
    <x v="39"/>
    <x v="39"/>
    <x v="0"/>
    <x v="155"/>
    <x v="160"/>
    <x v="147"/>
    <x v="146"/>
    <x v="5"/>
    <x v="150"/>
    <x v="62"/>
    <x v="3"/>
    <x v="49"/>
    <x v="1"/>
    <x v="2"/>
    <x v="64"/>
    <x v="131"/>
    <x v="0"/>
    <x v="0"/>
    <x v="2"/>
    <x v="3"/>
    <x v="23"/>
    <x v="1"/>
    <x v="2"/>
    <x v="1"/>
    <x v="23"/>
  </r>
  <r>
    <x v="17"/>
    <x v="42"/>
    <x v="52"/>
    <x v="0"/>
    <x v="24"/>
    <x v="41"/>
    <x v="41"/>
    <x v="40"/>
    <x v="40"/>
    <x v="0"/>
    <x v="156"/>
    <x v="161"/>
    <x v="148"/>
    <x v="147"/>
    <x v="4"/>
    <x v="151"/>
    <x v="87"/>
    <x v="10"/>
    <x v="67"/>
    <x v="34"/>
    <x v="6"/>
    <x v="108"/>
    <x v="132"/>
    <x v="0"/>
    <x v="0"/>
    <x v="9"/>
    <x v="12"/>
    <x v="24"/>
    <x v="2"/>
    <x v="7"/>
    <x v="3"/>
    <x v="24"/>
  </r>
  <r>
    <x v="17"/>
    <x v="43"/>
    <x v="53"/>
    <x v="0"/>
    <x v="25"/>
    <x v="42"/>
    <x v="42"/>
    <x v="41"/>
    <x v="41"/>
    <x v="0"/>
    <x v="157"/>
    <x v="162"/>
    <x v="149"/>
    <x v="148"/>
    <x v="5"/>
    <x v="152"/>
    <x v="62"/>
    <x v="3"/>
    <x v="10"/>
    <x v="7"/>
    <x v="23"/>
    <x v="109"/>
    <x v="133"/>
    <x v="0"/>
    <x v="0"/>
    <x v="12"/>
    <x v="12"/>
    <x v="25"/>
    <x v="2"/>
    <x v="7"/>
    <x v="3"/>
    <x v="25"/>
  </r>
  <r>
    <x v="18"/>
    <x v="14"/>
    <x v="15"/>
    <x v="0"/>
    <x v="9"/>
    <x v="12"/>
    <x v="12"/>
    <x v="11"/>
    <x v="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8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  <x v="1"/>
  </r>
  <r>
    <x v="18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18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8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8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8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8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18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8"/>
    <x v="33"/>
    <x v="43"/>
    <x v="0"/>
    <x v="18"/>
    <x v="32"/>
    <x v="32"/>
    <x v="31"/>
    <x v="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8"/>
    <x v="37"/>
    <x v="46"/>
    <x v="0"/>
    <x v="21"/>
    <x v="35"/>
    <x v="35"/>
    <x v="34"/>
    <x v="34"/>
    <x v="0"/>
    <x v="158"/>
    <x v="163"/>
    <x v="54"/>
    <x v="149"/>
    <x v="30"/>
    <x v="153"/>
    <x v="88"/>
    <x v="3"/>
    <x v="68"/>
    <x v="4"/>
    <x v="7"/>
    <x v="110"/>
    <x v="134"/>
    <x v="0"/>
    <x v="0"/>
    <x v="25"/>
    <x v="31"/>
    <x v="21"/>
    <x v="1"/>
    <x v="4"/>
    <x v="2"/>
    <x v="21"/>
  </r>
  <r>
    <x v="18"/>
    <x v="39"/>
    <x v="48"/>
    <x v="0"/>
    <x v="9"/>
    <x v="37"/>
    <x v="37"/>
    <x v="36"/>
    <x v="36"/>
    <x v="0"/>
    <x v="159"/>
    <x v="164"/>
    <x v="150"/>
    <x v="150"/>
    <x v="37"/>
    <x v="154"/>
    <x v="89"/>
    <x v="3"/>
    <x v="12"/>
    <x v="35"/>
    <x v="1"/>
    <x v="111"/>
    <x v="135"/>
    <x v="0"/>
    <x v="0"/>
    <x v="11"/>
    <x v="9"/>
    <x v="9"/>
    <x v="1"/>
    <x v="3"/>
    <x v="2"/>
    <x v="9"/>
  </r>
  <r>
    <x v="18"/>
    <x v="26"/>
    <x v="49"/>
    <x v="0"/>
    <x v="17"/>
    <x v="38"/>
    <x v="38"/>
    <x v="37"/>
    <x v="37"/>
    <x v="0"/>
    <x v="160"/>
    <x v="165"/>
    <x v="151"/>
    <x v="151"/>
    <x v="4"/>
    <x v="155"/>
    <x v="90"/>
    <x v="11"/>
    <x v="69"/>
    <x v="16"/>
    <x v="12"/>
    <x v="112"/>
    <x v="136"/>
    <x v="0"/>
    <x v="0"/>
    <x v="3"/>
    <x v="6"/>
    <x v="17"/>
    <x v="0"/>
    <x v="0"/>
    <x v="0"/>
    <x v="17"/>
  </r>
  <r>
    <x v="18"/>
    <x v="40"/>
    <x v="50"/>
    <x v="0"/>
    <x v="22"/>
    <x v="39"/>
    <x v="39"/>
    <x v="38"/>
    <x v="38"/>
    <x v="0"/>
    <x v="161"/>
    <x v="166"/>
    <x v="152"/>
    <x v="152"/>
    <x v="32"/>
    <x v="156"/>
    <x v="91"/>
    <x v="22"/>
    <x v="12"/>
    <x v="16"/>
    <x v="24"/>
    <x v="113"/>
    <x v="7"/>
    <x v="2"/>
    <x v="3"/>
    <x v="8"/>
    <x v="2"/>
    <x v="22"/>
    <x v="0"/>
    <x v="6"/>
    <x v="0"/>
    <x v="22"/>
  </r>
  <r>
    <x v="18"/>
    <x v="41"/>
    <x v="51"/>
    <x v="0"/>
    <x v="23"/>
    <x v="40"/>
    <x v="40"/>
    <x v="39"/>
    <x v="39"/>
    <x v="0"/>
    <x v="162"/>
    <x v="167"/>
    <x v="153"/>
    <x v="153"/>
    <x v="9"/>
    <x v="157"/>
    <x v="92"/>
    <x v="7"/>
    <x v="2"/>
    <x v="12"/>
    <x v="2"/>
    <x v="114"/>
    <x v="137"/>
    <x v="0"/>
    <x v="0"/>
    <x v="11"/>
    <x v="10"/>
    <x v="23"/>
    <x v="1"/>
    <x v="2"/>
    <x v="1"/>
    <x v="23"/>
  </r>
  <r>
    <x v="18"/>
    <x v="42"/>
    <x v="52"/>
    <x v="0"/>
    <x v="24"/>
    <x v="41"/>
    <x v="41"/>
    <x v="40"/>
    <x v="40"/>
    <x v="0"/>
    <x v="163"/>
    <x v="168"/>
    <x v="154"/>
    <x v="65"/>
    <x v="42"/>
    <x v="143"/>
    <x v="93"/>
    <x v="23"/>
    <x v="70"/>
    <x v="36"/>
    <x v="25"/>
    <x v="115"/>
    <x v="138"/>
    <x v="2"/>
    <x v="2"/>
    <x v="21"/>
    <x v="13"/>
    <x v="24"/>
    <x v="2"/>
    <x v="7"/>
    <x v="3"/>
    <x v="24"/>
  </r>
  <r>
    <x v="18"/>
    <x v="43"/>
    <x v="53"/>
    <x v="0"/>
    <x v="25"/>
    <x v="42"/>
    <x v="42"/>
    <x v="41"/>
    <x v="41"/>
    <x v="0"/>
    <x v="164"/>
    <x v="169"/>
    <x v="27"/>
    <x v="140"/>
    <x v="13"/>
    <x v="158"/>
    <x v="15"/>
    <x v="2"/>
    <x v="14"/>
    <x v="3"/>
    <x v="3"/>
    <x v="15"/>
    <x v="15"/>
    <x v="0"/>
    <x v="0"/>
    <x v="5"/>
    <x v="2"/>
    <x v="25"/>
    <x v="2"/>
    <x v="7"/>
    <x v="3"/>
    <x v="25"/>
  </r>
  <r>
    <x v="18"/>
    <x v="44"/>
    <x v="54"/>
    <x v="0"/>
    <x v="26"/>
    <x v="43"/>
    <x v="43"/>
    <x v="42"/>
    <x v="42"/>
    <x v="0"/>
    <x v="165"/>
    <x v="170"/>
    <x v="155"/>
    <x v="154"/>
    <x v="51"/>
    <x v="159"/>
    <x v="94"/>
    <x v="3"/>
    <x v="71"/>
    <x v="13"/>
    <x v="3"/>
    <x v="25"/>
    <x v="68"/>
    <x v="0"/>
    <x v="0"/>
    <x v="1"/>
    <x v="5"/>
    <x v="26"/>
    <x v="2"/>
    <x v="7"/>
    <x v="3"/>
    <x v="26"/>
  </r>
  <r>
    <x v="19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19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9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9"/>
    <x v="35"/>
    <x v="44"/>
    <x v="1"/>
    <x v="17"/>
    <x v="33"/>
    <x v="33"/>
    <x v="32"/>
    <x v="32"/>
    <x v="0"/>
    <x v="166"/>
    <x v="171"/>
    <x v="156"/>
    <x v="144"/>
    <x v="43"/>
    <x v="160"/>
    <x v="26"/>
    <x v="2"/>
    <x v="49"/>
    <x v="3"/>
    <x v="3"/>
    <x v="26"/>
    <x v="139"/>
    <x v="0"/>
    <x v="0"/>
    <x v="5"/>
    <x v="2"/>
    <x v="17"/>
    <x v="0"/>
    <x v="0"/>
    <x v="0"/>
    <x v="17"/>
  </r>
  <r>
    <x v="19"/>
    <x v="37"/>
    <x v="46"/>
    <x v="0"/>
    <x v="21"/>
    <x v="35"/>
    <x v="35"/>
    <x v="34"/>
    <x v="34"/>
    <x v="0"/>
    <x v="167"/>
    <x v="172"/>
    <x v="157"/>
    <x v="155"/>
    <x v="37"/>
    <x v="161"/>
    <x v="95"/>
    <x v="1"/>
    <x v="5"/>
    <x v="11"/>
    <x v="0"/>
    <x v="116"/>
    <x v="140"/>
    <x v="0"/>
    <x v="0"/>
    <x v="3"/>
    <x v="1"/>
    <x v="21"/>
    <x v="1"/>
    <x v="4"/>
    <x v="2"/>
    <x v="21"/>
  </r>
  <r>
    <x v="19"/>
    <x v="39"/>
    <x v="48"/>
    <x v="0"/>
    <x v="9"/>
    <x v="37"/>
    <x v="37"/>
    <x v="36"/>
    <x v="36"/>
    <x v="0"/>
    <x v="168"/>
    <x v="173"/>
    <x v="158"/>
    <x v="156"/>
    <x v="4"/>
    <x v="162"/>
    <x v="96"/>
    <x v="7"/>
    <x v="38"/>
    <x v="4"/>
    <x v="2"/>
    <x v="117"/>
    <x v="141"/>
    <x v="0"/>
    <x v="0"/>
    <x v="1"/>
    <x v="11"/>
    <x v="9"/>
    <x v="1"/>
    <x v="3"/>
    <x v="2"/>
    <x v="9"/>
  </r>
  <r>
    <x v="19"/>
    <x v="26"/>
    <x v="49"/>
    <x v="0"/>
    <x v="17"/>
    <x v="38"/>
    <x v="38"/>
    <x v="37"/>
    <x v="37"/>
    <x v="0"/>
    <x v="169"/>
    <x v="174"/>
    <x v="159"/>
    <x v="157"/>
    <x v="4"/>
    <x v="163"/>
    <x v="97"/>
    <x v="7"/>
    <x v="72"/>
    <x v="32"/>
    <x v="7"/>
    <x v="118"/>
    <x v="142"/>
    <x v="0"/>
    <x v="0"/>
    <x v="1"/>
    <x v="6"/>
    <x v="17"/>
    <x v="0"/>
    <x v="0"/>
    <x v="0"/>
    <x v="17"/>
  </r>
  <r>
    <x v="19"/>
    <x v="40"/>
    <x v="50"/>
    <x v="0"/>
    <x v="22"/>
    <x v="39"/>
    <x v="39"/>
    <x v="38"/>
    <x v="38"/>
    <x v="0"/>
    <x v="170"/>
    <x v="175"/>
    <x v="160"/>
    <x v="124"/>
    <x v="2"/>
    <x v="164"/>
    <x v="98"/>
    <x v="3"/>
    <x v="73"/>
    <x v="6"/>
    <x v="4"/>
    <x v="119"/>
    <x v="143"/>
    <x v="0"/>
    <x v="0"/>
    <x v="4"/>
    <x v="5"/>
    <x v="22"/>
    <x v="0"/>
    <x v="6"/>
    <x v="0"/>
    <x v="22"/>
  </r>
  <r>
    <x v="19"/>
    <x v="41"/>
    <x v="51"/>
    <x v="0"/>
    <x v="23"/>
    <x v="40"/>
    <x v="40"/>
    <x v="39"/>
    <x v="39"/>
    <x v="0"/>
    <x v="171"/>
    <x v="176"/>
    <x v="161"/>
    <x v="158"/>
    <x v="13"/>
    <x v="165"/>
    <x v="15"/>
    <x v="2"/>
    <x v="14"/>
    <x v="3"/>
    <x v="3"/>
    <x v="15"/>
    <x v="15"/>
    <x v="0"/>
    <x v="0"/>
    <x v="5"/>
    <x v="2"/>
    <x v="23"/>
    <x v="1"/>
    <x v="2"/>
    <x v="1"/>
    <x v="23"/>
  </r>
  <r>
    <x v="19"/>
    <x v="42"/>
    <x v="52"/>
    <x v="0"/>
    <x v="24"/>
    <x v="41"/>
    <x v="41"/>
    <x v="40"/>
    <x v="40"/>
    <x v="0"/>
    <x v="172"/>
    <x v="177"/>
    <x v="162"/>
    <x v="159"/>
    <x v="2"/>
    <x v="166"/>
    <x v="99"/>
    <x v="15"/>
    <x v="63"/>
    <x v="37"/>
    <x v="23"/>
    <x v="120"/>
    <x v="144"/>
    <x v="0"/>
    <x v="0"/>
    <x v="3"/>
    <x v="5"/>
    <x v="24"/>
    <x v="2"/>
    <x v="7"/>
    <x v="3"/>
    <x v="24"/>
  </r>
  <r>
    <x v="19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  <x v="25"/>
  </r>
  <r>
    <x v="19"/>
    <x v="44"/>
    <x v="54"/>
    <x v="0"/>
    <x v="26"/>
    <x v="43"/>
    <x v="43"/>
    <x v="42"/>
    <x v="42"/>
    <x v="0"/>
    <x v="173"/>
    <x v="178"/>
    <x v="163"/>
    <x v="160"/>
    <x v="32"/>
    <x v="90"/>
    <x v="92"/>
    <x v="3"/>
    <x v="33"/>
    <x v="0"/>
    <x v="2"/>
    <x v="41"/>
    <x v="85"/>
    <x v="0"/>
    <x v="0"/>
    <x v="4"/>
    <x v="2"/>
    <x v="26"/>
    <x v="2"/>
    <x v="7"/>
    <x v="3"/>
    <x v="26"/>
  </r>
  <r>
    <x v="20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0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0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0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20"/>
    <x v="35"/>
    <x v="44"/>
    <x v="1"/>
    <x v="17"/>
    <x v="33"/>
    <x v="33"/>
    <x v="32"/>
    <x v="32"/>
    <x v="0"/>
    <x v="174"/>
    <x v="179"/>
    <x v="113"/>
    <x v="161"/>
    <x v="52"/>
    <x v="167"/>
    <x v="15"/>
    <x v="2"/>
    <x v="14"/>
    <x v="3"/>
    <x v="3"/>
    <x v="15"/>
    <x v="15"/>
    <x v="0"/>
    <x v="0"/>
    <x v="5"/>
    <x v="2"/>
    <x v="17"/>
    <x v="0"/>
    <x v="0"/>
    <x v="0"/>
    <x v="17"/>
  </r>
  <r>
    <x v="20"/>
    <x v="37"/>
    <x v="46"/>
    <x v="0"/>
    <x v="21"/>
    <x v="35"/>
    <x v="35"/>
    <x v="34"/>
    <x v="34"/>
    <x v="0"/>
    <x v="175"/>
    <x v="180"/>
    <x v="164"/>
    <x v="148"/>
    <x v="37"/>
    <x v="168"/>
    <x v="34"/>
    <x v="7"/>
    <x v="13"/>
    <x v="11"/>
    <x v="23"/>
    <x v="121"/>
    <x v="145"/>
    <x v="0"/>
    <x v="0"/>
    <x v="2"/>
    <x v="13"/>
    <x v="21"/>
    <x v="1"/>
    <x v="4"/>
    <x v="2"/>
    <x v="21"/>
  </r>
  <r>
    <x v="20"/>
    <x v="39"/>
    <x v="48"/>
    <x v="0"/>
    <x v="9"/>
    <x v="37"/>
    <x v="37"/>
    <x v="36"/>
    <x v="36"/>
    <x v="0"/>
    <x v="176"/>
    <x v="181"/>
    <x v="165"/>
    <x v="162"/>
    <x v="37"/>
    <x v="169"/>
    <x v="100"/>
    <x v="0"/>
    <x v="30"/>
    <x v="4"/>
    <x v="2"/>
    <x v="122"/>
    <x v="146"/>
    <x v="0"/>
    <x v="0"/>
    <x v="10"/>
    <x v="12"/>
    <x v="9"/>
    <x v="1"/>
    <x v="3"/>
    <x v="2"/>
    <x v="9"/>
  </r>
  <r>
    <x v="20"/>
    <x v="26"/>
    <x v="49"/>
    <x v="0"/>
    <x v="17"/>
    <x v="38"/>
    <x v="38"/>
    <x v="37"/>
    <x v="37"/>
    <x v="0"/>
    <x v="177"/>
    <x v="182"/>
    <x v="166"/>
    <x v="163"/>
    <x v="30"/>
    <x v="170"/>
    <x v="101"/>
    <x v="2"/>
    <x v="74"/>
    <x v="12"/>
    <x v="13"/>
    <x v="123"/>
    <x v="147"/>
    <x v="0"/>
    <x v="0"/>
    <x v="10"/>
    <x v="13"/>
    <x v="17"/>
    <x v="0"/>
    <x v="0"/>
    <x v="0"/>
    <x v="17"/>
  </r>
  <r>
    <x v="20"/>
    <x v="40"/>
    <x v="50"/>
    <x v="0"/>
    <x v="22"/>
    <x v="39"/>
    <x v="39"/>
    <x v="38"/>
    <x v="38"/>
    <x v="0"/>
    <x v="178"/>
    <x v="183"/>
    <x v="167"/>
    <x v="164"/>
    <x v="13"/>
    <x v="171"/>
    <x v="18"/>
    <x v="2"/>
    <x v="14"/>
    <x v="3"/>
    <x v="3"/>
    <x v="20"/>
    <x v="148"/>
    <x v="0"/>
    <x v="0"/>
    <x v="5"/>
    <x v="2"/>
    <x v="22"/>
    <x v="0"/>
    <x v="6"/>
    <x v="0"/>
    <x v="22"/>
  </r>
  <r>
    <x v="20"/>
    <x v="42"/>
    <x v="52"/>
    <x v="0"/>
    <x v="24"/>
    <x v="41"/>
    <x v="41"/>
    <x v="40"/>
    <x v="40"/>
    <x v="0"/>
    <x v="179"/>
    <x v="184"/>
    <x v="168"/>
    <x v="165"/>
    <x v="30"/>
    <x v="172"/>
    <x v="102"/>
    <x v="4"/>
    <x v="25"/>
    <x v="31"/>
    <x v="0"/>
    <x v="124"/>
    <x v="149"/>
    <x v="0"/>
    <x v="0"/>
    <x v="1"/>
    <x v="5"/>
    <x v="24"/>
    <x v="2"/>
    <x v="7"/>
    <x v="3"/>
    <x v="24"/>
  </r>
  <r>
    <x v="20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  <x v="25"/>
  </r>
  <r>
    <x v="20"/>
    <x v="44"/>
    <x v="54"/>
    <x v="0"/>
    <x v="26"/>
    <x v="43"/>
    <x v="43"/>
    <x v="42"/>
    <x v="42"/>
    <x v="0"/>
    <x v="180"/>
    <x v="185"/>
    <x v="169"/>
    <x v="166"/>
    <x v="51"/>
    <x v="173"/>
    <x v="21"/>
    <x v="2"/>
    <x v="8"/>
    <x v="5"/>
    <x v="3"/>
    <x v="22"/>
    <x v="150"/>
    <x v="0"/>
    <x v="0"/>
    <x v="5"/>
    <x v="2"/>
    <x v="26"/>
    <x v="2"/>
    <x v="7"/>
    <x v="3"/>
    <x v="26"/>
  </r>
  <r>
    <x v="21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21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1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1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1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1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21"/>
    <x v="37"/>
    <x v="46"/>
    <x v="0"/>
    <x v="21"/>
    <x v="35"/>
    <x v="35"/>
    <x v="34"/>
    <x v="34"/>
    <x v="0"/>
    <x v="119"/>
    <x v="186"/>
    <x v="72"/>
    <x v="167"/>
    <x v="4"/>
    <x v="174"/>
    <x v="15"/>
    <x v="2"/>
    <x v="14"/>
    <x v="3"/>
    <x v="3"/>
    <x v="15"/>
    <x v="15"/>
    <x v="0"/>
    <x v="0"/>
    <x v="5"/>
    <x v="2"/>
    <x v="21"/>
    <x v="1"/>
    <x v="4"/>
    <x v="2"/>
    <x v="21"/>
  </r>
  <r>
    <x v="21"/>
    <x v="39"/>
    <x v="48"/>
    <x v="0"/>
    <x v="9"/>
    <x v="37"/>
    <x v="37"/>
    <x v="36"/>
    <x v="36"/>
    <x v="0"/>
    <x v="181"/>
    <x v="187"/>
    <x v="170"/>
    <x v="168"/>
    <x v="30"/>
    <x v="175"/>
    <x v="39"/>
    <x v="3"/>
    <x v="55"/>
    <x v="1"/>
    <x v="2"/>
    <x v="125"/>
    <x v="151"/>
    <x v="0"/>
    <x v="0"/>
    <x v="5"/>
    <x v="5"/>
    <x v="9"/>
    <x v="1"/>
    <x v="3"/>
    <x v="2"/>
    <x v="9"/>
  </r>
  <r>
    <x v="21"/>
    <x v="26"/>
    <x v="49"/>
    <x v="0"/>
    <x v="17"/>
    <x v="38"/>
    <x v="38"/>
    <x v="37"/>
    <x v="37"/>
    <x v="0"/>
    <x v="182"/>
    <x v="188"/>
    <x v="171"/>
    <x v="169"/>
    <x v="2"/>
    <x v="176"/>
    <x v="89"/>
    <x v="10"/>
    <x v="69"/>
    <x v="22"/>
    <x v="5"/>
    <x v="126"/>
    <x v="152"/>
    <x v="0"/>
    <x v="0"/>
    <x v="7"/>
    <x v="13"/>
    <x v="17"/>
    <x v="0"/>
    <x v="0"/>
    <x v="0"/>
    <x v="17"/>
  </r>
  <r>
    <x v="21"/>
    <x v="40"/>
    <x v="50"/>
    <x v="0"/>
    <x v="22"/>
    <x v="39"/>
    <x v="39"/>
    <x v="38"/>
    <x v="3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2"/>
    <x v="0"/>
    <x v="6"/>
    <x v="0"/>
    <x v="22"/>
  </r>
  <r>
    <x v="21"/>
    <x v="42"/>
    <x v="52"/>
    <x v="0"/>
    <x v="24"/>
    <x v="41"/>
    <x v="41"/>
    <x v="40"/>
    <x v="40"/>
    <x v="0"/>
    <x v="183"/>
    <x v="189"/>
    <x v="172"/>
    <x v="170"/>
    <x v="12"/>
    <x v="177"/>
    <x v="103"/>
    <x v="6"/>
    <x v="75"/>
    <x v="38"/>
    <x v="4"/>
    <x v="63"/>
    <x v="153"/>
    <x v="0"/>
    <x v="0"/>
    <x v="24"/>
    <x v="13"/>
    <x v="24"/>
    <x v="2"/>
    <x v="7"/>
    <x v="3"/>
    <x v="24"/>
  </r>
  <r>
    <x v="21"/>
    <x v="44"/>
    <x v="54"/>
    <x v="0"/>
    <x v="26"/>
    <x v="43"/>
    <x v="43"/>
    <x v="42"/>
    <x v="42"/>
    <x v="0"/>
    <x v="184"/>
    <x v="190"/>
    <x v="20"/>
    <x v="171"/>
    <x v="53"/>
    <x v="178"/>
    <x v="15"/>
    <x v="2"/>
    <x v="14"/>
    <x v="3"/>
    <x v="3"/>
    <x v="15"/>
    <x v="15"/>
    <x v="0"/>
    <x v="0"/>
    <x v="5"/>
    <x v="2"/>
    <x v="26"/>
    <x v="2"/>
    <x v="7"/>
    <x v="3"/>
    <x v="26"/>
  </r>
  <r>
    <x v="22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4"/>
    <x v="2"/>
    <x v="17"/>
    <x v="0"/>
    <x v="0"/>
    <x v="0"/>
    <x v="17"/>
  </r>
  <r>
    <x v="22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22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22"/>
    <x v="39"/>
    <x v="48"/>
    <x v="0"/>
    <x v="9"/>
    <x v="37"/>
    <x v="37"/>
    <x v="36"/>
    <x v="36"/>
    <x v="0"/>
    <x v="185"/>
    <x v="191"/>
    <x v="173"/>
    <x v="172"/>
    <x v="0"/>
    <x v="179"/>
    <x v="77"/>
    <x v="10"/>
    <x v="29"/>
    <x v="12"/>
    <x v="1"/>
    <x v="127"/>
    <x v="154"/>
    <x v="0"/>
    <x v="0"/>
    <x v="4"/>
    <x v="5"/>
    <x v="9"/>
    <x v="1"/>
    <x v="3"/>
    <x v="2"/>
    <x v="9"/>
  </r>
  <r>
    <x v="22"/>
    <x v="26"/>
    <x v="49"/>
    <x v="0"/>
    <x v="17"/>
    <x v="38"/>
    <x v="38"/>
    <x v="37"/>
    <x v="37"/>
    <x v="0"/>
    <x v="186"/>
    <x v="192"/>
    <x v="174"/>
    <x v="118"/>
    <x v="2"/>
    <x v="131"/>
    <x v="104"/>
    <x v="7"/>
    <x v="76"/>
    <x v="17"/>
    <x v="24"/>
    <x v="128"/>
    <x v="155"/>
    <x v="0"/>
    <x v="0"/>
    <x v="7"/>
    <x v="12"/>
    <x v="17"/>
    <x v="0"/>
    <x v="0"/>
    <x v="0"/>
    <x v="17"/>
  </r>
  <r>
    <x v="22"/>
    <x v="40"/>
    <x v="50"/>
    <x v="0"/>
    <x v="22"/>
    <x v="39"/>
    <x v="39"/>
    <x v="38"/>
    <x v="3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2"/>
    <x v="0"/>
    <x v="6"/>
    <x v="0"/>
    <x v="22"/>
  </r>
  <r>
    <x v="22"/>
    <x v="42"/>
    <x v="52"/>
    <x v="0"/>
    <x v="24"/>
    <x v="41"/>
    <x v="41"/>
    <x v="40"/>
    <x v="40"/>
    <x v="0"/>
    <x v="187"/>
    <x v="193"/>
    <x v="175"/>
    <x v="173"/>
    <x v="12"/>
    <x v="180"/>
    <x v="105"/>
    <x v="15"/>
    <x v="77"/>
    <x v="30"/>
    <x v="26"/>
    <x v="129"/>
    <x v="156"/>
    <x v="0"/>
    <x v="0"/>
    <x v="26"/>
    <x v="3"/>
    <x v="24"/>
    <x v="2"/>
    <x v="7"/>
    <x v="3"/>
    <x v="24"/>
  </r>
  <r>
    <x v="22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  <x v="25"/>
  </r>
  <r>
    <x v="23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  <x v="1"/>
  </r>
  <r>
    <x v="23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3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3"/>
    <x v="33"/>
    <x v="43"/>
    <x v="0"/>
    <x v="18"/>
    <x v="32"/>
    <x v="32"/>
    <x v="31"/>
    <x v="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23"/>
    <x v="37"/>
    <x v="46"/>
    <x v="0"/>
    <x v="21"/>
    <x v="35"/>
    <x v="35"/>
    <x v="34"/>
    <x v="34"/>
    <x v="0"/>
    <x v="188"/>
    <x v="194"/>
    <x v="176"/>
    <x v="173"/>
    <x v="42"/>
    <x v="181"/>
    <x v="106"/>
    <x v="0"/>
    <x v="28"/>
    <x v="1"/>
    <x v="24"/>
    <x v="130"/>
    <x v="119"/>
    <x v="0"/>
    <x v="0"/>
    <x v="14"/>
    <x v="1"/>
    <x v="21"/>
    <x v="1"/>
    <x v="4"/>
    <x v="2"/>
    <x v="21"/>
  </r>
  <r>
    <x v="23"/>
    <x v="39"/>
    <x v="48"/>
    <x v="0"/>
    <x v="9"/>
    <x v="37"/>
    <x v="37"/>
    <x v="36"/>
    <x v="36"/>
    <x v="0"/>
    <x v="189"/>
    <x v="195"/>
    <x v="177"/>
    <x v="174"/>
    <x v="42"/>
    <x v="182"/>
    <x v="107"/>
    <x v="1"/>
    <x v="17"/>
    <x v="13"/>
    <x v="2"/>
    <x v="131"/>
    <x v="157"/>
    <x v="0"/>
    <x v="0"/>
    <x v="4"/>
    <x v="12"/>
    <x v="9"/>
    <x v="1"/>
    <x v="3"/>
    <x v="2"/>
    <x v="9"/>
  </r>
  <r>
    <x v="23"/>
    <x v="26"/>
    <x v="49"/>
    <x v="0"/>
    <x v="17"/>
    <x v="38"/>
    <x v="38"/>
    <x v="37"/>
    <x v="37"/>
    <x v="0"/>
    <x v="190"/>
    <x v="196"/>
    <x v="178"/>
    <x v="175"/>
    <x v="0"/>
    <x v="183"/>
    <x v="108"/>
    <x v="2"/>
    <x v="78"/>
    <x v="14"/>
    <x v="27"/>
    <x v="132"/>
    <x v="158"/>
    <x v="0"/>
    <x v="0"/>
    <x v="4"/>
    <x v="6"/>
    <x v="17"/>
    <x v="0"/>
    <x v="0"/>
    <x v="0"/>
    <x v="17"/>
  </r>
  <r>
    <x v="23"/>
    <x v="42"/>
    <x v="52"/>
    <x v="0"/>
    <x v="24"/>
    <x v="41"/>
    <x v="41"/>
    <x v="40"/>
    <x v="40"/>
    <x v="0"/>
    <x v="191"/>
    <x v="197"/>
    <x v="179"/>
    <x v="176"/>
    <x v="37"/>
    <x v="184"/>
    <x v="34"/>
    <x v="2"/>
    <x v="37"/>
    <x v="39"/>
    <x v="0"/>
    <x v="133"/>
    <x v="31"/>
    <x v="0"/>
    <x v="0"/>
    <x v="10"/>
    <x v="12"/>
    <x v="24"/>
    <x v="2"/>
    <x v="7"/>
    <x v="3"/>
    <x v="24"/>
  </r>
  <r>
    <x v="23"/>
    <x v="44"/>
    <x v="54"/>
    <x v="0"/>
    <x v="26"/>
    <x v="43"/>
    <x v="43"/>
    <x v="42"/>
    <x v="42"/>
    <x v="0"/>
    <x v="192"/>
    <x v="198"/>
    <x v="180"/>
    <x v="177"/>
    <x v="42"/>
    <x v="185"/>
    <x v="15"/>
    <x v="2"/>
    <x v="42"/>
    <x v="5"/>
    <x v="3"/>
    <x v="83"/>
    <x v="159"/>
    <x v="0"/>
    <x v="0"/>
    <x v="5"/>
    <x v="2"/>
    <x v="26"/>
    <x v="2"/>
    <x v="7"/>
    <x v="3"/>
    <x v="26"/>
  </r>
  <r>
    <x v="24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4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4"/>
    <x v="37"/>
    <x v="46"/>
    <x v="0"/>
    <x v="21"/>
    <x v="35"/>
    <x v="35"/>
    <x v="34"/>
    <x v="34"/>
    <x v="0"/>
    <x v="193"/>
    <x v="199"/>
    <x v="181"/>
    <x v="178"/>
    <x v="37"/>
    <x v="186"/>
    <x v="109"/>
    <x v="10"/>
    <x v="12"/>
    <x v="13"/>
    <x v="5"/>
    <x v="134"/>
    <x v="160"/>
    <x v="0"/>
    <x v="0"/>
    <x v="27"/>
    <x v="18"/>
    <x v="21"/>
    <x v="1"/>
    <x v="4"/>
    <x v="2"/>
    <x v="21"/>
  </r>
  <r>
    <x v="24"/>
    <x v="38"/>
    <x v="47"/>
    <x v="1"/>
    <x v="9"/>
    <x v="36"/>
    <x v="36"/>
    <x v="35"/>
    <x v="35"/>
    <x v="0"/>
    <x v="194"/>
    <x v="200"/>
    <x v="182"/>
    <x v="179"/>
    <x v="46"/>
    <x v="187"/>
    <x v="26"/>
    <x v="2"/>
    <x v="24"/>
    <x v="3"/>
    <x v="3"/>
    <x v="83"/>
    <x v="161"/>
    <x v="0"/>
    <x v="0"/>
    <x v="8"/>
    <x v="5"/>
    <x v="9"/>
    <x v="1"/>
    <x v="3"/>
    <x v="2"/>
    <x v="9"/>
  </r>
  <r>
    <x v="24"/>
    <x v="39"/>
    <x v="48"/>
    <x v="0"/>
    <x v="9"/>
    <x v="37"/>
    <x v="37"/>
    <x v="36"/>
    <x v="36"/>
    <x v="0"/>
    <x v="195"/>
    <x v="201"/>
    <x v="183"/>
    <x v="180"/>
    <x v="30"/>
    <x v="188"/>
    <x v="39"/>
    <x v="10"/>
    <x v="79"/>
    <x v="13"/>
    <x v="1"/>
    <x v="125"/>
    <x v="162"/>
    <x v="0"/>
    <x v="0"/>
    <x v="7"/>
    <x v="13"/>
    <x v="9"/>
    <x v="1"/>
    <x v="3"/>
    <x v="2"/>
    <x v="9"/>
  </r>
  <r>
    <x v="24"/>
    <x v="26"/>
    <x v="49"/>
    <x v="0"/>
    <x v="17"/>
    <x v="38"/>
    <x v="38"/>
    <x v="37"/>
    <x v="37"/>
    <x v="0"/>
    <x v="196"/>
    <x v="202"/>
    <x v="184"/>
    <x v="148"/>
    <x v="37"/>
    <x v="189"/>
    <x v="110"/>
    <x v="1"/>
    <x v="80"/>
    <x v="40"/>
    <x v="9"/>
    <x v="135"/>
    <x v="163"/>
    <x v="0"/>
    <x v="0"/>
    <x v="0"/>
    <x v="13"/>
    <x v="17"/>
    <x v="0"/>
    <x v="0"/>
    <x v="0"/>
    <x v="17"/>
  </r>
  <r>
    <x v="24"/>
    <x v="42"/>
    <x v="52"/>
    <x v="0"/>
    <x v="24"/>
    <x v="41"/>
    <x v="41"/>
    <x v="40"/>
    <x v="40"/>
    <x v="0"/>
    <x v="197"/>
    <x v="203"/>
    <x v="185"/>
    <x v="181"/>
    <x v="30"/>
    <x v="190"/>
    <x v="111"/>
    <x v="0"/>
    <x v="81"/>
    <x v="41"/>
    <x v="8"/>
    <x v="136"/>
    <x v="156"/>
    <x v="0"/>
    <x v="0"/>
    <x v="28"/>
    <x v="6"/>
    <x v="24"/>
    <x v="2"/>
    <x v="7"/>
    <x v="3"/>
    <x v="24"/>
  </r>
  <r>
    <x v="24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  <x v="25"/>
  </r>
  <r>
    <x v="24"/>
    <x v="44"/>
    <x v="54"/>
    <x v="0"/>
    <x v="26"/>
    <x v="43"/>
    <x v="43"/>
    <x v="42"/>
    <x v="42"/>
    <x v="0"/>
    <x v="198"/>
    <x v="204"/>
    <x v="186"/>
    <x v="60"/>
    <x v="12"/>
    <x v="191"/>
    <x v="23"/>
    <x v="0"/>
    <x v="24"/>
    <x v="11"/>
    <x v="3"/>
    <x v="68"/>
    <x v="164"/>
    <x v="0"/>
    <x v="0"/>
    <x v="5"/>
    <x v="2"/>
    <x v="26"/>
    <x v="2"/>
    <x v="7"/>
    <x v="3"/>
    <x v="26"/>
  </r>
  <r>
    <x v="24"/>
    <x v="45"/>
    <x v="55"/>
    <x v="0"/>
    <x v="27"/>
    <x v="44"/>
    <x v="44"/>
    <x v="43"/>
    <x v="43"/>
    <x v="0"/>
    <x v="199"/>
    <x v="205"/>
    <x v="187"/>
    <x v="127"/>
    <x v="28"/>
    <x v="74"/>
    <x v="44"/>
    <x v="4"/>
    <x v="82"/>
    <x v="8"/>
    <x v="8"/>
    <x v="137"/>
    <x v="165"/>
    <x v="0"/>
    <x v="0"/>
    <x v="29"/>
    <x v="32"/>
    <x v="27"/>
    <x v="1"/>
    <x v="4"/>
    <x v="2"/>
    <x v="27"/>
  </r>
  <r>
    <x v="24"/>
    <x v="46"/>
    <x v="56"/>
    <x v="0"/>
    <x v="28"/>
    <x v="45"/>
    <x v="45"/>
    <x v="44"/>
    <x v="44"/>
    <x v="0"/>
    <x v="200"/>
    <x v="206"/>
    <x v="188"/>
    <x v="182"/>
    <x v="1"/>
    <x v="192"/>
    <x v="112"/>
    <x v="7"/>
    <x v="1"/>
    <x v="0"/>
    <x v="8"/>
    <x v="138"/>
    <x v="166"/>
    <x v="0"/>
    <x v="0"/>
    <x v="4"/>
    <x v="11"/>
    <x v="28"/>
    <x v="0"/>
    <x v="6"/>
    <x v="0"/>
    <x v="28"/>
  </r>
  <r>
    <x v="24"/>
    <x v="47"/>
    <x v="57"/>
    <x v="0"/>
    <x v="29"/>
    <x v="46"/>
    <x v="46"/>
    <x v="45"/>
    <x v="45"/>
    <x v="0"/>
    <x v="201"/>
    <x v="207"/>
    <x v="189"/>
    <x v="183"/>
    <x v="42"/>
    <x v="193"/>
    <x v="38"/>
    <x v="1"/>
    <x v="79"/>
    <x v="2"/>
    <x v="7"/>
    <x v="39"/>
    <x v="167"/>
    <x v="0"/>
    <x v="0"/>
    <x v="10"/>
    <x v="11"/>
    <x v="29"/>
    <x v="0"/>
    <x v="0"/>
    <x v="0"/>
    <x v="29"/>
  </r>
  <r>
    <x v="24"/>
    <x v="48"/>
    <x v="58"/>
    <x v="0"/>
    <x v="30"/>
    <x v="47"/>
    <x v="47"/>
    <x v="46"/>
    <x v="46"/>
    <x v="0"/>
    <x v="202"/>
    <x v="208"/>
    <x v="190"/>
    <x v="184"/>
    <x v="28"/>
    <x v="194"/>
    <x v="30"/>
    <x v="1"/>
    <x v="8"/>
    <x v="11"/>
    <x v="1"/>
    <x v="52"/>
    <x v="168"/>
    <x v="0"/>
    <x v="0"/>
    <x v="7"/>
    <x v="6"/>
    <x v="30"/>
    <x v="1"/>
    <x v="2"/>
    <x v="1"/>
    <x v="30"/>
  </r>
  <r>
    <x v="24"/>
    <x v="49"/>
    <x v="59"/>
    <x v="1"/>
    <x v="22"/>
    <x v="48"/>
    <x v="48"/>
    <x v="47"/>
    <x v="47"/>
    <x v="0"/>
    <x v="203"/>
    <x v="209"/>
    <x v="191"/>
    <x v="8"/>
    <x v="25"/>
    <x v="195"/>
    <x v="14"/>
    <x v="2"/>
    <x v="20"/>
    <x v="5"/>
    <x v="3"/>
    <x v="139"/>
    <x v="169"/>
    <x v="0"/>
    <x v="0"/>
    <x v="5"/>
    <x v="2"/>
    <x v="22"/>
    <x v="0"/>
    <x v="6"/>
    <x v="0"/>
    <x v="22"/>
  </r>
  <r>
    <x v="25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5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25"/>
    <x v="37"/>
    <x v="46"/>
    <x v="0"/>
    <x v="21"/>
    <x v="35"/>
    <x v="35"/>
    <x v="34"/>
    <x v="34"/>
    <x v="0"/>
    <x v="204"/>
    <x v="210"/>
    <x v="192"/>
    <x v="185"/>
    <x v="30"/>
    <x v="196"/>
    <x v="16"/>
    <x v="7"/>
    <x v="36"/>
    <x v="3"/>
    <x v="13"/>
    <x v="45"/>
    <x v="170"/>
    <x v="0"/>
    <x v="0"/>
    <x v="28"/>
    <x v="9"/>
    <x v="21"/>
    <x v="1"/>
    <x v="4"/>
    <x v="2"/>
    <x v="21"/>
  </r>
  <r>
    <x v="25"/>
    <x v="38"/>
    <x v="47"/>
    <x v="1"/>
    <x v="9"/>
    <x v="36"/>
    <x v="36"/>
    <x v="35"/>
    <x v="35"/>
    <x v="0"/>
    <x v="205"/>
    <x v="211"/>
    <x v="193"/>
    <x v="186"/>
    <x v="18"/>
    <x v="197"/>
    <x v="21"/>
    <x v="2"/>
    <x v="24"/>
    <x v="5"/>
    <x v="3"/>
    <x v="68"/>
    <x v="171"/>
    <x v="0"/>
    <x v="0"/>
    <x v="25"/>
    <x v="2"/>
    <x v="9"/>
    <x v="1"/>
    <x v="3"/>
    <x v="2"/>
    <x v="9"/>
  </r>
  <r>
    <x v="25"/>
    <x v="39"/>
    <x v="48"/>
    <x v="0"/>
    <x v="9"/>
    <x v="37"/>
    <x v="37"/>
    <x v="36"/>
    <x v="36"/>
    <x v="0"/>
    <x v="206"/>
    <x v="212"/>
    <x v="194"/>
    <x v="187"/>
    <x v="10"/>
    <x v="198"/>
    <x v="113"/>
    <x v="5"/>
    <x v="53"/>
    <x v="13"/>
    <x v="1"/>
    <x v="140"/>
    <x v="172"/>
    <x v="0"/>
    <x v="0"/>
    <x v="10"/>
    <x v="13"/>
    <x v="9"/>
    <x v="1"/>
    <x v="3"/>
    <x v="2"/>
    <x v="9"/>
  </r>
  <r>
    <x v="25"/>
    <x v="26"/>
    <x v="49"/>
    <x v="0"/>
    <x v="17"/>
    <x v="38"/>
    <x v="38"/>
    <x v="37"/>
    <x v="37"/>
    <x v="0"/>
    <x v="207"/>
    <x v="213"/>
    <x v="195"/>
    <x v="156"/>
    <x v="41"/>
    <x v="199"/>
    <x v="101"/>
    <x v="0"/>
    <x v="83"/>
    <x v="10"/>
    <x v="8"/>
    <x v="141"/>
    <x v="173"/>
    <x v="0"/>
    <x v="0"/>
    <x v="4"/>
    <x v="6"/>
    <x v="17"/>
    <x v="0"/>
    <x v="0"/>
    <x v="0"/>
    <x v="17"/>
  </r>
  <r>
    <x v="25"/>
    <x v="42"/>
    <x v="52"/>
    <x v="0"/>
    <x v="24"/>
    <x v="41"/>
    <x v="41"/>
    <x v="40"/>
    <x v="40"/>
    <x v="0"/>
    <x v="208"/>
    <x v="214"/>
    <x v="113"/>
    <x v="188"/>
    <x v="1"/>
    <x v="200"/>
    <x v="15"/>
    <x v="2"/>
    <x v="14"/>
    <x v="3"/>
    <x v="3"/>
    <x v="15"/>
    <x v="15"/>
    <x v="0"/>
    <x v="0"/>
    <x v="5"/>
    <x v="2"/>
    <x v="24"/>
    <x v="2"/>
    <x v="7"/>
    <x v="3"/>
    <x v="24"/>
  </r>
  <r>
    <x v="25"/>
    <x v="44"/>
    <x v="54"/>
    <x v="0"/>
    <x v="26"/>
    <x v="43"/>
    <x v="43"/>
    <x v="42"/>
    <x v="4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6"/>
    <x v="2"/>
    <x v="7"/>
    <x v="3"/>
    <x v="26"/>
  </r>
  <r>
    <x v="25"/>
    <x v="45"/>
    <x v="55"/>
    <x v="0"/>
    <x v="27"/>
    <x v="44"/>
    <x v="44"/>
    <x v="43"/>
    <x v="43"/>
    <x v="0"/>
    <x v="209"/>
    <x v="215"/>
    <x v="196"/>
    <x v="67"/>
    <x v="28"/>
    <x v="201"/>
    <x v="88"/>
    <x v="0"/>
    <x v="71"/>
    <x v="13"/>
    <x v="4"/>
    <x v="89"/>
    <x v="174"/>
    <x v="0"/>
    <x v="0"/>
    <x v="27"/>
    <x v="33"/>
    <x v="27"/>
    <x v="1"/>
    <x v="4"/>
    <x v="2"/>
    <x v="27"/>
  </r>
  <r>
    <x v="25"/>
    <x v="46"/>
    <x v="56"/>
    <x v="0"/>
    <x v="28"/>
    <x v="45"/>
    <x v="45"/>
    <x v="44"/>
    <x v="44"/>
    <x v="0"/>
    <x v="210"/>
    <x v="216"/>
    <x v="197"/>
    <x v="189"/>
    <x v="1"/>
    <x v="202"/>
    <x v="114"/>
    <x v="6"/>
    <x v="84"/>
    <x v="1"/>
    <x v="1"/>
    <x v="28"/>
    <x v="175"/>
    <x v="0"/>
    <x v="0"/>
    <x v="1"/>
    <x v="12"/>
    <x v="28"/>
    <x v="0"/>
    <x v="6"/>
    <x v="0"/>
    <x v="28"/>
  </r>
  <r>
    <x v="25"/>
    <x v="47"/>
    <x v="57"/>
    <x v="0"/>
    <x v="29"/>
    <x v="46"/>
    <x v="46"/>
    <x v="45"/>
    <x v="45"/>
    <x v="0"/>
    <x v="211"/>
    <x v="217"/>
    <x v="198"/>
    <x v="190"/>
    <x v="4"/>
    <x v="203"/>
    <x v="49"/>
    <x v="10"/>
    <x v="85"/>
    <x v="42"/>
    <x v="0"/>
    <x v="142"/>
    <x v="176"/>
    <x v="0"/>
    <x v="0"/>
    <x v="1"/>
    <x v="11"/>
    <x v="29"/>
    <x v="0"/>
    <x v="0"/>
    <x v="0"/>
    <x v="29"/>
  </r>
  <r>
    <x v="25"/>
    <x v="48"/>
    <x v="58"/>
    <x v="0"/>
    <x v="30"/>
    <x v="47"/>
    <x v="47"/>
    <x v="46"/>
    <x v="46"/>
    <x v="0"/>
    <x v="212"/>
    <x v="218"/>
    <x v="199"/>
    <x v="191"/>
    <x v="1"/>
    <x v="204"/>
    <x v="15"/>
    <x v="2"/>
    <x v="14"/>
    <x v="3"/>
    <x v="3"/>
    <x v="15"/>
    <x v="15"/>
    <x v="0"/>
    <x v="0"/>
    <x v="5"/>
    <x v="2"/>
    <x v="30"/>
    <x v="1"/>
    <x v="2"/>
    <x v="1"/>
    <x v="30"/>
  </r>
  <r>
    <x v="25"/>
    <x v="49"/>
    <x v="59"/>
    <x v="1"/>
    <x v="22"/>
    <x v="48"/>
    <x v="48"/>
    <x v="47"/>
    <x v="47"/>
    <x v="0"/>
    <x v="213"/>
    <x v="219"/>
    <x v="200"/>
    <x v="192"/>
    <x v="54"/>
    <x v="205"/>
    <x v="54"/>
    <x v="1"/>
    <x v="7"/>
    <x v="3"/>
    <x v="2"/>
    <x v="85"/>
    <x v="177"/>
    <x v="0"/>
    <x v="0"/>
    <x v="1"/>
    <x v="2"/>
    <x v="22"/>
    <x v="0"/>
    <x v="6"/>
    <x v="0"/>
    <x v="22"/>
  </r>
  <r>
    <x v="25"/>
    <x v="50"/>
    <x v="60"/>
    <x v="1"/>
    <x v="24"/>
    <x v="49"/>
    <x v="49"/>
    <x v="48"/>
    <x v="48"/>
    <x v="0"/>
    <x v="214"/>
    <x v="220"/>
    <x v="201"/>
    <x v="193"/>
    <x v="27"/>
    <x v="206"/>
    <x v="94"/>
    <x v="2"/>
    <x v="53"/>
    <x v="43"/>
    <x v="4"/>
    <x v="143"/>
    <x v="178"/>
    <x v="0"/>
    <x v="0"/>
    <x v="0"/>
    <x v="10"/>
    <x v="24"/>
    <x v="2"/>
    <x v="7"/>
    <x v="3"/>
    <x v="24"/>
  </r>
  <r>
    <x v="25"/>
    <x v="51"/>
    <x v="61"/>
    <x v="1"/>
    <x v="27"/>
    <x v="50"/>
    <x v="50"/>
    <x v="49"/>
    <x v="49"/>
    <x v="0"/>
    <x v="215"/>
    <x v="221"/>
    <x v="202"/>
    <x v="194"/>
    <x v="14"/>
    <x v="207"/>
    <x v="22"/>
    <x v="2"/>
    <x v="42"/>
    <x v="3"/>
    <x v="3"/>
    <x v="68"/>
    <x v="179"/>
    <x v="0"/>
    <x v="0"/>
    <x v="2"/>
    <x v="12"/>
    <x v="27"/>
    <x v="1"/>
    <x v="4"/>
    <x v="2"/>
    <x v="27"/>
  </r>
  <r>
    <x v="25"/>
    <x v="52"/>
    <x v="62"/>
    <x v="0"/>
    <x v="31"/>
    <x v="51"/>
    <x v="51"/>
    <x v="50"/>
    <x v="50"/>
    <x v="0"/>
    <x v="216"/>
    <x v="222"/>
    <x v="203"/>
    <x v="195"/>
    <x v="2"/>
    <x v="208"/>
    <x v="115"/>
    <x v="0"/>
    <x v="86"/>
    <x v="44"/>
    <x v="24"/>
    <x v="72"/>
    <x v="180"/>
    <x v="0"/>
    <x v="0"/>
    <x v="30"/>
    <x v="2"/>
    <x v="31"/>
    <x v="1"/>
    <x v="8"/>
    <x v="2"/>
    <x v="31"/>
  </r>
  <r>
    <x v="25"/>
    <x v="53"/>
    <x v="63"/>
    <x v="1"/>
    <x v="29"/>
    <x v="52"/>
    <x v="52"/>
    <x v="51"/>
    <x v="51"/>
    <x v="0"/>
    <x v="217"/>
    <x v="223"/>
    <x v="51"/>
    <x v="196"/>
    <x v="19"/>
    <x v="209"/>
    <x v="36"/>
    <x v="1"/>
    <x v="2"/>
    <x v="5"/>
    <x v="2"/>
    <x v="101"/>
    <x v="181"/>
    <x v="0"/>
    <x v="0"/>
    <x v="5"/>
    <x v="5"/>
    <x v="29"/>
    <x v="0"/>
    <x v="0"/>
    <x v="0"/>
    <x v="29"/>
  </r>
  <r>
    <x v="25"/>
    <x v="54"/>
    <x v="64"/>
    <x v="1"/>
    <x v="7"/>
    <x v="53"/>
    <x v="53"/>
    <x v="52"/>
    <x v="52"/>
    <x v="0"/>
    <x v="218"/>
    <x v="224"/>
    <x v="204"/>
    <x v="10"/>
    <x v="31"/>
    <x v="210"/>
    <x v="34"/>
    <x v="2"/>
    <x v="84"/>
    <x v="1"/>
    <x v="3"/>
    <x v="90"/>
    <x v="182"/>
    <x v="0"/>
    <x v="0"/>
    <x v="1"/>
    <x v="11"/>
    <x v="7"/>
    <x v="0"/>
    <x v="6"/>
    <x v="0"/>
    <x v="7"/>
  </r>
  <r>
    <x v="25"/>
    <x v="55"/>
    <x v="65"/>
    <x v="1"/>
    <x v="6"/>
    <x v="54"/>
    <x v="54"/>
    <x v="53"/>
    <x v="53"/>
    <x v="0"/>
    <x v="219"/>
    <x v="225"/>
    <x v="205"/>
    <x v="143"/>
    <x v="55"/>
    <x v="211"/>
    <x v="39"/>
    <x v="1"/>
    <x v="0"/>
    <x v="12"/>
    <x v="4"/>
    <x v="144"/>
    <x v="183"/>
    <x v="0"/>
    <x v="0"/>
    <x v="4"/>
    <x v="2"/>
    <x v="6"/>
    <x v="2"/>
    <x v="5"/>
    <x v="3"/>
    <x v="6"/>
  </r>
  <r>
    <x v="26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  <x v="5"/>
  </r>
  <r>
    <x v="26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6"/>
    <x v="37"/>
    <x v="46"/>
    <x v="0"/>
    <x v="21"/>
    <x v="35"/>
    <x v="35"/>
    <x v="34"/>
    <x v="34"/>
    <x v="0"/>
    <x v="220"/>
    <x v="226"/>
    <x v="72"/>
    <x v="197"/>
    <x v="36"/>
    <x v="212"/>
    <x v="15"/>
    <x v="2"/>
    <x v="14"/>
    <x v="3"/>
    <x v="3"/>
    <x v="15"/>
    <x v="15"/>
    <x v="0"/>
    <x v="0"/>
    <x v="5"/>
    <x v="2"/>
    <x v="21"/>
    <x v="1"/>
    <x v="4"/>
    <x v="2"/>
    <x v="21"/>
  </r>
  <r>
    <x v="26"/>
    <x v="38"/>
    <x v="47"/>
    <x v="1"/>
    <x v="9"/>
    <x v="36"/>
    <x v="36"/>
    <x v="35"/>
    <x v="35"/>
    <x v="0"/>
    <x v="221"/>
    <x v="227"/>
    <x v="206"/>
    <x v="198"/>
    <x v="34"/>
    <x v="213"/>
    <x v="13"/>
    <x v="1"/>
    <x v="19"/>
    <x v="3"/>
    <x v="3"/>
    <x v="50"/>
    <x v="184"/>
    <x v="0"/>
    <x v="0"/>
    <x v="14"/>
    <x v="2"/>
    <x v="9"/>
    <x v="1"/>
    <x v="3"/>
    <x v="2"/>
    <x v="9"/>
  </r>
  <r>
    <x v="26"/>
    <x v="39"/>
    <x v="48"/>
    <x v="0"/>
    <x v="9"/>
    <x v="37"/>
    <x v="37"/>
    <x v="36"/>
    <x v="36"/>
    <x v="0"/>
    <x v="222"/>
    <x v="228"/>
    <x v="207"/>
    <x v="199"/>
    <x v="12"/>
    <x v="214"/>
    <x v="11"/>
    <x v="10"/>
    <x v="87"/>
    <x v="1"/>
    <x v="3"/>
    <x v="145"/>
    <x v="185"/>
    <x v="0"/>
    <x v="0"/>
    <x v="1"/>
    <x v="5"/>
    <x v="9"/>
    <x v="1"/>
    <x v="3"/>
    <x v="2"/>
    <x v="9"/>
  </r>
  <r>
    <x v="26"/>
    <x v="26"/>
    <x v="49"/>
    <x v="0"/>
    <x v="17"/>
    <x v="38"/>
    <x v="38"/>
    <x v="37"/>
    <x v="37"/>
    <x v="0"/>
    <x v="223"/>
    <x v="229"/>
    <x v="208"/>
    <x v="150"/>
    <x v="12"/>
    <x v="215"/>
    <x v="116"/>
    <x v="10"/>
    <x v="88"/>
    <x v="18"/>
    <x v="27"/>
    <x v="146"/>
    <x v="186"/>
    <x v="0"/>
    <x v="0"/>
    <x v="7"/>
    <x v="12"/>
    <x v="17"/>
    <x v="0"/>
    <x v="0"/>
    <x v="0"/>
    <x v="17"/>
  </r>
  <r>
    <x v="26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24"/>
    <x v="2"/>
    <x v="7"/>
    <x v="3"/>
    <x v="24"/>
  </r>
  <r>
    <x v="26"/>
    <x v="45"/>
    <x v="55"/>
    <x v="0"/>
    <x v="27"/>
    <x v="44"/>
    <x v="44"/>
    <x v="43"/>
    <x v="43"/>
    <x v="0"/>
    <x v="224"/>
    <x v="230"/>
    <x v="209"/>
    <x v="200"/>
    <x v="4"/>
    <x v="216"/>
    <x v="117"/>
    <x v="15"/>
    <x v="78"/>
    <x v="35"/>
    <x v="23"/>
    <x v="147"/>
    <x v="187"/>
    <x v="0"/>
    <x v="0"/>
    <x v="31"/>
    <x v="34"/>
    <x v="27"/>
    <x v="1"/>
    <x v="4"/>
    <x v="2"/>
    <x v="27"/>
  </r>
  <r>
    <x v="26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  <x v="0"/>
    <x v="6"/>
    <x v="0"/>
    <x v="28"/>
  </r>
  <r>
    <x v="26"/>
    <x v="47"/>
    <x v="57"/>
    <x v="0"/>
    <x v="29"/>
    <x v="46"/>
    <x v="46"/>
    <x v="45"/>
    <x v="45"/>
    <x v="0"/>
    <x v="225"/>
    <x v="231"/>
    <x v="210"/>
    <x v="201"/>
    <x v="30"/>
    <x v="217"/>
    <x v="118"/>
    <x v="7"/>
    <x v="89"/>
    <x v="8"/>
    <x v="4"/>
    <x v="104"/>
    <x v="188"/>
    <x v="0"/>
    <x v="0"/>
    <x v="2"/>
    <x v="2"/>
    <x v="29"/>
    <x v="0"/>
    <x v="0"/>
    <x v="0"/>
    <x v="29"/>
  </r>
  <r>
    <x v="26"/>
    <x v="49"/>
    <x v="59"/>
    <x v="1"/>
    <x v="22"/>
    <x v="48"/>
    <x v="48"/>
    <x v="47"/>
    <x v="47"/>
    <x v="0"/>
    <x v="226"/>
    <x v="232"/>
    <x v="211"/>
    <x v="202"/>
    <x v="56"/>
    <x v="218"/>
    <x v="54"/>
    <x v="2"/>
    <x v="90"/>
    <x v="11"/>
    <x v="1"/>
    <x v="148"/>
    <x v="189"/>
    <x v="0"/>
    <x v="0"/>
    <x v="4"/>
    <x v="2"/>
    <x v="22"/>
    <x v="0"/>
    <x v="6"/>
    <x v="0"/>
    <x v="22"/>
  </r>
  <r>
    <x v="26"/>
    <x v="50"/>
    <x v="60"/>
    <x v="1"/>
    <x v="24"/>
    <x v="49"/>
    <x v="49"/>
    <x v="48"/>
    <x v="48"/>
    <x v="0"/>
    <x v="30"/>
    <x v="97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26"/>
    <x v="51"/>
    <x v="61"/>
    <x v="1"/>
    <x v="27"/>
    <x v="50"/>
    <x v="50"/>
    <x v="49"/>
    <x v="49"/>
    <x v="0"/>
    <x v="227"/>
    <x v="233"/>
    <x v="212"/>
    <x v="203"/>
    <x v="27"/>
    <x v="219"/>
    <x v="63"/>
    <x v="2"/>
    <x v="91"/>
    <x v="11"/>
    <x v="0"/>
    <x v="149"/>
    <x v="190"/>
    <x v="0"/>
    <x v="0"/>
    <x v="3"/>
    <x v="26"/>
    <x v="27"/>
    <x v="1"/>
    <x v="4"/>
    <x v="2"/>
    <x v="27"/>
  </r>
  <r>
    <x v="26"/>
    <x v="52"/>
    <x v="62"/>
    <x v="0"/>
    <x v="31"/>
    <x v="51"/>
    <x v="51"/>
    <x v="50"/>
    <x v="50"/>
    <x v="0"/>
    <x v="228"/>
    <x v="234"/>
    <x v="113"/>
    <x v="25"/>
    <x v="9"/>
    <x v="220"/>
    <x v="18"/>
    <x v="2"/>
    <x v="14"/>
    <x v="3"/>
    <x v="3"/>
    <x v="20"/>
    <x v="191"/>
    <x v="0"/>
    <x v="0"/>
    <x v="5"/>
    <x v="2"/>
    <x v="31"/>
    <x v="1"/>
    <x v="8"/>
    <x v="2"/>
    <x v="31"/>
  </r>
  <r>
    <x v="26"/>
    <x v="53"/>
    <x v="63"/>
    <x v="1"/>
    <x v="29"/>
    <x v="52"/>
    <x v="52"/>
    <x v="51"/>
    <x v="51"/>
    <x v="0"/>
    <x v="229"/>
    <x v="235"/>
    <x v="213"/>
    <x v="204"/>
    <x v="34"/>
    <x v="221"/>
    <x v="43"/>
    <x v="0"/>
    <x v="45"/>
    <x v="11"/>
    <x v="3"/>
    <x v="87"/>
    <x v="192"/>
    <x v="0"/>
    <x v="0"/>
    <x v="2"/>
    <x v="11"/>
    <x v="29"/>
    <x v="0"/>
    <x v="0"/>
    <x v="0"/>
    <x v="29"/>
  </r>
  <r>
    <x v="26"/>
    <x v="54"/>
    <x v="64"/>
    <x v="1"/>
    <x v="7"/>
    <x v="53"/>
    <x v="53"/>
    <x v="52"/>
    <x v="52"/>
    <x v="0"/>
    <x v="230"/>
    <x v="236"/>
    <x v="214"/>
    <x v="205"/>
    <x v="57"/>
    <x v="222"/>
    <x v="40"/>
    <x v="1"/>
    <x v="92"/>
    <x v="3"/>
    <x v="0"/>
    <x v="150"/>
    <x v="193"/>
    <x v="0"/>
    <x v="0"/>
    <x v="1"/>
    <x v="11"/>
    <x v="7"/>
    <x v="0"/>
    <x v="6"/>
    <x v="0"/>
    <x v="7"/>
  </r>
  <r>
    <x v="26"/>
    <x v="55"/>
    <x v="65"/>
    <x v="1"/>
    <x v="6"/>
    <x v="54"/>
    <x v="54"/>
    <x v="53"/>
    <x v="53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26"/>
    <x v="56"/>
    <x v="66"/>
    <x v="1"/>
    <x v="31"/>
    <x v="55"/>
    <x v="55"/>
    <x v="54"/>
    <x v="54"/>
    <x v="0"/>
    <x v="231"/>
    <x v="238"/>
    <x v="215"/>
    <x v="206"/>
    <x v="36"/>
    <x v="223"/>
    <x v="119"/>
    <x v="1"/>
    <x v="0"/>
    <x v="44"/>
    <x v="13"/>
    <x v="92"/>
    <x v="194"/>
    <x v="0"/>
    <x v="0"/>
    <x v="32"/>
    <x v="2"/>
    <x v="31"/>
    <x v="1"/>
    <x v="8"/>
    <x v="2"/>
    <x v="31"/>
  </r>
  <r>
    <x v="26"/>
    <x v="57"/>
    <x v="67"/>
    <x v="0"/>
    <x v="32"/>
    <x v="56"/>
    <x v="56"/>
    <x v="55"/>
    <x v="55"/>
    <x v="0"/>
    <x v="232"/>
    <x v="239"/>
    <x v="216"/>
    <x v="207"/>
    <x v="1"/>
    <x v="224"/>
    <x v="39"/>
    <x v="0"/>
    <x v="9"/>
    <x v="45"/>
    <x v="1"/>
    <x v="151"/>
    <x v="158"/>
    <x v="0"/>
    <x v="0"/>
    <x v="1"/>
    <x v="10"/>
    <x v="32"/>
    <x v="1"/>
    <x v="9"/>
    <x v="2"/>
    <x v="32"/>
  </r>
  <r>
    <x v="26"/>
    <x v="58"/>
    <x v="68"/>
    <x v="0"/>
    <x v="33"/>
    <x v="57"/>
    <x v="57"/>
    <x v="56"/>
    <x v="56"/>
    <x v="0"/>
    <x v="233"/>
    <x v="240"/>
    <x v="217"/>
    <x v="208"/>
    <x v="37"/>
    <x v="26"/>
    <x v="120"/>
    <x v="7"/>
    <x v="52"/>
    <x v="1"/>
    <x v="23"/>
    <x v="152"/>
    <x v="16"/>
    <x v="0"/>
    <x v="0"/>
    <x v="2"/>
    <x v="2"/>
    <x v="33"/>
    <x v="0"/>
    <x v="6"/>
    <x v="0"/>
    <x v="33"/>
  </r>
  <r>
    <x v="26"/>
    <x v="59"/>
    <x v="69"/>
    <x v="0"/>
    <x v="34"/>
    <x v="58"/>
    <x v="58"/>
    <x v="57"/>
    <x v="57"/>
    <x v="0"/>
    <x v="234"/>
    <x v="241"/>
    <x v="218"/>
    <x v="209"/>
    <x v="12"/>
    <x v="225"/>
    <x v="121"/>
    <x v="3"/>
    <x v="71"/>
    <x v="32"/>
    <x v="0"/>
    <x v="153"/>
    <x v="195"/>
    <x v="1"/>
    <x v="1"/>
    <x v="23"/>
    <x v="11"/>
    <x v="34"/>
    <x v="0"/>
    <x v="6"/>
    <x v="0"/>
    <x v="34"/>
  </r>
  <r>
    <x v="26"/>
    <x v="60"/>
    <x v="70"/>
    <x v="0"/>
    <x v="35"/>
    <x v="59"/>
    <x v="59"/>
    <x v="58"/>
    <x v="58"/>
    <x v="0"/>
    <x v="235"/>
    <x v="242"/>
    <x v="219"/>
    <x v="210"/>
    <x v="58"/>
    <x v="226"/>
    <x v="56"/>
    <x v="2"/>
    <x v="2"/>
    <x v="3"/>
    <x v="1"/>
    <x v="154"/>
    <x v="196"/>
    <x v="0"/>
    <x v="0"/>
    <x v="2"/>
    <x v="6"/>
    <x v="35"/>
    <x v="0"/>
    <x v="6"/>
    <x v="0"/>
    <x v="35"/>
  </r>
  <r>
    <x v="26"/>
    <x v="61"/>
    <x v="71"/>
    <x v="0"/>
    <x v="36"/>
    <x v="60"/>
    <x v="60"/>
    <x v="59"/>
    <x v="59"/>
    <x v="0"/>
    <x v="236"/>
    <x v="243"/>
    <x v="220"/>
    <x v="211"/>
    <x v="37"/>
    <x v="227"/>
    <x v="122"/>
    <x v="1"/>
    <x v="93"/>
    <x v="12"/>
    <x v="22"/>
    <x v="155"/>
    <x v="197"/>
    <x v="0"/>
    <x v="0"/>
    <x v="1"/>
    <x v="23"/>
    <x v="36"/>
    <x v="0"/>
    <x v="10"/>
    <x v="0"/>
    <x v="36"/>
  </r>
  <r>
    <x v="27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7"/>
    <x v="37"/>
    <x v="46"/>
    <x v="0"/>
    <x v="21"/>
    <x v="35"/>
    <x v="35"/>
    <x v="34"/>
    <x v="3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1"/>
    <x v="1"/>
    <x v="4"/>
    <x v="2"/>
    <x v="21"/>
  </r>
  <r>
    <x v="27"/>
    <x v="38"/>
    <x v="47"/>
    <x v="1"/>
    <x v="9"/>
    <x v="36"/>
    <x v="36"/>
    <x v="35"/>
    <x v="35"/>
    <x v="0"/>
    <x v="237"/>
    <x v="244"/>
    <x v="221"/>
    <x v="212"/>
    <x v="59"/>
    <x v="228"/>
    <x v="2"/>
    <x v="2"/>
    <x v="20"/>
    <x v="3"/>
    <x v="2"/>
    <x v="78"/>
    <x v="198"/>
    <x v="0"/>
    <x v="0"/>
    <x v="1"/>
    <x v="5"/>
    <x v="9"/>
    <x v="1"/>
    <x v="3"/>
    <x v="2"/>
    <x v="9"/>
  </r>
  <r>
    <x v="27"/>
    <x v="39"/>
    <x v="48"/>
    <x v="0"/>
    <x v="9"/>
    <x v="37"/>
    <x v="37"/>
    <x v="36"/>
    <x v="36"/>
    <x v="0"/>
    <x v="238"/>
    <x v="245"/>
    <x v="222"/>
    <x v="213"/>
    <x v="12"/>
    <x v="202"/>
    <x v="3"/>
    <x v="2"/>
    <x v="7"/>
    <x v="13"/>
    <x v="3"/>
    <x v="156"/>
    <x v="199"/>
    <x v="0"/>
    <x v="0"/>
    <x v="4"/>
    <x v="2"/>
    <x v="9"/>
    <x v="1"/>
    <x v="3"/>
    <x v="2"/>
    <x v="9"/>
  </r>
  <r>
    <x v="27"/>
    <x v="26"/>
    <x v="49"/>
    <x v="0"/>
    <x v="17"/>
    <x v="38"/>
    <x v="38"/>
    <x v="37"/>
    <x v="37"/>
    <x v="0"/>
    <x v="239"/>
    <x v="246"/>
    <x v="223"/>
    <x v="214"/>
    <x v="42"/>
    <x v="229"/>
    <x v="8"/>
    <x v="2"/>
    <x v="24"/>
    <x v="3"/>
    <x v="3"/>
    <x v="70"/>
    <x v="200"/>
    <x v="0"/>
    <x v="0"/>
    <x v="5"/>
    <x v="2"/>
    <x v="17"/>
    <x v="0"/>
    <x v="0"/>
    <x v="0"/>
    <x v="17"/>
  </r>
  <r>
    <x v="27"/>
    <x v="45"/>
    <x v="55"/>
    <x v="0"/>
    <x v="27"/>
    <x v="44"/>
    <x v="44"/>
    <x v="43"/>
    <x v="43"/>
    <x v="0"/>
    <x v="240"/>
    <x v="247"/>
    <x v="224"/>
    <x v="215"/>
    <x v="42"/>
    <x v="230"/>
    <x v="123"/>
    <x v="3"/>
    <x v="94"/>
    <x v="14"/>
    <x v="24"/>
    <x v="157"/>
    <x v="100"/>
    <x v="0"/>
    <x v="0"/>
    <x v="33"/>
    <x v="35"/>
    <x v="27"/>
    <x v="1"/>
    <x v="4"/>
    <x v="2"/>
    <x v="27"/>
  </r>
  <r>
    <x v="27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  <x v="0"/>
    <x v="6"/>
    <x v="0"/>
    <x v="28"/>
  </r>
  <r>
    <x v="27"/>
    <x v="47"/>
    <x v="57"/>
    <x v="0"/>
    <x v="29"/>
    <x v="46"/>
    <x v="46"/>
    <x v="45"/>
    <x v="45"/>
    <x v="0"/>
    <x v="241"/>
    <x v="248"/>
    <x v="225"/>
    <x v="6"/>
    <x v="0"/>
    <x v="231"/>
    <x v="124"/>
    <x v="10"/>
    <x v="95"/>
    <x v="46"/>
    <x v="28"/>
    <x v="158"/>
    <x v="201"/>
    <x v="0"/>
    <x v="0"/>
    <x v="5"/>
    <x v="12"/>
    <x v="29"/>
    <x v="0"/>
    <x v="0"/>
    <x v="0"/>
    <x v="29"/>
  </r>
  <r>
    <x v="27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  <x v="1"/>
    <x v="2"/>
    <x v="1"/>
    <x v="30"/>
  </r>
  <r>
    <x v="27"/>
    <x v="49"/>
    <x v="59"/>
    <x v="1"/>
    <x v="22"/>
    <x v="48"/>
    <x v="48"/>
    <x v="47"/>
    <x v="47"/>
    <x v="0"/>
    <x v="242"/>
    <x v="249"/>
    <x v="226"/>
    <x v="216"/>
    <x v="38"/>
    <x v="232"/>
    <x v="64"/>
    <x v="0"/>
    <x v="20"/>
    <x v="0"/>
    <x v="2"/>
    <x v="154"/>
    <x v="202"/>
    <x v="0"/>
    <x v="0"/>
    <x v="4"/>
    <x v="2"/>
    <x v="22"/>
    <x v="0"/>
    <x v="6"/>
    <x v="0"/>
    <x v="22"/>
  </r>
  <r>
    <x v="27"/>
    <x v="51"/>
    <x v="61"/>
    <x v="1"/>
    <x v="27"/>
    <x v="50"/>
    <x v="50"/>
    <x v="49"/>
    <x v="49"/>
    <x v="0"/>
    <x v="243"/>
    <x v="250"/>
    <x v="227"/>
    <x v="217"/>
    <x v="26"/>
    <x v="233"/>
    <x v="125"/>
    <x v="2"/>
    <x v="50"/>
    <x v="5"/>
    <x v="3"/>
    <x v="26"/>
    <x v="203"/>
    <x v="0"/>
    <x v="0"/>
    <x v="1"/>
    <x v="11"/>
    <x v="27"/>
    <x v="1"/>
    <x v="4"/>
    <x v="2"/>
    <x v="27"/>
  </r>
  <r>
    <x v="27"/>
    <x v="53"/>
    <x v="63"/>
    <x v="1"/>
    <x v="29"/>
    <x v="52"/>
    <x v="52"/>
    <x v="51"/>
    <x v="51"/>
    <x v="0"/>
    <x v="244"/>
    <x v="251"/>
    <x v="228"/>
    <x v="218"/>
    <x v="60"/>
    <x v="234"/>
    <x v="126"/>
    <x v="2"/>
    <x v="13"/>
    <x v="1"/>
    <x v="1"/>
    <x v="79"/>
    <x v="204"/>
    <x v="0"/>
    <x v="0"/>
    <x v="5"/>
    <x v="11"/>
    <x v="29"/>
    <x v="0"/>
    <x v="0"/>
    <x v="0"/>
    <x v="29"/>
  </r>
  <r>
    <x v="27"/>
    <x v="54"/>
    <x v="64"/>
    <x v="1"/>
    <x v="7"/>
    <x v="53"/>
    <x v="53"/>
    <x v="52"/>
    <x v="52"/>
    <x v="0"/>
    <x v="245"/>
    <x v="252"/>
    <x v="229"/>
    <x v="219"/>
    <x v="61"/>
    <x v="235"/>
    <x v="71"/>
    <x v="2"/>
    <x v="91"/>
    <x v="5"/>
    <x v="2"/>
    <x v="18"/>
    <x v="205"/>
    <x v="0"/>
    <x v="0"/>
    <x v="5"/>
    <x v="12"/>
    <x v="7"/>
    <x v="0"/>
    <x v="6"/>
    <x v="0"/>
    <x v="7"/>
  </r>
  <r>
    <x v="27"/>
    <x v="56"/>
    <x v="66"/>
    <x v="1"/>
    <x v="31"/>
    <x v="55"/>
    <x v="55"/>
    <x v="54"/>
    <x v="54"/>
    <x v="0"/>
    <x v="246"/>
    <x v="253"/>
    <x v="230"/>
    <x v="220"/>
    <x v="36"/>
    <x v="236"/>
    <x v="127"/>
    <x v="1"/>
    <x v="95"/>
    <x v="22"/>
    <x v="13"/>
    <x v="159"/>
    <x v="206"/>
    <x v="2"/>
    <x v="4"/>
    <x v="32"/>
    <x v="2"/>
    <x v="31"/>
    <x v="1"/>
    <x v="8"/>
    <x v="2"/>
    <x v="31"/>
  </r>
  <r>
    <x v="27"/>
    <x v="57"/>
    <x v="67"/>
    <x v="0"/>
    <x v="32"/>
    <x v="56"/>
    <x v="56"/>
    <x v="55"/>
    <x v="55"/>
    <x v="0"/>
    <x v="247"/>
    <x v="254"/>
    <x v="231"/>
    <x v="221"/>
    <x v="5"/>
    <x v="237"/>
    <x v="99"/>
    <x v="3"/>
    <x v="3"/>
    <x v="47"/>
    <x v="23"/>
    <x v="127"/>
    <x v="207"/>
    <x v="0"/>
    <x v="0"/>
    <x v="12"/>
    <x v="10"/>
    <x v="32"/>
    <x v="1"/>
    <x v="9"/>
    <x v="2"/>
    <x v="32"/>
  </r>
  <r>
    <x v="27"/>
    <x v="58"/>
    <x v="68"/>
    <x v="0"/>
    <x v="33"/>
    <x v="57"/>
    <x v="57"/>
    <x v="56"/>
    <x v="56"/>
    <x v="0"/>
    <x v="248"/>
    <x v="255"/>
    <x v="232"/>
    <x v="222"/>
    <x v="42"/>
    <x v="238"/>
    <x v="39"/>
    <x v="2"/>
    <x v="96"/>
    <x v="0"/>
    <x v="0"/>
    <x v="106"/>
    <x v="208"/>
    <x v="0"/>
    <x v="0"/>
    <x v="4"/>
    <x v="2"/>
    <x v="33"/>
    <x v="0"/>
    <x v="6"/>
    <x v="0"/>
    <x v="33"/>
  </r>
  <r>
    <x v="27"/>
    <x v="59"/>
    <x v="69"/>
    <x v="0"/>
    <x v="34"/>
    <x v="58"/>
    <x v="58"/>
    <x v="57"/>
    <x v="57"/>
    <x v="0"/>
    <x v="249"/>
    <x v="256"/>
    <x v="233"/>
    <x v="223"/>
    <x v="3"/>
    <x v="239"/>
    <x v="128"/>
    <x v="0"/>
    <x v="46"/>
    <x v="2"/>
    <x v="1"/>
    <x v="160"/>
    <x v="209"/>
    <x v="0"/>
    <x v="0"/>
    <x v="11"/>
    <x v="2"/>
    <x v="34"/>
    <x v="0"/>
    <x v="6"/>
    <x v="0"/>
    <x v="34"/>
  </r>
  <r>
    <x v="27"/>
    <x v="60"/>
    <x v="70"/>
    <x v="0"/>
    <x v="35"/>
    <x v="59"/>
    <x v="59"/>
    <x v="58"/>
    <x v="58"/>
    <x v="0"/>
    <x v="250"/>
    <x v="257"/>
    <x v="70"/>
    <x v="224"/>
    <x v="35"/>
    <x v="240"/>
    <x v="15"/>
    <x v="2"/>
    <x v="24"/>
    <x v="3"/>
    <x v="3"/>
    <x v="20"/>
    <x v="210"/>
    <x v="0"/>
    <x v="0"/>
    <x v="5"/>
    <x v="2"/>
    <x v="35"/>
    <x v="0"/>
    <x v="6"/>
    <x v="0"/>
    <x v="35"/>
  </r>
  <r>
    <x v="27"/>
    <x v="61"/>
    <x v="71"/>
    <x v="0"/>
    <x v="36"/>
    <x v="60"/>
    <x v="60"/>
    <x v="59"/>
    <x v="59"/>
    <x v="0"/>
    <x v="251"/>
    <x v="258"/>
    <x v="234"/>
    <x v="225"/>
    <x v="8"/>
    <x v="241"/>
    <x v="129"/>
    <x v="0"/>
    <x v="97"/>
    <x v="6"/>
    <x v="24"/>
    <x v="161"/>
    <x v="211"/>
    <x v="0"/>
    <x v="0"/>
    <x v="2"/>
    <x v="9"/>
    <x v="36"/>
    <x v="0"/>
    <x v="10"/>
    <x v="0"/>
    <x v="36"/>
  </r>
  <r>
    <x v="27"/>
    <x v="62"/>
    <x v="72"/>
    <x v="0"/>
    <x v="37"/>
    <x v="61"/>
    <x v="61"/>
    <x v="60"/>
    <x v="60"/>
    <x v="0"/>
    <x v="252"/>
    <x v="259"/>
    <x v="235"/>
    <x v="226"/>
    <x v="41"/>
    <x v="242"/>
    <x v="130"/>
    <x v="2"/>
    <x v="98"/>
    <x v="40"/>
    <x v="29"/>
    <x v="162"/>
    <x v="212"/>
    <x v="0"/>
    <x v="0"/>
    <x v="4"/>
    <x v="2"/>
    <x v="37"/>
    <x v="1"/>
    <x v="3"/>
    <x v="2"/>
    <x v="37"/>
  </r>
  <r>
    <x v="27"/>
    <x v="63"/>
    <x v="73"/>
    <x v="0"/>
    <x v="38"/>
    <x v="62"/>
    <x v="62"/>
    <x v="61"/>
    <x v="61"/>
    <x v="0"/>
    <x v="253"/>
    <x v="260"/>
    <x v="236"/>
    <x v="227"/>
    <x v="30"/>
    <x v="243"/>
    <x v="131"/>
    <x v="0"/>
    <x v="41"/>
    <x v="21"/>
    <x v="23"/>
    <x v="163"/>
    <x v="213"/>
    <x v="0"/>
    <x v="0"/>
    <x v="12"/>
    <x v="2"/>
    <x v="38"/>
    <x v="0"/>
    <x v="0"/>
    <x v="0"/>
    <x v="38"/>
  </r>
  <r>
    <x v="27"/>
    <x v="64"/>
    <x v="74"/>
    <x v="0"/>
    <x v="39"/>
    <x v="63"/>
    <x v="63"/>
    <x v="62"/>
    <x v="62"/>
    <x v="0"/>
    <x v="254"/>
    <x v="261"/>
    <x v="237"/>
    <x v="228"/>
    <x v="0"/>
    <x v="244"/>
    <x v="112"/>
    <x v="5"/>
    <x v="31"/>
    <x v="3"/>
    <x v="26"/>
    <x v="164"/>
    <x v="214"/>
    <x v="0"/>
    <x v="0"/>
    <x v="12"/>
    <x v="12"/>
    <x v="39"/>
    <x v="0"/>
    <x v="6"/>
    <x v="0"/>
    <x v="39"/>
  </r>
  <r>
    <x v="28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8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8"/>
    <x v="37"/>
    <x v="46"/>
    <x v="0"/>
    <x v="21"/>
    <x v="35"/>
    <x v="35"/>
    <x v="34"/>
    <x v="3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1"/>
    <x v="1"/>
    <x v="4"/>
    <x v="2"/>
    <x v="21"/>
  </r>
  <r>
    <x v="28"/>
    <x v="38"/>
    <x v="47"/>
    <x v="1"/>
    <x v="9"/>
    <x v="36"/>
    <x v="36"/>
    <x v="35"/>
    <x v="35"/>
    <x v="0"/>
    <x v="255"/>
    <x v="262"/>
    <x v="238"/>
    <x v="229"/>
    <x v="62"/>
    <x v="245"/>
    <x v="21"/>
    <x v="0"/>
    <x v="42"/>
    <x v="3"/>
    <x v="3"/>
    <x v="26"/>
    <x v="215"/>
    <x v="0"/>
    <x v="0"/>
    <x v="4"/>
    <x v="3"/>
    <x v="9"/>
    <x v="1"/>
    <x v="3"/>
    <x v="2"/>
    <x v="9"/>
  </r>
  <r>
    <x v="28"/>
    <x v="39"/>
    <x v="48"/>
    <x v="0"/>
    <x v="9"/>
    <x v="37"/>
    <x v="37"/>
    <x v="36"/>
    <x v="36"/>
    <x v="0"/>
    <x v="256"/>
    <x v="263"/>
    <x v="239"/>
    <x v="55"/>
    <x v="8"/>
    <x v="246"/>
    <x v="18"/>
    <x v="2"/>
    <x v="24"/>
    <x v="3"/>
    <x v="3"/>
    <x v="27"/>
    <x v="216"/>
    <x v="0"/>
    <x v="0"/>
    <x v="5"/>
    <x v="2"/>
    <x v="9"/>
    <x v="1"/>
    <x v="3"/>
    <x v="2"/>
    <x v="9"/>
  </r>
  <r>
    <x v="28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8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28"/>
    <x v="45"/>
    <x v="55"/>
    <x v="0"/>
    <x v="27"/>
    <x v="44"/>
    <x v="44"/>
    <x v="43"/>
    <x v="43"/>
    <x v="0"/>
    <x v="257"/>
    <x v="264"/>
    <x v="240"/>
    <x v="230"/>
    <x v="28"/>
    <x v="247"/>
    <x v="15"/>
    <x v="2"/>
    <x v="24"/>
    <x v="3"/>
    <x v="3"/>
    <x v="20"/>
    <x v="217"/>
    <x v="0"/>
    <x v="0"/>
    <x v="5"/>
    <x v="2"/>
    <x v="27"/>
    <x v="1"/>
    <x v="4"/>
    <x v="2"/>
    <x v="27"/>
  </r>
  <r>
    <x v="28"/>
    <x v="47"/>
    <x v="57"/>
    <x v="0"/>
    <x v="29"/>
    <x v="46"/>
    <x v="46"/>
    <x v="45"/>
    <x v="45"/>
    <x v="0"/>
    <x v="258"/>
    <x v="265"/>
    <x v="241"/>
    <x v="231"/>
    <x v="9"/>
    <x v="248"/>
    <x v="8"/>
    <x v="2"/>
    <x v="24"/>
    <x v="5"/>
    <x v="3"/>
    <x v="83"/>
    <x v="165"/>
    <x v="0"/>
    <x v="0"/>
    <x v="5"/>
    <x v="2"/>
    <x v="29"/>
    <x v="0"/>
    <x v="0"/>
    <x v="0"/>
    <x v="29"/>
  </r>
  <r>
    <x v="28"/>
    <x v="49"/>
    <x v="59"/>
    <x v="1"/>
    <x v="22"/>
    <x v="48"/>
    <x v="48"/>
    <x v="47"/>
    <x v="47"/>
    <x v="0"/>
    <x v="259"/>
    <x v="266"/>
    <x v="242"/>
    <x v="232"/>
    <x v="63"/>
    <x v="249"/>
    <x v="56"/>
    <x v="2"/>
    <x v="49"/>
    <x v="11"/>
    <x v="2"/>
    <x v="154"/>
    <x v="218"/>
    <x v="0"/>
    <x v="0"/>
    <x v="7"/>
    <x v="5"/>
    <x v="22"/>
    <x v="0"/>
    <x v="6"/>
    <x v="0"/>
    <x v="22"/>
  </r>
  <r>
    <x v="28"/>
    <x v="51"/>
    <x v="61"/>
    <x v="1"/>
    <x v="27"/>
    <x v="50"/>
    <x v="50"/>
    <x v="49"/>
    <x v="49"/>
    <x v="0"/>
    <x v="260"/>
    <x v="267"/>
    <x v="243"/>
    <x v="5"/>
    <x v="15"/>
    <x v="250"/>
    <x v="14"/>
    <x v="2"/>
    <x v="2"/>
    <x v="5"/>
    <x v="3"/>
    <x v="165"/>
    <x v="219"/>
    <x v="0"/>
    <x v="0"/>
    <x v="10"/>
    <x v="12"/>
    <x v="27"/>
    <x v="1"/>
    <x v="4"/>
    <x v="2"/>
    <x v="27"/>
  </r>
  <r>
    <x v="28"/>
    <x v="53"/>
    <x v="63"/>
    <x v="1"/>
    <x v="29"/>
    <x v="52"/>
    <x v="52"/>
    <x v="51"/>
    <x v="51"/>
    <x v="0"/>
    <x v="261"/>
    <x v="268"/>
    <x v="244"/>
    <x v="233"/>
    <x v="64"/>
    <x v="251"/>
    <x v="38"/>
    <x v="1"/>
    <x v="55"/>
    <x v="6"/>
    <x v="4"/>
    <x v="59"/>
    <x v="220"/>
    <x v="0"/>
    <x v="0"/>
    <x v="7"/>
    <x v="10"/>
    <x v="29"/>
    <x v="0"/>
    <x v="0"/>
    <x v="0"/>
    <x v="29"/>
  </r>
  <r>
    <x v="28"/>
    <x v="54"/>
    <x v="64"/>
    <x v="1"/>
    <x v="7"/>
    <x v="53"/>
    <x v="53"/>
    <x v="52"/>
    <x v="52"/>
    <x v="0"/>
    <x v="262"/>
    <x v="269"/>
    <x v="245"/>
    <x v="234"/>
    <x v="65"/>
    <x v="252"/>
    <x v="112"/>
    <x v="1"/>
    <x v="89"/>
    <x v="3"/>
    <x v="1"/>
    <x v="166"/>
    <x v="221"/>
    <x v="0"/>
    <x v="0"/>
    <x v="7"/>
    <x v="2"/>
    <x v="7"/>
    <x v="0"/>
    <x v="6"/>
    <x v="0"/>
    <x v="7"/>
  </r>
  <r>
    <x v="28"/>
    <x v="56"/>
    <x v="66"/>
    <x v="1"/>
    <x v="31"/>
    <x v="55"/>
    <x v="55"/>
    <x v="54"/>
    <x v="54"/>
    <x v="0"/>
    <x v="263"/>
    <x v="270"/>
    <x v="246"/>
    <x v="235"/>
    <x v="21"/>
    <x v="253"/>
    <x v="132"/>
    <x v="1"/>
    <x v="99"/>
    <x v="48"/>
    <x v="8"/>
    <x v="167"/>
    <x v="222"/>
    <x v="0"/>
    <x v="0"/>
    <x v="34"/>
    <x v="2"/>
    <x v="31"/>
    <x v="1"/>
    <x v="8"/>
    <x v="2"/>
    <x v="31"/>
  </r>
  <r>
    <x v="28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28"/>
    <x v="58"/>
    <x v="68"/>
    <x v="0"/>
    <x v="33"/>
    <x v="57"/>
    <x v="57"/>
    <x v="56"/>
    <x v="56"/>
    <x v="0"/>
    <x v="264"/>
    <x v="271"/>
    <x v="247"/>
    <x v="184"/>
    <x v="2"/>
    <x v="254"/>
    <x v="8"/>
    <x v="2"/>
    <x v="42"/>
    <x v="3"/>
    <x v="3"/>
    <x v="75"/>
    <x v="223"/>
    <x v="0"/>
    <x v="0"/>
    <x v="5"/>
    <x v="2"/>
    <x v="33"/>
    <x v="0"/>
    <x v="6"/>
    <x v="0"/>
    <x v="33"/>
  </r>
  <r>
    <x v="28"/>
    <x v="59"/>
    <x v="69"/>
    <x v="0"/>
    <x v="34"/>
    <x v="58"/>
    <x v="58"/>
    <x v="57"/>
    <x v="57"/>
    <x v="0"/>
    <x v="265"/>
    <x v="272"/>
    <x v="248"/>
    <x v="236"/>
    <x v="8"/>
    <x v="255"/>
    <x v="15"/>
    <x v="2"/>
    <x v="24"/>
    <x v="5"/>
    <x v="3"/>
    <x v="27"/>
    <x v="224"/>
    <x v="0"/>
    <x v="0"/>
    <x v="5"/>
    <x v="2"/>
    <x v="34"/>
    <x v="0"/>
    <x v="6"/>
    <x v="0"/>
    <x v="34"/>
  </r>
  <r>
    <x v="28"/>
    <x v="60"/>
    <x v="70"/>
    <x v="0"/>
    <x v="35"/>
    <x v="59"/>
    <x v="59"/>
    <x v="58"/>
    <x v="5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5"/>
    <x v="0"/>
    <x v="6"/>
    <x v="0"/>
    <x v="35"/>
  </r>
  <r>
    <x v="28"/>
    <x v="61"/>
    <x v="71"/>
    <x v="0"/>
    <x v="36"/>
    <x v="60"/>
    <x v="60"/>
    <x v="59"/>
    <x v="59"/>
    <x v="0"/>
    <x v="266"/>
    <x v="273"/>
    <x v="249"/>
    <x v="237"/>
    <x v="9"/>
    <x v="87"/>
    <x v="8"/>
    <x v="2"/>
    <x v="42"/>
    <x v="3"/>
    <x v="3"/>
    <x v="75"/>
    <x v="225"/>
    <x v="0"/>
    <x v="0"/>
    <x v="5"/>
    <x v="2"/>
    <x v="36"/>
    <x v="0"/>
    <x v="10"/>
    <x v="0"/>
    <x v="36"/>
  </r>
  <r>
    <x v="28"/>
    <x v="62"/>
    <x v="72"/>
    <x v="0"/>
    <x v="37"/>
    <x v="61"/>
    <x v="61"/>
    <x v="60"/>
    <x v="60"/>
    <x v="0"/>
    <x v="267"/>
    <x v="274"/>
    <x v="70"/>
    <x v="238"/>
    <x v="4"/>
    <x v="256"/>
    <x v="15"/>
    <x v="2"/>
    <x v="14"/>
    <x v="3"/>
    <x v="3"/>
    <x v="15"/>
    <x v="15"/>
    <x v="0"/>
    <x v="0"/>
    <x v="5"/>
    <x v="2"/>
    <x v="37"/>
    <x v="1"/>
    <x v="3"/>
    <x v="2"/>
    <x v="37"/>
  </r>
  <r>
    <x v="28"/>
    <x v="63"/>
    <x v="73"/>
    <x v="0"/>
    <x v="38"/>
    <x v="62"/>
    <x v="62"/>
    <x v="61"/>
    <x v="61"/>
    <x v="0"/>
    <x v="39"/>
    <x v="275"/>
    <x v="70"/>
    <x v="239"/>
    <x v="12"/>
    <x v="257"/>
    <x v="18"/>
    <x v="2"/>
    <x v="14"/>
    <x v="3"/>
    <x v="3"/>
    <x v="20"/>
    <x v="226"/>
    <x v="0"/>
    <x v="0"/>
    <x v="5"/>
    <x v="2"/>
    <x v="38"/>
    <x v="0"/>
    <x v="0"/>
    <x v="0"/>
    <x v="38"/>
  </r>
  <r>
    <x v="28"/>
    <x v="64"/>
    <x v="74"/>
    <x v="0"/>
    <x v="39"/>
    <x v="63"/>
    <x v="63"/>
    <x v="62"/>
    <x v="62"/>
    <x v="0"/>
    <x v="220"/>
    <x v="276"/>
    <x v="73"/>
    <x v="240"/>
    <x v="1"/>
    <x v="158"/>
    <x v="15"/>
    <x v="2"/>
    <x v="14"/>
    <x v="3"/>
    <x v="3"/>
    <x v="15"/>
    <x v="15"/>
    <x v="0"/>
    <x v="0"/>
    <x v="5"/>
    <x v="2"/>
    <x v="39"/>
    <x v="0"/>
    <x v="6"/>
    <x v="0"/>
    <x v="39"/>
  </r>
  <r>
    <x v="29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9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29"/>
    <x v="38"/>
    <x v="47"/>
    <x v="1"/>
    <x v="9"/>
    <x v="36"/>
    <x v="36"/>
    <x v="35"/>
    <x v="35"/>
    <x v="0"/>
    <x v="268"/>
    <x v="277"/>
    <x v="250"/>
    <x v="241"/>
    <x v="34"/>
    <x v="258"/>
    <x v="23"/>
    <x v="2"/>
    <x v="19"/>
    <x v="3"/>
    <x v="3"/>
    <x v="8"/>
    <x v="227"/>
    <x v="0"/>
    <x v="0"/>
    <x v="2"/>
    <x v="11"/>
    <x v="9"/>
    <x v="1"/>
    <x v="3"/>
    <x v="2"/>
    <x v="9"/>
  </r>
  <r>
    <x v="29"/>
    <x v="39"/>
    <x v="48"/>
    <x v="0"/>
    <x v="9"/>
    <x v="37"/>
    <x v="37"/>
    <x v="36"/>
    <x v="36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9"/>
    <x v="1"/>
    <x v="3"/>
    <x v="2"/>
    <x v="9"/>
  </r>
  <r>
    <x v="29"/>
    <x v="26"/>
    <x v="49"/>
    <x v="0"/>
    <x v="17"/>
    <x v="38"/>
    <x v="38"/>
    <x v="37"/>
    <x v="37"/>
    <x v="0"/>
    <x v="269"/>
    <x v="278"/>
    <x v="251"/>
    <x v="163"/>
    <x v="4"/>
    <x v="80"/>
    <x v="55"/>
    <x v="1"/>
    <x v="34"/>
    <x v="1"/>
    <x v="8"/>
    <x v="168"/>
    <x v="228"/>
    <x v="1"/>
    <x v="4"/>
    <x v="7"/>
    <x v="11"/>
    <x v="17"/>
    <x v="0"/>
    <x v="0"/>
    <x v="0"/>
    <x v="17"/>
  </r>
  <r>
    <x v="29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29"/>
    <x v="47"/>
    <x v="57"/>
    <x v="0"/>
    <x v="29"/>
    <x v="46"/>
    <x v="46"/>
    <x v="45"/>
    <x v="45"/>
    <x v="0"/>
    <x v="270"/>
    <x v="279"/>
    <x v="252"/>
    <x v="242"/>
    <x v="1"/>
    <x v="259"/>
    <x v="133"/>
    <x v="10"/>
    <x v="61"/>
    <x v="34"/>
    <x v="30"/>
    <x v="169"/>
    <x v="229"/>
    <x v="0"/>
    <x v="0"/>
    <x v="12"/>
    <x v="5"/>
    <x v="29"/>
    <x v="0"/>
    <x v="0"/>
    <x v="0"/>
    <x v="29"/>
  </r>
  <r>
    <x v="29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  <x v="1"/>
    <x v="2"/>
    <x v="1"/>
    <x v="30"/>
  </r>
  <r>
    <x v="29"/>
    <x v="49"/>
    <x v="59"/>
    <x v="1"/>
    <x v="22"/>
    <x v="48"/>
    <x v="48"/>
    <x v="47"/>
    <x v="47"/>
    <x v="0"/>
    <x v="271"/>
    <x v="280"/>
    <x v="253"/>
    <x v="243"/>
    <x v="56"/>
    <x v="260"/>
    <x v="54"/>
    <x v="2"/>
    <x v="22"/>
    <x v="3"/>
    <x v="3"/>
    <x v="7"/>
    <x v="230"/>
    <x v="2"/>
    <x v="1"/>
    <x v="1"/>
    <x v="2"/>
    <x v="22"/>
    <x v="0"/>
    <x v="6"/>
    <x v="0"/>
    <x v="22"/>
  </r>
  <r>
    <x v="29"/>
    <x v="51"/>
    <x v="61"/>
    <x v="1"/>
    <x v="27"/>
    <x v="50"/>
    <x v="50"/>
    <x v="49"/>
    <x v="49"/>
    <x v="0"/>
    <x v="272"/>
    <x v="281"/>
    <x v="254"/>
    <x v="244"/>
    <x v="15"/>
    <x v="261"/>
    <x v="9"/>
    <x v="2"/>
    <x v="31"/>
    <x v="3"/>
    <x v="4"/>
    <x v="52"/>
    <x v="231"/>
    <x v="0"/>
    <x v="0"/>
    <x v="10"/>
    <x v="9"/>
    <x v="27"/>
    <x v="1"/>
    <x v="4"/>
    <x v="2"/>
    <x v="27"/>
  </r>
  <r>
    <x v="29"/>
    <x v="52"/>
    <x v="62"/>
    <x v="0"/>
    <x v="31"/>
    <x v="51"/>
    <x v="51"/>
    <x v="50"/>
    <x v="5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1"/>
    <x v="8"/>
    <x v="2"/>
    <x v="31"/>
  </r>
  <r>
    <x v="29"/>
    <x v="53"/>
    <x v="63"/>
    <x v="1"/>
    <x v="29"/>
    <x v="52"/>
    <x v="52"/>
    <x v="51"/>
    <x v="51"/>
    <x v="0"/>
    <x v="273"/>
    <x v="282"/>
    <x v="255"/>
    <x v="245"/>
    <x v="66"/>
    <x v="262"/>
    <x v="43"/>
    <x v="1"/>
    <x v="90"/>
    <x v="5"/>
    <x v="3"/>
    <x v="170"/>
    <x v="232"/>
    <x v="3"/>
    <x v="5"/>
    <x v="2"/>
    <x v="2"/>
    <x v="29"/>
    <x v="0"/>
    <x v="0"/>
    <x v="0"/>
    <x v="29"/>
  </r>
  <r>
    <x v="29"/>
    <x v="54"/>
    <x v="64"/>
    <x v="1"/>
    <x v="7"/>
    <x v="53"/>
    <x v="53"/>
    <x v="52"/>
    <x v="52"/>
    <x v="0"/>
    <x v="274"/>
    <x v="283"/>
    <x v="256"/>
    <x v="208"/>
    <x v="67"/>
    <x v="263"/>
    <x v="95"/>
    <x v="2"/>
    <x v="28"/>
    <x v="11"/>
    <x v="4"/>
    <x v="171"/>
    <x v="233"/>
    <x v="2"/>
    <x v="6"/>
    <x v="1"/>
    <x v="11"/>
    <x v="7"/>
    <x v="0"/>
    <x v="6"/>
    <x v="0"/>
    <x v="7"/>
  </r>
  <r>
    <x v="29"/>
    <x v="56"/>
    <x v="66"/>
    <x v="1"/>
    <x v="31"/>
    <x v="55"/>
    <x v="55"/>
    <x v="54"/>
    <x v="54"/>
    <x v="0"/>
    <x v="219"/>
    <x v="284"/>
    <x v="257"/>
    <x v="246"/>
    <x v="36"/>
    <x v="264"/>
    <x v="25"/>
    <x v="2"/>
    <x v="65"/>
    <x v="44"/>
    <x v="13"/>
    <x v="172"/>
    <x v="234"/>
    <x v="0"/>
    <x v="0"/>
    <x v="35"/>
    <x v="2"/>
    <x v="31"/>
    <x v="1"/>
    <x v="8"/>
    <x v="2"/>
    <x v="31"/>
  </r>
  <r>
    <x v="29"/>
    <x v="57"/>
    <x v="67"/>
    <x v="0"/>
    <x v="32"/>
    <x v="56"/>
    <x v="56"/>
    <x v="55"/>
    <x v="55"/>
    <x v="0"/>
    <x v="275"/>
    <x v="285"/>
    <x v="258"/>
    <x v="247"/>
    <x v="11"/>
    <x v="265"/>
    <x v="134"/>
    <x v="6"/>
    <x v="100"/>
    <x v="49"/>
    <x v="22"/>
    <x v="173"/>
    <x v="235"/>
    <x v="0"/>
    <x v="0"/>
    <x v="36"/>
    <x v="8"/>
    <x v="32"/>
    <x v="1"/>
    <x v="9"/>
    <x v="2"/>
    <x v="32"/>
  </r>
  <r>
    <x v="29"/>
    <x v="61"/>
    <x v="71"/>
    <x v="0"/>
    <x v="36"/>
    <x v="60"/>
    <x v="60"/>
    <x v="59"/>
    <x v="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6"/>
    <x v="0"/>
    <x v="10"/>
    <x v="0"/>
    <x v="36"/>
  </r>
  <r>
    <x v="29"/>
    <x v="62"/>
    <x v="72"/>
    <x v="0"/>
    <x v="37"/>
    <x v="61"/>
    <x v="61"/>
    <x v="60"/>
    <x v="60"/>
    <x v="0"/>
    <x v="276"/>
    <x v="286"/>
    <x v="259"/>
    <x v="248"/>
    <x v="30"/>
    <x v="266"/>
    <x v="135"/>
    <x v="3"/>
    <x v="101"/>
    <x v="47"/>
    <x v="15"/>
    <x v="174"/>
    <x v="236"/>
    <x v="0"/>
    <x v="0"/>
    <x v="0"/>
    <x v="2"/>
    <x v="37"/>
    <x v="1"/>
    <x v="3"/>
    <x v="2"/>
    <x v="37"/>
  </r>
  <r>
    <x v="29"/>
    <x v="63"/>
    <x v="73"/>
    <x v="0"/>
    <x v="38"/>
    <x v="62"/>
    <x v="62"/>
    <x v="61"/>
    <x v="6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8"/>
    <x v="0"/>
    <x v="0"/>
    <x v="0"/>
    <x v="38"/>
  </r>
  <r>
    <x v="29"/>
    <x v="64"/>
    <x v="74"/>
    <x v="0"/>
    <x v="39"/>
    <x v="63"/>
    <x v="63"/>
    <x v="62"/>
    <x v="62"/>
    <x v="0"/>
    <x v="277"/>
    <x v="287"/>
    <x v="260"/>
    <x v="127"/>
    <x v="28"/>
    <x v="267"/>
    <x v="33"/>
    <x v="3"/>
    <x v="23"/>
    <x v="5"/>
    <x v="13"/>
    <x v="16"/>
    <x v="237"/>
    <x v="0"/>
    <x v="0"/>
    <x v="0"/>
    <x v="6"/>
    <x v="39"/>
    <x v="0"/>
    <x v="6"/>
    <x v="0"/>
    <x v="39"/>
  </r>
  <r>
    <x v="30"/>
    <x v="38"/>
    <x v="47"/>
    <x v="1"/>
    <x v="9"/>
    <x v="36"/>
    <x v="36"/>
    <x v="35"/>
    <x v="35"/>
    <x v="0"/>
    <x v="278"/>
    <x v="288"/>
    <x v="261"/>
    <x v="249"/>
    <x v="68"/>
    <x v="268"/>
    <x v="46"/>
    <x v="2"/>
    <x v="50"/>
    <x v="3"/>
    <x v="1"/>
    <x v="56"/>
    <x v="238"/>
    <x v="0"/>
    <x v="0"/>
    <x v="37"/>
    <x v="23"/>
    <x v="9"/>
    <x v="1"/>
    <x v="3"/>
    <x v="2"/>
    <x v="9"/>
  </r>
  <r>
    <x v="30"/>
    <x v="39"/>
    <x v="48"/>
    <x v="0"/>
    <x v="9"/>
    <x v="37"/>
    <x v="37"/>
    <x v="36"/>
    <x v="36"/>
    <x v="0"/>
    <x v="279"/>
    <x v="289"/>
    <x v="262"/>
    <x v="250"/>
    <x v="37"/>
    <x v="269"/>
    <x v="87"/>
    <x v="3"/>
    <x v="29"/>
    <x v="4"/>
    <x v="3"/>
    <x v="175"/>
    <x v="239"/>
    <x v="0"/>
    <x v="0"/>
    <x v="23"/>
    <x v="5"/>
    <x v="9"/>
    <x v="1"/>
    <x v="3"/>
    <x v="2"/>
    <x v="9"/>
  </r>
  <r>
    <x v="30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30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0"/>
    <x v="45"/>
    <x v="55"/>
    <x v="0"/>
    <x v="27"/>
    <x v="44"/>
    <x v="44"/>
    <x v="43"/>
    <x v="43"/>
    <x v="0"/>
    <x v="280"/>
    <x v="290"/>
    <x v="263"/>
    <x v="251"/>
    <x v="2"/>
    <x v="270"/>
    <x v="136"/>
    <x v="19"/>
    <x v="97"/>
    <x v="20"/>
    <x v="6"/>
    <x v="176"/>
    <x v="240"/>
    <x v="0"/>
    <x v="0"/>
    <x v="38"/>
    <x v="36"/>
    <x v="27"/>
    <x v="1"/>
    <x v="4"/>
    <x v="2"/>
    <x v="27"/>
  </r>
  <r>
    <x v="30"/>
    <x v="47"/>
    <x v="57"/>
    <x v="0"/>
    <x v="29"/>
    <x v="46"/>
    <x v="46"/>
    <x v="45"/>
    <x v="45"/>
    <x v="0"/>
    <x v="281"/>
    <x v="291"/>
    <x v="264"/>
    <x v="214"/>
    <x v="2"/>
    <x v="271"/>
    <x v="137"/>
    <x v="22"/>
    <x v="94"/>
    <x v="30"/>
    <x v="31"/>
    <x v="177"/>
    <x v="241"/>
    <x v="0"/>
    <x v="0"/>
    <x v="33"/>
    <x v="23"/>
    <x v="29"/>
    <x v="0"/>
    <x v="0"/>
    <x v="0"/>
    <x v="29"/>
  </r>
  <r>
    <x v="30"/>
    <x v="49"/>
    <x v="59"/>
    <x v="1"/>
    <x v="22"/>
    <x v="48"/>
    <x v="48"/>
    <x v="47"/>
    <x v="47"/>
    <x v="0"/>
    <x v="282"/>
    <x v="292"/>
    <x v="265"/>
    <x v="252"/>
    <x v="69"/>
    <x v="272"/>
    <x v="2"/>
    <x v="2"/>
    <x v="42"/>
    <x v="11"/>
    <x v="2"/>
    <x v="78"/>
    <x v="242"/>
    <x v="0"/>
    <x v="0"/>
    <x v="2"/>
    <x v="5"/>
    <x v="22"/>
    <x v="0"/>
    <x v="6"/>
    <x v="0"/>
    <x v="22"/>
  </r>
  <r>
    <x v="30"/>
    <x v="51"/>
    <x v="61"/>
    <x v="1"/>
    <x v="27"/>
    <x v="50"/>
    <x v="50"/>
    <x v="49"/>
    <x v="49"/>
    <x v="0"/>
    <x v="283"/>
    <x v="293"/>
    <x v="266"/>
    <x v="253"/>
    <x v="44"/>
    <x v="273"/>
    <x v="7"/>
    <x v="1"/>
    <x v="45"/>
    <x v="3"/>
    <x v="3"/>
    <x v="2"/>
    <x v="243"/>
    <x v="0"/>
    <x v="0"/>
    <x v="11"/>
    <x v="1"/>
    <x v="27"/>
    <x v="1"/>
    <x v="4"/>
    <x v="2"/>
    <x v="27"/>
  </r>
  <r>
    <x v="30"/>
    <x v="53"/>
    <x v="63"/>
    <x v="1"/>
    <x v="29"/>
    <x v="52"/>
    <x v="52"/>
    <x v="51"/>
    <x v="51"/>
    <x v="0"/>
    <x v="284"/>
    <x v="294"/>
    <x v="267"/>
    <x v="162"/>
    <x v="34"/>
    <x v="274"/>
    <x v="80"/>
    <x v="2"/>
    <x v="10"/>
    <x v="1"/>
    <x v="2"/>
    <x v="178"/>
    <x v="244"/>
    <x v="0"/>
    <x v="0"/>
    <x v="1"/>
    <x v="2"/>
    <x v="29"/>
    <x v="0"/>
    <x v="0"/>
    <x v="0"/>
    <x v="29"/>
  </r>
  <r>
    <x v="30"/>
    <x v="54"/>
    <x v="64"/>
    <x v="1"/>
    <x v="7"/>
    <x v="53"/>
    <x v="53"/>
    <x v="52"/>
    <x v="52"/>
    <x v="0"/>
    <x v="285"/>
    <x v="295"/>
    <x v="268"/>
    <x v="254"/>
    <x v="70"/>
    <x v="275"/>
    <x v="118"/>
    <x v="2"/>
    <x v="21"/>
    <x v="11"/>
    <x v="1"/>
    <x v="179"/>
    <x v="245"/>
    <x v="0"/>
    <x v="0"/>
    <x v="9"/>
    <x v="6"/>
    <x v="7"/>
    <x v="0"/>
    <x v="6"/>
    <x v="0"/>
    <x v="7"/>
  </r>
  <r>
    <x v="30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0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  <x v="0"/>
    <x v="6"/>
    <x v="0"/>
    <x v="33"/>
  </r>
  <r>
    <x v="30"/>
    <x v="59"/>
    <x v="69"/>
    <x v="0"/>
    <x v="34"/>
    <x v="58"/>
    <x v="58"/>
    <x v="57"/>
    <x v="57"/>
    <x v="0"/>
    <x v="286"/>
    <x v="296"/>
    <x v="269"/>
    <x v="255"/>
    <x v="32"/>
    <x v="276"/>
    <x v="87"/>
    <x v="7"/>
    <x v="35"/>
    <x v="17"/>
    <x v="0"/>
    <x v="180"/>
    <x v="246"/>
    <x v="0"/>
    <x v="0"/>
    <x v="14"/>
    <x v="2"/>
    <x v="34"/>
    <x v="0"/>
    <x v="6"/>
    <x v="0"/>
    <x v="34"/>
  </r>
  <r>
    <x v="30"/>
    <x v="62"/>
    <x v="72"/>
    <x v="0"/>
    <x v="37"/>
    <x v="61"/>
    <x v="61"/>
    <x v="60"/>
    <x v="60"/>
    <x v="0"/>
    <x v="287"/>
    <x v="297"/>
    <x v="270"/>
    <x v="256"/>
    <x v="12"/>
    <x v="277"/>
    <x v="138"/>
    <x v="0"/>
    <x v="102"/>
    <x v="50"/>
    <x v="32"/>
    <x v="181"/>
    <x v="247"/>
    <x v="0"/>
    <x v="0"/>
    <x v="8"/>
    <x v="2"/>
    <x v="37"/>
    <x v="1"/>
    <x v="3"/>
    <x v="2"/>
    <x v="37"/>
  </r>
  <r>
    <x v="30"/>
    <x v="64"/>
    <x v="74"/>
    <x v="0"/>
    <x v="39"/>
    <x v="63"/>
    <x v="63"/>
    <x v="62"/>
    <x v="62"/>
    <x v="0"/>
    <x v="288"/>
    <x v="298"/>
    <x v="271"/>
    <x v="121"/>
    <x v="28"/>
    <x v="72"/>
    <x v="139"/>
    <x v="7"/>
    <x v="38"/>
    <x v="3"/>
    <x v="26"/>
    <x v="182"/>
    <x v="248"/>
    <x v="0"/>
    <x v="0"/>
    <x v="11"/>
    <x v="3"/>
    <x v="39"/>
    <x v="0"/>
    <x v="6"/>
    <x v="0"/>
    <x v="39"/>
  </r>
  <r>
    <x v="30"/>
    <x v="65"/>
    <x v="75"/>
    <x v="0"/>
    <x v="40"/>
    <x v="64"/>
    <x v="64"/>
    <x v="63"/>
    <x v="63"/>
    <x v="0"/>
    <x v="289"/>
    <x v="299"/>
    <x v="272"/>
    <x v="257"/>
    <x v="35"/>
    <x v="278"/>
    <x v="17"/>
    <x v="2"/>
    <x v="49"/>
    <x v="3"/>
    <x v="2"/>
    <x v="2"/>
    <x v="249"/>
    <x v="0"/>
    <x v="0"/>
    <x v="5"/>
    <x v="5"/>
    <x v="40"/>
    <x v="0"/>
    <x v="6"/>
    <x v="0"/>
    <x v="40"/>
  </r>
  <r>
    <x v="31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31"/>
    <x v="38"/>
    <x v="47"/>
    <x v="1"/>
    <x v="9"/>
    <x v="36"/>
    <x v="36"/>
    <x v="35"/>
    <x v="35"/>
    <x v="0"/>
    <x v="290"/>
    <x v="75"/>
    <x v="70"/>
    <x v="36"/>
    <x v="71"/>
    <x v="279"/>
    <x v="15"/>
    <x v="2"/>
    <x v="14"/>
    <x v="3"/>
    <x v="3"/>
    <x v="15"/>
    <x v="15"/>
    <x v="0"/>
    <x v="0"/>
    <x v="5"/>
    <x v="2"/>
    <x v="9"/>
    <x v="1"/>
    <x v="3"/>
    <x v="2"/>
    <x v="9"/>
  </r>
  <r>
    <x v="31"/>
    <x v="39"/>
    <x v="48"/>
    <x v="0"/>
    <x v="9"/>
    <x v="37"/>
    <x v="37"/>
    <x v="36"/>
    <x v="36"/>
    <x v="0"/>
    <x v="291"/>
    <x v="300"/>
    <x v="273"/>
    <x v="194"/>
    <x v="0"/>
    <x v="42"/>
    <x v="8"/>
    <x v="2"/>
    <x v="24"/>
    <x v="5"/>
    <x v="3"/>
    <x v="83"/>
    <x v="83"/>
    <x v="0"/>
    <x v="0"/>
    <x v="5"/>
    <x v="2"/>
    <x v="9"/>
    <x v="1"/>
    <x v="3"/>
    <x v="2"/>
    <x v="9"/>
  </r>
  <r>
    <x v="31"/>
    <x v="45"/>
    <x v="55"/>
    <x v="0"/>
    <x v="27"/>
    <x v="44"/>
    <x v="44"/>
    <x v="43"/>
    <x v="43"/>
    <x v="0"/>
    <x v="292"/>
    <x v="301"/>
    <x v="274"/>
    <x v="258"/>
    <x v="1"/>
    <x v="280"/>
    <x v="125"/>
    <x v="2"/>
    <x v="19"/>
    <x v="11"/>
    <x v="3"/>
    <x v="47"/>
    <x v="250"/>
    <x v="0"/>
    <x v="0"/>
    <x v="5"/>
    <x v="2"/>
    <x v="27"/>
    <x v="1"/>
    <x v="4"/>
    <x v="2"/>
    <x v="27"/>
  </r>
  <r>
    <x v="31"/>
    <x v="47"/>
    <x v="57"/>
    <x v="0"/>
    <x v="29"/>
    <x v="46"/>
    <x v="46"/>
    <x v="45"/>
    <x v="45"/>
    <x v="0"/>
    <x v="293"/>
    <x v="302"/>
    <x v="275"/>
    <x v="259"/>
    <x v="1"/>
    <x v="281"/>
    <x v="46"/>
    <x v="1"/>
    <x v="20"/>
    <x v="11"/>
    <x v="2"/>
    <x v="51"/>
    <x v="143"/>
    <x v="0"/>
    <x v="0"/>
    <x v="5"/>
    <x v="2"/>
    <x v="29"/>
    <x v="0"/>
    <x v="0"/>
    <x v="0"/>
    <x v="29"/>
  </r>
  <r>
    <x v="31"/>
    <x v="49"/>
    <x v="59"/>
    <x v="1"/>
    <x v="22"/>
    <x v="48"/>
    <x v="48"/>
    <x v="47"/>
    <x v="47"/>
    <x v="0"/>
    <x v="294"/>
    <x v="303"/>
    <x v="276"/>
    <x v="96"/>
    <x v="72"/>
    <x v="282"/>
    <x v="15"/>
    <x v="2"/>
    <x v="14"/>
    <x v="3"/>
    <x v="3"/>
    <x v="15"/>
    <x v="15"/>
    <x v="0"/>
    <x v="0"/>
    <x v="5"/>
    <x v="2"/>
    <x v="22"/>
    <x v="0"/>
    <x v="6"/>
    <x v="0"/>
    <x v="22"/>
  </r>
  <r>
    <x v="31"/>
    <x v="51"/>
    <x v="61"/>
    <x v="1"/>
    <x v="27"/>
    <x v="50"/>
    <x v="50"/>
    <x v="49"/>
    <x v="49"/>
    <x v="0"/>
    <x v="30"/>
    <x v="234"/>
    <x v="29"/>
    <x v="30"/>
    <x v="16"/>
    <x v="29"/>
    <x v="15"/>
    <x v="2"/>
    <x v="14"/>
    <x v="3"/>
    <x v="3"/>
    <x v="15"/>
    <x v="15"/>
    <x v="0"/>
    <x v="0"/>
    <x v="5"/>
    <x v="2"/>
    <x v="27"/>
    <x v="1"/>
    <x v="4"/>
    <x v="2"/>
    <x v="27"/>
  </r>
  <r>
    <x v="31"/>
    <x v="53"/>
    <x v="63"/>
    <x v="1"/>
    <x v="29"/>
    <x v="52"/>
    <x v="52"/>
    <x v="51"/>
    <x v="51"/>
    <x v="0"/>
    <x v="295"/>
    <x v="304"/>
    <x v="72"/>
    <x v="260"/>
    <x v="57"/>
    <x v="283"/>
    <x v="15"/>
    <x v="2"/>
    <x v="14"/>
    <x v="3"/>
    <x v="3"/>
    <x v="15"/>
    <x v="15"/>
    <x v="0"/>
    <x v="0"/>
    <x v="5"/>
    <x v="2"/>
    <x v="29"/>
    <x v="0"/>
    <x v="0"/>
    <x v="0"/>
    <x v="29"/>
  </r>
  <r>
    <x v="31"/>
    <x v="54"/>
    <x v="64"/>
    <x v="1"/>
    <x v="7"/>
    <x v="53"/>
    <x v="53"/>
    <x v="52"/>
    <x v="5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  <x v="7"/>
  </r>
  <r>
    <x v="31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1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  <x v="0"/>
    <x v="6"/>
    <x v="0"/>
    <x v="33"/>
  </r>
  <r>
    <x v="31"/>
    <x v="59"/>
    <x v="69"/>
    <x v="0"/>
    <x v="34"/>
    <x v="58"/>
    <x v="58"/>
    <x v="57"/>
    <x v="57"/>
    <x v="0"/>
    <x v="296"/>
    <x v="305"/>
    <x v="277"/>
    <x v="261"/>
    <x v="30"/>
    <x v="284"/>
    <x v="15"/>
    <x v="2"/>
    <x v="103"/>
    <x v="5"/>
    <x v="3"/>
    <x v="15"/>
    <x v="15"/>
    <x v="0"/>
    <x v="0"/>
    <x v="5"/>
    <x v="2"/>
    <x v="34"/>
    <x v="0"/>
    <x v="6"/>
    <x v="0"/>
    <x v="34"/>
  </r>
  <r>
    <x v="31"/>
    <x v="62"/>
    <x v="72"/>
    <x v="0"/>
    <x v="37"/>
    <x v="61"/>
    <x v="61"/>
    <x v="60"/>
    <x v="60"/>
    <x v="0"/>
    <x v="297"/>
    <x v="306"/>
    <x v="278"/>
    <x v="194"/>
    <x v="37"/>
    <x v="285"/>
    <x v="41"/>
    <x v="1"/>
    <x v="2"/>
    <x v="3"/>
    <x v="3"/>
    <x v="13"/>
    <x v="251"/>
    <x v="0"/>
    <x v="0"/>
    <x v="2"/>
    <x v="2"/>
    <x v="37"/>
    <x v="1"/>
    <x v="3"/>
    <x v="2"/>
    <x v="37"/>
  </r>
  <r>
    <x v="31"/>
    <x v="64"/>
    <x v="74"/>
    <x v="0"/>
    <x v="39"/>
    <x v="63"/>
    <x v="63"/>
    <x v="62"/>
    <x v="6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9"/>
    <x v="0"/>
    <x v="6"/>
    <x v="0"/>
    <x v="39"/>
  </r>
  <r>
    <x v="31"/>
    <x v="65"/>
    <x v="75"/>
    <x v="0"/>
    <x v="40"/>
    <x v="64"/>
    <x v="64"/>
    <x v="63"/>
    <x v="63"/>
    <x v="0"/>
    <x v="298"/>
    <x v="307"/>
    <x v="131"/>
    <x v="34"/>
    <x v="52"/>
    <x v="286"/>
    <x v="15"/>
    <x v="1"/>
    <x v="24"/>
    <x v="3"/>
    <x v="3"/>
    <x v="27"/>
    <x v="252"/>
    <x v="0"/>
    <x v="0"/>
    <x v="5"/>
    <x v="2"/>
    <x v="40"/>
    <x v="0"/>
    <x v="6"/>
    <x v="0"/>
    <x v="40"/>
  </r>
  <r>
    <x v="32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32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32"/>
    <x v="45"/>
    <x v="55"/>
    <x v="0"/>
    <x v="27"/>
    <x v="44"/>
    <x v="44"/>
    <x v="43"/>
    <x v="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7"/>
    <x v="1"/>
    <x v="4"/>
    <x v="2"/>
    <x v="27"/>
  </r>
  <r>
    <x v="32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  <x v="0"/>
    <x v="6"/>
    <x v="0"/>
    <x v="28"/>
  </r>
  <r>
    <x v="3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2"/>
    <x v="53"/>
    <x v="63"/>
    <x v="1"/>
    <x v="29"/>
    <x v="52"/>
    <x v="52"/>
    <x v="51"/>
    <x v="5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2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2"/>
    <x v="59"/>
    <x v="69"/>
    <x v="0"/>
    <x v="34"/>
    <x v="58"/>
    <x v="58"/>
    <x v="57"/>
    <x v="5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4"/>
    <x v="0"/>
    <x v="6"/>
    <x v="0"/>
    <x v="34"/>
  </r>
  <r>
    <x v="32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  <x v="37"/>
  </r>
  <r>
    <x v="33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33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33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3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  <x v="1"/>
    <x v="2"/>
    <x v="1"/>
    <x v="30"/>
  </r>
  <r>
    <x v="33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3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  <x v="0"/>
    <x v="6"/>
    <x v="0"/>
    <x v="33"/>
  </r>
  <r>
    <x v="34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4"/>
    <x v="45"/>
    <x v="55"/>
    <x v="0"/>
    <x v="27"/>
    <x v="44"/>
    <x v="44"/>
    <x v="43"/>
    <x v="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7"/>
    <x v="1"/>
    <x v="4"/>
    <x v="2"/>
    <x v="27"/>
  </r>
  <r>
    <x v="34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4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5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5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5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  <x v="37"/>
  </r>
  <r>
    <x v="36"/>
    <x v="59"/>
    <x v="69"/>
    <x v="0"/>
    <x v="34"/>
    <x v="58"/>
    <x v="58"/>
    <x v="57"/>
    <x v="5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4"/>
    <x v="0"/>
    <x v="6"/>
    <x v="0"/>
    <x v="34"/>
  </r>
  <r>
    <x v="36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  <x v="37"/>
  </r>
  <r>
    <x v="37"/>
    <x v="38"/>
    <x v="47"/>
    <x v="1"/>
    <x v="9"/>
    <x v="36"/>
    <x v="36"/>
    <x v="35"/>
    <x v="35"/>
    <x v="0"/>
    <x v="299"/>
    <x v="308"/>
    <x v="279"/>
    <x v="262"/>
    <x v="34"/>
    <x v="287"/>
    <x v="18"/>
    <x v="2"/>
    <x v="14"/>
    <x v="3"/>
    <x v="3"/>
    <x v="20"/>
    <x v="253"/>
    <x v="0"/>
    <x v="0"/>
    <x v="5"/>
    <x v="11"/>
    <x v="9"/>
    <x v="1"/>
    <x v="3"/>
    <x v="2"/>
    <x v="9"/>
  </r>
  <r>
    <x v="37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7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7"/>
    <x v="54"/>
    <x v="64"/>
    <x v="1"/>
    <x v="7"/>
    <x v="53"/>
    <x v="53"/>
    <x v="52"/>
    <x v="52"/>
    <x v="0"/>
    <x v="300"/>
    <x v="309"/>
    <x v="199"/>
    <x v="20"/>
    <x v="40"/>
    <x v="288"/>
    <x v="15"/>
    <x v="2"/>
    <x v="24"/>
    <x v="3"/>
    <x v="3"/>
    <x v="20"/>
    <x v="249"/>
    <x v="0"/>
    <x v="0"/>
    <x v="5"/>
    <x v="2"/>
    <x v="7"/>
    <x v="0"/>
    <x v="6"/>
    <x v="0"/>
    <x v="7"/>
  </r>
  <r>
    <x v="37"/>
    <x v="61"/>
    <x v="71"/>
    <x v="0"/>
    <x v="36"/>
    <x v="60"/>
    <x v="60"/>
    <x v="59"/>
    <x v="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6"/>
    <x v="0"/>
    <x v="10"/>
    <x v="0"/>
    <x v="36"/>
  </r>
  <r>
    <x v="37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  <x v="37"/>
  </r>
  <r>
    <x v="38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9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9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40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41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41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4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43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44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44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45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45"/>
    <x v="38"/>
    <x v="47"/>
    <x v="1"/>
    <x v="9"/>
    <x v="36"/>
    <x v="36"/>
    <x v="35"/>
    <x v="3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4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46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4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48"/>
    <x v="66"/>
    <x v="76"/>
    <x v="0"/>
    <x v="41"/>
    <x v="65"/>
    <x v="65"/>
    <x v="64"/>
    <x v="64"/>
    <x v="0"/>
    <x v="301"/>
    <x v="310"/>
    <x v="280"/>
    <x v="263"/>
    <x v="52"/>
    <x v="289"/>
    <x v="63"/>
    <x v="2"/>
    <x v="19"/>
    <x v="3"/>
    <x v="3"/>
    <x v="78"/>
    <x v="157"/>
    <x v="0"/>
    <x v="0"/>
    <x v="5"/>
    <x v="2"/>
    <x v="41"/>
    <x v="0"/>
    <x v="6"/>
    <x v="4"/>
    <x v="41"/>
  </r>
  <r>
    <x v="49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49"/>
    <x v="66"/>
    <x v="76"/>
    <x v="0"/>
    <x v="41"/>
    <x v="65"/>
    <x v="65"/>
    <x v="64"/>
    <x v="64"/>
    <x v="0"/>
    <x v="302"/>
    <x v="311"/>
    <x v="281"/>
    <x v="264"/>
    <x v="25"/>
    <x v="128"/>
    <x v="4"/>
    <x v="2"/>
    <x v="90"/>
    <x v="0"/>
    <x v="2"/>
    <x v="57"/>
    <x v="254"/>
    <x v="0"/>
    <x v="0"/>
    <x v="1"/>
    <x v="5"/>
    <x v="41"/>
    <x v="0"/>
    <x v="6"/>
    <x v="4"/>
    <x v="41"/>
  </r>
  <r>
    <x v="50"/>
    <x v="66"/>
    <x v="76"/>
    <x v="0"/>
    <x v="41"/>
    <x v="65"/>
    <x v="65"/>
    <x v="64"/>
    <x v="64"/>
    <x v="0"/>
    <x v="303"/>
    <x v="312"/>
    <x v="282"/>
    <x v="265"/>
    <x v="46"/>
    <x v="290"/>
    <x v="125"/>
    <x v="2"/>
    <x v="24"/>
    <x v="1"/>
    <x v="2"/>
    <x v="47"/>
    <x v="255"/>
    <x v="0"/>
    <x v="0"/>
    <x v="5"/>
    <x v="2"/>
    <x v="41"/>
    <x v="0"/>
    <x v="6"/>
    <x v="4"/>
    <x v="41"/>
  </r>
  <r>
    <x v="51"/>
    <x v="66"/>
    <x v="76"/>
    <x v="0"/>
    <x v="41"/>
    <x v="65"/>
    <x v="65"/>
    <x v="64"/>
    <x v="64"/>
    <x v="0"/>
    <x v="304"/>
    <x v="313"/>
    <x v="283"/>
    <x v="266"/>
    <x v="22"/>
    <x v="291"/>
    <x v="64"/>
    <x v="2"/>
    <x v="8"/>
    <x v="4"/>
    <x v="3"/>
    <x v="154"/>
    <x v="256"/>
    <x v="0"/>
    <x v="0"/>
    <x v="2"/>
    <x v="5"/>
    <x v="41"/>
    <x v="0"/>
    <x v="6"/>
    <x v="4"/>
    <x v="41"/>
  </r>
  <r>
    <x v="52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52"/>
    <x v="66"/>
    <x v="76"/>
    <x v="0"/>
    <x v="41"/>
    <x v="65"/>
    <x v="65"/>
    <x v="64"/>
    <x v="64"/>
    <x v="0"/>
    <x v="305"/>
    <x v="314"/>
    <x v="284"/>
    <x v="267"/>
    <x v="17"/>
    <x v="292"/>
    <x v="14"/>
    <x v="2"/>
    <x v="19"/>
    <x v="51"/>
    <x v="1"/>
    <x v="149"/>
    <x v="257"/>
    <x v="0"/>
    <x v="0"/>
    <x v="5"/>
    <x v="12"/>
    <x v="41"/>
    <x v="0"/>
    <x v="6"/>
    <x v="4"/>
    <x v="41"/>
  </r>
  <r>
    <x v="53"/>
    <x v="39"/>
    <x v="48"/>
    <x v="0"/>
    <x v="9"/>
    <x v="37"/>
    <x v="37"/>
    <x v="36"/>
    <x v="3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53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53"/>
    <x v="66"/>
    <x v="76"/>
    <x v="0"/>
    <x v="41"/>
    <x v="65"/>
    <x v="65"/>
    <x v="64"/>
    <x v="64"/>
    <x v="0"/>
    <x v="306"/>
    <x v="315"/>
    <x v="279"/>
    <x v="268"/>
    <x v="73"/>
    <x v="293"/>
    <x v="21"/>
    <x v="2"/>
    <x v="24"/>
    <x v="0"/>
    <x v="3"/>
    <x v="30"/>
    <x v="258"/>
    <x v="0"/>
    <x v="0"/>
    <x v="5"/>
    <x v="2"/>
    <x v="41"/>
    <x v="0"/>
    <x v="6"/>
    <x v="4"/>
    <x v="41"/>
  </r>
  <r>
    <x v="54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  <x v="0"/>
    <x v="6"/>
    <x v="4"/>
    <x v="41"/>
  </r>
  <r>
    <x v="54"/>
    <x v="67"/>
    <x v="77"/>
    <x v="0"/>
    <x v="42"/>
    <x v="66"/>
    <x v="66"/>
    <x v="65"/>
    <x v="65"/>
    <x v="0"/>
    <x v="307"/>
    <x v="316"/>
    <x v="285"/>
    <x v="211"/>
    <x v="0"/>
    <x v="60"/>
    <x v="121"/>
    <x v="3"/>
    <x v="27"/>
    <x v="6"/>
    <x v="2"/>
    <x v="11"/>
    <x v="259"/>
    <x v="0"/>
    <x v="0"/>
    <x v="7"/>
    <x v="13"/>
    <x v="42"/>
    <x v="0"/>
    <x v="11"/>
    <x v="5"/>
    <x v="42"/>
  </r>
  <r>
    <x v="54"/>
    <x v="67"/>
    <x v="78"/>
    <x v="0"/>
    <x v="43"/>
    <x v="66"/>
    <x v="66"/>
    <x v="65"/>
    <x v="65"/>
    <x v="0"/>
    <x v="164"/>
    <x v="317"/>
    <x v="286"/>
    <x v="269"/>
    <x v="1"/>
    <x v="294"/>
    <x v="15"/>
    <x v="2"/>
    <x v="14"/>
    <x v="3"/>
    <x v="3"/>
    <x v="15"/>
    <x v="15"/>
    <x v="0"/>
    <x v="0"/>
    <x v="5"/>
    <x v="2"/>
    <x v="43"/>
    <x v="0"/>
    <x v="12"/>
    <x v="5"/>
    <x v="43"/>
  </r>
  <r>
    <x v="55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  <x v="0"/>
    <x v="6"/>
    <x v="4"/>
    <x v="41"/>
  </r>
  <r>
    <x v="55"/>
    <x v="67"/>
    <x v="77"/>
    <x v="0"/>
    <x v="42"/>
    <x v="66"/>
    <x v="66"/>
    <x v="65"/>
    <x v="65"/>
    <x v="0"/>
    <x v="308"/>
    <x v="318"/>
    <x v="287"/>
    <x v="143"/>
    <x v="37"/>
    <x v="295"/>
    <x v="140"/>
    <x v="10"/>
    <x v="104"/>
    <x v="17"/>
    <x v="7"/>
    <x v="183"/>
    <x v="82"/>
    <x v="0"/>
    <x v="0"/>
    <x v="2"/>
    <x v="31"/>
    <x v="42"/>
    <x v="0"/>
    <x v="11"/>
    <x v="5"/>
    <x v="42"/>
  </r>
  <r>
    <x v="55"/>
    <x v="67"/>
    <x v="78"/>
    <x v="0"/>
    <x v="43"/>
    <x v="66"/>
    <x v="66"/>
    <x v="65"/>
    <x v="65"/>
    <x v="0"/>
    <x v="309"/>
    <x v="319"/>
    <x v="288"/>
    <x v="270"/>
    <x v="9"/>
    <x v="296"/>
    <x v="18"/>
    <x v="2"/>
    <x v="14"/>
    <x v="3"/>
    <x v="3"/>
    <x v="20"/>
    <x v="260"/>
    <x v="0"/>
    <x v="0"/>
    <x v="5"/>
    <x v="5"/>
    <x v="43"/>
    <x v="0"/>
    <x v="12"/>
    <x v="5"/>
    <x v="43"/>
  </r>
  <r>
    <x v="56"/>
    <x v="67"/>
    <x v="77"/>
    <x v="0"/>
    <x v="42"/>
    <x v="66"/>
    <x v="66"/>
    <x v="65"/>
    <x v="65"/>
    <x v="0"/>
    <x v="310"/>
    <x v="320"/>
    <x v="289"/>
    <x v="271"/>
    <x v="12"/>
    <x v="297"/>
    <x v="141"/>
    <x v="11"/>
    <x v="105"/>
    <x v="52"/>
    <x v="30"/>
    <x v="184"/>
    <x v="6"/>
    <x v="0"/>
    <x v="0"/>
    <x v="3"/>
    <x v="4"/>
    <x v="42"/>
    <x v="0"/>
    <x v="11"/>
    <x v="5"/>
    <x v="42"/>
  </r>
  <r>
    <x v="56"/>
    <x v="67"/>
    <x v="78"/>
    <x v="0"/>
    <x v="43"/>
    <x v="66"/>
    <x v="66"/>
    <x v="65"/>
    <x v="65"/>
    <x v="0"/>
    <x v="311"/>
    <x v="321"/>
    <x v="132"/>
    <x v="272"/>
    <x v="9"/>
    <x v="298"/>
    <x v="18"/>
    <x v="2"/>
    <x v="14"/>
    <x v="3"/>
    <x v="3"/>
    <x v="20"/>
    <x v="261"/>
    <x v="0"/>
    <x v="0"/>
    <x v="5"/>
    <x v="2"/>
    <x v="43"/>
    <x v="0"/>
    <x v="12"/>
    <x v="5"/>
    <x v="43"/>
  </r>
  <r>
    <x v="56"/>
    <x v="68"/>
    <x v="79"/>
    <x v="0"/>
    <x v="43"/>
    <x v="67"/>
    <x v="67"/>
    <x v="66"/>
    <x v="66"/>
    <x v="0"/>
    <x v="312"/>
    <x v="322"/>
    <x v="290"/>
    <x v="137"/>
    <x v="52"/>
    <x v="184"/>
    <x v="7"/>
    <x v="1"/>
    <x v="42"/>
    <x v="3"/>
    <x v="3"/>
    <x v="13"/>
    <x v="262"/>
    <x v="0"/>
    <x v="0"/>
    <x v="5"/>
    <x v="2"/>
    <x v="43"/>
    <x v="0"/>
    <x v="12"/>
    <x v="5"/>
    <x v="43"/>
  </r>
  <r>
    <x v="57"/>
    <x v="67"/>
    <x v="77"/>
    <x v="0"/>
    <x v="42"/>
    <x v="66"/>
    <x v="66"/>
    <x v="65"/>
    <x v="65"/>
    <x v="0"/>
    <x v="313"/>
    <x v="323"/>
    <x v="291"/>
    <x v="273"/>
    <x v="42"/>
    <x v="299"/>
    <x v="142"/>
    <x v="2"/>
    <x v="106"/>
    <x v="42"/>
    <x v="23"/>
    <x v="185"/>
    <x v="263"/>
    <x v="0"/>
    <x v="0"/>
    <x v="3"/>
    <x v="16"/>
    <x v="42"/>
    <x v="0"/>
    <x v="11"/>
    <x v="5"/>
    <x v="42"/>
  </r>
  <r>
    <x v="57"/>
    <x v="68"/>
    <x v="79"/>
    <x v="0"/>
    <x v="43"/>
    <x v="67"/>
    <x v="67"/>
    <x v="66"/>
    <x v="66"/>
    <x v="0"/>
    <x v="314"/>
    <x v="324"/>
    <x v="292"/>
    <x v="274"/>
    <x v="48"/>
    <x v="300"/>
    <x v="63"/>
    <x v="2"/>
    <x v="50"/>
    <x v="3"/>
    <x v="2"/>
    <x v="13"/>
    <x v="264"/>
    <x v="0"/>
    <x v="0"/>
    <x v="5"/>
    <x v="2"/>
    <x v="43"/>
    <x v="0"/>
    <x v="12"/>
    <x v="5"/>
    <x v="43"/>
  </r>
  <r>
    <x v="57"/>
    <x v="69"/>
    <x v="80"/>
    <x v="0"/>
    <x v="44"/>
    <x v="68"/>
    <x v="68"/>
    <x v="67"/>
    <x v="67"/>
    <x v="0"/>
    <x v="315"/>
    <x v="325"/>
    <x v="293"/>
    <x v="275"/>
    <x v="9"/>
    <x v="301"/>
    <x v="143"/>
    <x v="0"/>
    <x v="30"/>
    <x v="35"/>
    <x v="2"/>
    <x v="186"/>
    <x v="265"/>
    <x v="0"/>
    <x v="0"/>
    <x v="10"/>
    <x v="2"/>
    <x v="44"/>
    <x v="0"/>
    <x v="13"/>
    <x v="5"/>
    <x v="44"/>
  </r>
  <r>
    <x v="58"/>
    <x v="67"/>
    <x v="77"/>
    <x v="0"/>
    <x v="42"/>
    <x v="66"/>
    <x v="66"/>
    <x v="65"/>
    <x v="65"/>
    <x v="0"/>
    <x v="316"/>
    <x v="326"/>
    <x v="294"/>
    <x v="276"/>
    <x v="4"/>
    <x v="302"/>
    <x v="144"/>
    <x v="7"/>
    <x v="107"/>
    <x v="6"/>
    <x v="23"/>
    <x v="187"/>
    <x v="24"/>
    <x v="0"/>
    <x v="0"/>
    <x v="11"/>
    <x v="37"/>
    <x v="42"/>
    <x v="0"/>
    <x v="11"/>
    <x v="5"/>
    <x v="42"/>
  </r>
  <r>
    <x v="58"/>
    <x v="68"/>
    <x v="79"/>
    <x v="0"/>
    <x v="43"/>
    <x v="67"/>
    <x v="67"/>
    <x v="66"/>
    <x v="66"/>
    <x v="0"/>
    <x v="317"/>
    <x v="327"/>
    <x v="295"/>
    <x v="277"/>
    <x v="74"/>
    <x v="303"/>
    <x v="23"/>
    <x v="2"/>
    <x v="14"/>
    <x v="3"/>
    <x v="2"/>
    <x v="75"/>
    <x v="266"/>
    <x v="0"/>
    <x v="0"/>
    <x v="5"/>
    <x v="2"/>
    <x v="43"/>
    <x v="0"/>
    <x v="12"/>
    <x v="5"/>
    <x v="43"/>
  </r>
  <r>
    <x v="58"/>
    <x v="69"/>
    <x v="80"/>
    <x v="0"/>
    <x v="44"/>
    <x v="68"/>
    <x v="68"/>
    <x v="67"/>
    <x v="67"/>
    <x v="0"/>
    <x v="318"/>
    <x v="328"/>
    <x v="296"/>
    <x v="278"/>
    <x v="9"/>
    <x v="304"/>
    <x v="32"/>
    <x v="7"/>
    <x v="3"/>
    <x v="9"/>
    <x v="0"/>
    <x v="188"/>
    <x v="267"/>
    <x v="0"/>
    <x v="0"/>
    <x v="4"/>
    <x v="2"/>
    <x v="44"/>
    <x v="0"/>
    <x v="13"/>
    <x v="5"/>
    <x v="44"/>
  </r>
  <r>
    <x v="58"/>
    <x v="70"/>
    <x v="81"/>
    <x v="0"/>
    <x v="45"/>
    <x v="69"/>
    <x v="69"/>
    <x v="68"/>
    <x v="68"/>
    <x v="0"/>
    <x v="319"/>
    <x v="329"/>
    <x v="297"/>
    <x v="147"/>
    <x v="1"/>
    <x v="305"/>
    <x v="145"/>
    <x v="10"/>
    <x v="108"/>
    <x v="7"/>
    <x v="6"/>
    <x v="189"/>
    <x v="117"/>
    <x v="0"/>
    <x v="0"/>
    <x v="12"/>
    <x v="12"/>
    <x v="45"/>
    <x v="0"/>
    <x v="13"/>
    <x v="5"/>
    <x v="45"/>
  </r>
  <r>
    <x v="59"/>
    <x v="67"/>
    <x v="77"/>
    <x v="0"/>
    <x v="42"/>
    <x v="66"/>
    <x v="66"/>
    <x v="65"/>
    <x v="65"/>
    <x v="0"/>
    <x v="320"/>
    <x v="330"/>
    <x v="298"/>
    <x v="141"/>
    <x v="42"/>
    <x v="306"/>
    <x v="146"/>
    <x v="0"/>
    <x v="63"/>
    <x v="51"/>
    <x v="1"/>
    <x v="190"/>
    <x v="268"/>
    <x v="0"/>
    <x v="0"/>
    <x v="11"/>
    <x v="10"/>
    <x v="42"/>
    <x v="0"/>
    <x v="11"/>
    <x v="5"/>
    <x v="42"/>
  </r>
  <r>
    <x v="59"/>
    <x v="69"/>
    <x v="80"/>
    <x v="0"/>
    <x v="44"/>
    <x v="68"/>
    <x v="68"/>
    <x v="67"/>
    <x v="67"/>
    <x v="0"/>
    <x v="321"/>
    <x v="331"/>
    <x v="299"/>
    <x v="5"/>
    <x v="28"/>
    <x v="307"/>
    <x v="86"/>
    <x v="2"/>
    <x v="79"/>
    <x v="51"/>
    <x v="2"/>
    <x v="171"/>
    <x v="19"/>
    <x v="0"/>
    <x v="0"/>
    <x v="4"/>
    <x v="2"/>
    <x v="44"/>
    <x v="0"/>
    <x v="13"/>
    <x v="5"/>
    <x v="44"/>
  </r>
  <r>
    <x v="59"/>
    <x v="70"/>
    <x v="81"/>
    <x v="0"/>
    <x v="45"/>
    <x v="69"/>
    <x v="69"/>
    <x v="68"/>
    <x v="68"/>
    <x v="0"/>
    <x v="322"/>
    <x v="332"/>
    <x v="300"/>
    <x v="279"/>
    <x v="28"/>
    <x v="308"/>
    <x v="127"/>
    <x v="2"/>
    <x v="18"/>
    <x v="17"/>
    <x v="23"/>
    <x v="143"/>
    <x v="269"/>
    <x v="0"/>
    <x v="0"/>
    <x v="12"/>
    <x v="5"/>
    <x v="45"/>
    <x v="0"/>
    <x v="13"/>
    <x v="5"/>
    <x v="45"/>
  </r>
  <r>
    <x v="60"/>
    <x v="67"/>
    <x v="77"/>
    <x v="0"/>
    <x v="42"/>
    <x v="66"/>
    <x v="66"/>
    <x v="65"/>
    <x v="65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5"/>
    <x v="42"/>
  </r>
  <r>
    <x v="60"/>
    <x v="68"/>
    <x v="79"/>
    <x v="0"/>
    <x v="43"/>
    <x v="67"/>
    <x v="67"/>
    <x v="66"/>
    <x v="66"/>
    <x v="0"/>
    <x v="323"/>
    <x v="334"/>
    <x v="301"/>
    <x v="280"/>
    <x v="22"/>
    <x v="309"/>
    <x v="15"/>
    <x v="2"/>
    <x v="14"/>
    <x v="3"/>
    <x v="3"/>
    <x v="15"/>
    <x v="15"/>
    <x v="0"/>
    <x v="0"/>
    <x v="5"/>
    <x v="2"/>
    <x v="43"/>
    <x v="0"/>
    <x v="12"/>
    <x v="5"/>
    <x v="43"/>
  </r>
  <r>
    <x v="60"/>
    <x v="69"/>
    <x v="80"/>
    <x v="0"/>
    <x v="44"/>
    <x v="68"/>
    <x v="68"/>
    <x v="67"/>
    <x v="67"/>
    <x v="0"/>
    <x v="324"/>
    <x v="335"/>
    <x v="302"/>
    <x v="118"/>
    <x v="0"/>
    <x v="310"/>
    <x v="147"/>
    <x v="2"/>
    <x v="23"/>
    <x v="1"/>
    <x v="4"/>
    <x v="114"/>
    <x v="270"/>
    <x v="0"/>
    <x v="0"/>
    <x v="2"/>
    <x v="2"/>
    <x v="44"/>
    <x v="0"/>
    <x v="13"/>
    <x v="5"/>
    <x v="44"/>
  </r>
  <r>
    <x v="60"/>
    <x v="70"/>
    <x v="81"/>
    <x v="0"/>
    <x v="45"/>
    <x v="69"/>
    <x v="69"/>
    <x v="68"/>
    <x v="68"/>
    <x v="0"/>
    <x v="325"/>
    <x v="336"/>
    <x v="303"/>
    <x v="67"/>
    <x v="1"/>
    <x v="311"/>
    <x v="148"/>
    <x v="2"/>
    <x v="87"/>
    <x v="1"/>
    <x v="3"/>
    <x v="191"/>
    <x v="14"/>
    <x v="0"/>
    <x v="0"/>
    <x v="5"/>
    <x v="5"/>
    <x v="45"/>
    <x v="0"/>
    <x v="13"/>
    <x v="5"/>
    <x v="45"/>
  </r>
  <r>
    <x v="60"/>
    <x v="71"/>
    <x v="82"/>
    <x v="1"/>
    <x v="7"/>
    <x v="70"/>
    <x v="70"/>
    <x v="69"/>
    <x v="69"/>
    <x v="0"/>
    <x v="30"/>
    <x v="337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  <x v="7"/>
  </r>
  <r>
    <x v="60"/>
    <x v="71"/>
    <x v="83"/>
    <x v="1"/>
    <x v="29"/>
    <x v="71"/>
    <x v="71"/>
    <x v="70"/>
    <x v="70"/>
    <x v="0"/>
    <x v="326"/>
    <x v="338"/>
    <x v="304"/>
    <x v="281"/>
    <x v="44"/>
    <x v="312"/>
    <x v="8"/>
    <x v="2"/>
    <x v="14"/>
    <x v="3"/>
    <x v="3"/>
    <x v="27"/>
    <x v="120"/>
    <x v="0"/>
    <x v="0"/>
    <x v="5"/>
    <x v="2"/>
    <x v="29"/>
    <x v="0"/>
    <x v="0"/>
    <x v="0"/>
    <x v="29"/>
  </r>
  <r>
    <x v="60"/>
    <x v="72"/>
    <x v="84"/>
    <x v="1"/>
    <x v="7"/>
    <x v="72"/>
    <x v="72"/>
    <x v="71"/>
    <x v="71"/>
    <x v="0"/>
    <x v="327"/>
    <x v="339"/>
    <x v="277"/>
    <x v="282"/>
    <x v="75"/>
    <x v="313"/>
    <x v="18"/>
    <x v="2"/>
    <x v="14"/>
    <x v="3"/>
    <x v="3"/>
    <x v="20"/>
    <x v="271"/>
    <x v="0"/>
    <x v="0"/>
    <x v="5"/>
    <x v="2"/>
    <x v="7"/>
    <x v="0"/>
    <x v="6"/>
    <x v="0"/>
    <x v="7"/>
  </r>
  <r>
    <x v="60"/>
    <x v="73"/>
    <x v="85"/>
    <x v="1"/>
    <x v="29"/>
    <x v="73"/>
    <x v="73"/>
    <x v="72"/>
    <x v="72"/>
    <x v="0"/>
    <x v="328"/>
    <x v="340"/>
    <x v="305"/>
    <x v="283"/>
    <x v="49"/>
    <x v="314"/>
    <x v="17"/>
    <x v="2"/>
    <x v="90"/>
    <x v="5"/>
    <x v="3"/>
    <x v="165"/>
    <x v="272"/>
    <x v="0"/>
    <x v="0"/>
    <x v="7"/>
    <x v="2"/>
    <x v="29"/>
    <x v="0"/>
    <x v="0"/>
    <x v="0"/>
    <x v="29"/>
  </r>
  <r>
    <x v="60"/>
    <x v="74"/>
    <x v="86"/>
    <x v="1"/>
    <x v="29"/>
    <x v="74"/>
    <x v="74"/>
    <x v="73"/>
    <x v="73"/>
    <x v="0"/>
    <x v="329"/>
    <x v="341"/>
    <x v="306"/>
    <x v="284"/>
    <x v="15"/>
    <x v="315"/>
    <x v="15"/>
    <x v="2"/>
    <x v="14"/>
    <x v="3"/>
    <x v="3"/>
    <x v="15"/>
    <x v="15"/>
    <x v="0"/>
    <x v="0"/>
    <x v="5"/>
    <x v="2"/>
    <x v="29"/>
    <x v="0"/>
    <x v="0"/>
    <x v="0"/>
    <x v="29"/>
  </r>
  <r>
    <x v="60"/>
    <x v="71"/>
    <x v="87"/>
    <x v="1"/>
    <x v="9"/>
    <x v="75"/>
    <x v="75"/>
    <x v="74"/>
    <x v="74"/>
    <x v="0"/>
    <x v="330"/>
    <x v="342"/>
    <x v="276"/>
    <x v="285"/>
    <x v="47"/>
    <x v="316"/>
    <x v="15"/>
    <x v="2"/>
    <x v="14"/>
    <x v="3"/>
    <x v="3"/>
    <x v="15"/>
    <x v="15"/>
    <x v="0"/>
    <x v="0"/>
    <x v="5"/>
    <x v="2"/>
    <x v="9"/>
    <x v="1"/>
    <x v="3"/>
    <x v="2"/>
    <x v="9"/>
  </r>
  <r>
    <x v="60"/>
    <x v="75"/>
    <x v="88"/>
    <x v="1"/>
    <x v="9"/>
    <x v="76"/>
    <x v="76"/>
    <x v="75"/>
    <x v="75"/>
    <x v="0"/>
    <x v="331"/>
    <x v="343"/>
    <x v="307"/>
    <x v="217"/>
    <x v="73"/>
    <x v="317"/>
    <x v="8"/>
    <x v="2"/>
    <x v="14"/>
    <x v="3"/>
    <x v="3"/>
    <x v="27"/>
    <x v="273"/>
    <x v="0"/>
    <x v="0"/>
    <x v="5"/>
    <x v="2"/>
    <x v="9"/>
    <x v="1"/>
    <x v="3"/>
    <x v="2"/>
    <x v="9"/>
  </r>
  <r>
    <x v="60"/>
    <x v="76"/>
    <x v="89"/>
    <x v="1"/>
    <x v="9"/>
    <x v="77"/>
    <x v="77"/>
    <x v="76"/>
    <x v="76"/>
    <x v="0"/>
    <x v="332"/>
    <x v="344"/>
    <x v="308"/>
    <x v="286"/>
    <x v="76"/>
    <x v="318"/>
    <x v="15"/>
    <x v="2"/>
    <x v="14"/>
    <x v="3"/>
    <x v="3"/>
    <x v="15"/>
    <x v="15"/>
    <x v="0"/>
    <x v="0"/>
    <x v="5"/>
    <x v="2"/>
    <x v="9"/>
    <x v="1"/>
    <x v="3"/>
    <x v="2"/>
    <x v="9"/>
  </r>
  <r>
    <x v="61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5"/>
    <x v="42"/>
  </r>
  <r>
    <x v="61"/>
    <x v="68"/>
    <x v="79"/>
    <x v="0"/>
    <x v="43"/>
    <x v="67"/>
    <x v="67"/>
    <x v="66"/>
    <x v="66"/>
    <x v="0"/>
    <x v="333"/>
    <x v="345"/>
    <x v="309"/>
    <x v="76"/>
    <x v="77"/>
    <x v="319"/>
    <x v="23"/>
    <x v="2"/>
    <x v="14"/>
    <x v="3"/>
    <x v="3"/>
    <x v="83"/>
    <x v="274"/>
    <x v="0"/>
    <x v="0"/>
    <x v="5"/>
    <x v="2"/>
    <x v="43"/>
    <x v="0"/>
    <x v="12"/>
    <x v="5"/>
    <x v="43"/>
  </r>
  <r>
    <x v="61"/>
    <x v="69"/>
    <x v="80"/>
    <x v="0"/>
    <x v="44"/>
    <x v="68"/>
    <x v="68"/>
    <x v="67"/>
    <x v="67"/>
    <x v="0"/>
    <x v="334"/>
    <x v="346"/>
    <x v="310"/>
    <x v="287"/>
    <x v="0"/>
    <x v="320"/>
    <x v="40"/>
    <x v="1"/>
    <x v="13"/>
    <x v="6"/>
    <x v="23"/>
    <x v="121"/>
    <x v="20"/>
    <x v="0"/>
    <x v="0"/>
    <x v="2"/>
    <x v="2"/>
    <x v="44"/>
    <x v="0"/>
    <x v="13"/>
    <x v="5"/>
    <x v="44"/>
  </r>
  <r>
    <x v="61"/>
    <x v="70"/>
    <x v="81"/>
    <x v="0"/>
    <x v="45"/>
    <x v="69"/>
    <x v="69"/>
    <x v="68"/>
    <x v="68"/>
    <x v="0"/>
    <x v="335"/>
    <x v="347"/>
    <x v="311"/>
    <x v="248"/>
    <x v="28"/>
    <x v="201"/>
    <x v="28"/>
    <x v="0"/>
    <x v="38"/>
    <x v="10"/>
    <x v="4"/>
    <x v="117"/>
    <x v="16"/>
    <x v="0"/>
    <x v="0"/>
    <x v="4"/>
    <x v="5"/>
    <x v="45"/>
    <x v="0"/>
    <x v="13"/>
    <x v="5"/>
    <x v="45"/>
  </r>
  <r>
    <x v="61"/>
    <x v="71"/>
    <x v="83"/>
    <x v="1"/>
    <x v="29"/>
    <x v="71"/>
    <x v="71"/>
    <x v="70"/>
    <x v="70"/>
    <x v="0"/>
    <x v="336"/>
    <x v="348"/>
    <x v="312"/>
    <x v="288"/>
    <x v="68"/>
    <x v="321"/>
    <x v="18"/>
    <x v="2"/>
    <x v="24"/>
    <x v="3"/>
    <x v="3"/>
    <x v="27"/>
    <x v="275"/>
    <x v="0"/>
    <x v="0"/>
    <x v="1"/>
    <x v="2"/>
    <x v="29"/>
    <x v="0"/>
    <x v="0"/>
    <x v="0"/>
    <x v="29"/>
  </r>
  <r>
    <x v="61"/>
    <x v="73"/>
    <x v="85"/>
    <x v="1"/>
    <x v="29"/>
    <x v="73"/>
    <x v="73"/>
    <x v="72"/>
    <x v="72"/>
    <x v="0"/>
    <x v="337"/>
    <x v="349"/>
    <x v="313"/>
    <x v="289"/>
    <x v="78"/>
    <x v="322"/>
    <x v="71"/>
    <x v="2"/>
    <x v="2"/>
    <x v="0"/>
    <x v="3"/>
    <x v="69"/>
    <x v="276"/>
    <x v="0"/>
    <x v="0"/>
    <x v="4"/>
    <x v="2"/>
    <x v="29"/>
    <x v="0"/>
    <x v="0"/>
    <x v="0"/>
    <x v="29"/>
  </r>
  <r>
    <x v="61"/>
    <x v="74"/>
    <x v="86"/>
    <x v="1"/>
    <x v="29"/>
    <x v="74"/>
    <x v="74"/>
    <x v="73"/>
    <x v="73"/>
    <x v="0"/>
    <x v="338"/>
    <x v="350"/>
    <x v="314"/>
    <x v="290"/>
    <x v="46"/>
    <x v="323"/>
    <x v="8"/>
    <x v="2"/>
    <x v="14"/>
    <x v="3"/>
    <x v="3"/>
    <x v="27"/>
    <x v="277"/>
    <x v="0"/>
    <x v="0"/>
    <x v="5"/>
    <x v="2"/>
    <x v="29"/>
    <x v="0"/>
    <x v="0"/>
    <x v="0"/>
    <x v="29"/>
  </r>
  <r>
    <x v="61"/>
    <x v="71"/>
    <x v="87"/>
    <x v="1"/>
    <x v="9"/>
    <x v="75"/>
    <x v="75"/>
    <x v="74"/>
    <x v="74"/>
    <x v="0"/>
    <x v="339"/>
    <x v="351"/>
    <x v="315"/>
    <x v="291"/>
    <x v="56"/>
    <x v="324"/>
    <x v="15"/>
    <x v="2"/>
    <x v="14"/>
    <x v="3"/>
    <x v="3"/>
    <x v="15"/>
    <x v="15"/>
    <x v="0"/>
    <x v="0"/>
    <x v="5"/>
    <x v="2"/>
    <x v="9"/>
    <x v="1"/>
    <x v="3"/>
    <x v="2"/>
    <x v="9"/>
  </r>
  <r>
    <x v="61"/>
    <x v="75"/>
    <x v="88"/>
    <x v="1"/>
    <x v="9"/>
    <x v="76"/>
    <x v="76"/>
    <x v="75"/>
    <x v="75"/>
    <x v="0"/>
    <x v="340"/>
    <x v="352"/>
    <x v="316"/>
    <x v="268"/>
    <x v="60"/>
    <x v="325"/>
    <x v="18"/>
    <x v="2"/>
    <x v="24"/>
    <x v="3"/>
    <x v="2"/>
    <x v="70"/>
    <x v="278"/>
    <x v="0"/>
    <x v="0"/>
    <x v="2"/>
    <x v="5"/>
    <x v="9"/>
    <x v="1"/>
    <x v="3"/>
    <x v="2"/>
    <x v="9"/>
  </r>
  <r>
    <x v="61"/>
    <x v="76"/>
    <x v="89"/>
    <x v="1"/>
    <x v="9"/>
    <x v="77"/>
    <x v="77"/>
    <x v="76"/>
    <x v="76"/>
    <x v="0"/>
    <x v="341"/>
    <x v="353"/>
    <x v="131"/>
    <x v="292"/>
    <x v="64"/>
    <x v="326"/>
    <x v="15"/>
    <x v="2"/>
    <x v="14"/>
    <x v="3"/>
    <x v="3"/>
    <x v="15"/>
    <x v="15"/>
    <x v="0"/>
    <x v="0"/>
    <x v="5"/>
    <x v="2"/>
    <x v="9"/>
    <x v="1"/>
    <x v="3"/>
    <x v="2"/>
    <x v="9"/>
  </r>
  <r>
    <x v="61"/>
    <x v="77"/>
    <x v="90"/>
    <x v="0"/>
    <x v="46"/>
    <x v="78"/>
    <x v="78"/>
    <x v="77"/>
    <x v="77"/>
    <x v="0"/>
    <x v="342"/>
    <x v="354"/>
    <x v="317"/>
    <x v="187"/>
    <x v="8"/>
    <x v="327"/>
    <x v="43"/>
    <x v="1"/>
    <x v="90"/>
    <x v="3"/>
    <x v="1"/>
    <x v="148"/>
    <x v="279"/>
    <x v="5"/>
    <x v="7"/>
    <x v="4"/>
    <x v="2"/>
    <x v="46"/>
    <x v="0"/>
    <x v="14"/>
    <x v="5"/>
    <x v="46"/>
  </r>
  <r>
    <x v="62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6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62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5"/>
    <x v="42"/>
  </r>
  <r>
    <x v="62"/>
    <x v="69"/>
    <x v="80"/>
    <x v="0"/>
    <x v="44"/>
    <x v="68"/>
    <x v="68"/>
    <x v="67"/>
    <x v="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4"/>
    <x v="0"/>
    <x v="13"/>
    <x v="5"/>
    <x v="44"/>
  </r>
  <r>
    <x v="62"/>
    <x v="70"/>
    <x v="81"/>
    <x v="0"/>
    <x v="45"/>
    <x v="69"/>
    <x v="69"/>
    <x v="68"/>
    <x v="6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5"/>
    <x v="0"/>
    <x v="13"/>
    <x v="5"/>
    <x v="45"/>
  </r>
  <r>
    <x v="62"/>
    <x v="71"/>
    <x v="83"/>
    <x v="1"/>
    <x v="29"/>
    <x v="71"/>
    <x v="71"/>
    <x v="70"/>
    <x v="70"/>
    <x v="0"/>
    <x v="343"/>
    <x v="355"/>
    <x v="318"/>
    <x v="51"/>
    <x v="79"/>
    <x v="328"/>
    <x v="18"/>
    <x v="2"/>
    <x v="14"/>
    <x v="3"/>
    <x v="3"/>
    <x v="20"/>
    <x v="280"/>
    <x v="0"/>
    <x v="0"/>
    <x v="2"/>
    <x v="2"/>
    <x v="29"/>
    <x v="0"/>
    <x v="0"/>
    <x v="0"/>
    <x v="29"/>
  </r>
  <r>
    <x v="62"/>
    <x v="73"/>
    <x v="85"/>
    <x v="1"/>
    <x v="29"/>
    <x v="73"/>
    <x v="73"/>
    <x v="72"/>
    <x v="72"/>
    <x v="0"/>
    <x v="344"/>
    <x v="356"/>
    <x v="319"/>
    <x v="187"/>
    <x v="80"/>
    <x v="329"/>
    <x v="13"/>
    <x v="2"/>
    <x v="14"/>
    <x v="3"/>
    <x v="2"/>
    <x v="68"/>
    <x v="281"/>
    <x v="0"/>
    <x v="0"/>
    <x v="5"/>
    <x v="2"/>
    <x v="29"/>
    <x v="0"/>
    <x v="0"/>
    <x v="0"/>
    <x v="29"/>
  </r>
  <r>
    <x v="62"/>
    <x v="74"/>
    <x v="86"/>
    <x v="1"/>
    <x v="29"/>
    <x v="74"/>
    <x v="74"/>
    <x v="73"/>
    <x v="73"/>
    <x v="0"/>
    <x v="345"/>
    <x v="357"/>
    <x v="320"/>
    <x v="293"/>
    <x v="45"/>
    <x v="330"/>
    <x v="26"/>
    <x v="2"/>
    <x v="24"/>
    <x v="3"/>
    <x v="3"/>
    <x v="83"/>
    <x v="282"/>
    <x v="0"/>
    <x v="0"/>
    <x v="2"/>
    <x v="2"/>
    <x v="29"/>
    <x v="0"/>
    <x v="0"/>
    <x v="0"/>
    <x v="29"/>
  </r>
  <r>
    <x v="62"/>
    <x v="75"/>
    <x v="88"/>
    <x v="1"/>
    <x v="9"/>
    <x v="76"/>
    <x v="76"/>
    <x v="75"/>
    <x v="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62"/>
    <x v="77"/>
    <x v="90"/>
    <x v="0"/>
    <x v="46"/>
    <x v="78"/>
    <x v="78"/>
    <x v="77"/>
    <x v="77"/>
    <x v="0"/>
    <x v="346"/>
    <x v="358"/>
    <x v="321"/>
    <x v="294"/>
    <x v="8"/>
    <x v="331"/>
    <x v="149"/>
    <x v="3"/>
    <x v="84"/>
    <x v="3"/>
    <x v="8"/>
    <x v="192"/>
    <x v="0"/>
    <x v="6"/>
    <x v="8"/>
    <x v="13"/>
    <x v="12"/>
    <x v="46"/>
    <x v="0"/>
    <x v="14"/>
    <x v="5"/>
    <x v="46"/>
  </r>
  <r>
    <x v="63"/>
    <x v="77"/>
    <x v="90"/>
    <x v="0"/>
    <x v="46"/>
    <x v="78"/>
    <x v="78"/>
    <x v="77"/>
    <x v="77"/>
    <x v="0"/>
    <x v="347"/>
    <x v="359"/>
    <x v="322"/>
    <x v="295"/>
    <x v="8"/>
    <x v="332"/>
    <x v="39"/>
    <x v="1"/>
    <x v="53"/>
    <x v="5"/>
    <x v="6"/>
    <x v="193"/>
    <x v="183"/>
    <x v="7"/>
    <x v="9"/>
    <x v="10"/>
    <x v="12"/>
    <x v="46"/>
    <x v="0"/>
    <x v="14"/>
    <x v="5"/>
    <x v="46"/>
  </r>
  <r>
    <x v="63"/>
    <x v="78"/>
    <x v="91"/>
    <x v="0"/>
    <x v="47"/>
    <x v="79"/>
    <x v="79"/>
    <x v="78"/>
    <x v="78"/>
    <x v="0"/>
    <x v="348"/>
    <x v="360"/>
    <x v="323"/>
    <x v="294"/>
    <x v="2"/>
    <x v="333"/>
    <x v="57"/>
    <x v="2"/>
    <x v="109"/>
    <x v="7"/>
    <x v="6"/>
    <x v="194"/>
    <x v="283"/>
    <x v="0"/>
    <x v="0"/>
    <x v="1"/>
    <x v="1"/>
    <x v="31"/>
    <x v="0"/>
    <x v="14"/>
    <x v="5"/>
    <x v="47"/>
  </r>
  <r>
    <x v="64"/>
    <x v="77"/>
    <x v="90"/>
    <x v="0"/>
    <x v="46"/>
    <x v="78"/>
    <x v="78"/>
    <x v="77"/>
    <x v="77"/>
    <x v="0"/>
    <x v="349"/>
    <x v="361"/>
    <x v="324"/>
    <x v="180"/>
    <x v="8"/>
    <x v="334"/>
    <x v="19"/>
    <x v="1"/>
    <x v="29"/>
    <x v="3"/>
    <x v="0"/>
    <x v="195"/>
    <x v="284"/>
    <x v="8"/>
    <x v="10"/>
    <x v="1"/>
    <x v="5"/>
    <x v="46"/>
    <x v="0"/>
    <x v="14"/>
    <x v="5"/>
    <x v="46"/>
  </r>
  <r>
    <x v="64"/>
    <x v="78"/>
    <x v="91"/>
    <x v="0"/>
    <x v="47"/>
    <x v="79"/>
    <x v="79"/>
    <x v="78"/>
    <x v="78"/>
    <x v="0"/>
    <x v="350"/>
    <x v="362"/>
    <x v="325"/>
    <x v="296"/>
    <x v="42"/>
    <x v="259"/>
    <x v="137"/>
    <x v="2"/>
    <x v="110"/>
    <x v="15"/>
    <x v="7"/>
    <x v="196"/>
    <x v="12"/>
    <x v="0"/>
    <x v="0"/>
    <x v="10"/>
    <x v="26"/>
    <x v="31"/>
    <x v="0"/>
    <x v="14"/>
    <x v="5"/>
    <x v="47"/>
  </r>
  <r>
    <x v="64"/>
    <x v="79"/>
    <x v="92"/>
    <x v="0"/>
    <x v="48"/>
    <x v="80"/>
    <x v="80"/>
    <x v="79"/>
    <x v="79"/>
    <x v="0"/>
    <x v="351"/>
    <x v="363"/>
    <x v="326"/>
    <x v="297"/>
    <x v="37"/>
    <x v="335"/>
    <x v="28"/>
    <x v="11"/>
    <x v="85"/>
    <x v="9"/>
    <x v="12"/>
    <x v="197"/>
    <x v="285"/>
    <x v="0"/>
    <x v="0"/>
    <x v="7"/>
    <x v="5"/>
    <x v="47"/>
    <x v="0"/>
    <x v="14"/>
    <x v="5"/>
    <x v="48"/>
  </r>
  <r>
    <x v="65"/>
    <x v="77"/>
    <x v="90"/>
    <x v="0"/>
    <x v="46"/>
    <x v="78"/>
    <x v="78"/>
    <x v="77"/>
    <x v="77"/>
    <x v="0"/>
    <x v="352"/>
    <x v="364"/>
    <x v="327"/>
    <x v="154"/>
    <x v="12"/>
    <x v="336"/>
    <x v="150"/>
    <x v="7"/>
    <x v="36"/>
    <x v="5"/>
    <x v="23"/>
    <x v="16"/>
    <x v="286"/>
    <x v="9"/>
    <x v="11"/>
    <x v="4"/>
    <x v="5"/>
    <x v="46"/>
    <x v="0"/>
    <x v="14"/>
    <x v="5"/>
    <x v="46"/>
  </r>
  <r>
    <x v="65"/>
    <x v="78"/>
    <x v="91"/>
    <x v="0"/>
    <x v="47"/>
    <x v="79"/>
    <x v="79"/>
    <x v="78"/>
    <x v="78"/>
    <x v="0"/>
    <x v="353"/>
    <x v="365"/>
    <x v="328"/>
    <x v="298"/>
    <x v="58"/>
    <x v="337"/>
    <x v="151"/>
    <x v="7"/>
    <x v="111"/>
    <x v="43"/>
    <x v="6"/>
    <x v="198"/>
    <x v="287"/>
    <x v="0"/>
    <x v="0"/>
    <x v="1"/>
    <x v="12"/>
    <x v="31"/>
    <x v="0"/>
    <x v="14"/>
    <x v="5"/>
    <x v="47"/>
  </r>
  <r>
    <x v="65"/>
    <x v="79"/>
    <x v="92"/>
    <x v="0"/>
    <x v="48"/>
    <x v="80"/>
    <x v="80"/>
    <x v="79"/>
    <x v="79"/>
    <x v="0"/>
    <x v="354"/>
    <x v="366"/>
    <x v="329"/>
    <x v="53"/>
    <x v="8"/>
    <x v="338"/>
    <x v="106"/>
    <x v="0"/>
    <x v="23"/>
    <x v="10"/>
    <x v="4"/>
    <x v="131"/>
    <x v="45"/>
    <x v="0"/>
    <x v="0"/>
    <x v="5"/>
    <x v="2"/>
    <x v="47"/>
    <x v="0"/>
    <x v="14"/>
    <x v="5"/>
    <x v="48"/>
  </r>
  <r>
    <x v="66"/>
    <x v="77"/>
    <x v="90"/>
    <x v="0"/>
    <x v="46"/>
    <x v="78"/>
    <x v="78"/>
    <x v="77"/>
    <x v="77"/>
    <x v="0"/>
    <x v="355"/>
    <x v="367"/>
    <x v="330"/>
    <x v="299"/>
    <x v="32"/>
    <x v="339"/>
    <x v="152"/>
    <x v="0"/>
    <x v="85"/>
    <x v="11"/>
    <x v="0"/>
    <x v="105"/>
    <x v="288"/>
    <x v="10"/>
    <x v="12"/>
    <x v="7"/>
    <x v="6"/>
    <x v="46"/>
    <x v="0"/>
    <x v="14"/>
    <x v="5"/>
    <x v="46"/>
  </r>
  <r>
    <x v="66"/>
    <x v="78"/>
    <x v="91"/>
    <x v="0"/>
    <x v="47"/>
    <x v="79"/>
    <x v="79"/>
    <x v="78"/>
    <x v="78"/>
    <x v="0"/>
    <x v="356"/>
    <x v="368"/>
    <x v="331"/>
    <x v="300"/>
    <x v="8"/>
    <x v="340"/>
    <x v="153"/>
    <x v="0"/>
    <x v="112"/>
    <x v="45"/>
    <x v="24"/>
    <x v="199"/>
    <x v="11"/>
    <x v="0"/>
    <x v="0"/>
    <x v="3"/>
    <x v="12"/>
    <x v="31"/>
    <x v="0"/>
    <x v="14"/>
    <x v="5"/>
    <x v="47"/>
  </r>
  <r>
    <x v="66"/>
    <x v="79"/>
    <x v="92"/>
    <x v="0"/>
    <x v="48"/>
    <x v="80"/>
    <x v="80"/>
    <x v="79"/>
    <x v="79"/>
    <x v="0"/>
    <x v="357"/>
    <x v="369"/>
    <x v="234"/>
    <x v="301"/>
    <x v="12"/>
    <x v="341"/>
    <x v="100"/>
    <x v="7"/>
    <x v="1"/>
    <x v="8"/>
    <x v="0"/>
    <x v="200"/>
    <x v="289"/>
    <x v="0"/>
    <x v="0"/>
    <x v="4"/>
    <x v="6"/>
    <x v="47"/>
    <x v="0"/>
    <x v="14"/>
    <x v="5"/>
    <x v="48"/>
  </r>
  <r>
    <x v="67"/>
    <x v="77"/>
    <x v="90"/>
    <x v="0"/>
    <x v="46"/>
    <x v="78"/>
    <x v="78"/>
    <x v="77"/>
    <x v="77"/>
    <x v="0"/>
    <x v="358"/>
    <x v="370"/>
    <x v="332"/>
    <x v="302"/>
    <x v="8"/>
    <x v="342"/>
    <x v="152"/>
    <x v="0"/>
    <x v="5"/>
    <x v="5"/>
    <x v="0"/>
    <x v="201"/>
    <x v="76"/>
    <x v="11"/>
    <x v="13"/>
    <x v="12"/>
    <x v="37"/>
    <x v="46"/>
    <x v="0"/>
    <x v="14"/>
    <x v="5"/>
    <x v="46"/>
  </r>
  <r>
    <x v="67"/>
    <x v="78"/>
    <x v="91"/>
    <x v="0"/>
    <x v="47"/>
    <x v="79"/>
    <x v="79"/>
    <x v="78"/>
    <x v="78"/>
    <x v="0"/>
    <x v="359"/>
    <x v="371"/>
    <x v="333"/>
    <x v="303"/>
    <x v="7"/>
    <x v="343"/>
    <x v="154"/>
    <x v="7"/>
    <x v="66"/>
    <x v="53"/>
    <x v="9"/>
    <x v="202"/>
    <x v="290"/>
    <x v="0"/>
    <x v="0"/>
    <x v="10"/>
    <x v="13"/>
    <x v="31"/>
    <x v="0"/>
    <x v="14"/>
    <x v="5"/>
    <x v="47"/>
  </r>
  <r>
    <x v="67"/>
    <x v="79"/>
    <x v="92"/>
    <x v="0"/>
    <x v="48"/>
    <x v="80"/>
    <x v="80"/>
    <x v="79"/>
    <x v="79"/>
    <x v="0"/>
    <x v="360"/>
    <x v="372"/>
    <x v="334"/>
    <x v="304"/>
    <x v="12"/>
    <x v="344"/>
    <x v="139"/>
    <x v="3"/>
    <x v="10"/>
    <x v="51"/>
    <x v="7"/>
    <x v="3"/>
    <x v="291"/>
    <x v="0"/>
    <x v="0"/>
    <x v="2"/>
    <x v="5"/>
    <x v="47"/>
    <x v="0"/>
    <x v="14"/>
    <x v="5"/>
    <x v="48"/>
  </r>
  <r>
    <x v="68"/>
    <x v="77"/>
    <x v="90"/>
    <x v="0"/>
    <x v="46"/>
    <x v="78"/>
    <x v="78"/>
    <x v="77"/>
    <x v="77"/>
    <x v="0"/>
    <x v="361"/>
    <x v="373"/>
    <x v="335"/>
    <x v="267"/>
    <x v="7"/>
    <x v="345"/>
    <x v="33"/>
    <x v="0"/>
    <x v="84"/>
    <x v="3"/>
    <x v="0"/>
    <x v="203"/>
    <x v="292"/>
    <x v="11"/>
    <x v="14"/>
    <x v="2"/>
    <x v="10"/>
    <x v="46"/>
    <x v="0"/>
    <x v="14"/>
    <x v="5"/>
    <x v="46"/>
  </r>
  <r>
    <x v="68"/>
    <x v="78"/>
    <x v="91"/>
    <x v="0"/>
    <x v="47"/>
    <x v="79"/>
    <x v="79"/>
    <x v="78"/>
    <x v="78"/>
    <x v="0"/>
    <x v="362"/>
    <x v="374"/>
    <x v="336"/>
    <x v="305"/>
    <x v="53"/>
    <x v="240"/>
    <x v="155"/>
    <x v="3"/>
    <x v="113"/>
    <x v="29"/>
    <x v="7"/>
    <x v="204"/>
    <x v="69"/>
    <x v="0"/>
    <x v="0"/>
    <x v="0"/>
    <x v="25"/>
    <x v="31"/>
    <x v="0"/>
    <x v="14"/>
    <x v="5"/>
    <x v="47"/>
  </r>
  <r>
    <x v="68"/>
    <x v="79"/>
    <x v="92"/>
    <x v="0"/>
    <x v="48"/>
    <x v="80"/>
    <x v="80"/>
    <x v="79"/>
    <x v="79"/>
    <x v="0"/>
    <x v="363"/>
    <x v="375"/>
    <x v="140"/>
    <x v="306"/>
    <x v="0"/>
    <x v="346"/>
    <x v="15"/>
    <x v="2"/>
    <x v="14"/>
    <x v="3"/>
    <x v="3"/>
    <x v="15"/>
    <x v="15"/>
    <x v="0"/>
    <x v="0"/>
    <x v="5"/>
    <x v="2"/>
    <x v="47"/>
    <x v="0"/>
    <x v="14"/>
    <x v="5"/>
    <x v="48"/>
  </r>
  <r>
    <x v="68"/>
    <x v="80"/>
    <x v="93"/>
    <x v="0"/>
    <x v="49"/>
    <x v="81"/>
    <x v="81"/>
    <x v="80"/>
    <x v="80"/>
    <x v="0"/>
    <x v="364"/>
    <x v="376"/>
    <x v="337"/>
    <x v="307"/>
    <x v="0"/>
    <x v="347"/>
    <x v="32"/>
    <x v="3"/>
    <x v="21"/>
    <x v="11"/>
    <x v="4"/>
    <x v="74"/>
    <x v="293"/>
    <x v="0"/>
    <x v="0"/>
    <x v="12"/>
    <x v="11"/>
    <x v="6"/>
    <x v="0"/>
    <x v="13"/>
    <x v="5"/>
    <x v="49"/>
  </r>
  <r>
    <x v="69"/>
    <x v="70"/>
    <x v="81"/>
    <x v="0"/>
    <x v="45"/>
    <x v="69"/>
    <x v="69"/>
    <x v="68"/>
    <x v="6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5"/>
    <x v="0"/>
    <x v="13"/>
    <x v="5"/>
    <x v="45"/>
  </r>
  <r>
    <x v="69"/>
    <x v="77"/>
    <x v="90"/>
    <x v="0"/>
    <x v="46"/>
    <x v="78"/>
    <x v="78"/>
    <x v="77"/>
    <x v="77"/>
    <x v="0"/>
    <x v="365"/>
    <x v="377"/>
    <x v="94"/>
    <x v="308"/>
    <x v="41"/>
    <x v="348"/>
    <x v="15"/>
    <x v="2"/>
    <x v="24"/>
    <x v="3"/>
    <x v="3"/>
    <x v="20"/>
    <x v="294"/>
    <x v="2"/>
    <x v="15"/>
    <x v="5"/>
    <x v="2"/>
    <x v="46"/>
    <x v="0"/>
    <x v="14"/>
    <x v="5"/>
    <x v="46"/>
  </r>
  <r>
    <x v="69"/>
    <x v="78"/>
    <x v="91"/>
    <x v="0"/>
    <x v="47"/>
    <x v="79"/>
    <x v="79"/>
    <x v="78"/>
    <x v="78"/>
    <x v="0"/>
    <x v="366"/>
    <x v="378"/>
    <x v="100"/>
    <x v="176"/>
    <x v="37"/>
    <x v="349"/>
    <x v="7"/>
    <x v="2"/>
    <x v="8"/>
    <x v="5"/>
    <x v="3"/>
    <x v="56"/>
    <x v="295"/>
    <x v="0"/>
    <x v="0"/>
    <x v="5"/>
    <x v="2"/>
    <x v="31"/>
    <x v="0"/>
    <x v="14"/>
    <x v="5"/>
    <x v="47"/>
  </r>
  <r>
    <x v="69"/>
    <x v="79"/>
    <x v="92"/>
    <x v="0"/>
    <x v="48"/>
    <x v="80"/>
    <x v="80"/>
    <x v="79"/>
    <x v="79"/>
    <x v="0"/>
    <x v="367"/>
    <x v="379"/>
    <x v="338"/>
    <x v="309"/>
    <x v="35"/>
    <x v="350"/>
    <x v="87"/>
    <x v="3"/>
    <x v="39"/>
    <x v="8"/>
    <x v="1"/>
    <x v="65"/>
    <x v="296"/>
    <x v="0"/>
    <x v="0"/>
    <x v="2"/>
    <x v="11"/>
    <x v="47"/>
    <x v="0"/>
    <x v="14"/>
    <x v="5"/>
    <x v="48"/>
  </r>
  <r>
    <x v="69"/>
    <x v="80"/>
    <x v="93"/>
    <x v="0"/>
    <x v="49"/>
    <x v="81"/>
    <x v="81"/>
    <x v="80"/>
    <x v="80"/>
    <x v="0"/>
    <x v="368"/>
    <x v="380"/>
    <x v="339"/>
    <x v="310"/>
    <x v="2"/>
    <x v="351"/>
    <x v="120"/>
    <x v="0"/>
    <x v="37"/>
    <x v="12"/>
    <x v="0"/>
    <x v="49"/>
    <x v="195"/>
    <x v="0"/>
    <x v="0"/>
    <x v="11"/>
    <x v="11"/>
    <x v="6"/>
    <x v="0"/>
    <x v="13"/>
    <x v="5"/>
    <x v="49"/>
  </r>
  <r>
    <x v="69"/>
    <x v="81"/>
    <x v="94"/>
    <x v="0"/>
    <x v="50"/>
    <x v="82"/>
    <x v="82"/>
    <x v="81"/>
    <x v="81"/>
    <x v="0"/>
    <x v="369"/>
    <x v="381"/>
    <x v="340"/>
    <x v="311"/>
    <x v="50"/>
    <x v="352"/>
    <x v="112"/>
    <x v="1"/>
    <x v="87"/>
    <x v="5"/>
    <x v="1"/>
    <x v="64"/>
    <x v="297"/>
    <x v="12"/>
    <x v="16"/>
    <x v="1"/>
    <x v="12"/>
    <x v="48"/>
    <x v="0"/>
    <x v="14"/>
    <x v="5"/>
    <x v="50"/>
  </r>
  <r>
    <x v="70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70"/>
    <x v="78"/>
    <x v="91"/>
    <x v="0"/>
    <x v="47"/>
    <x v="79"/>
    <x v="79"/>
    <x v="78"/>
    <x v="78"/>
    <x v="0"/>
    <x v="370"/>
    <x v="382"/>
    <x v="341"/>
    <x v="296"/>
    <x v="7"/>
    <x v="340"/>
    <x v="156"/>
    <x v="7"/>
    <x v="114"/>
    <x v="54"/>
    <x v="0"/>
    <x v="73"/>
    <x v="298"/>
    <x v="0"/>
    <x v="0"/>
    <x v="7"/>
    <x v="11"/>
    <x v="31"/>
    <x v="0"/>
    <x v="14"/>
    <x v="5"/>
    <x v="47"/>
  </r>
  <r>
    <x v="70"/>
    <x v="79"/>
    <x v="92"/>
    <x v="0"/>
    <x v="48"/>
    <x v="80"/>
    <x v="80"/>
    <x v="79"/>
    <x v="79"/>
    <x v="0"/>
    <x v="371"/>
    <x v="383"/>
    <x v="342"/>
    <x v="312"/>
    <x v="3"/>
    <x v="353"/>
    <x v="18"/>
    <x v="2"/>
    <x v="14"/>
    <x v="5"/>
    <x v="3"/>
    <x v="27"/>
    <x v="297"/>
    <x v="0"/>
    <x v="0"/>
    <x v="5"/>
    <x v="2"/>
    <x v="47"/>
    <x v="0"/>
    <x v="14"/>
    <x v="5"/>
    <x v="48"/>
  </r>
  <r>
    <x v="70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5"/>
    <x v="49"/>
  </r>
  <r>
    <x v="70"/>
    <x v="81"/>
    <x v="94"/>
    <x v="0"/>
    <x v="50"/>
    <x v="82"/>
    <x v="82"/>
    <x v="81"/>
    <x v="81"/>
    <x v="0"/>
    <x v="372"/>
    <x v="384"/>
    <x v="304"/>
    <x v="313"/>
    <x v="10"/>
    <x v="354"/>
    <x v="23"/>
    <x v="2"/>
    <x v="24"/>
    <x v="3"/>
    <x v="3"/>
    <x v="75"/>
    <x v="11"/>
    <x v="13"/>
    <x v="17"/>
    <x v="5"/>
    <x v="2"/>
    <x v="48"/>
    <x v="0"/>
    <x v="14"/>
    <x v="5"/>
    <x v="50"/>
  </r>
  <r>
    <x v="70"/>
    <x v="82"/>
    <x v="95"/>
    <x v="0"/>
    <x v="51"/>
    <x v="83"/>
    <x v="83"/>
    <x v="82"/>
    <x v="82"/>
    <x v="0"/>
    <x v="373"/>
    <x v="385"/>
    <x v="343"/>
    <x v="314"/>
    <x v="81"/>
    <x v="60"/>
    <x v="46"/>
    <x v="7"/>
    <x v="7"/>
    <x v="3"/>
    <x v="1"/>
    <x v="149"/>
    <x v="299"/>
    <x v="8"/>
    <x v="18"/>
    <x v="7"/>
    <x v="13"/>
    <x v="49"/>
    <x v="0"/>
    <x v="14"/>
    <x v="5"/>
    <x v="51"/>
  </r>
  <r>
    <x v="70"/>
    <x v="82"/>
    <x v="96"/>
    <x v="1"/>
    <x v="46"/>
    <x v="84"/>
    <x v="84"/>
    <x v="83"/>
    <x v="83"/>
    <x v="0"/>
    <x v="374"/>
    <x v="386"/>
    <x v="344"/>
    <x v="227"/>
    <x v="29"/>
    <x v="355"/>
    <x v="17"/>
    <x v="2"/>
    <x v="8"/>
    <x v="11"/>
    <x v="3"/>
    <x v="51"/>
    <x v="300"/>
    <x v="14"/>
    <x v="19"/>
    <x v="7"/>
    <x v="5"/>
    <x v="46"/>
    <x v="0"/>
    <x v="14"/>
    <x v="5"/>
    <x v="46"/>
  </r>
  <r>
    <x v="71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  <x v="0"/>
    <x v="6"/>
    <x v="4"/>
    <x v="41"/>
  </r>
  <r>
    <x v="71"/>
    <x v="69"/>
    <x v="80"/>
    <x v="0"/>
    <x v="44"/>
    <x v="68"/>
    <x v="68"/>
    <x v="67"/>
    <x v="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4"/>
    <x v="0"/>
    <x v="13"/>
    <x v="5"/>
    <x v="44"/>
  </r>
  <r>
    <x v="71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71"/>
    <x v="78"/>
    <x v="91"/>
    <x v="0"/>
    <x v="47"/>
    <x v="79"/>
    <x v="79"/>
    <x v="78"/>
    <x v="78"/>
    <x v="0"/>
    <x v="375"/>
    <x v="387"/>
    <x v="345"/>
    <x v="315"/>
    <x v="81"/>
    <x v="290"/>
    <x v="157"/>
    <x v="7"/>
    <x v="115"/>
    <x v="55"/>
    <x v="1"/>
    <x v="205"/>
    <x v="125"/>
    <x v="0"/>
    <x v="0"/>
    <x v="4"/>
    <x v="3"/>
    <x v="31"/>
    <x v="0"/>
    <x v="14"/>
    <x v="5"/>
    <x v="47"/>
  </r>
  <r>
    <x v="71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71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5"/>
    <x v="49"/>
  </r>
  <r>
    <x v="71"/>
    <x v="82"/>
    <x v="95"/>
    <x v="0"/>
    <x v="51"/>
    <x v="83"/>
    <x v="83"/>
    <x v="82"/>
    <x v="82"/>
    <x v="0"/>
    <x v="376"/>
    <x v="388"/>
    <x v="248"/>
    <x v="316"/>
    <x v="52"/>
    <x v="356"/>
    <x v="18"/>
    <x v="2"/>
    <x v="14"/>
    <x v="3"/>
    <x v="3"/>
    <x v="20"/>
    <x v="166"/>
    <x v="2"/>
    <x v="20"/>
    <x v="5"/>
    <x v="2"/>
    <x v="49"/>
    <x v="0"/>
    <x v="14"/>
    <x v="5"/>
    <x v="51"/>
  </r>
  <r>
    <x v="71"/>
    <x v="82"/>
    <x v="96"/>
    <x v="1"/>
    <x v="46"/>
    <x v="84"/>
    <x v="84"/>
    <x v="83"/>
    <x v="8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71"/>
    <x v="83"/>
    <x v="97"/>
    <x v="0"/>
    <x v="52"/>
    <x v="85"/>
    <x v="85"/>
    <x v="84"/>
    <x v="84"/>
    <x v="0"/>
    <x v="377"/>
    <x v="389"/>
    <x v="346"/>
    <x v="317"/>
    <x v="55"/>
    <x v="357"/>
    <x v="112"/>
    <x v="7"/>
    <x v="45"/>
    <x v="5"/>
    <x v="4"/>
    <x v="36"/>
    <x v="301"/>
    <x v="15"/>
    <x v="21"/>
    <x v="5"/>
    <x v="5"/>
    <x v="50"/>
    <x v="0"/>
    <x v="14"/>
    <x v="5"/>
    <x v="52"/>
  </r>
  <r>
    <x v="72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72"/>
    <x v="78"/>
    <x v="91"/>
    <x v="0"/>
    <x v="47"/>
    <x v="79"/>
    <x v="79"/>
    <x v="78"/>
    <x v="78"/>
    <x v="0"/>
    <x v="378"/>
    <x v="390"/>
    <x v="347"/>
    <x v="158"/>
    <x v="30"/>
    <x v="358"/>
    <x v="158"/>
    <x v="0"/>
    <x v="116"/>
    <x v="2"/>
    <x v="0"/>
    <x v="206"/>
    <x v="302"/>
    <x v="0"/>
    <x v="0"/>
    <x v="4"/>
    <x v="2"/>
    <x v="31"/>
    <x v="0"/>
    <x v="14"/>
    <x v="5"/>
    <x v="47"/>
  </r>
  <r>
    <x v="72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72"/>
    <x v="81"/>
    <x v="94"/>
    <x v="0"/>
    <x v="50"/>
    <x v="82"/>
    <x v="82"/>
    <x v="81"/>
    <x v="8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8"/>
    <x v="0"/>
    <x v="14"/>
    <x v="5"/>
    <x v="50"/>
  </r>
  <r>
    <x v="72"/>
    <x v="83"/>
    <x v="97"/>
    <x v="0"/>
    <x v="52"/>
    <x v="85"/>
    <x v="85"/>
    <x v="84"/>
    <x v="84"/>
    <x v="0"/>
    <x v="379"/>
    <x v="391"/>
    <x v="348"/>
    <x v="318"/>
    <x v="26"/>
    <x v="359"/>
    <x v="62"/>
    <x v="1"/>
    <x v="91"/>
    <x v="3"/>
    <x v="0"/>
    <x v="36"/>
    <x v="303"/>
    <x v="16"/>
    <x v="22"/>
    <x v="5"/>
    <x v="12"/>
    <x v="50"/>
    <x v="0"/>
    <x v="14"/>
    <x v="5"/>
    <x v="52"/>
  </r>
  <r>
    <x v="72"/>
    <x v="84"/>
    <x v="98"/>
    <x v="0"/>
    <x v="51"/>
    <x v="86"/>
    <x v="86"/>
    <x v="85"/>
    <x v="85"/>
    <x v="0"/>
    <x v="380"/>
    <x v="392"/>
    <x v="349"/>
    <x v="319"/>
    <x v="37"/>
    <x v="214"/>
    <x v="15"/>
    <x v="2"/>
    <x v="14"/>
    <x v="3"/>
    <x v="3"/>
    <x v="15"/>
    <x v="15"/>
    <x v="0"/>
    <x v="0"/>
    <x v="2"/>
    <x v="2"/>
    <x v="49"/>
    <x v="0"/>
    <x v="14"/>
    <x v="5"/>
    <x v="51"/>
  </r>
  <r>
    <x v="73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73"/>
    <x v="78"/>
    <x v="91"/>
    <x v="0"/>
    <x v="47"/>
    <x v="79"/>
    <x v="79"/>
    <x v="78"/>
    <x v="78"/>
    <x v="0"/>
    <x v="381"/>
    <x v="393"/>
    <x v="350"/>
    <x v="320"/>
    <x v="32"/>
    <x v="360"/>
    <x v="44"/>
    <x v="0"/>
    <x v="107"/>
    <x v="17"/>
    <x v="23"/>
    <x v="207"/>
    <x v="302"/>
    <x v="0"/>
    <x v="0"/>
    <x v="5"/>
    <x v="6"/>
    <x v="31"/>
    <x v="0"/>
    <x v="14"/>
    <x v="5"/>
    <x v="47"/>
  </r>
  <r>
    <x v="73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73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5"/>
    <x v="49"/>
  </r>
  <r>
    <x v="73"/>
    <x v="83"/>
    <x v="97"/>
    <x v="0"/>
    <x v="52"/>
    <x v="85"/>
    <x v="85"/>
    <x v="84"/>
    <x v="84"/>
    <x v="0"/>
    <x v="382"/>
    <x v="394"/>
    <x v="351"/>
    <x v="10"/>
    <x v="55"/>
    <x v="361"/>
    <x v="159"/>
    <x v="2"/>
    <x v="55"/>
    <x v="5"/>
    <x v="4"/>
    <x v="179"/>
    <x v="304"/>
    <x v="17"/>
    <x v="23"/>
    <x v="1"/>
    <x v="5"/>
    <x v="50"/>
    <x v="0"/>
    <x v="14"/>
    <x v="5"/>
    <x v="52"/>
  </r>
  <r>
    <x v="73"/>
    <x v="84"/>
    <x v="98"/>
    <x v="0"/>
    <x v="51"/>
    <x v="86"/>
    <x v="86"/>
    <x v="85"/>
    <x v="85"/>
    <x v="0"/>
    <x v="383"/>
    <x v="395"/>
    <x v="352"/>
    <x v="321"/>
    <x v="82"/>
    <x v="362"/>
    <x v="7"/>
    <x v="2"/>
    <x v="19"/>
    <x v="5"/>
    <x v="1"/>
    <x v="56"/>
    <x v="305"/>
    <x v="13"/>
    <x v="24"/>
    <x v="2"/>
    <x v="2"/>
    <x v="49"/>
    <x v="0"/>
    <x v="14"/>
    <x v="5"/>
    <x v="51"/>
  </r>
  <r>
    <x v="74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74"/>
    <x v="78"/>
    <x v="91"/>
    <x v="0"/>
    <x v="47"/>
    <x v="79"/>
    <x v="79"/>
    <x v="78"/>
    <x v="78"/>
    <x v="0"/>
    <x v="384"/>
    <x v="396"/>
    <x v="353"/>
    <x v="322"/>
    <x v="8"/>
    <x v="239"/>
    <x v="160"/>
    <x v="10"/>
    <x v="117"/>
    <x v="10"/>
    <x v="2"/>
    <x v="152"/>
    <x v="306"/>
    <x v="0"/>
    <x v="0"/>
    <x v="2"/>
    <x v="5"/>
    <x v="31"/>
    <x v="0"/>
    <x v="14"/>
    <x v="5"/>
    <x v="47"/>
  </r>
  <r>
    <x v="74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5"/>
    <x v="49"/>
  </r>
  <r>
    <x v="74"/>
    <x v="83"/>
    <x v="97"/>
    <x v="0"/>
    <x v="52"/>
    <x v="85"/>
    <x v="85"/>
    <x v="84"/>
    <x v="84"/>
    <x v="0"/>
    <x v="385"/>
    <x v="397"/>
    <x v="354"/>
    <x v="35"/>
    <x v="32"/>
    <x v="363"/>
    <x v="18"/>
    <x v="2"/>
    <x v="14"/>
    <x v="3"/>
    <x v="3"/>
    <x v="20"/>
    <x v="307"/>
    <x v="0"/>
    <x v="0"/>
    <x v="5"/>
    <x v="2"/>
    <x v="50"/>
    <x v="0"/>
    <x v="14"/>
    <x v="5"/>
    <x v="52"/>
  </r>
  <r>
    <x v="74"/>
    <x v="84"/>
    <x v="98"/>
    <x v="0"/>
    <x v="51"/>
    <x v="86"/>
    <x v="86"/>
    <x v="85"/>
    <x v="85"/>
    <x v="0"/>
    <x v="386"/>
    <x v="398"/>
    <x v="355"/>
    <x v="41"/>
    <x v="74"/>
    <x v="364"/>
    <x v="15"/>
    <x v="2"/>
    <x v="24"/>
    <x v="3"/>
    <x v="3"/>
    <x v="20"/>
    <x v="308"/>
    <x v="0"/>
    <x v="0"/>
    <x v="5"/>
    <x v="2"/>
    <x v="49"/>
    <x v="0"/>
    <x v="14"/>
    <x v="5"/>
    <x v="51"/>
  </r>
  <r>
    <x v="74"/>
    <x v="85"/>
    <x v="99"/>
    <x v="0"/>
    <x v="53"/>
    <x v="87"/>
    <x v="87"/>
    <x v="86"/>
    <x v="86"/>
    <x v="0"/>
    <x v="387"/>
    <x v="399"/>
    <x v="356"/>
    <x v="323"/>
    <x v="3"/>
    <x v="183"/>
    <x v="161"/>
    <x v="1"/>
    <x v="7"/>
    <x v="5"/>
    <x v="2"/>
    <x v="208"/>
    <x v="309"/>
    <x v="14"/>
    <x v="25"/>
    <x v="4"/>
    <x v="6"/>
    <x v="51"/>
    <x v="0"/>
    <x v="14"/>
    <x v="5"/>
    <x v="53"/>
  </r>
  <r>
    <x v="74"/>
    <x v="85"/>
    <x v="100"/>
    <x v="0"/>
    <x v="54"/>
    <x v="88"/>
    <x v="88"/>
    <x v="87"/>
    <x v="87"/>
    <x v="0"/>
    <x v="388"/>
    <x v="400"/>
    <x v="357"/>
    <x v="222"/>
    <x v="81"/>
    <x v="285"/>
    <x v="162"/>
    <x v="2"/>
    <x v="0"/>
    <x v="3"/>
    <x v="29"/>
    <x v="209"/>
    <x v="7"/>
    <x v="16"/>
    <x v="26"/>
    <x v="23"/>
    <x v="23"/>
    <x v="52"/>
    <x v="0"/>
    <x v="15"/>
    <x v="5"/>
    <x v="54"/>
  </r>
  <r>
    <x v="75"/>
    <x v="78"/>
    <x v="91"/>
    <x v="0"/>
    <x v="47"/>
    <x v="79"/>
    <x v="79"/>
    <x v="78"/>
    <x v="78"/>
    <x v="0"/>
    <x v="389"/>
    <x v="401"/>
    <x v="358"/>
    <x v="82"/>
    <x v="81"/>
    <x v="365"/>
    <x v="163"/>
    <x v="10"/>
    <x v="118"/>
    <x v="20"/>
    <x v="27"/>
    <x v="210"/>
    <x v="267"/>
    <x v="0"/>
    <x v="0"/>
    <x v="1"/>
    <x v="11"/>
    <x v="31"/>
    <x v="0"/>
    <x v="14"/>
    <x v="5"/>
    <x v="47"/>
  </r>
  <r>
    <x v="75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75"/>
    <x v="83"/>
    <x v="97"/>
    <x v="0"/>
    <x v="52"/>
    <x v="85"/>
    <x v="85"/>
    <x v="84"/>
    <x v="8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0"/>
    <x v="0"/>
    <x v="14"/>
    <x v="5"/>
    <x v="52"/>
  </r>
  <r>
    <x v="75"/>
    <x v="84"/>
    <x v="98"/>
    <x v="0"/>
    <x v="51"/>
    <x v="86"/>
    <x v="86"/>
    <x v="85"/>
    <x v="8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9"/>
    <x v="0"/>
    <x v="14"/>
    <x v="5"/>
    <x v="51"/>
  </r>
  <r>
    <x v="75"/>
    <x v="85"/>
    <x v="99"/>
    <x v="0"/>
    <x v="53"/>
    <x v="87"/>
    <x v="87"/>
    <x v="86"/>
    <x v="86"/>
    <x v="0"/>
    <x v="390"/>
    <x v="402"/>
    <x v="359"/>
    <x v="82"/>
    <x v="51"/>
    <x v="366"/>
    <x v="18"/>
    <x v="2"/>
    <x v="50"/>
    <x v="3"/>
    <x v="2"/>
    <x v="83"/>
    <x v="34"/>
    <x v="0"/>
    <x v="0"/>
    <x v="5"/>
    <x v="2"/>
    <x v="51"/>
    <x v="0"/>
    <x v="14"/>
    <x v="5"/>
    <x v="53"/>
  </r>
  <r>
    <x v="75"/>
    <x v="85"/>
    <x v="100"/>
    <x v="0"/>
    <x v="54"/>
    <x v="88"/>
    <x v="88"/>
    <x v="87"/>
    <x v="87"/>
    <x v="0"/>
    <x v="391"/>
    <x v="403"/>
    <x v="257"/>
    <x v="324"/>
    <x v="3"/>
    <x v="320"/>
    <x v="146"/>
    <x v="1"/>
    <x v="61"/>
    <x v="5"/>
    <x v="33"/>
    <x v="211"/>
    <x v="216"/>
    <x v="15"/>
    <x v="19"/>
    <x v="10"/>
    <x v="38"/>
    <x v="52"/>
    <x v="0"/>
    <x v="15"/>
    <x v="5"/>
    <x v="54"/>
  </r>
  <r>
    <x v="75"/>
    <x v="86"/>
    <x v="101"/>
    <x v="0"/>
    <x v="55"/>
    <x v="89"/>
    <x v="89"/>
    <x v="88"/>
    <x v="88"/>
    <x v="0"/>
    <x v="392"/>
    <x v="404"/>
    <x v="360"/>
    <x v="325"/>
    <x v="48"/>
    <x v="367"/>
    <x v="54"/>
    <x v="0"/>
    <x v="19"/>
    <x v="3"/>
    <x v="1"/>
    <x v="154"/>
    <x v="310"/>
    <x v="16"/>
    <x v="27"/>
    <x v="2"/>
    <x v="2"/>
    <x v="53"/>
    <x v="0"/>
    <x v="14"/>
    <x v="5"/>
    <x v="55"/>
  </r>
  <r>
    <x v="75"/>
    <x v="86"/>
    <x v="102"/>
    <x v="0"/>
    <x v="56"/>
    <x v="90"/>
    <x v="90"/>
    <x v="89"/>
    <x v="89"/>
    <x v="0"/>
    <x v="393"/>
    <x v="405"/>
    <x v="361"/>
    <x v="326"/>
    <x v="2"/>
    <x v="368"/>
    <x v="109"/>
    <x v="2"/>
    <x v="119"/>
    <x v="4"/>
    <x v="23"/>
    <x v="212"/>
    <x v="155"/>
    <x v="0"/>
    <x v="0"/>
    <x v="2"/>
    <x v="12"/>
    <x v="54"/>
    <x v="0"/>
    <x v="14"/>
    <x v="5"/>
    <x v="56"/>
  </r>
  <r>
    <x v="76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76"/>
    <x v="78"/>
    <x v="91"/>
    <x v="0"/>
    <x v="47"/>
    <x v="79"/>
    <x v="79"/>
    <x v="78"/>
    <x v="78"/>
    <x v="0"/>
    <x v="394"/>
    <x v="406"/>
    <x v="362"/>
    <x v="327"/>
    <x v="58"/>
    <x v="369"/>
    <x v="164"/>
    <x v="2"/>
    <x v="120"/>
    <x v="14"/>
    <x v="2"/>
    <x v="213"/>
    <x v="132"/>
    <x v="0"/>
    <x v="0"/>
    <x v="5"/>
    <x v="11"/>
    <x v="31"/>
    <x v="0"/>
    <x v="14"/>
    <x v="5"/>
    <x v="47"/>
  </r>
  <r>
    <x v="76"/>
    <x v="85"/>
    <x v="100"/>
    <x v="0"/>
    <x v="54"/>
    <x v="88"/>
    <x v="88"/>
    <x v="87"/>
    <x v="87"/>
    <x v="0"/>
    <x v="395"/>
    <x v="407"/>
    <x v="363"/>
    <x v="79"/>
    <x v="8"/>
    <x v="370"/>
    <x v="165"/>
    <x v="1"/>
    <x v="121"/>
    <x v="3"/>
    <x v="28"/>
    <x v="167"/>
    <x v="222"/>
    <x v="8"/>
    <x v="28"/>
    <x v="7"/>
    <x v="8"/>
    <x v="52"/>
    <x v="0"/>
    <x v="15"/>
    <x v="5"/>
    <x v="54"/>
  </r>
  <r>
    <x v="76"/>
    <x v="86"/>
    <x v="101"/>
    <x v="0"/>
    <x v="55"/>
    <x v="89"/>
    <x v="89"/>
    <x v="88"/>
    <x v="88"/>
    <x v="0"/>
    <x v="396"/>
    <x v="408"/>
    <x v="92"/>
    <x v="328"/>
    <x v="83"/>
    <x v="371"/>
    <x v="41"/>
    <x v="2"/>
    <x v="42"/>
    <x v="3"/>
    <x v="3"/>
    <x v="8"/>
    <x v="311"/>
    <x v="18"/>
    <x v="29"/>
    <x v="4"/>
    <x v="5"/>
    <x v="53"/>
    <x v="0"/>
    <x v="14"/>
    <x v="5"/>
    <x v="55"/>
  </r>
  <r>
    <x v="76"/>
    <x v="86"/>
    <x v="102"/>
    <x v="0"/>
    <x v="56"/>
    <x v="90"/>
    <x v="90"/>
    <x v="89"/>
    <x v="89"/>
    <x v="0"/>
    <x v="397"/>
    <x v="409"/>
    <x v="364"/>
    <x v="329"/>
    <x v="0"/>
    <x v="372"/>
    <x v="74"/>
    <x v="7"/>
    <x v="122"/>
    <x v="11"/>
    <x v="4"/>
    <x v="214"/>
    <x v="312"/>
    <x v="0"/>
    <x v="0"/>
    <x v="2"/>
    <x v="12"/>
    <x v="54"/>
    <x v="0"/>
    <x v="14"/>
    <x v="5"/>
    <x v="56"/>
  </r>
  <r>
    <x v="77"/>
    <x v="78"/>
    <x v="91"/>
    <x v="0"/>
    <x v="47"/>
    <x v="79"/>
    <x v="79"/>
    <x v="78"/>
    <x v="78"/>
    <x v="0"/>
    <x v="398"/>
    <x v="410"/>
    <x v="365"/>
    <x v="281"/>
    <x v="58"/>
    <x v="373"/>
    <x v="166"/>
    <x v="0"/>
    <x v="86"/>
    <x v="42"/>
    <x v="6"/>
    <x v="215"/>
    <x v="313"/>
    <x v="0"/>
    <x v="0"/>
    <x v="5"/>
    <x v="5"/>
    <x v="31"/>
    <x v="0"/>
    <x v="14"/>
    <x v="5"/>
    <x v="47"/>
  </r>
  <r>
    <x v="77"/>
    <x v="85"/>
    <x v="100"/>
    <x v="0"/>
    <x v="54"/>
    <x v="88"/>
    <x v="88"/>
    <x v="87"/>
    <x v="87"/>
    <x v="0"/>
    <x v="399"/>
    <x v="411"/>
    <x v="366"/>
    <x v="330"/>
    <x v="42"/>
    <x v="374"/>
    <x v="167"/>
    <x v="0"/>
    <x v="64"/>
    <x v="3"/>
    <x v="34"/>
    <x v="216"/>
    <x v="143"/>
    <x v="19"/>
    <x v="30"/>
    <x v="21"/>
    <x v="39"/>
    <x v="52"/>
    <x v="0"/>
    <x v="15"/>
    <x v="5"/>
    <x v="54"/>
  </r>
  <r>
    <x v="77"/>
    <x v="86"/>
    <x v="101"/>
    <x v="0"/>
    <x v="55"/>
    <x v="89"/>
    <x v="89"/>
    <x v="88"/>
    <x v="88"/>
    <x v="0"/>
    <x v="400"/>
    <x v="412"/>
    <x v="286"/>
    <x v="331"/>
    <x v="34"/>
    <x v="375"/>
    <x v="18"/>
    <x v="2"/>
    <x v="14"/>
    <x v="3"/>
    <x v="3"/>
    <x v="20"/>
    <x v="314"/>
    <x v="2"/>
    <x v="31"/>
    <x v="5"/>
    <x v="2"/>
    <x v="53"/>
    <x v="0"/>
    <x v="14"/>
    <x v="5"/>
    <x v="55"/>
  </r>
  <r>
    <x v="77"/>
    <x v="86"/>
    <x v="102"/>
    <x v="0"/>
    <x v="56"/>
    <x v="90"/>
    <x v="90"/>
    <x v="89"/>
    <x v="89"/>
    <x v="0"/>
    <x v="401"/>
    <x v="413"/>
    <x v="355"/>
    <x v="332"/>
    <x v="2"/>
    <x v="376"/>
    <x v="15"/>
    <x v="2"/>
    <x v="24"/>
    <x v="3"/>
    <x v="3"/>
    <x v="20"/>
    <x v="298"/>
    <x v="0"/>
    <x v="0"/>
    <x v="5"/>
    <x v="2"/>
    <x v="54"/>
    <x v="0"/>
    <x v="14"/>
    <x v="5"/>
    <x v="56"/>
  </r>
  <r>
    <x v="78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78"/>
    <x v="78"/>
    <x v="91"/>
    <x v="0"/>
    <x v="47"/>
    <x v="79"/>
    <x v="79"/>
    <x v="78"/>
    <x v="78"/>
    <x v="0"/>
    <x v="402"/>
    <x v="414"/>
    <x v="367"/>
    <x v="333"/>
    <x v="10"/>
    <x v="377"/>
    <x v="158"/>
    <x v="7"/>
    <x v="123"/>
    <x v="8"/>
    <x v="1"/>
    <x v="217"/>
    <x v="315"/>
    <x v="0"/>
    <x v="0"/>
    <x v="2"/>
    <x v="2"/>
    <x v="31"/>
    <x v="0"/>
    <x v="14"/>
    <x v="5"/>
    <x v="47"/>
  </r>
  <r>
    <x v="78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78"/>
    <x v="85"/>
    <x v="100"/>
    <x v="0"/>
    <x v="54"/>
    <x v="88"/>
    <x v="88"/>
    <x v="87"/>
    <x v="87"/>
    <x v="0"/>
    <x v="403"/>
    <x v="415"/>
    <x v="368"/>
    <x v="267"/>
    <x v="2"/>
    <x v="378"/>
    <x v="79"/>
    <x v="0"/>
    <x v="122"/>
    <x v="5"/>
    <x v="35"/>
    <x v="218"/>
    <x v="84"/>
    <x v="20"/>
    <x v="32"/>
    <x v="8"/>
    <x v="40"/>
    <x v="52"/>
    <x v="0"/>
    <x v="15"/>
    <x v="5"/>
    <x v="54"/>
  </r>
  <r>
    <x v="78"/>
    <x v="86"/>
    <x v="102"/>
    <x v="0"/>
    <x v="56"/>
    <x v="90"/>
    <x v="90"/>
    <x v="89"/>
    <x v="89"/>
    <x v="0"/>
    <x v="404"/>
    <x v="416"/>
    <x v="369"/>
    <x v="245"/>
    <x v="10"/>
    <x v="193"/>
    <x v="168"/>
    <x v="0"/>
    <x v="64"/>
    <x v="10"/>
    <x v="24"/>
    <x v="219"/>
    <x v="316"/>
    <x v="0"/>
    <x v="0"/>
    <x v="12"/>
    <x v="11"/>
    <x v="54"/>
    <x v="0"/>
    <x v="14"/>
    <x v="5"/>
    <x v="56"/>
  </r>
  <r>
    <x v="79"/>
    <x v="78"/>
    <x v="91"/>
    <x v="0"/>
    <x v="47"/>
    <x v="79"/>
    <x v="79"/>
    <x v="78"/>
    <x v="78"/>
    <x v="0"/>
    <x v="405"/>
    <x v="417"/>
    <x v="370"/>
    <x v="334"/>
    <x v="12"/>
    <x v="379"/>
    <x v="164"/>
    <x v="2"/>
    <x v="124"/>
    <x v="32"/>
    <x v="4"/>
    <x v="220"/>
    <x v="180"/>
    <x v="0"/>
    <x v="0"/>
    <x v="2"/>
    <x v="12"/>
    <x v="31"/>
    <x v="0"/>
    <x v="14"/>
    <x v="5"/>
    <x v="47"/>
  </r>
  <r>
    <x v="79"/>
    <x v="85"/>
    <x v="100"/>
    <x v="0"/>
    <x v="54"/>
    <x v="88"/>
    <x v="88"/>
    <x v="87"/>
    <x v="87"/>
    <x v="0"/>
    <x v="406"/>
    <x v="418"/>
    <x v="371"/>
    <x v="335"/>
    <x v="4"/>
    <x v="380"/>
    <x v="169"/>
    <x v="1"/>
    <x v="125"/>
    <x v="5"/>
    <x v="36"/>
    <x v="221"/>
    <x v="317"/>
    <x v="11"/>
    <x v="33"/>
    <x v="39"/>
    <x v="25"/>
    <x v="52"/>
    <x v="0"/>
    <x v="15"/>
    <x v="5"/>
    <x v="54"/>
  </r>
  <r>
    <x v="79"/>
    <x v="86"/>
    <x v="102"/>
    <x v="0"/>
    <x v="56"/>
    <x v="90"/>
    <x v="90"/>
    <x v="89"/>
    <x v="89"/>
    <x v="0"/>
    <x v="407"/>
    <x v="419"/>
    <x v="372"/>
    <x v="336"/>
    <x v="58"/>
    <x v="381"/>
    <x v="74"/>
    <x v="2"/>
    <x v="126"/>
    <x v="4"/>
    <x v="7"/>
    <x v="92"/>
    <x v="318"/>
    <x v="0"/>
    <x v="0"/>
    <x v="2"/>
    <x v="11"/>
    <x v="54"/>
    <x v="0"/>
    <x v="14"/>
    <x v="5"/>
    <x v="56"/>
  </r>
  <r>
    <x v="80"/>
    <x v="78"/>
    <x v="91"/>
    <x v="0"/>
    <x v="47"/>
    <x v="79"/>
    <x v="79"/>
    <x v="78"/>
    <x v="78"/>
    <x v="0"/>
    <x v="408"/>
    <x v="420"/>
    <x v="373"/>
    <x v="337"/>
    <x v="8"/>
    <x v="382"/>
    <x v="84"/>
    <x v="0"/>
    <x v="127"/>
    <x v="40"/>
    <x v="4"/>
    <x v="222"/>
    <x v="6"/>
    <x v="0"/>
    <x v="0"/>
    <x v="1"/>
    <x v="11"/>
    <x v="31"/>
    <x v="0"/>
    <x v="14"/>
    <x v="5"/>
    <x v="47"/>
  </r>
  <r>
    <x v="80"/>
    <x v="85"/>
    <x v="100"/>
    <x v="0"/>
    <x v="54"/>
    <x v="88"/>
    <x v="88"/>
    <x v="87"/>
    <x v="87"/>
    <x v="0"/>
    <x v="409"/>
    <x v="421"/>
    <x v="374"/>
    <x v="337"/>
    <x v="2"/>
    <x v="383"/>
    <x v="8"/>
    <x v="2"/>
    <x v="14"/>
    <x v="3"/>
    <x v="3"/>
    <x v="27"/>
    <x v="319"/>
    <x v="0"/>
    <x v="0"/>
    <x v="5"/>
    <x v="5"/>
    <x v="52"/>
    <x v="0"/>
    <x v="15"/>
    <x v="5"/>
    <x v="54"/>
  </r>
  <r>
    <x v="80"/>
    <x v="86"/>
    <x v="102"/>
    <x v="0"/>
    <x v="56"/>
    <x v="90"/>
    <x v="90"/>
    <x v="89"/>
    <x v="89"/>
    <x v="0"/>
    <x v="410"/>
    <x v="422"/>
    <x v="375"/>
    <x v="172"/>
    <x v="58"/>
    <x v="384"/>
    <x v="170"/>
    <x v="7"/>
    <x v="128"/>
    <x v="13"/>
    <x v="6"/>
    <x v="223"/>
    <x v="320"/>
    <x v="0"/>
    <x v="0"/>
    <x v="2"/>
    <x v="10"/>
    <x v="54"/>
    <x v="0"/>
    <x v="14"/>
    <x v="5"/>
    <x v="56"/>
  </r>
  <r>
    <x v="81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81"/>
    <x v="78"/>
    <x v="91"/>
    <x v="0"/>
    <x v="47"/>
    <x v="79"/>
    <x v="79"/>
    <x v="78"/>
    <x v="78"/>
    <x v="0"/>
    <x v="411"/>
    <x v="423"/>
    <x v="376"/>
    <x v="338"/>
    <x v="58"/>
    <x v="142"/>
    <x v="109"/>
    <x v="7"/>
    <x v="120"/>
    <x v="51"/>
    <x v="8"/>
    <x v="224"/>
    <x v="11"/>
    <x v="0"/>
    <x v="0"/>
    <x v="2"/>
    <x v="6"/>
    <x v="31"/>
    <x v="0"/>
    <x v="14"/>
    <x v="5"/>
    <x v="47"/>
  </r>
  <r>
    <x v="81"/>
    <x v="85"/>
    <x v="100"/>
    <x v="0"/>
    <x v="54"/>
    <x v="88"/>
    <x v="88"/>
    <x v="87"/>
    <x v="87"/>
    <x v="0"/>
    <x v="412"/>
    <x v="424"/>
    <x v="377"/>
    <x v="339"/>
    <x v="30"/>
    <x v="385"/>
    <x v="51"/>
    <x v="7"/>
    <x v="127"/>
    <x v="3"/>
    <x v="37"/>
    <x v="225"/>
    <x v="116"/>
    <x v="21"/>
    <x v="34"/>
    <x v="28"/>
    <x v="17"/>
    <x v="52"/>
    <x v="0"/>
    <x v="15"/>
    <x v="5"/>
    <x v="54"/>
  </r>
  <r>
    <x v="81"/>
    <x v="86"/>
    <x v="101"/>
    <x v="0"/>
    <x v="55"/>
    <x v="89"/>
    <x v="89"/>
    <x v="88"/>
    <x v="8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3"/>
    <x v="0"/>
    <x v="14"/>
    <x v="5"/>
    <x v="55"/>
  </r>
  <r>
    <x v="81"/>
    <x v="86"/>
    <x v="102"/>
    <x v="0"/>
    <x v="56"/>
    <x v="90"/>
    <x v="90"/>
    <x v="89"/>
    <x v="89"/>
    <x v="0"/>
    <x v="413"/>
    <x v="425"/>
    <x v="378"/>
    <x v="340"/>
    <x v="7"/>
    <x v="76"/>
    <x v="171"/>
    <x v="1"/>
    <x v="46"/>
    <x v="12"/>
    <x v="8"/>
    <x v="226"/>
    <x v="321"/>
    <x v="0"/>
    <x v="0"/>
    <x v="10"/>
    <x v="5"/>
    <x v="54"/>
    <x v="0"/>
    <x v="14"/>
    <x v="5"/>
    <x v="56"/>
  </r>
  <r>
    <x v="81"/>
    <x v="87"/>
    <x v="103"/>
    <x v="0"/>
    <x v="57"/>
    <x v="91"/>
    <x v="91"/>
    <x v="90"/>
    <x v="90"/>
    <x v="0"/>
    <x v="414"/>
    <x v="426"/>
    <x v="379"/>
    <x v="333"/>
    <x v="51"/>
    <x v="181"/>
    <x v="172"/>
    <x v="7"/>
    <x v="91"/>
    <x v="4"/>
    <x v="7"/>
    <x v="227"/>
    <x v="322"/>
    <x v="0"/>
    <x v="0"/>
    <x v="4"/>
    <x v="11"/>
    <x v="55"/>
    <x v="0"/>
    <x v="14"/>
    <x v="5"/>
    <x v="57"/>
  </r>
  <r>
    <x v="82"/>
    <x v="78"/>
    <x v="91"/>
    <x v="0"/>
    <x v="47"/>
    <x v="79"/>
    <x v="79"/>
    <x v="78"/>
    <x v="78"/>
    <x v="0"/>
    <x v="415"/>
    <x v="427"/>
    <x v="380"/>
    <x v="9"/>
    <x v="12"/>
    <x v="379"/>
    <x v="26"/>
    <x v="2"/>
    <x v="50"/>
    <x v="11"/>
    <x v="3"/>
    <x v="31"/>
    <x v="295"/>
    <x v="0"/>
    <x v="0"/>
    <x v="5"/>
    <x v="2"/>
    <x v="31"/>
    <x v="0"/>
    <x v="14"/>
    <x v="5"/>
    <x v="47"/>
  </r>
  <r>
    <x v="82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82"/>
    <x v="82"/>
    <x v="95"/>
    <x v="0"/>
    <x v="51"/>
    <x v="83"/>
    <x v="83"/>
    <x v="82"/>
    <x v="8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9"/>
    <x v="0"/>
    <x v="14"/>
    <x v="5"/>
    <x v="51"/>
  </r>
  <r>
    <x v="82"/>
    <x v="85"/>
    <x v="99"/>
    <x v="0"/>
    <x v="53"/>
    <x v="87"/>
    <x v="87"/>
    <x v="86"/>
    <x v="8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1"/>
    <x v="0"/>
    <x v="14"/>
    <x v="5"/>
    <x v="53"/>
  </r>
  <r>
    <x v="82"/>
    <x v="85"/>
    <x v="100"/>
    <x v="0"/>
    <x v="54"/>
    <x v="88"/>
    <x v="88"/>
    <x v="87"/>
    <x v="87"/>
    <x v="0"/>
    <x v="416"/>
    <x v="428"/>
    <x v="381"/>
    <x v="341"/>
    <x v="12"/>
    <x v="244"/>
    <x v="173"/>
    <x v="5"/>
    <x v="129"/>
    <x v="11"/>
    <x v="38"/>
    <x v="228"/>
    <x v="68"/>
    <x v="22"/>
    <x v="35"/>
    <x v="37"/>
    <x v="41"/>
    <x v="52"/>
    <x v="0"/>
    <x v="15"/>
    <x v="5"/>
    <x v="54"/>
  </r>
  <r>
    <x v="82"/>
    <x v="86"/>
    <x v="102"/>
    <x v="0"/>
    <x v="56"/>
    <x v="90"/>
    <x v="90"/>
    <x v="89"/>
    <x v="89"/>
    <x v="0"/>
    <x v="417"/>
    <x v="429"/>
    <x v="382"/>
    <x v="342"/>
    <x v="30"/>
    <x v="386"/>
    <x v="41"/>
    <x v="2"/>
    <x v="42"/>
    <x v="3"/>
    <x v="3"/>
    <x v="8"/>
    <x v="323"/>
    <x v="0"/>
    <x v="0"/>
    <x v="5"/>
    <x v="2"/>
    <x v="54"/>
    <x v="0"/>
    <x v="14"/>
    <x v="5"/>
    <x v="56"/>
  </r>
  <r>
    <x v="82"/>
    <x v="87"/>
    <x v="103"/>
    <x v="0"/>
    <x v="57"/>
    <x v="91"/>
    <x v="91"/>
    <x v="90"/>
    <x v="90"/>
    <x v="0"/>
    <x v="418"/>
    <x v="430"/>
    <x v="199"/>
    <x v="343"/>
    <x v="3"/>
    <x v="387"/>
    <x v="18"/>
    <x v="2"/>
    <x v="14"/>
    <x v="3"/>
    <x v="3"/>
    <x v="20"/>
    <x v="295"/>
    <x v="0"/>
    <x v="0"/>
    <x v="5"/>
    <x v="2"/>
    <x v="55"/>
    <x v="0"/>
    <x v="14"/>
    <x v="5"/>
    <x v="57"/>
  </r>
  <r>
    <x v="83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83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83"/>
    <x v="85"/>
    <x v="100"/>
    <x v="0"/>
    <x v="54"/>
    <x v="88"/>
    <x v="88"/>
    <x v="87"/>
    <x v="87"/>
    <x v="0"/>
    <x v="419"/>
    <x v="431"/>
    <x v="383"/>
    <x v="344"/>
    <x v="7"/>
    <x v="358"/>
    <x v="18"/>
    <x v="2"/>
    <x v="42"/>
    <x v="3"/>
    <x v="3"/>
    <x v="83"/>
    <x v="324"/>
    <x v="0"/>
    <x v="0"/>
    <x v="5"/>
    <x v="5"/>
    <x v="52"/>
    <x v="0"/>
    <x v="15"/>
    <x v="5"/>
    <x v="54"/>
  </r>
  <r>
    <x v="83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83"/>
    <x v="87"/>
    <x v="103"/>
    <x v="0"/>
    <x v="57"/>
    <x v="91"/>
    <x v="91"/>
    <x v="90"/>
    <x v="90"/>
    <x v="0"/>
    <x v="420"/>
    <x v="432"/>
    <x v="384"/>
    <x v="345"/>
    <x v="32"/>
    <x v="388"/>
    <x v="55"/>
    <x v="0"/>
    <x v="45"/>
    <x v="32"/>
    <x v="4"/>
    <x v="21"/>
    <x v="325"/>
    <x v="0"/>
    <x v="0"/>
    <x v="5"/>
    <x v="5"/>
    <x v="55"/>
    <x v="0"/>
    <x v="14"/>
    <x v="5"/>
    <x v="57"/>
  </r>
  <r>
    <x v="83"/>
    <x v="88"/>
    <x v="104"/>
    <x v="0"/>
    <x v="58"/>
    <x v="92"/>
    <x v="92"/>
    <x v="91"/>
    <x v="91"/>
    <x v="0"/>
    <x v="421"/>
    <x v="433"/>
    <x v="385"/>
    <x v="346"/>
    <x v="74"/>
    <x v="389"/>
    <x v="65"/>
    <x v="0"/>
    <x v="20"/>
    <x v="3"/>
    <x v="2"/>
    <x v="148"/>
    <x v="326"/>
    <x v="15"/>
    <x v="36"/>
    <x v="7"/>
    <x v="2"/>
    <x v="56"/>
    <x v="0"/>
    <x v="14"/>
    <x v="5"/>
    <x v="58"/>
  </r>
  <r>
    <x v="83"/>
    <x v="88"/>
    <x v="105"/>
    <x v="0"/>
    <x v="48"/>
    <x v="93"/>
    <x v="93"/>
    <x v="92"/>
    <x v="92"/>
    <x v="0"/>
    <x v="422"/>
    <x v="434"/>
    <x v="386"/>
    <x v="347"/>
    <x v="74"/>
    <x v="390"/>
    <x v="83"/>
    <x v="1"/>
    <x v="36"/>
    <x v="10"/>
    <x v="4"/>
    <x v="65"/>
    <x v="327"/>
    <x v="0"/>
    <x v="0"/>
    <x v="1"/>
    <x v="6"/>
    <x v="47"/>
    <x v="0"/>
    <x v="14"/>
    <x v="5"/>
    <x v="48"/>
  </r>
  <r>
    <x v="83"/>
    <x v="88"/>
    <x v="106"/>
    <x v="0"/>
    <x v="17"/>
    <x v="94"/>
    <x v="94"/>
    <x v="93"/>
    <x v="93"/>
    <x v="0"/>
    <x v="423"/>
    <x v="435"/>
    <x v="387"/>
    <x v="204"/>
    <x v="42"/>
    <x v="105"/>
    <x v="174"/>
    <x v="7"/>
    <x v="130"/>
    <x v="7"/>
    <x v="27"/>
    <x v="229"/>
    <x v="328"/>
    <x v="0"/>
    <x v="0"/>
    <x v="9"/>
    <x v="26"/>
    <x v="17"/>
    <x v="0"/>
    <x v="0"/>
    <x v="0"/>
    <x v="17"/>
  </r>
  <r>
    <x v="83"/>
    <x v="88"/>
    <x v="107"/>
    <x v="1"/>
    <x v="48"/>
    <x v="95"/>
    <x v="95"/>
    <x v="94"/>
    <x v="94"/>
    <x v="0"/>
    <x v="424"/>
    <x v="436"/>
    <x v="388"/>
    <x v="109"/>
    <x v="84"/>
    <x v="391"/>
    <x v="22"/>
    <x v="2"/>
    <x v="22"/>
    <x v="1"/>
    <x v="2"/>
    <x v="23"/>
    <x v="329"/>
    <x v="0"/>
    <x v="0"/>
    <x v="5"/>
    <x v="2"/>
    <x v="47"/>
    <x v="0"/>
    <x v="14"/>
    <x v="5"/>
    <x v="48"/>
  </r>
  <r>
    <x v="83"/>
    <x v="89"/>
    <x v="108"/>
    <x v="1"/>
    <x v="48"/>
    <x v="96"/>
    <x v="96"/>
    <x v="95"/>
    <x v="95"/>
    <x v="0"/>
    <x v="425"/>
    <x v="337"/>
    <x v="113"/>
    <x v="348"/>
    <x v="85"/>
    <x v="392"/>
    <x v="15"/>
    <x v="2"/>
    <x v="14"/>
    <x v="3"/>
    <x v="3"/>
    <x v="15"/>
    <x v="15"/>
    <x v="0"/>
    <x v="0"/>
    <x v="5"/>
    <x v="2"/>
    <x v="47"/>
    <x v="0"/>
    <x v="14"/>
    <x v="5"/>
    <x v="48"/>
  </r>
  <r>
    <x v="83"/>
    <x v="88"/>
    <x v="109"/>
    <x v="1"/>
    <x v="17"/>
    <x v="96"/>
    <x v="96"/>
    <x v="95"/>
    <x v="95"/>
    <x v="0"/>
    <x v="426"/>
    <x v="437"/>
    <x v="389"/>
    <x v="349"/>
    <x v="79"/>
    <x v="393"/>
    <x v="71"/>
    <x v="1"/>
    <x v="28"/>
    <x v="1"/>
    <x v="1"/>
    <x v="64"/>
    <x v="330"/>
    <x v="0"/>
    <x v="0"/>
    <x v="2"/>
    <x v="11"/>
    <x v="17"/>
    <x v="0"/>
    <x v="0"/>
    <x v="0"/>
    <x v="17"/>
  </r>
  <r>
    <x v="8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84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84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84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84"/>
    <x v="87"/>
    <x v="103"/>
    <x v="0"/>
    <x v="57"/>
    <x v="91"/>
    <x v="91"/>
    <x v="90"/>
    <x v="90"/>
    <x v="0"/>
    <x v="427"/>
    <x v="438"/>
    <x v="286"/>
    <x v="350"/>
    <x v="42"/>
    <x v="90"/>
    <x v="15"/>
    <x v="2"/>
    <x v="14"/>
    <x v="3"/>
    <x v="3"/>
    <x v="15"/>
    <x v="15"/>
    <x v="0"/>
    <x v="0"/>
    <x v="5"/>
    <x v="2"/>
    <x v="55"/>
    <x v="0"/>
    <x v="14"/>
    <x v="5"/>
    <x v="57"/>
  </r>
  <r>
    <x v="84"/>
    <x v="88"/>
    <x v="104"/>
    <x v="0"/>
    <x v="58"/>
    <x v="92"/>
    <x v="92"/>
    <x v="91"/>
    <x v="91"/>
    <x v="0"/>
    <x v="428"/>
    <x v="439"/>
    <x v="35"/>
    <x v="351"/>
    <x v="3"/>
    <x v="394"/>
    <x v="8"/>
    <x v="2"/>
    <x v="24"/>
    <x v="3"/>
    <x v="3"/>
    <x v="70"/>
    <x v="331"/>
    <x v="2"/>
    <x v="37"/>
    <x v="2"/>
    <x v="2"/>
    <x v="56"/>
    <x v="0"/>
    <x v="14"/>
    <x v="5"/>
    <x v="58"/>
  </r>
  <r>
    <x v="84"/>
    <x v="88"/>
    <x v="105"/>
    <x v="0"/>
    <x v="48"/>
    <x v="93"/>
    <x v="93"/>
    <x v="92"/>
    <x v="92"/>
    <x v="0"/>
    <x v="429"/>
    <x v="440"/>
    <x v="390"/>
    <x v="352"/>
    <x v="35"/>
    <x v="395"/>
    <x v="55"/>
    <x v="1"/>
    <x v="1"/>
    <x v="35"/>
    <x v="1"/>
    <x v="99"/>
    <x v="332"/>
    <x v="0"/>
    <x v="0"/>
    <x v="2"/>
    <x v="11"/>
    <x v="47"/>
    <x v="0"/>
    <x v="14"/>
    <x v="5"/>
    <x v="48"/>
  </r>
  <r>
    <x v="84"/>
    <x v="88"/>
    <x v="106"/>
    <x v="0"/>
    <x v="17"/>
    <x v="94"/>
    <x v="94"/>
    <x v="93"/>
    <x v="93"/>
    <x v="0"/>
    <x v="430"/>
    <x v="441"/>
    <x v="391"/>
    <x v="151"/>
    <x v="42"/>
    <x v="396"/>
    <x v="175"/>
    <x v="0"/>
    <x v="131"/>
    <x v="17"/>
    <x v="29"/>
    <x v="225"/>
    <x v="183"/>
    <x v="0"/>
    <x v="0"/>
    <x v="10"/>
    <x v="6"/>
    <x v="17"/>
    <x v="0"/>
    <x v="0"/>
    <x v="0"/>
    <x v="17"/>
  </r>
  <r>
    <x v="84"/>
    <x v="88"/>
    <x v="107"/>
    <x v="1"/>
    <x v="48"/>
    <x v="95"/>
    <x v="95"/>
    <x v="94"/>
    <x v="94"/>
    <x v="0"/>
    <x v="431"/>
    <x v="442"/>
    <x v="131"/>
    <x v="353"/>
    <x v="86"/>
    <x v="397"/>
    <x v="15"/>
    <x v="2"/>
    <x v="14"/>
    <x v="3"/>
    <x v="3"/>
    <x v="15"/>
    <x v="15"/>
    <x v="0"/>
    <x v="0"/>
    <x v="5"/>
    <x v="2"/>
    <x v="47"/>
    <x v="0"/>
    <x v="14"/>
    <x v="5"/>
    <x v="48"/>
  </r>
  <r>
    <x v="84"/>
    <x v="88"/>
    <x v="109"/>
    <x v="1"/>
    <x v="17"/>
    <x v="96"/>
    <x v="96"/>
    <x v="95"/>
    <x v="95"/>
    <x v="0"/>
    <x v="432"/>
    <x v="443"/>
    <x v="392"/>
    <x v="354"/>
    <x v="87"/>
    <x v="398"/>
    <x v="21"/>
    <x v="2"/>
    <x v="20"/>
    <x v="3"/>
    <x v="2"/>
    <x v="50"/>
    <x v="333"/>
    <x v="0"/>
    <x v="0"/>
    <x v="5"/>
    <x v="11"/>
    <x v="17"/>
    <x v="0"/>
    <x v="0"/>
    <x v="0"/>
    <x v="17"/>
  </r>
  <r>
    <x v="84"/>
    <x v="90"/>
    <x v="110"/>
    <x v="0"/>
    <x v="59"/>
    <x v="97"/>
    <x v="97"/>
    <x v="96"/>
    <x v="96"/>
    <x v="0"/>
    <x v="433"/>
    <x v="444"/>
    <x v="393"/>
    <x v="355"/>
    <x v="41"/>
    <x v="399"/>
    <x v="40"/>
    <x v="2"/>
    <x v="4"/>
    <x v="10"/>
    <x v="3"/>
    <x v="9"/>
    <x v="334"/>
    <x v="0"/>
    <x v="0"/>
    <x v="11"/>
    <x v="5"/>
    <x v="57"/>
    <x v="0"/>
    <x v="14"/>
    <x v="5"/>
    <x v="59"/>
  </r>
  <r>
    <x v="84"/>
    <x v="90"/>
    <x v="111"/>
    <x v="0"/>
    <x v="60"/>
    <x v="98"/>
    <x v="98"/>
    <x v="97"/>
    <x v="97"/>
    <x v="0"/>
    <x v="434"/>
    <x v="445"/>
    <x v="394"/>
    <x v="160"/>
    <x v="53"/>
    <x v="400"/>
    <x v="150"/>
    <x v="7"/>
    <x v="36"/>
    <x v="0"/>
    <x v="2"/>
    <x v="182"/>
    <x v="335"/>
    <x v="0"/>
    <x v="0"/>
    <x v="5"/>
    <x v="11"/>
    <x v="58"/>
    <x v="0"/>
    <x v="14"/>
    <x v="5"/>
    <x v="60"/>
  </r>
  <r>
    <x v="84"/>
    <x v="90"/>
    <x v="112"/>
    <x v="1"/>
    <x v="46"/>
    <x v="99"/>
    <x v="99"/>
    <x v="98"/>
    <x v="98"/>
    <x v="0"/>
    <x v="435"/>
    <x v="446"/>
    <x v="395"/>
    <x v="222"/>
    <x v="88"/>
    <x v="401"/>
    <x v="41"/>
    <x v="2"/>
    <x v="8"/>
    <x v="3"/>
    <x v="3"/>
    <x v="30"/>
    <x v="336"/>
    <x v="23"/>
    <x v="38"/>
    <x v="4"/>
    <x v="5"/>
    <x v="46"/>
    <x v="0"/>
    <x v="14"/>
    <x v="5"/>
    <x v="46"/>
  </r>
  <r>
    <x v="8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8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85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85"/>
    <x v="87"/>
    <x v="103"/>
    <x v="0"/>
    <x v="57"/>
    <x v="91"/>
    <x v="91"/>
    <x v="90"/>
    <x v="9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5"/>
    <x v="0"/>
    <x v="14"/>
    <x v="5"/>
    <x v="57"/>
  </r>
  <r>
    <x v="85"/>
    <x v="88"/>
    <x v="105"/>
    <x v="0"/>
    <x v="48"/>
    <x v="93"/>
    <x v="93"/>
    <x v="92"/>
    <x v="92"/>
    <x v="0"/>
    <x v="436"/>
    <x v="447"/>
    <x v="396"/>
    <x v="356"/>
    <x v="32"/>
    <x v="402"/>
    <x v="15"/>
    <x v="2"/>
    <x v="24"/>
    <x v="3"/>
    <x v="3"/>
    <x v="20"/>
    <x v="337"/>
    <x v="0"/>
    <x v="0"/>
    <x v="5"/>
    <x v="2"/>
    <x v="47"/>
    <x v="0"/>
    <x v="14"/>
    <x v="5"/>
    <x v="48"/>
  </r>
  <r>
    <x v="85"/>
    <x v="88"/>
    <x v="106"/>
    <x v="0"/>
    <x v="17"/>
    <x v="94"/>
    <x v="94"/>
    <x v="93"/>
    <x v="93"/>
    <x v="0"/>
    <x v="437"/>
    <x v="448"/>
    <x v="27"/>
    <x v="338"/>
    <x v="2"/>
    <x v="403"/>
    <x v="15"/>
    <x v="2"/>
    <x v="14"/>
    <x v="3"/>
    <x v="3"/>
    <x v="15"/>
    <x v="15"/>
    <x v="0"/>
    <x v="0"/>
    <x v="5"/>
    <x v="2"/>
    <x v="17"/>
    <x v="0"/>
    <x v="0"/>
    <x v="0"/>
    <x v="17"/>
  </r>
  <r>
    <x v="85"/>
    <x v="88"/>
    <x v="107"/>
    <x v="1"/>
    <x v="48"/>
    <x v="95"/>
    <x v="95"/>
    <x v="94"/>
    <x v="9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85"/>
    <x v="90"/>
    <x v="110"/>
    <x v="0"/>
    <x v="59"/>
    <x v="97"/>
    <x v="97"/>
    <x v="96"/>
    <x v="96"/>
    <x v="0"/>
    <x v="438"/>
    <x v="412"/>
    <x v="24"/>
    <x v="357"/>
    <x v="52"/>
    <x v="404"/>
    <x v="15"/>
    <x v="2"/>
    <x v="14"/>
    <x v="3"/>
    <x v="3"/>
    <x v="15"/>
    <x v="15"/>
    <x v="0"/>
    <x v="0"/>
    <x v="5"/>
    <x v="2"/>
    <x v="57"/>
    <x v="0"/>
    <x v="14"/>
    <x v="5"/>
    <x v="59"/>
  </r>
  <r>
    <x v="85"/>
    <x v="90"/>
    <x v="111"/>
    <x v="0"/>
    <x v="60"/>
    <x v="98"/>
    <x v="98"/>
    <x v="97"/>
    <x v="97"/>
    <x v="0"/>
    <x v="439"/>
    <x v="275"/>
    <x v="27"/>
    <x v="199"/>
    <x v="32"/>
    <x v="405"/>
    <x v="15"/>
    <x v="2"/>
    <x v="14"/>
    <x v="3"/>
    <x v="3"/>
    <x v="15"/>
    <x v="15"/>
    <x v="0"/>
    <x v="0"/>
    <x v="5"/>
    <x v="2"/>
    <x v="58"/>
    <x v="0"/>
    <x v="14"/>
    <x v="5"/>
    <x v="60"/>
  </r>
  <r>
    <x v="85"/>
    <x v="90"/>
    <x v="112"/>
    <x v="1"/>
    <x v="46"/>
    <x v="99"/>
    <x v="99"/>
    <x v="98"/>
    <x v="98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85"/>
    <x v="91"/>
    <x v="113"/>
    <x v="0"/>
    <x v="61"/>
    <x v="100"/>
    <x v="100"/>
    <x v="99"/>
    <x v="99"/>
    <x v="0"/>
    <x v="440"/>
    <x v="449"/>
    <x v="397"/>
    <x v="358"/>
    <x v="76"/>
    <x v="188"/>
    <x v="8"/>
    <x v="2"/>
    <x v="42"/>
    <x v="5"/>
    <x v="3"/>
    <x v="93"/>
    <x v="338"/>
    <x v="13"/>
    <x v="39"/>
    <x v="5"/>
    <x v="5"/>
    <x v="59"/>
    <x v="0"/>
    <x v="14"/>
    <x v="5"/>
    <x v="61"/>
  </r>
  <r>
    <x v="85"/>
    <x v="91"/>
    <x v="114"/>
    <x v="0"/>
    <x v="62"/>
    <x v="101"/>
    <x v="101"/>
    <x v="100"/>
    <x v="100"/>
    <x v="0"/>
    <x v="441"/>
    <x v="450"/>
    <x v="398"/>
    <x v="359"/>
    <x v="21"/>
    <x v="406"/>
    <x v="1"/>
    <x v="0"/>
    <x v="90"/>
    <x v="5"/>
    <x v="2"/>
    <x v="170"/>
    <x v="339"/>
    <x v="18"/>
    <x v="40"/>
    <x v="10"/>
    <x v="11"/>
    <x v="60"/>
    <x v="0"/>
    <x v="16"/>
    <x v="5"/>
    <x v="62"/>
  </r>
  <r>
    <x v="85"/>
    <x v="91"/>
    <x v="115"/>
    <x v="1"/>
    <x v="47"/>
    <x v="102"/>
    <x v="102"/>
    <x v="101"/>
    <x v="101"/>
    <x v="0"/>
    <x v="442"/>
    <x v="451"/>
    <x v="4"/>
    <x v="88"/>
    <x v="34"/>
    <x v="407"/>
    <x v="50"/>
    <x v="2"/>
    <x v="38"/>
    <x v="10"/>
    <x v="0"/>
    <x v="95"/>
    <x v="340"/>
    <x v="0"/>
    <x v="0"/>
    <x v="5"/>
    <x v="2"/>
    <x v="31"/>
    <x v="0"/>
    <x v="14"/>
    <x v="5"/>
    <x v="47"/>
  </r>
  <r>
    <x v="8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86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86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86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86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8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86"/>
    <x v="91"/>
    <x v="113"/>
    <x v="0"/>
    <x v="61"/>
    <x v="100"/>
    <x v="100"/>
    <x v="99"/>
    <x v="99"/>
    <x v="0"/>
    <x v="443"/>
    <x v="452"/>
    <x v="399"/>
    <x v="360"/>
    <x v="82"/>
    <x v="408"/>
    <x v="16"/>
    <x v="1"/>
    <x v="31"/>
    <x v="3"/>
    <x v="3"/>
    <x v="79"/>
    <x v="341"/>
    <x v="8"/>
    <x v="41"/>
    <x v="2"/>
    <x v="11"/>
    <x v="59"/>
    <x v="0"/>
    <x v="14"/>
    <x v="5"/>
    <x v="61"/>
  </r>
  <r>
    <x v="86"/>
    <x v="91"/>
    <x v="114"/>
    <x v="0"/>
    <x v="62"/>
    <x v="101"/>
    <x v="101"/>
    <x v="100"/>
    <x v="100"/>
    <x v="0"/>
    <x v="444"/>
    <x v="453"/>
    <x v="400"/>
    <x v="361"/>
    <x v="10"/>
    <x v="409"/>
    <x v="158"/>
    <x v="3"/>
    <x v="26"/>
    <x v="3"/>
    <x v="13"/>
    <x v="230"/>
    <x v="342"/>
    <x v="17"/>
    <x v="42"/>
    <x v="12"/>
    <x v="6"/>
    <x v="60"/>
    <x v="0"/>
    <x v="16"/>
    <x v="5"/>
    <x v="62"/>
  </r>
  <r>
    <x v="86"/>
    <x v="91"/>
    <x v="115"/>
    <x v="1"/>
    <x v="47"/>
    <x v="102"/>
    <x v="102"/>
    <x v="101"/>
    <x v="101"/>
    <x v="0"/>
    <x v="445"/>
    <x v="454"/>
    <x v="401"/>
    <x v="222"/>
    <x v="89"/>
    <x v="410"/>
    <x v="17"/>
    <x v="1"/>
    <x v="1"/>
    <x v="5"/>
    <x v="2"/>
    <x v="85"/>
    <x v="343"/>
    <x v="0"/>
    <x v="0"/>
    <x v="5"/>
    <x v="2"/>
    <x v="31"/>
    <x v="0"/>
    <x v="14"/>
    <x v="5"/>
    <x v="47"/>
  </r>
  <r>
    <x v="8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87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52"/>
    <x v="0"/>
    <x v="15"/>
    <x v="5"/>
    <x v="54"/>
  </r>
  <r>
    <x v="87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87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87"/>
    <x v="90"/>
    <x v="110"/>
    <x v="0"/>
    <x v="59"/>
    <x v="97"/>
    <x v="97"/>
    <x v="96"/>
    <x v="9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7"/>
    <x v="0"/>
    <x v="14"/>
    <x v="5"/>
    <x v="59"/>
  </r>
  <r>
    <x v="87"/>
    <x v="91"/>
    <x v="113"/>
    <x v="0"/>
    <x v="61"/>
    <x v="100"/>
    <x v="100"/>
    <x v="99"/>
    <x v="99"/>
    <x v="0"/>
    <x v="446"/>
    <x v="455"/>
    <x v="402"/>
    <x v="362"/>
    <x v="73"/>
    <x v="411"/>
    <x v="48"/>
    <x v="1"/>
    <x v="1"/>
    <x v="3"/>
    <x v="4"/>
    <x v="4"/>
    <x v="344"/>
    <x v="18"/>
    <x v="12"/>
    <x v="4"/>
    <x v="2"/>
    <x v="59"/>
    <x v="0"/>
    <x v="14"/>
    <x v="5"/>
    <x v="61"/>
  </r>
  <r>
    <x v="87"/>
    <x v="91"/>
    <x v="114"/>
    <x v="0"/>
    <x v="62"/>
    <x v="101"/>
    <x v="101"/>
    <x v="100"/>
    <x v="100"/>
    <x v="0"/>
    <x v="447"/>
    <x v="456"/>
    <x v="403"/>
    <x v="363"/>
    <x v="43"/>
    <x v="412"/>
    <x v="102"/>
    <x v="6"/>
    <x v="79"/>
    <x v="3"/>
    <x v="4"/>
    <x v="200"/>
    <x v="345"/>
    <x v="16"/>
    <x v="43"/>
    <x v="4"/>
    <x v="13"/>
    <x v="60"/>
    <x v="0"/>
    <x v="16"/>
    <x v="5"/>
    <x v="62"/>
  </r>
  <r>
    <x v="87"/>
    <x v="91"/>
    <x v="115"/>
    <x v="1"/>
    <x v="47"/>
    <x v="102"/>
    <x v="102"/>
    <x v="101"/>
    <x v="101"/>
    <x v="0"/>
    <x v="448"/>
    <x v="457"/>
    <x v="404"/>
    <x v="268"/>
    <x v="44"/>
    <x v="413"/>
    <x v="1"/>
    <x v="1"/>
    <x v="33"/>
    <x v="12"/>
    <x v="2"/>
    <x v="4"/>
    <x v="346"/>
    <x v="0"/>
    <x v="0"/>
    <x v="2"/>
    <x v="11"/>
    <x v="31"/>
    <x v="0"/>
    <x v="14"/>
    <x v="5"/>
    <x v="47"/>
  </r>
  <r>
    <x v="88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88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88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88"/>
    <x v="88"/>
    <x v="104"/>
    <x v="0"/>
    <x v="58"/>
    <x v="92"/>
    <x v="92"/>
    <x v="91"/>
    <x v="9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6"/>
    <x v="0"/>
    <x v="14"/>
    <x v="5"/>
    <x v="58"/>
  </r>
  <r>
    <x v="88"/>
    <x v="90"/>
    <x v="112"/>
    <x v="1"/>
    <x v="46"/>
    <x v="99"/>
    <x v="99"/>
    <x v="98"/>
    <x v="98"/>
    <x v="0"/>
    <x v="449"/>
    <x v="458"/>
    <x v="405"/>
    <x v="364"/>
    <x v="31"/>
    <x v="414"/>
    <x v="21"/>
    <x v="2"/>
    <x v="24"/>
    <x v="3"/>
    <x v="3"/>
    <x v="8"/>
    <x v="347"/>
    <x v="14"/>
    <x v="44"/>
    <x v="2"/>
    <x v="5"/>
    <x v="46"/>
    <x v="0"/>
    <x v="14"/>
    <x v="5"/>
    <x v="46"/>
  </r>
  <r>
    <x v="88"/>
    <x v="91"/>
    <x v="113"/>
    <x v="0"/>
    <x v="61"/>
    <x v="100"/>
    <x v="100"/>
    <x v="99"/>
    <x v="99"/>
    <x v="0"/>
    <x v="450"/>
    <x v="459"/>
    <x v="406"/>
    <x v="268"/>
    <x v="24"/>
    <x v="415"/>
    <x v="18"/>
    <x v="2"/>
    <x v="14"/>
    <x v="3"/>
    <x v="3"/>
    <x v="20"/>
    <x v="348"/>
    <x v="0"/>
    <x v="0"/>
    <x v="5"/>
    <x v="2"/>
    <x v="59"/>
    <x v="0"/>
    <x v="14"/>
    <x v="5"/>
    <x v="61"/>
  </r>
  <r>
    <x v="88"/>
    <x v="91"/>
    <x v="114"/>
    <x v="0"/>
    <x v="62"/>
    <x v="101"/>
    <x v="101"/>
    <x v="100"/>
    <x v="100"/>
    <x v="0"/>
    <x v="451"/>
    <x v="460"/>
    <x v="20"/>
    <x v="62"/>
    <x v="81"/>
    <x v="416"/>
    <x v="18"/>
    <x v="2"/>
    <x v="24"/>
    <x v="3"/>
    <x v="3"/>
    <x v="27"/>
    <x v="349"/>
    <x v="0"/>
    <x v="0"/>
    <x v="5"/>
    <x v="2"/>
    <x v="60"/>
    <x v="0"/>
    <x v="16"/>
    <x v="5"/>
    <x v="62"/>
  </r>
  <r>
    <x v="88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88"/>
    <x v="92"/>
    <x v="116"/>
    <x v="1"/>
    <x v="46"/>
    <x v="103"/>
    <x v="103"/>
    <x v="102"/>
    <x v="102"/>
    <x v="0"/>
    <x v="452"/>
    <x v="461"/>
    <x v="73"/>
    <x v="167"/>
    <x v="27"/>
    <x v="417"/>
    <x v="15"/>
    <x v="2"/>
    <x v="14"/>
    <x v="3"/>
    <x v="3"/>
    <x v="15"/>
    <x v="15"/>
    <x v="0"/>
    <x v="0"/>
    <x v="5"/>
    <x v="2"/>
    <x v="46"/>
    <x v="0"/>
    <x v="14"/>
    <x v="5"/>
    <x v="46"/>
  </r>
  <r>
    <x v="89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89"/>
    <x v="91"/>
    <x v="114"/>
    <x v="0"/>
    <x v="62"/>
    <x v="101"/>
    <x v="101"/>
    <x v="100"/>
    <x v="100"/>
    <x v="0"/>
    <x v="453"/>
    <x v="462"/>
    <x v="407"/>
    <x v="365"/>
    <x v="47"/>
    <x v="108"/>
    <x v="176"/>
    <x v="0"/>
    <x v="73"/>
    <x v="3"/>
    <x v="3"/>
    <x v="150"/>
    <x v="350"/>
    <x v="1"/>
    <x v="45"/>
    <x v="1"/>
    <x v="6"/>
    <x v="60"/>
    <x v="0"/>
    <x v="16"/>
    <x v="5"/>
    <x v="62"/>
  </r>
  <r>
    <x v="89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89"/>
    <x v="93"/>
    <x v="117"/>
    <x v="1"/>
    <x v="62"/>
    <x v="103"/>
    <x v="103"/>
    <x v="102"/>
    <x v="102"/>
    <x v="0"/>
    <x v="454"/>
    <x v="463"/>
    <x v="408"/>
    <x v="162"/>
    <x v="90"/>
    <x v="418"/>
    <x v="26"/>
    <x v="2"/>
    <x v="14"/>
    <x v="3"/>
    <x v="2"/>
    <x v="83"/>
    <x v="351"/>
    <x v="0"/>
    <x v="0"/>
    <x v="5"/>
    <x v="2"/>
    <x v="60"/>
    <x v="0"/>
    <x v="16"/>
    <x v="5"/>
    <x v="62"/>
  </r>
  <r>
    <x v="89"/>
    <x v="94"/>
    <x v="118"/>
    <x v="0"/>
    <x v="63"/>
    <x v="104"/>
    <x v="104"/>
    <x v="103"/>
    <x v="103"/>
    <x v="0"/>
    <x v="455"/>
    <x v="464"/>
    <x v="409"/>
    <x v="366"/>
    <x v="0"/>
    <x v="238"/>
    <x v="20"/>
    <x v="2"/>
    <x v="17"/>
    <x v="6"/>
    <x v="4"/>
    <x v="164"/>
    <x v="352"/>
    <x v="0"/>
    <x v="0"/>
    <x v="2"/>
    <x v="11"/>
    <x v="61"/>
    <x v="0"/>
    <x v="14"/>
    <x v="5"/>
    <x v="63"/>
  </r>
  <r>
    <x v="90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5"/>
    <x v="42"/>
  </r>
  <r>
    <x v="90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90"/>
    <x v="86"/>
    <x v="101"/>
    <x v="0"/>
    <x v="55"/>
    <x v="89"/>
    <x v="89"/>
    <x v="88"/>
    <x v="8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3"/>
    <x v="0"/>
    <x v="14"/>
    <x v="5"/>
    <x v="55"/>
  </r>
  <r>
    <x v="90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90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90"/>
    <x v="91"/>
    <x v="114"/>
    <x v="0"/>
    <x v="62"/>
    <x v="101"/>
    <x v="101"/>
    <x v="100"/>
    <x v="100"/>
    <x v="0"/>
    <x v="456"/>
    <x v="465"/>
    <x v="410"/>
    <x v="367"/>
    <x v="17"/>
    <x v="419"/>
    <x v="27"/>
    <x v="0"/>
    <x v="3"/>
    <x v="3"/>
    <x v="0"/>
    <x v="231"/>
    <x v="353"/>
    <x v="1"/>
    <x v="46"/>
    <x v="4"/>
    <x v="10"/>
    <x v="60"/>
    <x v="0"/>
    <x v="16"/>
    <x v="5"/>
    <x v="62"/>
  </r>
  <r>
    <x v="90"/>
    <x v="93"/>
    <x v="117"/>
    <x v="1"/>
    <x v="62"/>
    <x v="103"/>
    <x v="103"/>
    <x v="102"/>
    <x v="102"/>
    <x v="0"/>
    <x v="457"/>
    <x v="466"/>
    <x v="411"/>
    <x v="368"/>
    <x v="70"/>
    <x v="420"/>
    <x v="21"/>
    <x v="2"/>
    <x v="14"/>
    <x v="3"/>
    <x v="2"/>
    <x v="8"/>
    <x v="354"/>
    <x v="13"/>
    <x v="47"/>
    <x v="5"/>
    <x v="5"/>
    <x v="60"/>
    <x v="0"/>
    <x v="16"/>
    <x v="5"/>
    <x v="62"/>
  </r>
  <r>
    <x v="90"/>
    <x v="94"/>
    <x v="118"/>
    <x v="0"/>
    <x v="63"/>
    <x v="104"/>
    <x v="104"/>
    <x v="103"/>
    <x v="103"/>
    <x v="0"/>
    <x v="458"/>
    <x v="461"/>
    <x v="113"/>
    <x v="369"/>
    <x v="37"/>
    <x v="421"/>
    <x v="15"/>
    <x v="2"/>
    <x v="14"/>
    <x v="3"/>
    <x v="3"/>
    <x v="15"/>
    <x v="15"/>
    <x v="0"/>
    <x v="0"/>
    <x v="5"/>
    <x v="2"/>
    <x v="61"/>
    <x v="0"/>
    <x v="14"/>
    <x v="5"/>
    <x v="63"/>
  </r>
  <r>
    <x v="90"/>
    <x v="95"/>
    <x v="119"/>
    <x v="1"/>
    <x v="62"/>
    <x v="105"/>
    <x v="105"/>
    <x v="104"/>
    <x v="104"/>
    <x v="0"/>
    <x v="459"/>
    <x v="467"/>
    <x v="70"/>
    <x v="168"/>
    <x v="27"/>
    <x v="422"/>
    <x v="15"/>
    <x v="2"/>
    <x v="14"/>
    <x v="3"/>
    <x v="3"/>
    <x v="15"/>
    <x v="15"/>
    <x v="0"/>
    <x v="0"/>
    <x v="5"/>
    <x v="2"/>
    <x v="60"/>
    <x v="0"/>
    <x v="16"/>
    <x v="5"/>
    <x v="62"/>
  </r>
  <r>
    <x v="90"/>
    <x v="96"/>
    <x v="120"/>
    <x v="1"/>
    <x v="61"/>
    <x v="105"/>
    <x v="105"/>
    <x v="104"/>
    <x v="104"/>
    <x v="0"/>
    <x v="460"/>
    <x v="468"/>
    <x v="412"/>
    <x v="370"/>
    <x v="91"/>
    <x v="423"/>
    <x v="177"/>
    <x v="2"/>
    <x v="50"/>
    <x v="3"/>
    <x v="3"/>
    <x v="26"/>
    <x v="355"/>
    <x v="1"/>
    <x v="34"/>
    <x v="5"/>
    <x v="5"/>
    <x v="59"/>
    <x v="0"/>
    <x v="14"/>
    <x v="5"/>
    <x v="61"/>
  </r>
  <r>
    <x v="91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91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91"/>
    <x v="90"/>
    <x v="111"/>
    <x v="0"/>
    <x v="60"/>
    <x v="98"/>
    <x v="98"/>
    <x v="97"/>
    <x v="97"/>
    <x v="0"/>
    <x v="461"/>
    <x v="469"/>
    <x v="413"/>
    <x v="371"/>
    <x v="10"/>
    <x v="424"/>
    <x v="178"/>
    <x v="7"/>
    <x v="126"/>
    <x v="51"/>
    <x v="8"/>
    <x v="141"/>
    <x v="356"/>
    <x v="0"/>
    <x v="0"/>
    <x v="12"/>
    <x v="11"/>
    <x v="58"/>
    <x v="0"/>
    <x v="14"/>
    <x v="5"/>
    <x v="60"/>
  </r>
  <r>
    <x v="91"/>
    <x v="91"/>
    <x v="114"/>
    <x v="0"/>
    <x v="62"/>
    <x v="101"/>
    <x v="101"/>
    <x v="100"/>
    <x v="100"/>
    <x v="0"/>
    <x v="462"/>
    <x v="470"/>
    <x v="277"/>
    <x v="372"/>
    <x v="26"/>
    <x v="425"/>
    <x v="26"/>
    <x v="1"/>
    <x v="24"/>
    <x v="3"/>
    <x v="3"/>
    <x v="75"/>
    <x v="129"/>
    <x v="0"/>
    <x v="0"/>
    <x v="5"/>
    <x v="2"/>
    <x v="60"/>
    <x v="0"/>
    <x v="16"/>
    <x v="5"/>
    <x v="62"/>
  </r>
  <r>
    <x v="91"/>
    <x v="91"/>
    <x v="115"/>
    <x v="1"/>
    <x v="47"/>
    <x v="102"/>
    <x v="102"/>
    <x v="101"/>
    <x v="101"/>
    <x v="0"/>
    <x v="463"/>
    <x v="471"/>
    <x v="414"/>
    <x v="223"/>
    <x v="71"/>
    <x v="426"/>
    <x v="71"/>
    <x v="2"/>
    <x v="23"/>
    <x v="1"/>
    <x v="4"/>
    <x v="191"/>
    <x v="357"/>
    <x v="0"/>
    <x v="0"/>
    <x v="5"/>
    <x v="12"/>
    <x v="31"/>
    <x v="0"/>
    <x v="14"/>
    <x v="5"/>
    <x v="47"/>
  </r>
  <r>
    <x v="91"/>
    <x v="93"/>
    <x v="117"/>
    <x v="1"/>
    <x v="62"/>
    <x v="103"/>
    <x v="103"/>
    <x v="102"/>
    <x v="102"/>
    <x v="0"/>
    <x v="464"/>
    <x v="77"/>
    <x v="72"/>
    <x v="17"/>
    <x v="40"/>
    <x v="427"/>
    <x v="15"/>
    <x v="2"/>
    <x v="14"/>
    <x v="3"/>
    <x v="3"/>
    <x v="15"/>
    <x v="15"/>
    <x v="0"/>
    <x v="0"/>
    <x v="5"/>
    <x v="2"/>
    <x v="60"/>
    <x v="0"/>
    <x v="16"/>
    <x v="5"/>
    <x v="62"/>
  </r>
  <r>
    <x v="91"/>
    <x v="94"/>
    <x v="118"/>
    <x v="0"/>
    <x v="63"/>
    <x v="104"/>
    <x v="104"/>
    <x v="103"/>
    <x v="103"/>
    <x v="0"/>
    <x v="465"/>
    <x v="472"/>
    <x v="415"/>
    <x v="373"/>
    <x v="37"/>
    <x v="112"/>
    <x v="5"/>
    <x v="0"/>
    <x v="17"/>
    <x v="32"/>
    <x v="1"/>
    <x v="17"/>
    <x v="109"/>
    <x v="0"/>
    <x v="0"/>
    <x v="24"/>
    <x v="11"/>
    <x v="61"/>
    <x v="0"/>
    <x v="14"/>
    <x v="5"/>
    <x v="63"/>
  </r>
  <r>
    <x v="91"/>
    <x v="96"/>
    <x v="120"/>
    <x v="1"/>
    <x v="61"/>
    <x v="105"/>
    <x v="105"/>
    <x v="104"/>
    <x v="104"/>
    <x v="0"/>
    <x v="30"/>
    <x v="473"/>
    <x v="29"/>
    <x v="30"/>
    <x v="16"/>
    <x v="29"/>
    <x v="15"/>
    <x v="2"/>
    <x v="14"/>
    <x v="3"/>
    <x v="3"/>
    <x v="15"/>
    <x v="15"/>
    <x v="0"/>
    <x v="0"/>
    <x v="5"/>
    <x v="2"/>
    <x v="59"/>
    <x v="0"/>
    <x v="14"/>
    <x v="5"/>
    <x v="61"/>
  </r>
  <r>
    <x v="91"/>
    <x v="97"/>
    <x v="121"/>
    <x v="0"/>
    <x v="64"/>
    <x v="106"/>
    <x v="106"/>
    <x v="105"/>
    <x v="105"/>
    <x v="0"/>
    <x v="466"/>
    <x v="474"/>
    <x v="416"/>
    <x v="370"/>
    <x v="51"/>
    <x v="428"/>
    <x v="139"/>
    <x v="7"/>
    <x v="19"/>
    <x v="11"/>
    <x v="23"/>
    <x v="232"/>
    <x v="157"/>
    <x v="0"/>
    <x v="0"/>
    <x v="2"/>
    <x v="10"/>
    <x v="62"/>
    <x v="0"/>
    <x v="14"/>
    <x v="5"/>
    <x v="64"/>
  </r>
  <r>
    <x v="92"/>
    <x v="90"/>
    <x v="111"/>
    <x v="0"/>
    <x v="60"/>
    <x v="98"/>
    <x v="98"/>
    <x v="97"/>
    <x v="97"/>
    <x v="0"/>
    <x v="467"/>
    <x v="475"/>
    <x v="417"/>
    <x v="100"/>
    <x v="3"/>
    <x v="429"/>
    <x v="179"/>
    <x v="0"/>
    <x v="68"/>
    <x v="42"/>
    <x v="23"/>
    <x v="233"/>
    <x v="358"/>
    <x v="0"/>
    <x v="0"/>
    <x v="4"/>
    <x v="6"/>
    <x v="58"/>
    <x v="0"/>
    <x v="14"/>
    <x v="5"/>
    <x v="60"/>
  </r>
  <r>
    <x v="92"/>
    <x v="91"/>
    <x v="114"/>
    <x v="0"/>
    <x v="62"/>
    <x v="101"/>
    <x v="101"/>
    <x v="100"/>
    <x v="100"/>
    <x v="0"/>
    <x v="468"/>
    <x v="476"/>
    <x v="418"/>
    <x v="374"/>
    <x v="52"/>
    <x v="430"/>
    <x v="49"/>
    <x v="1"/>
    <x v="13"/>
    <x v="3"/>
    <x v="4"/>
    <x v="99"/>
    <x v="359"/>
    <x v="15"/>
    <x v="48"/>
    <x v="7"/>
    <x v="5"/>
    <x v="60"/>
    <x v="0"/>
    <x v="16"/>
    <x v="5"/>
    <x v="62"/>
  </r>
  <r>
    <x v="92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92"/>
    <x v="93"/>
    <x v="117"/>
    <x v="1"/>
    <x v="62"/>
    <x v="103"/>
    <x v="103"/>
    <x v="102"/>
    <x v="10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92"/>
    <x v="94"/>
    <x v="118"/>
    <x v="0"/>
    <x v="63"/>
    <x v="104"/>
    <x v="104"/>
    <x v="103"/>
    <x v="103"/>
    <x v="0"/>
    <x v="469"/>
    <x v="477"/>
    <x v="419"/>
    <x v="375"/>
    <x v="37"/>
    <x v="431"/>
    <x v="83"/>
    <x v="2"/>
    <x v="4"/>
    <x v="7"/>
    <x v="2"/>
    <x v="234"/>
    <x v="360"/>
    <x v="0"/>
    <x v="0"/>
    <x v="1"/>
    <x v="5"/>
    <x v="61"/>
    <x v="0"/>
    <x v="14"/>
    <x v="5"/>
    <x v="63"/>
  </r>
  <r>
    <x v="92"/>
    <x v="97"/>
    <x v="121"/>
    <x v="0"/>
    <x v="64"/>
    <x v="106"/>
    <x v="106"/>
    <x v="105"/>
    <x v="105"/>
    <x v="0"/>
    <x v="470"/>
    <x v="308"/>
    <x v="314"/>
    <x v="376"/>
    <x v="12"/>
    <x v="432"/>
    <x v="26"/>
    <x v="2"/>
    <x v="14"/>
    <x v="3"/>
    <x v="3"/>
    <x v="70"/>
    <x v="361"/>
    <x v="0"/>
    <x v="0"/>
    <x v="5"/>
    <x v="2"/>
    <x v="62"/>
    <x v="0"/>
    <x v="14"/>
    <x v="5"/>
    <x v="64"/>
  </r>
  <r>
    <x v="92"/>
    <x v="98"/>
    <x v="122"/>
    <x v="1"/>
    <x v="52"/>
    <x v="107"/>
    <x v="107"/>
    <x v="106"/>
    <x v="106"/>
    <x v="0"/>
    <x v="471"/>
    <x v="478"/>
    <x v="420"/>
    <x v="377"/>
    <x v="92"/>
    <x v="433"/>
    <x v="22"/>
    <x v="2"/>
    <x v="50"/>
    <x v="5"/>
    <x v="3"/>
    <x v="68"/>
    <x v="362"/>
    <x v="2"/>
    <x v="49"/>
    <x v="5"/>
    <x v="2"/>
    <x v="50"/>
    <x v="0"/>
    <x v="14"/>
    <x v="5"/>
    <x v="52"/>
  </r>
  <r>
    <x v="92"/>
    <x v="98"/>
    <x v="123"/>
    <x v="0"/>
    <x v="65"/>
    <x v="108"/>
    <x v="108"/>
    <x v="107"/>
    <x v="107"/>
    <x v="0"/>
    <x v="472"/>
    <x v="479"/>
    <x v="421"/>
    <x v="378"/>
    <x v="52"/>
    <x v="434"/>
    <x v="86"/>
    <x v="2"/>
    <x v="42"/>
    <x v="5"/>
    <x v="3"/>
    <x v="36"/>
    <x v="363"/>
    <x v="0"/>
    <x v="0"/>
    <x v="7"/>
    <x v="10"/>
    <x v="63"/>
    <x v="0"/>
    <x v="14"/>
    <x v="5"/>
    <x v="65"/>
  </r>
  <r>
    <x v="93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93"/>
    <x v="90"/>
    <x v="111"/>
    <x v="0"/>
    <x v="60"/>
    <x v="98"/>
    <x v="98"/>
    <x v="97"/>
    <x v="97"/>
    <x v="0"/>
    <x v="473"/>
    <x v="480"/>
    <x v="422"/>
    <x v="379"/>
    <x v="53"/>
    <x v="435"/>
    <x v="180"/>
    <x v="7"/>
    <x v="132"/>
    <x v="7"/>
    <x v="3"/>
    <x v="235"/>
    <x v="364"/>
    <x v="0"/>
    <x v="0"/>
    <x v="5"/>
    <x v="6"/>
    <x v="58"/>
    <x v="0"/>
    <x v="14"/>
    <x v="5"/>
    <x v="60"/>
  </r>
  <r>
    <x v="93"/>
    <x v="90"/>
    <x v="112"/>
    <x v="1"/>
    <x v="46"/>
    <x v="99"/>
    <x v="99"/>
    <x v="98"/>
    <x v="98"/>
    <x v="0"/>
    <x v="474"/>
    <x v="481"/>
    <x v="423"/>
    <x v="380"/>
    <x v="50"/>
    <x v="436"/>
    <x v="64"/>
    <x v="1"/>
    <x v="7"/>
    <x v="5"/>
    <x v="1"/>
    <x v="148"/>
    <x v="365"/>
    <x v="24"/>
    <x v="50"/>
    <x v="4"/>
    <x v="5"/>
    <x v="46"/>
    <x v="0"/>
    <x v="14"/>
    <x v="5"/>
    <x v="46"/>
  </r>
  <r>
    <x v="93"/>
    <x v="91"/>
    <x v="114"/>
    <x v="0"/>
    <x v="62"/>
    <x v="101"/>
    <x v="101"/>
    <x v="100"/>
    <x v="100"/>
    <x v="0"/>
    <x v="475"/>
    <x v="482"/>
    <x v="424"/>
    <x v="381"/>
    <x v="73"/>
    <x v="437"/>
    <x v="106"/>
    <x v="2"/>
    <x v="89"/>
    <x v="3"/>
    <x v="2"/>
    <x v="45"/>
    <x v="366"/>
    <x v="3"/>
    <x v="48"/>
    <x v="4"/>
    <x v="11"/>
    <x v="60"/>
    <x v="0"/>
    <x v="16"/>
    <x v="5"/>
    <x v="62"/>
  </r>
  <r>
    <x v="93"/>
    <x v="94"/>
    <x v="118"/>
    <x v="0"/>
    <x v="63"/>
    <x v="104"/>
    <x v="104"/>
    <x v="103"/>
    <x v="103"/>
    <x v="0"/>
    <x v="476"/>
    <x v="483"/>
    <x v="425"/>
    <x v="116"/>
    <x v="42"/>
    <x v="438"/>
    <x v="181"/>
    <x v="6"/>
    <x v="133"/>
    <x v="15"/>
    <x v="13"/>
    <x v="236"/>
    <x v="286"/>
    <x v="0"/>
    <x v="0"/>
    <x v="4"/>
    <x v="13"/>
    <x v="61"/>
    <x v="0"/>
    <x v="14"/>
    <x v="5"/>
    <x v="63"/>
  </r>
  <r>
    <x v="93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  <x v="0"/>
    <x v="14"/>
    <x v="5"/>
    <x v="64"/>
  </r>
  <r>
    <x v="93"/>
    <x v="98"/>
    <x v="122"/>
    <x v="1"/>
    <x v="52"/>
    <x v="107"/>
    <x v="107"/>
    <x v="106"/>
    <x v="106"/>
    <x v="0"/>
    <x v="477"/>
    <x v="484"/>
    <x v="72"/>
    <x v="382"/>
    <x v="93"/>
    <x v="439"/>
    <x v="15"/>
    <x v="2"/>
    <x v="14"/>
    <x v="3"/>
    <x v="3"/>
    <x v="15"/>
    <x v="15"/>
    <x v="0"/>
    <x v="0"/>
    <x v="5"/>
    <x v="2"/>
    <x v="50"/>
    <x v="0"/>
    <x v="14"/>
    <x v="5"/>
    <x v="52"/>
  </r>
  <r>
    <x v="93"/>
    <x v="98"/>
    <x v="123"/>
    <x v="0"/>
    <x v="65"/>
    <x v="108"/>
    <x v="108"/>
    <x v="107"/>
    <x v="107"/>
    <x v="0"/>
    <x v="478"/>
    <x v="485"/>
    <x v="426"/>
    <x v="383"/>
    <x v="36"/>
    <x v="440"/>
    <x v="121"/>
    <x v="0"/>
    <x v="90"/>
    <x v="9"/>
    <x v="4"/>
    <x v="231"/>
    <x v="367"/>
    <x v="0"/>
    <x v="0"/>
    <x v="1"/>
    <x v="2"/>
    <x v="63"/>
    <x v="0"/>
    <x v="14"/>
    <x v="5"/>
    <x v="65"/>
  </r>
  <r>
    <x v="93"/>
    <x v="99"/>
    <x v="124"/>
    <x v="1"/>
    <x v="46"/>
    <x v="109"/>
    <x v="109"/>
    <x v="108"/>
    <x v="108"/>
    <x v="0"/>
    <x v="479"/>
    <x v="486"/>
    <x v="70"/>
    <x v="320"/>
    <x v="74"/>
    <x v="441"/>
    <x v="15"/>
    <x v="2"/>
    <x v="14"/>
    <x v="3"/>
    <x v="3"/>
    <x v="15"/>
    <x v="15"/>
    <x v="0"/>
    <x v="0"/>
    <x v="5"/>
    <x v="2"/>
    <x v="46"/>
    <x v="0"/>
    <x v="14"/>
    <x v="5"/>
    <x v="46"/>
  </r>
  <r>
    <x v="93"/>
    <x v="100"/>
    <x v="125"/>
    <x v="1"/>
    <x v="60"/>
    <x v="109"/>
    <x v="109"/>
    <x v="108"/>
    <x v="108"/>
    <x v="0"/>
    <x v="480"/>
    <x v="487"/>
    <x v="427"/>
    <x v="384"/>
    <x v="82"/>
    <x v="442"/>
    <x v="46"/>
    <x v="2"/>
    <x v="90"/>
    <x v="3"/>
    <x v="1"/>
    <x v="165"/>
    <x v="368"/>
    <x v="0"/>
    <x v="0"/>
    <x v="7"/>
    <x v="5"/>
    <x v="58"/>
    <x v="0"/>
    <x v="14"/>
    <x v="5"/>
    <x v="60"/>
  </r>
  <r>
    <x v="94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9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94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94"/>
    <x v="88"/>
    <x v="105"/>
    <x v="0"/>
    <x v="48"/>
    <x v="93"/>
    <x v="93"/>
    <x v="92"/>
    <x v="92"/>
    <x v="0"/>
    <x v="481"/>
    <x v="488"/>
    <x v="428"/>
    <x v="127"/>
    <x v="12"/>
    <x v="242"/>
    <x v="100"/>
    <x v="2"/>
    <x v="7"/>
    <x v="14"/>
    <x v="1"/>
    <x v="121"/>
    <x v="369"/>
    <x v="0"/>
    <x v="0"/>
    <x v="4"/>
    <x v="12"/>
    <x v="47"/>
    <x v="0"/>
    <x v="14"/>
    <x v="5"/>
    <x v="48"/>
  </r>
  <r>
    <x v="94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94"/>
    <x v="90"/>
    <x v="112"/>
    <x v="1"/>
    <x v="46"/>
    <x v="99"/>
    <x v="99"/>
    <x v="98"/>
    <x v="98"/>
    <x v="0"/>
    <x v="482"/>
    <x v="489"/>
    <x v="429"/>
    <x v="385"/>
    <x v="76"/>
    <x v="443"/>
    <x v="56"/>
    <x v="2"/>
    <x v="2"/>
    <x v="3"/>
    <x v="0"/>
    <x v="149"/>
    <x v="370"/>
    <x v="9"/>
    <x v="51"/>
    <x v="4"/>
    <x v="11"/>
    <x v="46"/>
    <x v="0"/>
    <x v="14"/>
    <x v="5"/>
    <x v="46"/>
  </r>
  <r>
    <x v="94"/>
    <x v="91"/>
    <x v="114"/>
    <x v="0"/>
    <x v="62"/>
    <x v="101"/>
    <x v="101"/>
    <x v="100"/>
    <x v="100"/>
    <x v="0"/>
    <x v="483"/>
    <x v="96"/>
    <x v="72"/>
    <x v="386"/>
    <x v="28"/>
    <x v="444"/>
    <x v="15"/>
    <x v="2"/>
    <x v="14"/>
    <x v="3"/>
    <x v="3"/>
    <x v="15"/>
    <x v="15"/>
    <x v="0"/>
    <x v="0"/>
    <x v="5"/>
    <x v="2"/>
    <x v="60"/>
    <x v="0"/>
    <x v="16"/>
    <x v="5"/>
    <x v="62"/>
  </r>
  <r>
    <x v="94"/>
    <x v="94"/>
    <x v="118"/>
    <x v="0"/>
    <x v="63"/>
    <x v="104"/>
    <x v="104"/>
    <x v="103"/>
    <x v="103"/>
    <x v="0"/>
    <x v="484"/>
    <x v="490"/>
    <x v="430"/>
    <x v="387"/>
    <x v="37"/>
    <x v="445"/>
    <x v="182"/>
    <x v="2"/>
    <x v="30"/>
    <x v="54"/>
    <x v="2"/>
    <x v="237"/>
    <x v="371"/>
    <x v="0"/>
    <x v="0"/>
    <x v="0"/>
    <x v="12"/>
    <x v="61"/>
    <x v="0"/>
    <x v="14"/>
    <x v="5"/>
    <x v="63"/>
  </r>
  <r>
    <x v="94"/>
    <x v="98"/>
    <x v="123"/>
    <x v="0"/>
    <x v="65"/>
    <x v="108"/>
    <x v="108"/>
    <x v="107"/>
    <x v="107"/>
    <x v="0"/>
    <x v="485"/>
    <x v="491"/>
    <x v="431"/>
    <x v="84"/>
    <x v="12"/>
    <x v="446"/>
    <x v="106"/>
    <x v="0"/>
    <x v="20"/>
    <x v="1"/>
    <x v="2"/>
    <x v="238"/>
    <x v="372"/>
    <x v="0"/>
    <x v="0"/>
    <x v="4"/>
    <x v="11"/>
    <x v="63"/>
    <x v="0"/>
    <x v="14"/>
    <x v="5"/>
    <x v="65"/>
  </r>
  <r>
    <x v="94"/>
    <x v="100"/>
    <x v="125"/>
    <x v="1"/>
    <x v="60"/>
    <x v="109"/>
    <x v="109"/>
    <x v="108"/>
    <x v="108"/>
    <x v="0"/>
    <x v="486"/>
    <x v="492"/>
    <x v="308"/>
    <x v="388"/>
    <x v="50"/>
    <x v="447"/>
    <x v="18"/>
    <x v="2"/>
    <x v="14"/>
    <x v="3"/>
    <x v="3"/>
    <x v="20"/>
    <x v="34"/>
    <x v="0"/>
    <x v="0"/>
    <x v="5"/>
    <x v="2"/>
    <x v="58"/>
    <x v="0"/>
    <x v="14"/>
    <x v="5"/>
    <x v="60"/>
  </r>
  <r>
    <x v="9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95"/>
    <x v="88"/>
    <x v="105"/>
    <x v="0"/>
    <x v="48"/>
    <x v="93"/>
    <x v="93"/>
    <x v="92"/>
    <x v="92"/>
    <x v="0"/>
    <x v="487"/>
    <x v="493"/>
    <x v="432"/>
    <x v="299"/>
    <x v="55"/>
    <x v="19"/>
    <x v="37"/>
    <x v="2"/>
    <x v="39"/>
    <x v="18"/>
    <x v="4"/>
    <x v="25"/>
    <x v="373"/>
    <x v="0"/>
    <x v="0"/>
    <x v="5"/>
    <x v="12"/>
    <x v="47"/>
    <x v="0"/>
    <x v="14"/>
    <x v="5"/>
    <x v="48"/>
  </r>
  <r>
    <x v="95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95"/>
    <x v="90"/>
    <x v="112"/>
    <x v="1"/>
    <x v="46"/>
    <x v="99"/>
    <x v="99"/>
    <x v="98"/>
    <x v="98"/>
    <x v="0"/>
    <x v="488"/>
    <x v="494"/>
    <x v="433"/>
    <x v="108"/>
    <x v="35"/>
    <x v="448"/>
    <x v="54"/>
    <x v="1"/>
    <x v="22"/>
    <x v="5"/>
    <x v="2"/>
    <x v="149"/>
    <x v="374"/>
    <x v="25"/>
    <x v="52"/>
    <x v="10"/>
    <x v="5"/>
    <x v="46"/>
    <x v="0"/>
    <x v="14"/>
    <x v="5"/>
    <x v="46"/>
  </r>
  <r>
    <x v="95"/>
    <x v="94"/>
    <x v="118"/>
    <x v="0"/>
    <x v="63"/>
    <x v="104"/>
    <x v="104"/>
    <x v="103"/>
    <x v="103"/>
    <x v="0"/>
    <x v="489"/>
    <x v="495"/>
    <x v="434"/>
    <x v="389"/>
    <x v="42"/>
    <x v="449"/>
    <x v="37"/>
    <x v="1"/>
    <x v="23"/>
    <x v="42"/>
    <x v="3"/>
    <x v="239"/>
    <x v="176"/>
    <x v="0"/>
    <x v="0"/>
    <x v="1"/>
    <x v="11"/>
    <x v="61"/>
    <x v="0"/>
    <x v="14"/>
    <x v="5"/>
    <x v="63"/>
  </r>
  <r>
    <x v="95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  <x v="0"/>
    <x v="14"/>
    <x v="5"/>
    <x v="64"/>
  </r>
  <r>
    <x v="95"/>
    <x v="98"/>
    <x v="123"/>
    <x v="0"/>
    <x v="65"/>
    <x v="108"/>
    <x v="108"/>
    <x v="107"/>
    <x v="107"/>
    <x v="0"/>
    <x v="490"/>
    <x v="496"/>
    <x v="435"/>
    <x v="297"/>
    <x v="8"/>
    <x v="72"/>
    <x v="106"/>
    <x v="3"/>
    <x v="8"/>
    <x v="6"/>
    <x v="3"/>
    <x v="166"/>
    <x v="375"/>
    <x v="0"/>
    <x v="0"/>
    <x v="10"/>
    <x v="5"/>
    <x v="63"/>
    <x v="0"/>
    <x v="14"/>
    <x v="5"/>
    <x v="65"/>
  </r>
  <r>
    <x v="9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96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96"/>
    <x v="88"/>
    <x v="105"/>
    <x v="0"/>
    <x v="48"/>
    <x v="93"/>
    <x v="93"/>
    <x v="92"/>
    <x v="92"/>
    <x v="0"/>
    <x v="491"/>
    <x v="497"/>
    <x v="436"/>
    <x v="188"/>
    <x v="36"/>
    <x v="450"/>
    <x v="128"/>
    <x v="7"/>
    <x v="87"/>
    <x v="10"/>
    <x v="23"/>
    <x v="240"/>
    <x v="376"/>
    <x v="0"/>
    <x v="0"/>
    <x v="5"/>
    <x v="5"/>
    <x v="47"/>
    <x v="0"/>
    <x v="14"/>
    <x v="5"/>
    <x v="48"/>
  </r>
  <r>
    <x v="96"/>
    <x v="90"/>
    <x v="111"/>
    <x v="0"/>
    <x v="60"/>
    <x v="98"/>
    <x v="98"/>
    <x v="97"/>
    <x v="97"/>
    <x v="0"/>
    <x v="492"/>
    <x v="498"/>
    <x v="437"/>
    <x v="86"/>
    <x v="53"/>
    <x v="451"/>
    <x v="42"/>
    <x v="0"/>
    <x v="9"/>
    <x v="12"/>
    <x v="2"/>
    <x v="180"/>
    <x v="377"/>
    <x v="0"/>
    <x v="0"/>
    <x v="5"/>
    <x v="6"/>
    <x v="58"/>
    <x v="0"/>
    <x v="14"/>
    <x v="5"/>
    <x v="60"/>
  </r>
  <r>
    <x v="96"/>
    <x v="90"/>
    <x v="112"/>
    <x v="1"/>
    <x v="46"/>
    <x v="99"/>
    <x v="99"/>
    <x v="98"/>
    <x v="98"/>
    <x v="0"/>
    <x v="493"/>
    <x v="499"/>
    <x v="438"/>
    <x v="390"/>
    <x v="35"/>
    <x v="452"/>
    <x v="30"/>
    <x v="2"/>
    <x v="4"/>
    <x v="3"/>
    <x v="2"/>
    <x v="241"/>
    <x v="378"/>
    <x v="26"/>
    <x v="53"/>
    <x v="3"/>
    <x v="12"/>
    <x v="46"/>
    <x v="0"/>
    <x v="14"/>
    <x v="5"/>
    <x v="46"/>
  </r>
  <r>
    <x v="96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96"/>
    <x v="94"/>
    <x v="118"/>
    <x v="0"/>
    <x v="63"/>
    <x v="104"/>
    <x v="104"/>
    <x v="103"/>
    <x v="103"/>
    <x v="0"/>
    <x v="494"/>
    <x v="500"/>
    <x v="439"/>
    <x v="253"/>
    <x v="42"/>
    <x v="453"/>
    <x v="183"/>
    <x v="1"/>
    <x v="17"/>
    <x v="17"/>
    <x v="4"/>
    <x v="117"/>
    <x v="379"/>
    <x v="0"/>
    <x v="0"/>
    <x v="5"/>
    <x v="11"/>
    <x v="61"/>
    <x v="0"/>
    <x v="14"/>
    <x v="5"/>
    <x v="63"/>
  </r>
  <r>
    <x v="96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  <x v="0"/>
    <x v="14"/>
    <x v="5"/>
    <x v="64"/>
  </r>
  <r>
    <x v="96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  <x v="65"/>
  </r>
  <r>
    <x v="96"/>
    <x v="100"/>
    <x v="125"/>
    <x v="1"/>
    <x v="60"/>
    <x v="109"/>
    <x v="109"/>
    <x v="108"/>
    <x v="108"/>
    <x v="0"/>
    <x v="30"/>
    <x v="179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97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9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97"/>
    <x v="85"/>
    <x v="99"/>
    <x v="0"/>
    <x v="53"/>
    <x v="87"/>
    <x v="87"/>
    <x v="86"/>
    <x v="8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1"/>
    <x v="0"/>
    <x v="14"/>
    <x v="5"/>
    <x v="53"/>
  </r>
  <r>
    <x v="97"/>
    <x v="88"/>
    <x v="105"/>
    <x v="0"/>
    <x v="48"/>
    <x v="93"/>
    <x v="93"/>
    <x v="92"/>
    <x v="92"/>
    <x v="0"/>
    <x v="495"/>
    <x v="501"/>
    <x v="440"/>
    <x v="391"/>
    <x v="12"/>
    <x v="454"/>
    <x v="26"/>
    <x v="2"/>
    <x v="14"/>
    <x v="3"/>
    <x v="3"/>
    <x v="70"/>
    <x v="380"/>
    <x v="0"/>
    <x v="0"/>
    <x v="5"/>
    <x v="2"/>
    <x v="47"/>
    <x v="0"/>
    <x v="14"/>
    <x v="5"/>
    <x v="48"/>
  </r>
  <r>
    <x v="97"/>
    <x v="90"/>
    <x v="111"/>
    <x v="0"/>
    <x v="60"/>
    <x v="98"/>
    <x v="98"/>
    <x v="97"/>
    <x v="97"/>
    <x v="0"/>
    <x v="496"/>
    <x v="502"/>
    <x v="441"/>
    <x v="392"/>
    <x v="58"/>
    <x v="455"/>
    <x v="176"/>
    <x v="1"/>
    <x v="38"/>
    <x v="1"/>
    <x v="4"/>
    <x v="99"/>
    <x v="381"/>
    <x v="0"/>
    <x v="0"/>
    <x v="5"/>
    <x v="5"/>
    <x v="58"/>
    <x v="0"/>
    <x v="14"/>
    <x v="5"/>
    <x v="60"/>
  </r>
  <r>
    <x v="97"/>
    <x v="90"/>
    <x v="112"/>
    <x v="1"/>
    <x v="46"/>
    <x v="99"/>
    <x v="99"/>
    <x v="98"/>
    <x v="98"/>
    <x v="0"/>
    <x v="497"/>
    <x v="503"/>
    <x v="442"/>
    <x v="390"/>
    <x v="48"/>
    <x v="437"/>
    <x v="31"/>
    <x v="1"/>
    <x v="4"/>
    <x v="3"/>
    <x v="1"/>
    <x v="52"/>
    <x v="382"/>
    <x v="19"/>
    <x v="54"/>
    <x v="7"/>
    <x v="12"/>
    <x v="46"/>
    <x v="0"/>
    <x v="14"/>
    <x v="5"/>
    <x v="46"/>
  </r>
  <r>
    <x v="97"/>
    <x v="91"/>
    <x v="114"/>
    <x v="0"/>
    <x v="62"/>
    <x v="101"/>
    <x v="101"/>
    <x v="100"/>
    <x v="100"/>
    <x v="0"/>
    <x v="498"/>
    <x v="504"/>
    <x v="443"/>
    <x v="393"/>
    <x v="35"/>
    <x v="456"/>
    <x v="34"/>
    <x v="1"/>
    <x v="23"/>
    <x v="3"/>
    <x v="2"/>
    <x v="41"/>
    <x v="383"/>
    <x v="27"/>
    <x v="23"/>
    <x v="12"/>
    <x v="11"/>
    <x v="60"/>
    <x v="0"/>
    <x v="16"/>
    <x v="5"/>
    <x v="62"/>
  </r>
  <r>
    <x v="97"/>
    <x v="94"/>
    <x v="118"/>
    <x v="0"/>
    <x v="63"/>
    <x v="104"/>
    <x v="104"/>
    <x v="103"/>
    <x v="103"/>
    <x v="0"/>
    <x v="499"/>
    <x v="505"/>
    <x v="293"/>
    <x v="194"/>
    <x v="42"/>
    <x v="457"/>
    <x v="28"/>
    <x v="1"/>
    <x v="10"/>
    <x v="26"/>
    <x v="2"/>
    <x v="16"/>
    <x v="319"/>
    <x v="0"/>
    <x v="0"/>
    <x v="23"/>
    <x v="11"/>
    <x v="61"/>
    <x v="0"/>
    <x v="14"/>
    <x v="5"/>
    <x v="63"/>
  </r>
  <r>
    <x v="97"/>
    <x v="96"/>
    <x v="120"/>
    <x v="1"/>
    <x v="61"/>
    <x v="105"/>
    <x v="105"/>
    <x v="104"/>
    <x v="104"/>
    <x v="0"/>
    <x v="500"/>
    <x v="506"/>
    <x v="313"/>
    <x v="394"/>
    <x v="43"/>
    <x v="458"/>
    <x v="23"/>
    <x v="2"/>
    <x v="50"/>
    <x v="3"/>
    <x v="1"/>
    <x v="8"/>
    <x v="384"/>
    <x v="1"/>
    <x v="55"/>
    <x v="5"/>
    <x v="12"/>
    <x v="59"/>
    <x v="0"/>
    <x v="14"/>
    <x v="5"/>
    <x v="61"/>
  </r>
  <r>
    <x v="97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  <x v="65"/>
  </r>
  <r>
    <x v="97"/>
    <x v="101"/>
    <x v="126"/>
    <x v="0"/>
    <x v="66"/>
    <x v="110"/>
    <x v="110"/>
    <x v="109"/>
    <x v="109"/>
    <x v="0"/>
    <x v="501"/>
    <x v="507"/>
    <x v="444"/>
    <x v="395"/>
    <x v="30"/>
    <x v="459"/>
    <x v="184"/>
    <x v="6"/>
    <x v="17"/>
    <x v="51"/>
    <x v="6"/>
    <x v="242"/>
    <x v="385"/>
    <x v="0"/>
    <x v="0"/>
    <x v="39"/>
    <x v="11"/>
    <x v="64"/>
    <x v="0"/>
    <x v="14"/>
    <x v="5"/>
    <x v="66"/>
  </r>
  <r>
    <x v="97"/>
    <x v="101"/>
    <x v="127"/>
    <x v="0"/>
    <x v="67"/>
    <x v="111"/>
    <x v="111"/>
    <x v="110"/>
    <x v="110"/>
    <x v="0"/>
    <x v="502"/>
    <x v="508"/>
    <x v="445"/>
    <x v="308"/>
    <x v="37"/>
    <x v="460"/>
    <x v="66"/>
    <x v="2"/>
    <x v="20"/>
    <x v="6"/>
    <x v="3"/>
    <x v="191"/>
    <x v="386"/>
    <x v="0"/>
    <x v="0"/>
    <x v="5"/>
    <x v="2"/>
    <x v="65"/>
    <x v="0"/>
    <x v="14"/>
    <x v="5"/>
    <x v="67"/>
  </r>
  <r>
    <x v="98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98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98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98"/>
    <x v="90"/>
    <x v="111"/>
    <x v="0"/>
    <x v="60"/>
    <x v="98"/>
    <x v="98"/>
    <x v="97"/>
    <x v="97"/>
    <x v="0"/>
    <x v="503"/>
    <x v="509"/>
    <x v="446"/>
    <x v="396"/>
    <x v="3"/>
    <x v="461"/>
    <x v="128"/>
    <x v="1"/>
    <x v="36"/>
    <x v="51"/>
    <x v="2"/>
    <x v="240"/>
    <x v="387"/>
    <x v="0"/>
    <x v="0"/>
    <x v="2"/>
    <x v="2"/>
    <x v="58"/>
    <x v="0"/>
    <x v="14"/>
    <x v="5"/>
    <x v="60"/>
  </r>
  <r>
    <x v="98"/>
    <x v="90"/>
    <x v="112"/>
    <x v="1"/>
    <x v="46"/>
    <x v="99"/>
    <x v="99"/>
    <x v="98"/>
    <x v="98"/>
    <x v="0"/>
    <x v="504"/>
    <x v="510"/>
    <x v="447"/>
    <x v="252"/>
    <x v="48"/>
    <x v="462"/>
    <x v="185"/>
    <x v="1"/>
    <x v="45"/>
    <x v="3"/>
    <x v="3"/>
    <x v="243"/>
    <x v="388"/>
    <x v="28"/>
    <x v="56"/>
    <x v="11"/>
    <x v="5"/>
    <x v="46"/>
    <x v="0"/>
    <x v="14"/>
    <x v="5"/>
    <x v="46"/>
  </r>
  <r>
    <x v="98"/>
    <x v="91"/>
    <x v="114"/>
    <x v="0"/>
    <x v="62"/>
    <x v="101"/>
    <x v="101"/>
    <x v="100"/>
    <x v="100"/>
    <x v="0"/>
    <x v="505"/>
    <x v="511"/>
    <x v="448"/>
    <x v="291"/>
    <x v="71"/>
    <x v="463"/>
    <x v="114"/>
    <x v="1"/>
    <x v="55"/>
    <x v="5"/>
    <x v="3"/>
    <x v="104"/>
    <x v="389"/>
    <x v="15"/>
    <x v="57"/>
    <x v="39"/>
    <x v="10"/>
    <x v="60"/>
    <x v="0"/>
    <x v="16"/>
    <x v="5"/>
    <x v="62"/>
  </r>
  <r>
    <x v="98"/>
    <x v="94"/>
    <x v="118"/>
    <x v="0"/>
    <x v="63"/>
    <x v="104"/>
    <x v="104"/>
    <x v="103"/>
    <x v="103"/>
    <x v="0"/>
    <x v="506"/>
    <x v="512"/>
    <x v="449"/>
    <x v="397"/>
    <x v="32"/>
    <x v="464"/>
    <x v="38"/>
    <x v="2"/>
    <x v="85"/>
    <x v="33"/>
    <x v="2"/>
    <x v="105"/>
    <x v="288"/>
    <x v="0"/>
    <x v="0"/>
    <x v="4"/>
    <x v="12"/>
    <x v="61"/>
    <x v="0"/>
    <x v="14"/>
    <x v="5"/>
    <x v="63"/>
  </r>
  <r>
    <x v="98"/>
    <x v="96"/>
    <x v="120"/>
    <x v="1"/>
    <x v="61"/>
    <x v="105"/>
    <x v="105"/>
    <x v="104"/>
    <x v="104"/>
    <x v="0"/>
    <x v="507"/>
    <x v="513"/>
    <x v="286"/>
    <x v="89"/>
    <x v="74"/>
    <x v="465"/>
    <x v="15"/>
    <x v="2"/>
    <x v="14"/>
    <x v="3"/>
    <x v="3"/>
    <x v="15"/>
    <x v="15"/>
    <x v="0"/>
    <x v="0"/>
    <x v="5"/>
    <x v="2"/>
    <x v="59"/>
    <x v="0"/>
    <x v="14"/>
    <x v="5"/>
    <x v="61"/>
  </r>
  <r>
    <x v="98"/>
    <x v="98"/>
    <x v="122"/>
    <x v="1"/>
    <x v="52"/>
    <x v="107"/>
    <x v="107"/>
    <x v="106"/>
    <x v="10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0"/>
    <x v="0"/>
    <x v="14"/>
    <x v="5"/>
    <x v="52"/>
  </r>
  <r>
    <x v="98"/>
    <x v="101"/>
    <x v="126"/>
    <x v="0"/>
    <x v="66"/>
    <x v="110"/>
    <x v="110"/>
    <x v="109"/>
    <x v="109"/>
    <x v="0"/>
    <x v="508"/>
    <x v="514"/>
    <x v="450"/>
    <x v="398"/>
    <x v="36"/>
    <x v="466"/>
    <x v="176"/>
    <x v="2"/>
    <x v="90"/>
    <x v="6"/>
    <x v="7"/>
    <x v="121"/>
    <x v="390"/>
    <x v="0"/>
    <x v="0"/>
    <x v="4"/>
    <x v="5"/>
    <x v="64"/>
    <x v="0"/>
    <x v="14"/>
    <x v="5"/>
    <x v="66"/>
  </r>
  <r>
    <x v="98"/>
    <x v="101"/>
    <x v="127"/>
    <x v="0"/>
    <x v="67"/>
    <x v="111"/>
    <x v="111"/>
    <x v="110"/>
    <x v="110"/>
    <x v="0"/>
    <x v="30"/>
    <x v="51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  <x v="67"/>
  </r>
  <r>
    <x v="99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99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99"/>
    <x v="90"/>
    <x v="111"/>
    <x v="0"/>
    <x v="60"/>
    <x v="98"/>
    <x v="98"/>
    <x v="97"/>
    <x v="97"/>
    <x v="0"/>
    <x v="509"/>
    <x v="516"/>
    <x v="94"/>
    <x v="399"/>
    <x v="32"/>
    <x v="19"/>
    <x v="18"/>
    <x v="2"/>
    <x v="14"/>
    <x v="3"/>
    <x v="3"/>
    <x v="20"/>
    <x v="391"/>
    <x v="0"/>
    <x v="0"/>
    <x v="5"/>
    <x v="2"/>
    <x v="58"/>
    <x v="0"/>
    <x v="14"/>
    <x v="5"/>
    <x v="60"/>
  </r>
  <r>
    <x v="99"/>
    <x v="90"/>
    <x v="112"/>
    <x v="1"/>
    <x v="46"/>
    <x v="99"/>
    <x v="99"/>
    <x v="98"/>
    <x v="98"/>
    <x v="0"/>
    <x v="510"/>
    <x v="517"/>
    <x v="451"/>
    <x v="335"/>
    <x v="35"/>
    <x v="467"/>
    <x v="112"/>
    <x v="0"/>
    <x v="91"/>
    <x v="0"/>
    <x v="1"/>
    <x v="77"/>
    <x v="392"/>
    <x v="29"/>
    <x v="58"/>
    <x v="0"/>
    <x v="3"/>
    <x v="46"/>
    <x v="0"/>
    <x v="14"/>
    <x v="5"/>
    <x v="46"/>
  </r>
  <r>
    <x v="99"/>
    <x v="91"/>
    <x v="114"/>
    <x v="0"/>
    <x v="62"/>
    <x v="101"/>
    <x v="101"/>
    <x v="100"/>
    <x v="100"/>
    <x v="0"/>
    <x v="511"/>
    <x v="518"/>
    <x v="452"/>
    <x v="277"/>
    <x v="27"/>
    <x v="468"/>
    <x v="40"/>
    <x v="0"/>
    <x v="4"/>
    <x v="3"/>
    <x v="4"/>
    <x v="79"/>
    <x v="393"/>
    <x v="3"/>
    <x v="27"/>
    <x v="2"/>
    <x v="13"/>
    <x v="60"/>
    <x v="0"/>
    <x v="16"/>
    <x v="5"/>
    <x v="62"/>
  </r>
  <r>
    <x v="99"/>
    <x v="94"/>
    <x v="118"/>
    <x v="0"/>
    <x v="63"/>
    <x v="104"/>
    <x v="104"/>
    <x v="103"/>
    <x v="103"/>
    <x v="0"/>
    <x v="512"/>
    <x v="519"/>
    <x v="453"/>
    <x v="400"/>
    <x v="4"/>
    <x v="214"/>
    <x v="15"/>
    <x v="2"/>
    <x v="14"/>
    <x v="3"/>
    <x v="3"/>
    <x v="15"/>
    <x v="15"/>
    <x v="0"/>
    <x v="0"/>
    <x v="5"/>
    <x v="2"/>
    <x v="61"/>
    <x v="0"/>
    <x v="14"/>
    <x v="5"/>
    <x v="63"/>
  </r>
  <r>
    <x v="99"/>
    <x v="101"/>
    <x v="126"/>
    <x v="0"/>
    <x v="66"/>
    <x v="110"/>
    <x v="110"/>
    <x v="109"/>
    <x v="109"/>
    <x v="0"/>
    <x v="513"/>
    <x v="520"/>
    <x v="454"/>
    <x v="191"/>
    <x v="82"/>
    <x v="469"/>
    <x v="87"/>
    <x v="7"/>
    <x v="91"/>
    <x v="51"/>
    <x v="4"/>
    <x v="16"/>
    <x v="394"/>
    <x v="0"/>
    <x v="0"/>
    <x v="10"/>
    <x v="2"/>
    <x v="64"/>
    <x v="0"/>
    <x v="14"/>
    <x v="5"/>
    <x v="66"/>
  </r>
  <r>
    <x v="99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  <x v="67"/>
  </r>
  <r>
    <x v="99"/>
    <x v="102"/>
    <x v="128"/>
    <x v="0"/>
    <x v="68"/>
    <x v="112"/>
    <x v="112"/>
    <x v="111"/>
    <x v="111"/>
    <x v="0"/>
    <x v="514"/>
    <x v="521"/>
    <x v="455"/>
    <x v="232"/>
    <x v="36"/>
    <x v="266"/>
    <x v="19"/>
    <x v="1"/>
    <x v="49"/>
    <x v="11"/>
    <x v="0"/>
    <x v="244"/>
    <x v="395"/>
    <x v="0"/>
    <x v="0"/>
    <x v="5"/>
    <x v="2"/>
    <x v="66"/>
    <x v="0"/>
    <x v="14"/>
    <x v="5"/>
    <x v="68"/>
  </r>
  <r>
    <x v="100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100"/>
    <x v="88"/>
    <x v="105"/>
    <x v="0"/>
    <x v="48"/>
    <x v="93"/>
    <x v="93"/>
    <x v="92"/>
    <x v="92"/>
    <x v="0"/>
    <x v="515"/>
    <x v="522"/>
    <x v="456"/>
    <x v="208"/>
    <x v="21"/>
    <x v="470"/>
    <x v="18"/>
    <x v="2"/>
    <x v="14"/>
    <x v="3"/>
    <x v="3"/>
    <x v="20"/>
    <x v="396"/>
    <x v="0"/>
    <x v="0"/>
    <x v="5"/>
    <x v="2"/>
    <x v="47"/>
    <x v="0"/>
    <x v="14"/>
    <x v="5"/>
    <x v="48"/>
  </r>
  <r>
    <x v="100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00"/>
    <x v="90"/>
    <x v="112"/>
    <x v="1"/>
    <x v="46"/>
    <x v="99"/>
    <x v="99"/>
    <x v="98"/>
    <x v="98"/>
    <x v="0"/>
    <x v="516"/>
    <x v="523"/>
    <x v="85"/>
    <x v="401"/>
    <x v="48"/>
    <x v="471"/>
    <x v="15"/>
    <x v="2"/>
    <x v="14"/>
    <x v="3"/>
    <x v="3"/>
    <x v="15"/>
    <x v="15"/>
    <x v="0"/>
    <x v="0"/>
    <x v="5"/>
    <x v="2"/>
    <x v="46"/>
    <x v="0"/>
    <x v="14"/>
    <x v="5"/>
    <x v="46"/>
  </r>
  <r>
    <x v="100"/>
    <x v="91"/>
    <x v="114"/>
    <x v="0"/>
    <x v="62"/>
    <x v="101"/>
    <x v="101"/>
    <x v="100"/>
    <x v="100"/>
    <x v="0"/>
    <x v="517"/>
    <x v="338"/>
    <x v="306"/>
    <x v="402"/>
    <x v="58"/>
    <x v="472"/>
    <x v="15"/>
    <x v="2"/>
    <x v="14"/>
    <x v="3"/>
    <x v="3"/>
    <x v="15"/>
    <x v="15"/>
    <x v="0"/>
    <x v="0"/>
    <x v="5"/>
    <x v="2"/>
    <x v="60"/>
    <x v="0"/>
    <x v="16"/>
    <x v="5"/>
    <x v="62"/>
  </r>
  <r>
    <x v="100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  <x v="63"/>
  </r>
  <r>
    <x v="100"/>
    <x v="96"/>
    <x v="120"/>
    <x v="1"/>
    <x v="61"/>
    <x v="105"/>
    <x v="105"/>
    <x v="104"/>
    <x v="10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9"/>
    <x v="0"/>
    <x v="14"/>
    <x v="5"/>
    <x v="61"/>
  </r>
  <r>
    <x v="100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  <x v="65"/>
  </r>
  <r>
    <x v="100"/>
    <x v="101"/>
    <x v="126"/>
    <x v="0"/>
    <x v="66"/>
    <x v="110"/>
    <x v="110"/>
    <x v="109"/>
    <x v="109"/>
    <x v="0"/>
    <x v="518"/>
    <x v="524"/>
    <x v="304"/>
    <x v="403"/>
    <x v="35"/>
    <x v="473"/>
    <x v="26"/>
    <x v="2"/>
    <x v="24"/>
    <x v="3"/>
    <x v="3"/>
    <x v="83"/>
    <x v="397"/>
    <x v="0"/>
    <x v="0"/>
    <x v="5"/>
    <x v="2"/>
    <x v="64"/>
    <x v="0"/>
    <x v="14"/>
    <x v="5"/>
    <x v="66"/>
  </r>
  <r>
    <x v="100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  <x v="67"/>
  </r>
  <r>
    <x v="100"/>
    <x v="102"/>
    <x v="128"/>
    <x v="0"/>
    <x v="68"/>
    <x v="112"/>
    <x v="112"/>
    <x v="111"/>
    <x v="111"/>
    <x v="0"/>
    <x v="519"/>
    <x v="525"/>
    <x v="457"/>
    <x v="233"/>
    <x v="12"/>
    <x v="474"/>
    <x v="18"/>
    <x v="2"/>
    <x v="14"/>
    <x v="3"/>
    <x v="3"/>
    <x v="20"/>
    <x v="398"/>
    <x v="0"/>
    <x v="0"/>
    <x v="5"/>
    <x v="2"/>
    <x v="66"/>
    <x v="0"/>
    <x v="14"/>
    <x v="5"/>
    <x v="68"/>
  </r>
  <r>
    <x v="100"/>
    <x v="103"/>
    <x v="129"/>
    <x v="0"/>
    <x v="48"/>
    <x v="113"/>
    <x v="113"/>
    <x v="112"/>
    <x v="112"/>
    <x v="0"/>
    <x v="520"/>
    <x v="526"/>
    <x v="458"/>
    <x v="213"/>
    <x v="74"/>
    <x v="475"/>
    <x v="84"/>
    <x v="2"/>
    <x v="28"/>
    <x v="39"/>
    <x v="0"/>
    <x v="218"/>
    <x v="399"/>
    <x v="0"/>
    <x v="0"/>
    <x v="4"/>
    <x v="12"/>
    <x v="47"/>
    <x v="0"/>
    <x v="14"/>
    <x v="5"/>
    <x v="48"/>
  </r>
  <r>
    <x v="101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01"/>
    <x v="88"/>
    <x v="105"/>
    <x v="0"/>
    <x v="48"/>
    <x v="93"/>
    <x v="93"/>
    <x v="92"/>
    <x v="92"/>
    <x v="0"/>
    <x v="521"/>
    <x v="527"/>
    <x v="308"/>
    <x v="165"/>
    <x v="26"/>
    <x v="476"/>
    <x v="15"/>
    <x v="2"/>
    <x v="14"/>
    <x v="3"/>
    <x v="3"/>
    <x v="15"/>
    <x v="15"/>
    <x v="0"/>
    <x v="0"/>
    <x v="5"/>
    <x v="2"/>
    <x v="47"/>
    <x v="0"/>
    <x v="14"/>
    <x v="5"/>
    <x v="48"/>
  </r>
  <r>
    <x v="10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01"/>
    <x v="90"/>
    <x v="112"/>
    <x v="1"/>
    <x v="46"/>
    <x v="99"/>
    <x v="99"/>
    <x v="98"/>
    <x v="98"/>
    <x v="0"/>
    <x v="522"/>
    <x v="528"/>
    <x v="459"/>
    <x v="404"/>
    <x v="52"/>
    <x v="477"/>
    <x v="43"/>
    <x v="2"/>
    <x v="22"/>
    <x v="5"/>
    <x v="2"/>
    <x v="149"/>
    <x v="400"/>
    <x v="30"/>
    <x v="59"/>
    <x v="1"/>
    <x v="6"/>
    <x v="46"/>
    <x v="0"/>
    <x v="14"/>
    <x v="5"/>
    <x v="46"/>
  </r>
  <r>
    <x v="101"/>
    <x v="91"/>
    <x v="114"/>
    <x v="0"/>
    <x v="62"/>
    <x v="101"/>
    <x v="101"/>
    <x v="100"/>
    <x v="100"/>
    <x v="0"/>
    <x v="523"/>
    <x v="529"/>
    <x v="460"/>
    <x v="405"/>
    <x v="36"/>
    <x v="478"/>
    <x v="60"/>
    <x v="2"/>
    <x v="28"/>
    <x v="3"/>
    <x v="4"/>
    <x v="203"/>
    <x v="401"/>
    <x v="23"/>
    <x v="42"/>
    <x v="3"/>
    <x v="6"/>
    <x v="60"/>
    <x v="0"/>
    <x v="16"/>
    <x v="5"/>
    <x v="62"/>
  </r>
  <r>
    <x v="101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  <x v="63"/>
  </r>
  <r>
    <x v="101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  <x v="65"/>
  </r>
  <r>
    <x v="101"/>
    <x v="101"/>
    <x v="126"/>
    <x v="0"/>
    <x v="66"/>
    <x v="110"/>
    <x v="110"/>
    <x v="109"/>
    <x v="109"/>
    <x v="0"/>
    <x v="524"/>
    <x v="530"/>
    <x v="461"/>
    <x v="228"/>
    <x v="76"/>
    <x v="479"/>
    <x v="114"/>
    <x v="7"/>
    <x v="2"/>
    <x v="14"/>
    <x v="23"/>
    <x v="234"/>
    <x v="402"/>
    <x v="0"/>
    <x v="0"/>
    <x v="5"/>
    <x v="2"/>
    <x v="64"/>
    <x v="0"/>
    <x v="14"/>
    <x v="5"/>
    <x v="66"/>
  </r>
  <r>
    <x v="101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  <x v="67"/>
  </r>
  <r>
    <x v="101"/>
    <x v="102"/>
    <x v="130"/>
    <x v="0"/>
    <x v="69"/>
    <x v="114"/>
    <x v="114"/>
    <x v="113"/>
    <x v="113"/>
    <x v="0"/>
    <x v="525"/>
    <x v="531"/>
    <x v="462"/>
    <x v="140"/>
    <x v="82"/>
    <x v="480"/>
    <x v="60"/>
    <x v="0"/>
    <x v="38"/>
    <x v="3"/>
    <x v="4"/>
    <x v="203"/>
    <x v="403"/>
    <x v="0"/>
    <x v="0"/>
    <x v="3"/>
    <x v="11"/>
    <x v="67"/>
    <x v="0"/>
    <x v="14"/>
    <x v="5"/>
    <x v="69"/>
  </r>
  <r>
    <x v="101"/>
    <x v="102"/>
    <x v="128"/>
    <x v="0"/>
    <x v="68"/>
    <x v="112"/>
    <x v="112"/>
    <x v="111"/>
    <x v="1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6"/>
    <x v="0"/>
    <x v="14"/>
    <x v="5"/>
    <x v="68"/>
  </r>
  <r>
    <x v="101"/>
    <x v="103"/>
    <x v="129"/>
    <x v="0"/>
    <x v="48"/>
    <x v="113"/>
    <x v="113"/>
    <x v="112"/>
    <x v="112"/>
    <x v="0"/>
    <x v="526"/>
    <x v="532"/>
    <x v="118"/>
    <x v="270"/>
    <x v="10"/>
    <x v="481"/>
    <x v="8"/>
    <x v="2"/>
    <x v="50"/>
    <x v="11"/>
    <x v="3"/>
    <x v="93"/>
    <x v="404"/>
    <x v="0"/>
    <x v="0"/>
    <x v="5"/>
    <x v="2"/>
    <x v="47"/>
    <x v="0"/>
    <x v="14"/>
    <x v="5"/>
    <x v="48"/>
  </r>
  <r>
    <x v="10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02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10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02"/>
    <x v="90"/>
    <x v="112"/>
    <x v="1"/>
    <x v="46"/>
    <x v="99"/>
    <x v="99"/>
    <x v="98"/>
    <x v="98"/>
    <x v="0"/>
    <x v="527"/>
    <x v="533"/>
    <x v="463"/>
    <x v="357"/>
    <x v="48"/>
    <x v="482"/>
    <x v="10"/>
    <x v="2"/>
    <x v="2"/>
    <x v="3"/>
    <x v="3"/>
    <x v="154"/>
    <x v="405"/>
    <x v="31"/>
    <x v="60"/>
    <x v="7"/>
    <x v="10"/>
    <x v="46"/>
    <x v="0"/>
    <x v="14"/>
    <x v="5"/>
    <x v="46"/>
  </r>
  <r>
    <x v="102"/>
    <x v="91"/>
    <x v="114"/>
    <x v="0"/>
    <x v="62"/>
    <x v="101"/>
    <x v="101"/>
    <x v="100"/>
    <x v="100"/>
    <x v="0"/>
    <x v="528"/>
    <x v="534"/>
    <x v="464"/>
    <x v="406"/>
    <x v="14"/>
    <x v="161"/>
    <x v="118"/>
    <x v="2"/>
    <x v="89"/>
    <x v="5"/>
    <x v="0"/>
    <x v="245"/>
    <x v="406"/>
    <x v="4"/>
    <x v="61"/>
    <x v="1"/>
    <x v="3"/>
    <x v="60"/>
    <x v="0"/>
    <x v="16"/>
    <x v="5"/>
    <x v="62"/>
  </r>
  <r>
    <x v="102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  <x v="63"/>
  </r>
  <r>
    <x v="102"/>
    <x v="101"/>
    <x v="126"/>
    <x v="0"/>
    <x v="66"/>
    <x v="110"/>
    <x v="110"/>
    <x v="109"/>
    <x v="109"/>
    <x v="0"/>
    <x v="529"/>
    <x v="535"/>
    <x v="465"/>
    <x v="390"/>
    <x v="52"/>
    <x v="464"/>
    <x v="111"/>
    <x v="6"/>
    <x v="17"/>
    <x v="51"/>
    <x v="26"/>
    <x v="124"/>
    <x v="1"/>
    <x v="0"/>
    <x v="0"/>
    <x v="5"/>
    <x v="2"/>
    <x v="64"/>
    <x v="0"/>
    <x v="14"/>
    <x v="5"/>
    <x v="66"/>
  </r>
  <r>
    <x v="102"/>
    <x v="102"/>
    <x v="130"/>
    <x v="0"/>
    <x v="69"/>
    <x v="114"/>
    <x v="114"/>
    <x v="113"/>
    <x v="113"/>
    <x v="0"/>
    <x v="530"/>
    <x v="536"/>
    <x v="466"/>
    <x v="407"/>
    <x v="83"/>
    <x v="78"/>
    <x v="144"/>
    <x v="3"/>
    <x v="81"/>
    <x v="3"/>
    <x v="23"/>
    <x v="246"/>
    <x v="407"/>
    <x v="0"/>
    <x v="0"/>
    <x v="40"/>
    <x v="3"/>
    <x v="67"/>
    <x v="0"/>
    <x v="14"/>
    <x v="5"/>
    <x v="69"/>
  </r>
  <r>
    <x v="102"/>
    <x v="102"/>
    <x v="128"/>
    <x v="0"/>
    <x v="68"/>
    <x v="112"/>
    <x v="112"/>
    <x v="111"/>
    <x v="1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6"/>
    <x v="0"/>
    <x v="14"/>
    <x v="5"/>
    <x v="68"/>
  </r>
  <r>
    <x v="102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02"/>
    <x v="104"/>
    <x v="131"/>
    <x v="0"/>
    <x v="70"/>
    <x v="115"/>
    <x v="115"/>
    <x v="114"/>
    <x v="114"/>
    <x v="0"/>
    <x v="531"/>
    <x v="537"/>
    <x v="467"/>
    <x v="408"/>
    <x v="81"/>
    <x v="304"/>
    <x v="118"/>
    <x v="2"/>
    <x v="16"/>
    <x v="5"/>
    <x v="8"/>
    <x v="247"/>
    <x v="408"/>
    <x v="0"/>
    <x v="0"/>
    <x v="39"/>
    <x v="10"/>
    <x v="68"/>
    <x v="0"/>
    <x v="14"/>
    <x v="5"/>
    <x v="70"/>
  </r>
  <r>
    <x v="102"/>
    <x v="104"/>
    <x v="132"/>
    <x v="0"/>
    <x v="71"/>
    <x v="116"/>
    <x v="116"/>
    <x v="115"/>
    <x v="115"/>
    <x v="0"/>
    <x v="141"/>
    <x v="538"/>
    <x v="468"/>
    <x v="364"/>
    <x v="30"/>
    <x v="483"/>
    <x v="54"/>
    <x v="1"/>
    <x v="24"/>
    <x v="5"/>
    <x v="0"/>
    <x v="7"/>
    <x v="192"/>
    <x v="0"/>
    <x v="0"/>
    <x v="0"/>
    <x v="42"/>
    <x v="69"/>
    <x v="0"/>
    <x v="16"/>
    <x v="5"/>
    <x v="71"/>
  </r>
  <r>
    <x v="103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03"/>
    <x v="90"/>
    <x v="112"/>
    <x v="1"/>
    <x v="46"/>
    <x v="99"/>
    <x v="99"/>
    <x v="98"/>
    <x v="98"/>
    <x v="0"/>
    <x v="532"/>
    <x v="539"/>
    <x v="469"/>
    <x v="130"/>
    <x v="35"/>
    <x v="484"/>
    <x v="107"/>
    <x v="0"/>
    <x v="87"/>
    <x v="11"/>
    <x v="4"/>
    <x v="164"/>
    <x v="409"/>
    <x v="30"/>
    <x v="62"/>
    <x v="3"/>
    <x v="2"/>
    <x v="46"/>
    <x v="0"/>
    <x v="14"/>
    <x v="5"/>
    <x v="46"/>
  </r>
  <r>
    <x v="103"/>
    <x v="91"/>
    <x v="114"/>
    <x v="0"/>
    <x v="62"/>
    <x v="101"/>
    <x v="101"/>
    <x v="100"/>
    <x v="100"/>
    <x v="0"/>
    <x v="533"/>
    <x v="540"/>
    <x v="247"/>
    <x v="140"/>
    <x v="53"/>
    <x v="485"/>
    <x v="18"/>
    <x v="2"/>
    <x v="14"/>
    <x v="3"/>
    <x v="3"/>
    <x v="20"/>
    <x v="410"/>
    <x v="0"/>
    <x v="0"/>
    <x v="5"/>
    <x v="2"/>
    <x v="60"/>
    <x v="0"/>
    <x v="16"/>
    <x v="5"/>
    <x v="62"/>
  </r>
  <r>
    <x v="103"/>
    <x v="101"/>
    <x v="126"/>
    <x v="0"/>
    <x v="66"/>
    <x v="110"/>
    <x v="110"/>
    <x v="109"/>
    <x v="109"/>
    <x v="0"/>
    <x v="534"/>
    <x v="541"/>
    <x v="470"/>
    <x v="210"/>
    <x v="82"/>
    <x v="486"/>
    <x v="37"/>
    <x v="7"/>
    <x v="73"/>
    <x v="6"/>
    <x v="26"/>
    <x v="124"/>
    <x v="411"/>
    <x v="0"/>
    <x v="0"/>
    <x v="2"/>
    <x v="2"/>
    <x v="64"/>
    <x v="0"/>
    <x v="14"/>
    <x v="5"/>
    <x v="66"/>
  </r>
  <r>
    <x v="103"/>
    <x v="102"/>
    <x v="130"/>
    <x v="0"/>
    <x v="69"/>
    <x v="114"/>
    <x v="114"/>
    <x v="113"/>
    <x v="113"/>
    <x v="0"/>
    <x v="535"/>
    <x v="542"/>
    <x v="471"/>
    <x v="222"/>
    <x v="94"/>
    <x v="487"/>
    <x v="100"/>
    <x v="2"/>
    <x v="30"/>
    <x v="3"/>
    <x v="1"/>
    <x v="182"/>
    <x v="412"/>
    <x v="0"/>
    <x v="0"/>
    <x v="5"/>
    <x v="2"/>
    <x v="67"/>
    <x v="0"/>
    <x v="14"/>
    <x v="5"/>
    <x v="69"/>
  </r>
  <r>
    <x v="103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03"/>
    <x v="104"/>
    <x v="131"/>
    <x v="0"/>
    <x v="70"/>
    <x v="115"/>
    <x v="115"/>
    <x v="114"/>
    <x v="114"/>
    <x v="0"/>
    <x v="536"/>
    <x v="543"/>
    <x v="354"/>
    <x v="409"/>
    <x v="41"/>
    <x v="378"/>
    <x v="26"/>
    <x v="1"/>
    <x v="14"/>
    <x v="3"/>
    <x v="3"/>
    <x v="83"/>
    <x v="360"/>
    <x v="0"/>
    <x v="0"/>
    <x v="5"/>
    <x v="2"/>
    <x v="68"/>
    <x v="0"/>
    <x v="14"/>
    <x v="5"/>
    <x v="70"/>
  </r>
  <r>
    <x v="103"/>
    <x v="104"/>
    <x v="132"/>
    <x v="0"/>
    <x v="71"/>
    <x v="116"/>
    <x v="116"/>
    <x v="115"/>
    <x v="115"/>
    <x v="0"/>
    <x v="537"/>
    <x v="544"/>
    <x v="472"/>
    <x v="224"/>
    <x v="42"/>
    <x v="488"/>
    <x v="40"/>
    <x v="0"/>
    <x v="8"/>
    <x v="6"/>
    <x v="0"/>
    <x v="232"/>
    <x v="408"/>
    <x v="0"/>
    <x v="0"/>
    <x v="7"/>
    <x v="40"/>
    <x v="69"/>
    <x v="0"/>
    <x v="16"/>
    <x v="5"/>
    <x v="71"/>
  </r>
  <r>
    <x v="104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104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04"/>
    <x v="90"/>
    <x v="112"/>
    <x v="1"/>
    <x v="46"/>
    <x v="99"/>
    <x v="99"/>
    <x v="98"/>
    <x v="98"/>
    <x v="0"/>
    <x v="538"/>
    <x v="545"/>
    <x v="473"/>
    <x v="130"/>
    <x v="35"/>
    <x v="489"/>
    <x v="62"/>
    <x v="2"/>
    <x v="2"/>
    <x v="5"/>
    <x v="1"/>
    <x v="14"/>
    <x v="413"/>
    <x v="12"/>
    <x v="63"/>
    <x v="1"/>
    <x v="11"/>
    <x v="46"/>
    <x v="0"/>
    <x v="14"/>
    <x v="5"/>
    <x v="46"/>
  </r>
  <r>
    <x v="104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104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  <x v="63"/>
  </r>
  <r>
    <x v="104"/>
    <x v="101"/>
    <x v="126"/>
    <x v="0"/>
    <x v="66"/>
    <x v="110"/>
    <x v="110"/>
    <x v="109"/>
    <x v="109"/>
    <x v="0"/>
    <x v="539"/>
    <x v="546"/>
    <x v="474"/>
    <x v="79"/>
    <x v="25"/>
    <x v="490"/>
    <x v="107"/>
    <x v="0"/>
    <x v="91"/>
    <x v="6"/>
    <x v="1"/>
    <x v="45"/>
    <x v="414"/>
    <x v="0"/>
    <x v="0"/>
    <x v="5"/>
    <x v="2"/>
    <x v="64"/>
    <x v="0"/>
    <x v="14"/>
    <x v="5"/>
    <x v="66"/>
  </r>
  <r>
    <x v="104"/>
    <x v="102"/>
    <x v="130"/>
    <x v="0"/>
    <x v="69"/>
    <x v="114"/>
    <x v="114"/>
    <x v="113"/>
    <x v="113"/>
    <x v="0"/>
    <x v="540"/>
    <x v="547"/>
    <x v="475"/>
    <x v="410"/>
    <x v="83"/>
    <x v="236"/>
    <x v="149"/>
    <x v="1"/>
    <x v="36"/>
    <x v="3"/>
    <x v="1"/>
    <x v="248"/>
    <x v="415"/>
    <x v="0"/>
    <x v="0"/>
    <x v="10"/>
    <x v="6"/>
    <x v="67"/>
    <x v="0"/>
    <x v="14"/>
    <x v="5"/>
    <x v="69"/>
  </r>
  <r>
    <x v="104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04"/>
    <x v="104"/>
    <x v="131"/>
    <x v="0"/>
    <x v="70"/>
    <x v="115"/>
    <x v="115"/>
    <x v="114"/>
    <x v="114"/>
    <x v="0"/>
    <x v="541"/>
    <x v="548"/>
    <x v="476"/>
    <x v="213"/>
    <x v="81"/>
    <x v="491"/>
    <x v="71"/>
    <x v="1"/>
    <x v="10"/>
    <x v="0"/>
    <x v="8"/>
    <x v="4"/>
    <x v="416"/>
    <x v="0"/>
    <x v="0"/>
    <x v="39"/>
    <x v="11"/>
    <x v="68"/>
    <x v="0"/>
    <x v="14"/>
    <x v="5"/>
    <x v="70"/>
  </r>
  <r>
    <x v="104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  <x v="0"/>
    <x v="16"/>
    <x v="5"/>
    <x v="71"/>
  </r>
  <r>
    <x v="10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105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05"/>
    <x v="90"/>
    <x v="112"/>
    <x v="1"/>
    <x v="46"/>
    <x v="99"/>
    <x v="99"/>
    <x v="98"/>
    <x v="98"/>
    <x v="0"/>
    <x v="144"/>
    <x v="549"/>
    <x v="477"/>
    <x v="411"/>
    <x v="35"/>
    <x v="492"/>
    <x v="126"/>
    <x v="1"/>
    <x v="1"/>
    <x v="3"/>
    <x v="4"/>
    <x v="66"/>
    <x v="417"/>
    <x v="32"/>
    <x v="64"/>
    <x v="39"/>
    <x v="12"/>
    <x v="46"/>
    <x v="0"/>
    <x v="14"/>
    <x v="5"/>
    <x v="46"/>
  </r>
  <r>
    <x v="105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105"/>
    <x v="101"/>
    <x v="126"/>
    <x v="0"/>
    <x v="66"/>
    <x v="110"/>
    <x v="110"/>
    <x v="109"/>
    <x v="109"/>
    <x v="0"/>
    <x v="542"/>
    <x v="550"/>
    <x v="478"/>
    <x v="376"/>
    <x v="82"/>
    <x v="493"/>
    <x v="38"/>
    <x v="7"/>
    <x v="87"/>
    <x v="10"/>
    <x v="23"/>
    <x v="245"/>
    <x v="418"/>
    <x v="0"/>
    <x v="0"/>
    <x v="5"/>
    <x v="5"/>
    <x v="64"/>
    <x v="0"/>
    <x v="14"/>
    <x v="5"/>
    <x v="66"/>
  </r>
  <r>
    <x v="105"/>
    <x v="102"/>
    <x v="130"/>
    <x v="0"/>
    <x v="69"/>
    <x v="114"/>
    <x v="114"/>
    <x v="113"/>
    <x v="113"/>
    <x v="0"/>
    <x v="543"/>
    <x v="551"/>
    <x v="227"/>
    <x v="232"/>
    <x v="20"/>
    <x v="324"/>
    <x v="149"/>
    <x v="2"/>
    <x v="36"/>
    <x v="3"/>
    <x v="1"/>
    <x v="182"/>
    <x v="155"/>
    <x v="0"/>
    <x v="0"/>
    <x v="3"/>
    <x v="6"/>
    <x v="67"/>
    <x v="0"/>
    <x v="14"/>
    <x v="5"/>
    <x v="69"/>
  </r>
  <r>
    <x v="105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05"/>
    <x v="104"/>
    <x v="131"/>
    <x v="0"/>
    <x v="70"/>
    <x v="115"/>
    <x v="115"/>
    <x v="114"/>
    <x v="114"/>
    <x v="0"/>
    <x v="544"/>
    <x v="552"/>
    <x v="266"/>
    <x v="278"/>
    <x v="75"/>
    <x v="494"/>
    <x v="66"/>
    <x v="2"/>
    <x v="38"/>
    <x v="3"/>
    <x v="27"/>
    <x v="41"/>
    <x v="419"/>
    <x v="0"/>
    <x v="0"/>
    <x v="5"/>
    <x v="12"/>
    <x v="68"/>
    <x v="0"/>
    <x v="14"/>
    <x v="5"/>
    <x v="70"/>
  </r>
  <r>
    <x v="105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  <x v="0"/>
    <x v="16"/>
    <x v="5"/>
    <x v="71"/>
  </r>
  <r>
    <x v="105"/>
    <x v="105"/>
    <x v="133"/>
    <x v="0"/>
    <x v="46"/>
    <x v="117"/>
    <x v="117"/>
    <x v="116"/>
    <x v="116"/>
    <x v="0"/>
    <x v="545"/>
    <x v="553"/>
    <x v="479"/>
    <x v="384"/>
    <x v="8"/>
    <x v="446"/>
    <x v="186"/>
    <x v="0"/>
    <x v="10"/>
    <x v="3"/>
    <x v="3"/>
    <x v="249"/>
    <x v="46"/>
    <x v="33"/>
    <x v="65"/>
    <x v="7"/>
    <x v="10"/>
    <x v="46"/>
    <x v="0"/>
    <x v="14"/>
    <x v="5"/>
    <x v="46"/>
  </r>
  <r>
    <x v="10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06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0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06"/>
    <x v="90"/>
    <x v="112"/>
    <x v="1"/>
    <x v="46"/>
    <x v="99"/>
    <x v="99"/>
    <x v="98"/>
    <x v="98"/>
    <x v="0"/>
    <x v="507"/>
    <x v="554"/>
    <x v="276"/>
    <x v="412"/>
    <x v="81"/>
    <x v="495"/>
    <x v="15"/>
    <x v="2"/>
    <x v="14"/>
    <x v="3"/>
    <x v="3"/>
    <x v="15"/>
    <x v="15"/>
    <x v="0"/>
    <x v="0"/>
    <x v="2"/>
    <x v="2"/>
    <x v="46"/>
    <x v="0"/>
    <x v="14"/>
    <x v="5"/>
    <x v="46"/>
  </r>
  <r>
    <x v="106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106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06"/>
    <x v="101"/>
    <x v="126"/>
    <x v="0"/>
    <x v="66"/>
    <x v="110"/>
    <x v="110"/>
    <x v="109"/>
    <x v="109"/>
    <x v="0"/>
    <x v="546"/>
    <x v="555"/>
    <x v="480"/>
    <x v="104"/>
    <x v="41"/>
    <x v="496"/>
    <x v="8"/>
    <x v="2"/>
    <x v="14"/>
    <x v="3"/>
    <x v="3"/>
    <x v="27"/>
    <x v="385"/>
    <x v="0"/>
    <x v="0"/>
    <x v="5"/>
    <x v="2"/>
    <x v="64"/>
    <x v="0"/>
    <x v="14"/>
    <x v="5"/>
    <x v="66"/>
  </r>
  <r>
    <x v="106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  <x v="67"/>
  </r>
  <r>
    <x v="106"/>
    <x v="102"/>
    <x v="130"/>
    <x v="0"/>
    <x v="69"/>
    <x v="114"/>
    <x v="114"/>
    <x v="113"/>
    <x v="113"/>
    <x v="0"/>
    <x v="547"/>
    <x v="556"/>
    <x v="3"/>
    <x v="413"/>
    <x v="24"/>
    <x v="497"/>
    <x v="187"/>
    <x v="7"/>
    <x v="79"/>
    <x v="3"/>
    <x v="3"/>
    <x v="250"/>
    <x v="241"/>
    <x v="0"/>
    <x v="0"/>
    <x v="3"/>
    <x v="6"/>
    <x v="67"/>
    <x v="0"/>
    <x v="14"/>
    <x v="5"/>
    <x v="69"/>
  </r>
  <r>
    <x v="106"/>
    <x v="104"/>
    <x v="131"/>
    <x v="0"/>
    <x v="70"/>
    <x v="115"/>
    <x v="115"/>
    <x v="114"/>
    <x v="114"/>
    <x v="0"/>
    <x v="548"/>
    <x v="557"/>
    <x v="437"/>
    <x v="414"/>
    <x v="17"/>
    <x v="498"/>
    <x v="165"/>
    <x v="7"/>
    <x v="134"/>
    <x v="5"/>
    <x v="22"/>
    <x v="221"/>
    <x v="109"/>
    <x v="0"/>
    <x v="0"/>
    <x v="11"/>
    <x v="30"/>
    <x v="68"/>
    <x v="0"/>
    <x v="14"/>
    <x v="5"/>
    <x v="70"/>
  </r>
  <r>
    <x v="106"/>
    <x v="105"/>
    <x v="133"/>
    <x v="0"/>
    <x v="46"/>
    <x v="117"/>
    <x v="117"/>
    <x v="116"/>
    <x v="116"/>
    <x v="0"/>
    <x v="549"/>
    <x v="558"/>
    <x v="113"/>
    <x v="367"/>
    <x v="42"/>
    <x v="24"/>
    <x v="15"/>
    <x v="2"/>
    <x v="14"/>
    <x v="3"/>
    <x v="3"/>
    <x v="15"/>
    <x v="15"/>
    <x v="0"/>
    <x v="0"/>
    <x v="5"/>
    <x v="2"/>
    <x v="46"/>
    <x v="0"/>
    <x v="14"/>
    <x v="5"/>
    <x v="46"/>
  </r>
  <r>
    <x v="106"/>
    <x v="106"/>
    <x v="134"/>
    <x v="0"/>
    <x v="72"/>
    <x v="118"/>
    <x v="118"/>
    <x v="117"/>
    <x v="117"/>
    <x v="0"/>
    <x v="550"/>
    <x v="559"/>
    <x v="481"/>
    <x v="415"/>
    <x v="95"/>
    <x v="499"/>
    <x v="150"/>
    <x v="2"/>
    <x v="85"/>
    <x v="11"/>
    <x v="3"/>
    <x v="182"/>
    <x v="420"/>
    <x v="0"/>
    <x v="0"/>
    <x v="1"/>
    <x v="2"/>
    <x v="70"/>
    <x v="0"/>
    <x v="14"/>
    <x v="5"/>
    <x v="72"/>
  </r>
  <r>
    <x v="106"/>
    <x v="106"/>
    <x v="135"/>
    <x v="0"/>
    <x v="73"/>
    <x v="119"/>
    <x v="119"/>
    <x v="118"/>
    <x v="118"/>
    <x v="0"/>
    <x v="551"/>
    <x v="560"/>
    <x v="482"/>
    <x v="416"/>
    <x v="96"/>
    <x v="500"/>
    <x v="164"/>
    <x v="2"/>
    <x v="9"/>
    <x v="3"/>
    <x v="2"/>
    <x v="251"/>
    <x v="421"/>
    <x v="0"/>
    <x v="0"/>
    <x v="4"/>
    <x v="2"/>
    <x v="71"/>
    <x v="0"/>
    <x v="14"/>
    <x v="5"/>
    <x v="73"/>
  </r>
  <r>
    <x v="10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07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07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07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107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107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  <x v="65"/>
  </r>
  <r>
    <x v="107"/>
    <x v="101"/>
    <x v="126"/>
    <x v="0"/>
    <x v="66"/>
    <x v="110"/>
    <x v="110"/>
    <x v="109"/>
    <x v="10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4"/>
    <x v="0"/>
    <x v="14"/>
    <x v="5"/>
    <x v="66"/>
  </r>
  <r>
    <x v="107"/>
    <x v="102"/>
    <x v="130"/>
    <x v="0"/>
    <x v="69"/>
    <x v="114"/>
    <x v="114"/>
    <x v="113"/>
    <x v="113"/>
    <x v="0"/>
    <x v="552"/>
    <x v="561"/>
    <x v="483"/>
    <x v="326"/>
    <x v="47"/>
    <x v="501"/>
    <x v="188"/>
    <x v="1"/>
    <x v="26"/>
    <x v="5"/>
    <x v="0"/>
    <x v="153"/>
    <x v="422"/>
    <x v="0"/>
    <x v="0"/>
    <x v="39"/>
    <x v="11"/>
    <x v="67"/>
    <x v="0"/>
    <x v="14"/>
    <x v="5"/>
    <x v="69"/>
  </r>
  <r>
    <x v="107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07"/>
    <x v="104"/>
    <x v="131"/>
    <x v="0"/>
    <x v="70"/>
    <x v="115"/>
    <x v="115"/>
    <x v="114"/>
    <x v="114"/>
    <x v="0"/>
    <x v="553"/>
    <x v="562"/>
    <x v="484"/>
    <x v="417"/>
    <x v="41"/>
    <x v="402"/>
    <x v="114"/>
    <x v="0"/>
    <x v="9"/>
    <x v="3"/>
    <x v="12"/>
    <x v="252"/>
    <x v="423"/>
    <x v="0"/>
    <x v="0"/>
    <x v="11"/>
    <x v="26"/>
    <x v="68"/>
    <x v="0"/>
    <x v="14"/>
    <x v="5"/>
    <x v="70"/>
  </r>
  <r>
    <x v="107"/>
    <x v="105"/>
    <x v="133"/>
    <x v="0"/>
    <x v="46"/>
    <x v="117"/>
    <x v="117"/>
    <x v="116"/>
    <x v="11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107"/>
    <x v="106"/>
    <x v="134"/>
    <x v="0"/>
    <x v="72"/>
    <x v="118"/>
    <x v="118"/>
    <x v="117"/>
    <x v="117"/>
    <x v="0"/>
    <x v="554"/>
    <x v="563"/>
    <x v="485"/>
    <x v="195"/>
    <x v="72"/>
    <x v="502"/>
    <x v="161"/>
    <x v="2"/>
    <x v="2"/>
    <x v="3"/>
    <x v="3"/>
    <x v="85"/>
    <x v="424"/>
    <x v="0"/>
    <x v="0"/>
    <x v="2"/>
    <x v="2"/>
    <x v="70"/>
    <x v="0"/>
    <x v="14"/>
    <x v="5"/>
    <x v="72"/>
  </r>
  <r>
    <x v="107"/>
    <x v="106"/>
    <x v="135"/>
    <x v="0"/>
    <x v="73"/>
    <x v="119"/>
    <x v="119"/>
    <x v="118"/>
    <x v="118"/>
    <x v="0"/>
    <x v="555"/>
    <x v="564"/>
    <x v="486"/>
    <x v="326"/>
    <x v="97"/>
    <x v="503"/>
    <x v="139"/>
    <x v="1"/>
    <x v="33"/>
    <x v="5"/>
    <x v="3"/>
    <x v="86"/>
    <x v="152"/>
    <x v="0"/>
    <x v="0"/>
    <x v="2"/>
    <x v="2"/>
    <x v="71"/>
    <x v="0"/>
    <x v="14"/>
    <x v="5"/>
    <x v="73"/>
  </r>
  <r>
    <x v="107"/>
    <x v="107"/>
    <x v="136"/>
    <x v="0"/>
    <x v="72"/>
    <x v="120"/>
    <x v="120"/>
    <x v="119"/>
    <x v="119"/>
    <x v="0"/>
    <x v="556"/>
    <x v="565"/>
    <x v="487"/>
    <x v="418"/>
    <x v="8"/>
    <x v="248"/>
    <x v="92"/>
    <x v="2"/>
    <x v="10"/>
    <x v="3"/>
    <x v="2"/>
    <x v="244"/>
    <x v="379"/>
    <x v="0"/>
    <x v="0"/>
    <x v="1"/>
    <x v="2"/>
    <x v="70"/>
    <x v="0"/>
    <x v="14"/>
    <x v="5"/>
    <x v="72"/>
  </r>
  <r>
    <x v="107"/>
    <x v="107"/>
    <x v="137"/>
    <x v="0"/>
    <x v="73"/>
    <x v="121"/>
    <x v="121"/>
    <x v="120"/>
    <x v="120"/>
    <x v="0"/>
    <x v="557"/>
    <x v="566"/>
    <x v="488"/>
    <x v="419"/>
    <x v="3"/>
    <x v="504"/>
    <x v="172"/>
    <x v="0"/>
    <x v="13"/>
    <x v="5"/>
    <x v="3"/>
    <x v="227"/>
    <x v="358"/>
    <x v="0"/>
    <x v="0"/>
    <x v="4"/>
    <x v="10"/>
    <x v="71"/>
    <x v="0"/>
    <x v="14"/>
    <x v="5"/>
    <x v="73"/>
  </r>
  <r>
    <x v="108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108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08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  <x v="63"/>
  </r>
  <r>
    <x v="108"/>
    <x v="101"/>
    <x v="126"/>
    <x v="0"/>
    <x v="66"/>
    <x v="110"/>
    <x v="110"/>
    <x v="109"/>
    <x v="10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4"/>
    <x v="0"/>
    <x v="14"/>
    <x v="5"/>
    <x v="66"/>
  </r>
  <r>
    <x v="108"/>
    <x v="102"/>
    <x v="130"/>
    <x v="0"/>
    <x v="69"/>
    <x v="114"/>
    <x v="114"/>
    <x v="113"/>
    <x v="113"/>
    <x v="0"/>
    <x v="558"/>
    <x v="567"/>
    <x v="489"/>
    <x v="420"/>
    <x v="83"/>
    <x v="505"/>
    <x v="189"/>
    <x v="2"/>
    <x v="84"/>
    <x v="3"/>
    <x v="3"/>
    <x v="253"/>
    <x v="425"/>
    <x v="0"/>
    <x v="0"/>
    <x v="14"/>
    <x v="11"/>
    <x v="67"/>
    <x v="0"/>
    <x v="14"/>
    <x v="5"/>
    <x v="69"/>
  </r>
  <r>
    <x v="10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08"/>
    <x v="104"/>
    <x v="131"/>
    <x v="0"/>
    <x v="70"/>
    <x v="115"/>
    <x v="115"/>
    <x v="114"/>
    <x v="114"/>
    <x v="0"/>
    <x v="559"/>
    <x v="568"/>
    <x v="490"/>
    <x v="421"/>
    <x v="76"/>
    <x v="506"/>
    <x v="190"/>
    <x v="7"/>
    <x v="135"/>
    <x v="11"/>
    <x v="27"/>
    <x v="254"/>
    <x v="426"/>
    <x v="0"/>
    <x v="0"/>
    <x v="24"/>
    <x v="8"/>
    <x v="68"/>
    <x v="0"/>
    <x v="14"/>
    <x v="5"/>
    <x v="70"/>
  </r>
  <r>
    <x v="108"/>
    <x v="105"/>
    <x v="133"/>
    <x v="0"/>
    <x v="46"/>
    <x v="117"/>
    <x v="117"/>
    <x v="116"/>
    <x v="11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108"/>
    <x v="106"/>
    <x v="135"/>
    <x v="0"/>
    <x v="73"/>
    <x v="119"/>
    <x v="119"/>
    <x v="118"/>
    <x v="1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08"/>
    <x v="107"/>
    <x v="136"/>
    <x v="0"/>
    <x v="72"/>
    <x v="120"/>
    <x v="120"/>
    <x v="119"/>
    <x v="119"/>
    <x v="0"/>
    <x v="560"/>
    <x v="569"/>
    <x v="491"/>
    <x v="278"/>
    <x v="30"/>
    <x v="507"/>
    <x v="94"/>
    <x v="1"/>
    <x v="84"/>
    <x v="11"/>
    <x v="23"/>
    <x v="248"/>
    <x v="427"/>
    <x v="0"/>
    <x v="0"/>
    <x v="12"/>
    <x v="5"/>
    <x v="70"/>
    <x v="0"/>
    <x v="14"/>
    <x v="5"/>
    <x v="72"/>
  </r>
  <r>
    <x v="108"/>
    <x v="107"/>
    <x v="137"/>
    <x v="0"/>
    <x v="73"/>
    <x v="121"/>
    <x v="121"/>
    <x v="120"/>
    <x v="120"/>
    <x v="0"/>
    <x v="561"/>
    <x v="570"/>
    <x v="492"/>
    <x v="266"/>
    <x v="53"/>
    <x v="508"/>
    <x v="109"/>
    <x v="0"/>
    <x v="25"/>
    <x v="5"/>
    <x v="1"/>
    <x v="133"/>
    <x v="428"/>
    <x v="0"/>
    <x v="0"/>
    <x v="3"/>
    <x v="5"/>
    <x v="71"/>
    <x v="0"/>
    <x v="14"/>
    <x v="5"/>
    <x v="73"/>
  </r>
  <r>
    <x v="109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09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109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09"/>
    <x v="102"/>
    <x v="130"/>
    <x v="0"/>
    <x v="69"/>
    <x v="114"/>
    <x v="114"/>
    <x v="113"/>
    <x v="113"/>
    <x v="0"/>
    <x v="228"/>
    <x v="571"/>
    <x v="72"/>
    <x v="422"/>
    <x v="32"/>
    <x v="509"/>
    <x v="15"/>
    <x v="2"/>
    <x v="14"/>
    <x v="3"/>
    <x v="3"/>
    <x v="15"/>
    <x v="15"/>
    <x v="0"/>
    <x v="0"/>
    <x v="5"/>
    <x v="2"/>
    <x v="67"/>
    <x v="0"/>
    <x v="14"/>
    <x v="5"/>
    <x v="69"/>
  </r>
  <r>
    <x v="109"/>
    <x v="104"/>
    <x v="131"/>
    <x v="0"/>
    <x v="70"/>
    <x v="115"/>
    <x v="115"/>
    <x v="114"/>
    <x v="114"/>
    <x v="0"/>
    <x v="562"/>
    <x v="572"/>
    <x v="493"/>
    <x v="165"/>
    <x v="60"/>
    <x v="510"/>
    <x v="191"/>
    <x v="10"/>
    <x v="75"/>
    <x v="5"/>
    <x v="22"/>
    <x v="255"/>
    <x v="207"/>
    <x v="0"/>
    <x v="0"/>
    <x v="9"/>
    <x v="30"/>
    <x v="68"/>
    <x v="0"/>
    <x v="14"/>
    <x v="5"/>
    <x v="70"/>
  </r>
  <r>
    <x v="109"/>
    <x v="107"/>
    <x v="136"/>
    <x v="0"/>
    <x v="72"/>
    <x v="120"/>
    <x v="120"/>
    <x v="119"/>
    <x v="119"/>
    <x v="0"/>
    <x v="563"/>
    <x v="573"/>
    <x v="494"/>
    <x v="411"/>
    <x v="3"/>
    <x v="172"/>
    <x v="94"/>
    <x v="1"/>
    <x v="15"/>
    <x v="5"/>
    <x v="1"/>
    <x v="179"/>
    <x v="429"/>
    <x v="0"/>
    <x v="0"/>
    <x v="12"/>
    <x v="5"/>
    <x v="70"/>
    <x v="0"/>
    <x v="14"/>
    <x v="5"/>
    <x v="72"/>
  </r>
  <r>
    <x v="109"/>
    <x v="107"/>
    <x v="137"/>
    <x v="0"/>
    <x v="73"/>
    <x v="121"/>
    <x v="121"/>
    <x v="120"/>
    <x v="120"/>
    <x v="0"/>
    <x v="564"/>
    <x v="574"/>
    <x v="310"/>
    <x v="224"/>
    <x v="10"/>
    <x v="511"/>
    <x v="60"/>
    <x v="1"/>
    <x v="15"/>
    <x v="5"/>
    <x v="1"/>
    <x v="28"/>
    <x v="402"/>
    <x v="0"/>
    <x v="0"/>
    <x v="9"/>
    <x v="12"/>
    <x v="71"/>
    <x v="0"/>
    <x v="14"/>
    <x v="5"/>
    <x v="73"/>
  </r>
  <r>
    <x v="109"/>
    <x v="108"/>
    <x v="138"/>
    <x v="0"/>
    <x v="74"/>
    <x v="122"/>
    <x v="122"/>
    <x v="121"/>
    <x v="121"/>
    <x v="0"/>
    <x v="565"/>
    <x v="575"/>
    <x v="495"/>
    <x v="423"/>
    <x v="26"/>
    <x v="269"/>
    <x v="185"/>
    <x v="1"/>
    <x v="91"/>
    <x v="3"/>
    <x v="2"/>
    <x v="243"/>
    <x v="430"/>
    <x v="0"/>
    <x v="0"/>
    <x v="10"/>
    <x v="2"/>
    <x v="72"/>
    <x v="0"/>
    <x v="14"/>
    <x v="5"/>
    <x v="74"/>
  </r>
  <r>
    <x v="110"/>
    <x v="102"/>
    <x v="130"/>
    <x v="0"/>
    <x v="69"/>
    <x v="114"/>
    <x v="114"/>
    <x v="113"/>
    <x v="11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7"/>
    <x v="0"/>
    <x v="14"/>
    <x v="5"/>
    <x v="69"/>
  </r>
  <r>
    <x v="110"/>
    <x v="104"/>
    <x v="131"/>
    <x v="0"/>
    <x v="70"/>
    <x v="115"/>
    <x v="115"/>
    <x v="114"/>
    <x v="114"/>
    <x v="0"/>
    <x v="566"/>
    <x v="576"/>
    <x v="496"/>
    <x v="60"/>
    <x v="15"/>
    <x v="512"/>
    <x v="192"/>
    <x v="5"/>
    <x v="135"/>
    <x v="0"/>
    <x v="30"/>
    <x v="256"/>
    <x v="431"/>
    <x v="0"/>
    <x v="0"/>
    <x v="9"/>
    <x v="3"/>
    <x v="68"/>
    <x v="0"/>
    <x v="14"/>
    <x v="5"/>
    <x v="70"/>
  </r>
  <r>
    <x v="110"/>
    <x v="107"/>
    <x v="136"/>
    <x v="0"/>
    <x v="72"/>
    <x v="120"/>
    <x v="120"/>
    <x v="119"/>
    <x v="119"/>
    <x v="0"/>
    <x v="567"/>
    <x v="577"/>
    <x v="497"/>
    <x v="156"/>
    <x v="53"/>
    <x v="513"/>
    <x v="19"/>
    <x v="1"/>
    <x v="39"/>
    <x v="3"/>
    <x v="1"/>
    <x v="41"/>
    <x v="432"/>
    <x v="0"/>
    <x v="0"/>
    <x v="1"/>
    <x v="11"/>
    <x v="70"/>
    <x v="0"/>
    <x v="14"/>
    <x v="5"/>
    <x v="72"/>
  </r>
  <r>
    <x v="110"/>
    <x v="107"/>
    <x v="137"/>
    <x v="0"/>
    <x v="73"/>
    <x v="121"/>
    <x v="121"/>
    <x v="120"/>
    <x v="120"/>
    <x v="0"/>
    <x v="568"/>
    <x v="578"/>
    <x v="498"/>
    <x v="424"/>
    <x v="10"/>
    <x v="514"/>
    <x v="171"/>
    <x v="2"/>
    <x v="136"/>
    <x v="3"/>
    <x v="1"/>
    <x v="257"/>
    <x v="61"/>
    <x v="0"/>
    <x v="0"/>
    <x v="10"/>
    <x v="2"/>
    <x v="71"/>
    <x v="0"/>
    <x v="14"/>
    <x v="5"/>
    <x v="73"/>
  </r>
  <r>
    <x v="110"/>
    <x v="108"/>
    <x v="138"/>
    <x v="0"/>
    <x v="74"/>
    <x v="122"/>
    <x v="122"/>
    <x v="121"/>
    <x v="121"/>
    <x v="0"/>
    <x v="569"/>
    <x v="579"/>
    <x v="249"/>
    <x v="304"/>
    <x v="27"/>
    <x v="515"/>
    <x v="26"/>
    <x v="2"/>
    <x v="14"/>
    <x v="3"/>
    <x v="3"/>
    <x v="70"/>
    <x v="188"/>
    <x v="0"/>
    <x v="0"/>
    <x v="5"/>
    <x v="2"/>
    <x v="72"/>
    <x v="0"/>
    <x v="14"/>
    <x v="5"/>
    <x v="74"/>
  </r>
  <r>
    <x v="111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11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11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11"/>
    <x v="104"/>
    <x v="131"/>
    <x v="0"/>
    <x v="70"/>
    <x v="115"/>
    <x v="115"/>
    <x v="114"/>
    <x v="114"/>
    <x v="0"/>
    <x v="570"/>
    <x v="580"/>
    <x v="499"/>
    <x v="425"/>
    <x v="77"/>
    <x v="516"/>
    <x v="193"/>
    <x v="0"/>
    <x v="9"/>
    <x v="0"/>
    <x v="8"/>
    <x v="258"/>
    <x v="234"/>
    <x v="0"/>
    <x v="0"/>
    <x v="2"/>
    <x v="10"/>
    <x v="68"/>
    <x v="0"/>
    <x v="14"/>
    <x v="5"/>
    <x v="70"/>
  </r>
  <r>
    <x v="111"/>
    <x v="107"/>
    <x v="136"/>
    <x v="0"/>
    <x v="72"/>
    <x v="120"/>
    <x v="120"/>
    <x v="119"/>
    <x v="119"/>
    <x v="0"/>
    <x v="571"/>
    <x v="581"/>
    <x v="500"/>
    <x v="426"/>
    <x v="7"/>
    <x v="517"/>
    <x v="40"/>
    <x v="0"/>
    <x v="13"/>
    <x v="3"/>
    <x v="1"/>
    <x v="46"/>
    <x v="433"/>
    <x v="0"/>
    <x v="0"/>
    <x v="2"/>
    <x v="2"/>
    <x v="70"/>
    <x v="0"/>
    <x v="14"/>
    <x v="5"/>
    <x v="72"/>
  </r>
  <r>
    <x v="111"/>
    <x v="107"/>
    <x v="137"/>
    <x v="0"/>
    <x v="73"/>
    <x v="121"/>
    <x v="121"/>
    <x v="120"/>
    <x v="120"/>
    <x v="0"/>
    <x v="572"/>
    <x v="582"/>
    <x v="24"/>
    <x v="197"/>
    <x v="21"/>
    <x v="381"/>
    <x v="15"/>
    <x v="2"/>
    <x v="14"/>
    <x v="3"/>
    <x v="3"/>
    <x v="15"/>
    <x v="15"/>
    <x v="0"/>
    <x v="0"/>
    <x v="5"/>
    <x v="2"/>
    <x v="71"/>
    <x v="0"/>
    <x v="14"/>
    <x v="5"/>
    <x v="73"/>
  </r>
  <r>
    <x v="111"/>
    <x v="108"/>
    <x v="138"/>
    <x v="0"/>
    <x v="74"/>
    <x v="122"/>
    <x v="122"/>
    <x v="121"/>
    <x v="121"/>
    <x v="0"/>
    <x v="573"/>
    <x v="583"/>
    <x v="501"/>
    <x v="427"/>
    <x v="17"/>
    <x v="518"/>
    <x v="54"/>
    <x v="2"/>
    <x v="42"/>
    <x v="3"/>
    <x v="2"/>
    <x v="165"/>
    <x v="434"/>
    <x v="0"/>
    <x v="0"/>
    <x v="5"/>
    <x v="11"/>
    <x v="72"/>
    <x v="0"/>
    <x v="14"/>
    <x v="5"/>
    <x v="74"/>
  </r>
  <r>
    <x v="111"/>
    <x v="109"/>
    <x v="139"/>
    <x v="0"/>
    <x v="70"/>
    <x v="123"/>
    <x v="123"/>
    <x v="122"/>
    <x v="122"/>
    <x v="0"/>
    <x v="574"/>
    <x v="584"/>
    <x v="502"/>
    <x v="428"/>
    <x v="3"/>
    <x v="519"/>
    <x v="26"/>
    <x v="2"/>
    <x v="50"/>
    <x v="3"/>
    <x v="2"/>
    <x v="93"/>
    <x v="435"/>
    <x v="0"/>
    <x v="0"/>
    <x v="1"/>
    <x v="2"/>
    <x v="68"/>
    <x v="0"/>
    <x v="14"/>
    <x v="5"/>
    <x v="70"/>
  </r>
  <r>
    <x v="111"/>
    <x v="109"/>
    <x v="140"/>
    <x v="0"/>
    <x v="75"/>
    <x v="124"/>
    <x v="124"/>
    <x v="123"/>
    <x v="123"/>
    <x v="0"/>
    <x v="575"/>
    <x v="585"/>
    <x v="503"/>
    <x v="429"/>
    <x v="27"/>
    <x v="508"/>
    <x v="65"/>
    <x v="2"/>
    <x v="7"/>
    <x v="5"/>
    <x v="3"/>
    <x v="18"/>
    <x v="436"/>
    <x v="0"/>
    <x v="0"/>
    <x v="5"/>
    <x v="2"/>
    <x v="73"/>
    <x v="0"/>
    <x v="14"/>
    <x v="5"/>
    <x v="75"/>
  </r>
  <r>
    <x v="111"/>
    <x v="110"/>
    <x v="141"/>
    <x v="0"/>
    <x v="70"/>
    <x v="125"/>
    <x v="125"/>
    <x v="124"/>
    <x v="124"/>
    <x v="0"/>
    <x v="576"/>
    <x v="586"/>
    <x v="504"/>
    <x v="228"/>
    <x v="30"/>
    <x v="520"/>
    <x v="70"/>
    <x v="5"/>
    <x v="1"/>
    <x v="5"/>
    <x v="27"/>
    <x v="3"/>
    <x v="437"/>
    <x v="0"/>
    <x v="0"/>
    <x v="8"/>
    <x v="6"/>
    <x v="68"/>
    <x v="0"/>
    <x v="14"/>
    <x v="5"/>
    <x v="70"/>
  </r>
  <r>
    <x v="11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1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12"/>
    <x v="104"/>
    <x v="131"/>
    <x v="0"/>
    <x v="70"/>
    <x v="115"/>
    <x v="115"/>
    <x v="114"/>
    <x v="114"/>
    <x v="0"/>
    <x v="577"/>
    <x v="587"/>
    <x v="505"/>
    <x v="380"/>
    <x v="20"/>
    <x v="521"/>
    <x v="87"/>
    <x v="2"/>
    <x v="22"/>
    <x v="5"/>
    <x v="1"/>
    <x v="131"/>
    <x v="316"/>
    <x v="0"/>
    <x v="0"/>
    <x v="5"/>
    <x v="11"/>
    <x v="68"/>
    <x v="0"/>
    <x v="14"/>
    <x v="5"/>
    <x v="70"/>
  </r>
  <r>
    <x v="112"/>
    <x v="107"/>
    <x v="136"/>
    <x v="0"/>
    <x v="72"/>
    <x v="120"/>
    <x v="120"/>
    <x v="119"/>
    <x v="119"/>
    <x v="0"/>
    <x v="578"/>
    <x v="588"/>
    <x v="506"/>
    <x v="102"/>
    <x v="81"/>
    <x v="522"/>
    <x v="38"/>
    <x v="2"/>
    <x v="29"/>
    <x v="5"/>
    <x v="4"/>
    <x v="248"/>
    <x v="438"/>
    <x v="0"/>
    <x v="0"/>
    <x v="3"/>
    <x v="2"/>
    <x v="70"/>
    <x v="0"/>
    <x v="14"/>
    <x v="5"/>
    <x v="72"/>
  </r>
  <r>
    <x v="112"/>
    <x v="107"/>
    <x v="137"/>
    <x v="0"/>
    <x v="73"/>
    <x v="121"/>
    <x v="121"/>
    <x v="120"/>
    <x v="1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12"/>
    <x v="108"/>
    <x v="138"/>
    <x v="0"/>
    <x v="74"/>
    <x v="122"/>
    <x v="122"/>
    <x v="121"/>
    <x v="121"/>
    <x v="0"/>
    <x v="579"/>
    <x v="589"/>
    <x v="27"/>
    <x v="416"/>
    <x v="17"/>
    <x v="523"/>
    <x v="18"/>
    <x v="2"/>
    <x v="50"/>
    <x v="3"/>
    <x v="3"/>
    <x v="70"/>
    <x v="439"/>
    <x v="0"/>
    <x v="0"/>
    <x v="5"/>
    <x v="2"/>
    <x v="72"/>
    <x v="0"/>
    <x v="14"/>
    <x v="5"/>
    <x v="74"/>
  </r>
  <r>
    <x v="112"/>
    <x v="109"/>
    <x v="139"/>
    <x v="0"/>
    <x v="70"/>
    <x v="123"/>
    <x v="123"/>
    <x v="122"/>
    <x v="122"/>
    <x v="0"/>
    <x v="30"/>
    <x v="77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12"/>
    <x v="109"/>
    <x v="140"/>
    <x v="0"/>
    <x v="75"/>
    <x v="124"/>
    <x v="124"/>
    <x v="123"/>
    <x v="123"/>
    <x v="0"/>
    <x v="580"/>
    <x v="590"/>
    <x v="507"/>
    <x v="216"/>
    <x v="19"/>
    <x v="524"/>
    <x v="22"/>
    <x v="2"/>
    <x v="50"/>
    <x v="3"/>
    <x v="3"/>
    <x v="8"/>
    <x v="440"/>
    <x v="0"/>
    <x v="0"/>
    <x v="5"/>
    <x v="2"/>
    <x v="73"/>
    <x v="0"/>
    <x v="14"/>
    <x v="5"/>
    <x v="75"/>
  </r>
  <r>
    <x v="112"/>
    <x v="110"/>
    <x v="141"/>
    <x v="0"/>
    <x v="70"/>
    <x v="125"/>
    <x v="125"/>
    <x v="124"/>
    <x v="124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13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13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13"/>
    <x v="104"/>
    <x v="131"/>
    <x v="0"/>
    <x v="70"/>
    <x v="115"/>
    <x v="115"/>
    <x v="114"/>
    <x v="114"/>
    <x v="0"/>
    <x v="581"/>
    <x v="591"/>
    <x v="38"/>
    <x v="430"/>
    <x v="94"/>
    <x v="525"/>
    <x v="26"/>
    <x v="2"/>
    <x v="24"/>
    <x v="3"/>
    <x v="3"/>
    <x v="83"/>
    <x v="441"/>
    <x v="0"/>
    <x v="0"/>
    <x v="5"/>
    <x v="2"/>
    <x v="68"/>
    <x v="0"/>
    <x v="14"/>
    <x v="5"/>
    <x v="70"/>
  </r>
  <r>
    <x v="113"/>
    <x v="107"/>
    <x v="136"/>
    <x v="0"/>
    <x v="72"/>
    <x v="120"/>
    <x v="120"/>
    <x v="119"/>
    <x v="119"/>
    <x v="0"/>
    <x v="483"/>
    <x v="226"/>
    <x v="72"/>
    <x v="197"/>
    <x v="28"/>
    <x v="346"/>
    <x v="15"/>
    <x v="2"/>
    <x v="14"/>
    <x v="3"/>
    <x v="3"/>
    <x v="15"/>
    <x v="15"/>
    <x v="0"/>
    <x v="0"/>
    <x v="5"/>
    <x v="2"/>
    <x v="70"/>
    <x v="0"/>
    <x v="14"/>
    <x v="5"/>
    <x v="72"/>
  </r>
  <r>
    <x v="113"/>
    <x v="109"/>
    <x v="140"/>
    <x v="0"/>
    <x v="75"/>
    <x v="124"/>
    <x v="124"/>
    <x v="123"/>
    <x v="123"/>
    <x v="0"/>
    <x v="30"/>
    <x v="592"/>
    <x v="29"/>
    <x v="30"/>
    <x v="16"/>
    <x v="29"/>
    <x v="15"/>
    <x v="2"/>
    <x v="14"/>
    <x v="3"/>
    <x v="3"/>
    <x v="15"/>
    <x v="15"/>
    <x v="0"/>
    <x v="0"/>
    <x v="5"/>
    <x v="2"/>
    <x v="73"/>
    <x v="0"/>
    <x v="14"/>
    <x v="5"/>
    <x v="75"/>
  </r>
  <r>
    <x v="113"/>
    <x v="110"/>
    <x v="141"/>
    <x v="0"/>
    <x v="70"/>
    <x v="125"/>
    <x v="125"/>
    <x v="124"/>
    <x v="1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13"/>
    <x v="111"/>
    <x v="142"/>
    <x v="1"/>
    <x v="46"/>
    <x v="126"/>
    <x v="126"/>
    <x v="125"/>
    <x v="125"/>
    <x v="0"/>
    <x v="582"/>
    <x v="593"/>
    <x v="508"/>
    <x v="431"/>
    <x v="76"/>
    <x v="526"/>
    <x v="161"/>
    <x v="2"/>
    <x v="91"/>
    <x v="3"/>
    <x v="2"/>
    <x v="18"/>
    <x v="442"/>
    <x v="34"/>
    <x v="66"/>
    <x v="1"/>
    <x v="2"/>
    <x v="46"/>
    <x v="0"/>
    <x v="14"/>
    <x v="5"/>
    <x v="46"/>
  </r>
  <r>
    <x v="113"/>
    <x v="112"/>
    <x v="143"/>
    <x v="1"/>
    <x v="46"/>
    <x v="127"/>
    <x v="127"/>
    <x v="126"/>
    <x v="126"/>
    <x v="0"/>
    <x v="583"/>
    <x v="594"/>
    <x v="24"/>
    <x v="254"/>
    <x v="50"/>
    <x v="527"/>
    <x v="18"/>
    <x v="2"/>
    <x v="14"/>
    <x v="3"/>
    <x v="3"/>
    <x v="20"/>
    <x v="176"/>
    <x v="0"/>
    <x v="0"/>
    <x v="5"/>
    <x v="11"/>
    <x v="46"/>
    <x v="0"/>
    <x v="14"/>
    <x v="5"/>
    <x v="46"/>
  </r>
  <r>
    <x v="113"/>
    <x v="111"/>
    <x v="144"/>
    <x v="1"/>
    <x v="9"/>
    <x v="127"/>
    <x v="127"/>
    <x v="126"/>
    <x v="126"/>
    <x v="0"/>
    <x v="584"/>
    <x v="595"/>
    <x v="509"/>
    <x v="432"/>
    <x v="55"/>
    <x v="528"/>
    <x v="194"/>
    <x v="2"/>
    <x v="14"/>
    <x v="3"/>
    <x v="3"/>
    <x v="259"/>
    <x v="15"/>
    <x v="0"/>
    <x v="0"/>
    <x v="5"/>
    <x v="2"/>
    <x v="9"/>
    <x v="1"/>
    <x v="3"/>
    <x v="2"/>
    <x v="9"/>
  </r>
  <r>
    <x v="11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14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14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14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14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14"/>
    <x v="111"/>
    <x v="142"/>
    <x v="1"/>
    <x v="46"/>
    <x v="126"/>
    <x v="126"/>
    <x v="125"/>
    <x v="125"/>
    <x v="0"/>
    <x v="585"/>
    <x v="596"/>
    <x v="510"/>
    <x v="208"/>
    <x v="50"/>
    <x v="529"/>
    <x v="185"/>
    <x v="2"/>
    <x v="87"/>
    <x v="3"/>
    <x v="2"/>
    <x v="4"/>
    <x v="443"/>
    <x v="22"/>
    <x v="67"/>
    <x v="12"/>
    <x v="5"/>
    <x v="46"/>
    <x v="0"/>
    <x v="14"/>
    <x v="5"/>
    <x v="46"/>
  </r>
  <r>
    <x v="114"/>
    <x v="111"/>
    <x v="144"/>
    <x v="1"/>
    <x v="9"/>
    <x v="127"/>
    <x v="127"/>
    <x v="126"/>
    <x v="126"/>
    <x v="0"/>
    <x v="586"/>
    <x v="597"/>
    <x v="511"/>
    <x v="433"/>
    <x v="33"/>
    <x v="530"/>
    <x v="63"/>
    <x v="2"/>
    <x v="19"/>
    <x v="3"/>
    <x v="2"/>
    <x v="23"/>
    <x v="444"/>
    <x v="0"/>
    <x v="0"/>
    <x v="10"/>
    <x v="2"/>
    <x v="9"/>
    <x v="1"/>
    <x v="3"/>
    <x v="2"/>
    <x v="9"/>
  </r>
  <r>
    <x v="11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15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15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15"/>
    <x v="111"/>
    <x v="142"/>
    <x v="1"/>
    <x v="46"/>
    <x v="126"/>
    <x v="126"/>
    <x v="125"/>
    <x v="125"/>
    <x v="0"/>
    <x v="587"/>
    <x v="598"/>
    <x v="512"/>
    <x v="434"/>
    <x v="50"/>
    <x v="531"/>
    <x v="148"/>
    <x v="2"/>
    <x v="2"/>
    <x v="5"/>
    <x v="3"/>
    <x v="208"/>
    <x v="445"/>
    <x v="12"/>
    <x v="68"/>
    <x v="2"/>
    <x v="5"/>
    <x v="46"/>
    <x v="0"/>
    <x v="14"/>
    <x v="5"/>
    <x v="46"/>
  </r>
  <r>
    <x v="115"/>
    <x v="111"/>
    <x v="144"/>
    <x v="1"/>
    <x v="9"/>
    <x v="127"/>
    <x v="127"/>
    <x v="126"/>
    <x v="126"/>
    <x v="0"/>
    <x v="588"/>
    <x v="599"/>
    <x v="513"/>
    <x v="269"/>
    <x v="98"/>
    <x v="532"/>
    <x v="13"/>
    <x v="2"/>
    <x v="42"/>
    <x v="3"/>
    <x v="3"/>
    <x v="30"/>
    <x v="446"/>
    <x v="0"/>
    <x v="0"/>
    <x v="4"/>
    <x v="2"/>
    <x v="9"/>
    <x v="1"/>
    <x v="3"/>
    <x v="2"/>
    <x v="9"/>
  </r>
  <r>
    <x v="11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1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16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16"/>
    <x v="111"/>
    <x v="142"/>
    <x v="1"/>
    <x v="46"/>
    <x v="126"/>
    <x v="126"/>
    <x v="125"/>
    <x v="125"/>
    <x v="0"/>
    <x v="589"/>
    <x v="600"/>
    <x v="514"/>
    <x v="435"/>
    <x v="50"/>
    <x v="533"/>
    <x v="9"/>
    <x v="1"/>
    <x v="7"/>
    <x v="5"/>
    <x v="3"/>
    <x v="1"/>
    <x v="447"/>
    <x v="35"/>
    <x v="69"/>
    <x v="7"/>
    <x v="11"/>
    <x v="46"/>
    <x v="0"/>
    <x v="14"/>
    <x v="5"/>
    <x v="46"/>
  </r>
  <r>
    <x v="116"/>
    <x v="111"/>
    <x v="144"/>
    <x v="1"/>
    <x v="9"/>
    <x v="127"/>
    <x v="127"/>
    <x v="126"/>
    <x v="126"/>
    <x v="0"/>
    <x v="590"/>
    <x v="601"/>
    <x v="515"/>
    <x v="317"/>
    <x v="20"/>
    <x v="534"/>
    <x v="63"/>
    <x v="2"/>
    <x v="50"/>
    <x v="3"/>
    <x v="3"/>
    <x v="47"/>
    <x v="448"/>
    <x v="0"/>
    <x v="0"/>
    <x v="4"/>
    <x v="2"/>
    <x v="9"/>
    <x v="1"/>
    <x v="3"/>
    <x v="2"/>
    <x v="9"/>
  </r>
  <r>
    <x v="117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17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117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17"/>
    <x v="111"/>
    <x v="142"/>
    <x v="1"/>
    <x v="46"/>
    <x v="126"/>
    <x v="126"/>
    <x v="125"/>
    <x v="125"/>
    <x v="0"/>
    <x v="591"/>
    <x v="602"/>
    <x v="516"/>
    <x v="321"/>
    <x v="50"/>
    <x v="535"/>
    <x v="161"/>
    <x v="2"/>
    <x v="4"/>
    <x v="11"/>
    <x v="3"/>
    <x v="48"/>
    <x v="449"/>
    <x v="26"/>
    <x v="70"/>
    <x v="12"/>
    <x v="11"/>
    <x v="46"/>
    <x v="0"/>
    <x v="14"/>
    <x v="5"/>
    <x v="46"/>
  </r>
  <r>
    <x v="117"/>
    <x v="111"/>
    <x v="144"/>
    <x v="1"/>
    <x v="9"/>
    <x v="127"/>
    <x v="127"/>
    <x v="126"/>
    <x v="126"/>
    <x v="0"/>
    <x v="592"/>
    <x v="603"/>
    <x v="517"/>
    <x v="291"/>
    <x v="83"/>
    <x v="369"/>
    <x v="41"/>
    <x v="2"/>
    <x v="42"/>
    <x v="3"/>
    <x v="3"/>
    <x v="8"/>
    <x v="450"/>
    <x v="0"/>
    <x v="0"/>
    <x v="5"/>
    <x v="12"/>
    <x v="9"/>
    <x v="1"/>
    <x v="3"/>
    <x v="2"/>
    <x v="9"/>
  </r>
  <r>
    <x v="118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11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18"/>
    <x v="111"/>
    <x v="142"/>
    <x v="1"/>
    <x v="46"/>
    <x v="126"/>
    <x v="126"/>
    <x v="125"/>
    <x v="125"/>
    <x v="0"/>
    <x v="593"/>
    <x v="604"/>
    <x v="518"/>
    <x v="436"/>
    <x v="50"/>
    <x v="536"/>
    <x v="43"/>
    <x v="2"/>
    <x v="22"/>
    <x v="3"/>
    <x v="2"/>
    <x v="24"/>
    <x v="451"/>
    <x v="36"/>
    <x v="16"/>
    <x v="4"/>
    <x v="2"/>
    <x v="46"/>
    <x v="0"/>
    <x v="14"/>
    <x v="5"/>
    <x v="46"/>
  </r>
  <r>
    <x v="118"/>
    <x v="111"/>
    <x v="144"/>
    <x v="1"/>
    <x v="9"/>
    <x v="127"/>
    <x v="127"/>
    <x v="126"/>
    <x v="126"/>
    <x v="0"/>
    <x v="594"/>
    <x v="605"/>
    <x v="519"/>
    <x v="437"/>
    <x v="17"/>
    <x v="417"/>
    <x v="13"/>
    <x v="2"/>
    <x v="24"/>
    <x v="3"/>
    <x v="3"/>
    <x v="68"/>
    <x v="452"/>
    <x v="0"/>
    <x v="0"/>
    <x v="4"/>
    <x v="2"/>
    <x v="9"/>
    <x v="1"/>
    <x v="3"/>
    <x v="2"/>
    <x v="9"/>
  </r>
  <r>
    <x v="119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  <x v="67"/>
  </r>
  <r>
    <x v="119"/>
    <x v="102"/>
    <x v="130"/>
    <x v="0"/>
    <x v="69"/>
    <x v="114"/>
    <x v="114"/>
    <x v="113"/>
    <x v="11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7"/>
    <x v="0"/>
    <x v="14"/>
    <x v="5"/>
    <x v="69"/>
  </r>
  <r>
    <x v="119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19"/>
    <x v="111"/>
    <x v="142"/>
    <x v="1"/>
    <x v="46"/>
    <x v="126"/>
    <x v="126"/>
    <x v="125"/>
    <x v="125"/>
    <x v="0"/>
    <x v="595"/>
    <x v="606"/>
    <x v="520"/>
    <x v="438"/>
    <x v="50"/>
    <x v="537"/>
    <x v="80"/>
    <x v="2"/>
    <x v="2"/>
    <x v="3"/>
    <x v="3"/>
    <x v="69"/>
    <x v="453"/>
    <x v="19"/>
    <x v="71"/>
    <x v="39"/>
    <x v="11"/>
    <x v="46"/>
    <x v="0"/>
    <x v="14"/>
    <x v="5"/>
    <x v="46"/>
  </r>
  <r>
    <x v="119"/>
    <x v="111"/>
    <x v="144"/>
    <x v="1"/>
    <x v="9"/>
    <x v="127"/>
    <x v="127"/>
    <x v="126"/>
    <x v="126"/>
    <x v="0"/>
    <x v="596"/>
    <x v="607"/>
    <x v="521"/>
    <x v="439"/>
    <x v="24"/>
    <x v="538"/>
    <x v="13"/>
    <x v="2"/>
    <x v="42"/>
    <x v="5"/>
    <x v="3"/>
    <x v="26"/>
    <x v="454"/>
    <x v="0"/>
    <x v="0"/>
    <x v="1"/>
    <x v="11"/>
    <x v="9"/>
    <x v="1"/>
    <x v="3"/>
    <x v="2"/>
    <x v="9"/>
  </r>
  <r>
    <x v="120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20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20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  <x v="63"/>
  </r>
  <r>
    <x v="120"/>
    <x v="111"/>
    <x v="142"/>
    <x v="1"/>
    <x v="46"/>
    <x v="126"/>
    <x v="126"/>
    <x v="125"/>
    <x v="125"/>
    <x v="0"/>
    <x v="597"/>
    <x v="608"/>
    <x v="522"/>
    <x v="77"/>
    <x v="76"/>
    <x v="539"/>
    <x v="48"/>
    <x v="2"/>
    <x v="90"/>
    <x v="3"/>
    <x v="2"/>
    <x v="87"/>
    <x v="455"/>
    <x v="30"/>
    <x v="72"/>
    <x v="12"/>
    <x v="12"/>
    <x v="46"/>
    <x v="0"/>
    <x v="14"/>
    <x v="5"/>
    <x v="46"/>
  </r>
  <r>
    <x v="120"/>
    <x v="111"/>
    <x v="144"/>
    <x v="1"/>
    <x v="9"/>
    <x v="127"/>
    <x v="127"/>
    <x v="126"/>
    <x v="126"/>
    <x v="0"/>
    <x v="598"/>
    <x v="609"/>
    <x v="523"/>
    <x v="440"/>
    <x v="73"/>
    <x v="185"/>
    <x v="21"/>
    <x v="2"/>
    <x v="24"/>
    <x v="3"/>
    <x v="3"/>
    <x v="8"/>
    <x v="456"/>
    <x v="0"/>
    <x v="0"/>
    <x v="5"/>
    <x v="2"/>
    <x v="9"/>
    <x v="1"/>
    <x v="3"/>
    <x v="2"/>
    <x v="9"/>
  </r>
  <r>
    <x v="121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2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21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  <x v="0"/>
    <x v="16"/>
    <x v="5"/>
    <x v="71"/>
  </r>
  <r>
    <x v="121"/>
    <x v="107"/>
    <x v="136"/>
    <x v="0"/>
    <x v="72"/>
    <x v="120"/>
    <x v="120"/>
    <x v="119"/>
    <x v="1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0"/>
    <x v="0"/>
    <x v="14"/>
    <x v="5"/>
    <x v="72"/>
  </r>
  <r>
    <x v="121"/>
    <x v="111"/>
    <x v="142"/>
    <x v="1"/>
    <x v="46"/>
    <x v="126"/>
    <x v="126"/>
    <x v="125"/>
    <x v="125"/>
    <x v="0"/>
    <x v="599"/>
    <x v="610"/>
    <x v="524"/>
    <x v="268"/>
    <x v="35"/>
    <x v="540"/>
    <x v="54"/>
    <x v="1"/>
    <x v="91"/>
    <x v="5"/>
    <x v="2"/>
    <x v="69"/>
    <x v="457"/>
    <x v="37"/>
    <x v="73"/>
    <x v="7"/>
    <x v="12"/>
    <x v="46"/>
    <x v="0"/>
    <x v="14"/>
    <x v="5"/>
    <x v="46"/>
  </r>
  <r>
    <x v="121"/>
    <x v="111"/>
    <x v="144"/>
    <x v="1"/>
    <x v="9"/>
    <x v="127"/>
    <x v="127"/>
    <x v="126"/>
    <x v="126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2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22"/>
    <x v="104"/>
    <x v="131"/>
    <x v="0"/>
    <x v="70"/>
    <x v="115"/>
    <x v="115"/>
    <x v="114"/>
    <x v="114"/>
    <x v="0"/>
    <x v="600"/>
    <x v="611"/>
    <x v="471"/>
    <x v="421"/>
    <x v="71"/>
    <x v="541"/>
    <x v="195"/>
    <x v="3"/>
    <x v="55"/>
    <x v="3"/>
    <x v="4"/>
    <x v="260"/>
    <x v="20"/>
    <x v="0"/>
    <x v="0"/>
    <x v="2"/>
    <x v="6"/>
    <x v="68"/>
    <x v="0"/>
    <x v="14"/>
    <x v="5"/>
    <x v="70"/>
  </r>
  <r>
    <x v="122"/>
    <x v="111"/>
    <x v="142"/>
    <x v="1"/>
    <x v="46"/>
    <x v="126"/>
    <x v="126"/>
    <x v="125"/>
    <x v="125"/>
    <x v="0"/>
    <x v="601"/>
    <x v="612"/>
    <x v="525"/>
    <x v="309"/>
    <x v="35"/>
    <x v="76"/>
    <x v="23"/>
    <x v="2"/>
    <x v="50"/>
    <x v="3"/>
    <x v="3"/>
    <x v="93"/>
    <x v="458"/>
    <x v="4"/>
    <x v="74"/>
    <x v="4"/>
    <x v="2"/>
    <x v="46"/>
    <x v="0"/>
    <x v="14"/>
    <x v="5"/>
    <x v="46"/>
  </r>
  <r>
    <x v="123"/>
    <x v="104"/>
    <x v="131"/>
    <x v="0"/>
    <x v="70"/>
    <x v="115"/>
    <x v="115"/>
    <x v="114"/>
    <x v="114"/>
    <x v="0"/>
    <x v="602"/>
    <x v="613"/>
    <x v="301"/>
    <x v="441"/>
    <x v="76"/>
    <x v="542"/>
    <x v="13"/>
    <x v="2"/>
    <x v="14"/>
    <x v="3"/>
    <x v="3"/>
    <x v="8"/>
    <x v="263"/>
    <x v="0"/>
    <x v="0"/>
    <x v="5"/>
    <x v="2"/>
    <x v="68"/>
    <x v="0"/>
    <x v="14"/>
    <x v="5"/>
    <x v="70"/>
  </r>
  <r>
    <x v="124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5"/>
    <x v="65"/>
  </r>
  <r>
    <x v="124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24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124"/>
    <x v="113"/>
    <x v="145"/>
    <x v="0"/>
    <x v="76"/>
    <x v="128"/>
    <x v="128"/>
    <x v="127"/>
    <x v="127"/>
    <x v="0"/>
    <x v="603"/>
    <x v="614"/>
    <x v="526"/>
    <x v="442"/>
    <x v="99"/>
    <x v="543"/>
    <x v="48"/>
    <x v="2"/>
    <x v="4"/>
    <x v="3"/>
    <x v="3"/>
    <x v="57"/>
    <x v="373"/>
    <x v="0"/>
    <x v="0"/>
    <x v="2"/>
    <x v="2"/>
    <x v="74"/>
    <x v="0"/>
    <x v="14"/>
    <x v="5"/>
    <x v="76"/>
  </r>
  <r>
    <x v="124"/>
    <x v="113"/>
    <x v="146"/>
    <x v="0"/>
    <x v="77"/>
    <x v="129"/>
    <x v="129"/>
    <x v="128"/>
    <x v="128"/>
    <x v="0"/>
    <x v="604"/>
    <x v="615"/>
    <x v="527"/>
    <x v="284"/>
    <x v="15"/>
    <x v="544"/>
    <x v="112"/>
    <x v="1"/>
    <x v="91"/>
    <x v="3"/>
    <x v="2"/>
    <x v="261"/>
    <x v="459"/>
    <x v="0"/>
    <x v="0"/>
    <x v="10"/>
    <x v="2"/>
    <x v="75"/>
    <x v="0"/>
    <x v="14"/>
    <x v="5"/>
    <x v="77"/>
  </r>
  <r>
    <x v="12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2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125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125"/>
    <x v="113"/>
    <x v="145"/>
    <x v="0"/>
    <x v="76"/>
    <x v="128"/>
    <x v="128"/>
    <x v="127"/>
    <x v="127"/>
    <x v="0"/>
    <x v="605"/>
    <x v="616"/>
    <x v="528"/>
    <x v="367"/>
    <x v="83"/>
    <x v="545"/>
    <x v="125"/>
    <x v="2"/>
    <x v="42"/>
    <x v="3"/>
    <x v="3"/>
    <x v="26"/>
    <x v="460"/>
    <x v="0"/>
    <x v="0"/>
    <x v="5"/>
    <x v="2"/>
    <x v="74"/>
    <x v="0"/>
    <x v="14"/>
    <x v="5"/>
    <x v="76"/>
  </r>
  <r>
    <x v="125"/>
    <x v="113"/>
    <x v="146"/>
    <x v="0"/>
    <x v="77"/>
    <x v="129"/>
    <x v="129"/>
    <x v="128"/>
    <x v="128"/>
    <x v="0"/>
    <x v="606"/>
    <x v="617"/>
    <x v="529"/>
    <x v="112"/>
    <x v="48"/>
    <x v="546"/>
    <x v="71"/>
    <x v="2"/>
    <x v="22"/>
    <x v="3"/>
    <x v="3"/>
    <x v="24"/>
    <x v="461"/>
    <x v="0"/>
    <x v="0"/>
    <x v="7"/>
    <x v="5"/>
    <x v="75"/>
    <x v="0"/>
    <x v="14"/>
    <x v="5"/>
    <x v="77"/>
  </r>
  <r>
    <x v="12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26"/>
    <x v="113"/>
    <x v="145"/>
    <x v="0"/>
    <x v="76"/>
    <x v="128"/>
    <x v="128"/>
    <x v="127"/>
    <x v="127"/>
    <x v="0"/>
    <x v="607"/>
    <x v="618"/>
    <x v="32"/>
    <x v="377"/>
    <x v="83"/>
    <x v="547"/>
    <x v="8"/>
    <x v="2"/>
    <x v="24"/>
    <x v="3"/>
    <x v="3"/>
    <x v="70"/>
    <x v="462"/>
    <x v="0"/>
    <x v="0"/>
    <x v="5"/>
    <x v="2"/>
    <x v="74"/>
    <x v="0"/>
    <x v="14"/>
    <x v="5"/>
    <x v="76"/>
  </r>
  <r>
    <x v="126"/>
    <x v="113"/>
    <x v="146"/>
    <x v="0"/>
    <x v="77"/>
    <x v="129"/>
    <x v="129"/>
    <x v="128"/>
    <x v="128"/>
    <x v="0"/>
    <x v="608"/>
    <x v="619"/>
    <x v="530"/>
    <x v="390"/>
    <x v="3"/>
    <x v="548"/>
    <x v="54"/>
    <x v="1"/>
    <x v="22"/>
    <x v="3"/>
    <x v="2"/>
    <x v="24"/>
    <x v="461"/>
    <x v="0"/>
    <x v="0"/>
    <x v="2"/>
    <x v="2"/>
    <x v="75"/>
    <x v="0"/>
    <x v="14"/>
    <x v="5"/>
    <x v="77"/>
  </r>
  <r>
    <x v="126"/>
    <x v="114"/>
    <x v="147"/>
    <x v="0"/>
    <x v="51"/>
    <x v="130"/>
    <x v="130"/>
    <x v="129"/>
    <x v="129"/>
    <x v="0"/>
    <x v="609"/>
    <x v="620"/>
    <x v="531"/>
    <x v="385"/>
    <x v="7"/>
    <x v="549"/>
    <x v="1"/>
    <x v="2"/>
    <x v="42"/>
    <x v="3"/>
    <x v="23"/>
    <x v="7"/>
    <x v="463"/>
    <x v="3"/>
    <x v="35"/>
    <x v="2"/>
    <x v="5"/>
    <x v="49"/>
    <x v="0"/>
    <x v="14"/>
    <x v="5"/>
    <x v="51"/>
  </r>
  <r>
    <x v="127"/>
    <x v="114"/>
    <x v="147"/>
    <x v="0"/>
    <x v="51"/>
    <x v="130"/>
    <x v="130"/>
    <x v="129"/>
    <x v="129"/>
    <x v="0"/>
    <x v="610"/>
    <x v="621"/>
    <x v="532"/>
    <x v="309"/>
    <x v="10"/>
    <x v="550"/>
    <x v="8"/>
    <x v="2"/>
    <x v="14"/>
    <x v="3"/>
    <x v="3"/>
    <x v="27"/>
    <x v="464"/>
    <x v="0"/>
    <x v="0"/>
    <x v="5"/>
    <x v="2"/>
    <x v="49"/>
    <x v="0"/>
    <x v="14"/>
    <x v="5"/>
    <x v="51"/>
  </r>
  <r>
    <x v="127"/>
    <x v="115"/>
    <x v="148"/>
    <x v="0"/>
    <x v="73"/>
    <x v="131"/>
    <x v="131"/>
    <x v="130"/>
    <x v="130"/>
    <x v="0"/>
    <x v="611"/>
    <x v="622"/>
    <x v="533"/>
    <x v="435"/>
    <x v="55"/>
    <x v="359"/>
    <x v="115"/>
    <x v="0"/>
    <x v="137"/>
    <x v="5"/>
    <x v="8"/>
    <x v="262"/>
    <x v="291"/>
    <x v="0"/>
    <x v="0"/>
    <x v="18"/>
    <x v="1"/>
    <x v="71"/>
    <x v="0"/>
    <x v="14"/>
    <x v="5"/>
    <x v="73"/>
  </r>
  <r>
    <x v="127"/>
    <x v="115"/>
    <x v="149"/>
    <x v="0"/>
    <x v="7"/>
    <x v="132"/>
    <x v="132"/>
    <x v="131"/>
    <x v="131"/>
    <x v="0"/>
    <x v="164"/>
    <x v="623"/>
    <x v="70"/>
    <x v="443"/>
    <x v="42"/>
    <x v="551"/>
    <x v="15"/>
    <x v="2"/>
    <x v="14"/>
    <x v="3"/>
    <x v="3"/>
    <x v="15"/>
    <x v="15"/>
    <x v="0"/>
    <x v="0"/>
    <x v="5"/>
    <x v="2"/>
    <x v="7"/>
    <x v="0"/>
    <x v="6"/>
    <x v="0"/>
    <x v="7"/>
  </r>
  <r>
    <x v="128"/>
    <x v="115"/>
    <x v="148"/>
    <x v="0"/>
    <x v="73"/>
    <x v="131"/>
    <x v="131"/>
    <x v="130"/>
    <x v="130"/>
    <x v="0"/>
    <x v="612"/>
    <x v="624"/>
    <x v="534"/>
    <x v="444"/>
    <x v="36"/>
    <x v="61"/>
    <x v="196"/>
    <x v="1"/>
    <x v="138"/>
    <x v="3"/>
    <x v="8"/>
    <x v="263"/>
    <x v="339"/>
    <x v="0"/>
    <x v="0"/>
    <x v="41"/>
    <x v="1"/>
    <x v="71"/>
    <x v="0"/>
    <x v="14"/>
    <x v="5"/>
    <x v="73"/>
  </r>
  <r>
    <x v="128"/>
    <x v="115"/>
    <x v="149"/>
    <x v="0"/>
    <x v="7"/>
    <x v="132"/>
    <x v="132"/>
    <x v="131"/>
    <x v="131"/>
    <x v="0"/>
    <x v="613"/>
    <x v="625"/>
    <x v="535"/>
    <x v="424"/>
    <x v="37"/>
    <x v="552"/>
    <x v="197"/>
    <x v="1"/>
    <x v="32"/>
    <x v="10"/>
    <x v="8"/>
    <x v="29"/>
    <x v="158"/>
    <x v="0"/>
    <x v="0"/>
    <x v="5"/>
    <x v="6"/>
    <x v="7"/>
    <x v="0"/>
    <x v="6"/>
    <x v="0"/>
    <x v="7"/>
  </r>
  <r>
    <x v="129"/>
    <x v="115"/>
    <x v="148"/>
    <x v="0"/>
    <x v="73"/>
    <x v="131"/>
    <x v="131"/>
    <x v="130"/>
    <x v="130"/>
    <x v="0"/>
    <x v="614"/>
    <x v="626"/>
    <x v="536"/>
    <x v="445"/>
    <x v="7"/>
    <x v="66"/>
    <x v="198"/>
    <x v="7"/>
    <x v="139"/>
    <x v="5"/>
    <x v="13"/>
    <x v="264"/>
    <x v="279"/>
    <x v="0"/>
    <x v="0"/>
    <x v="21"/>
    <x v="1"/>
    <x v="71"/>
    <x v="0"/>
    <x v="14"/>
    <x v="5"/>
    <x v="73"/>
  </r>
  <r>
    <x v="129"/>
    <x v="115"/>
    <x v="149"/>
    <x v="0"/>
    <x v="7"/>
    <x v="132"/>
    <x v="132"/>
    <x v="131"/>
    <x v="131"/>
    <x v="0"/>
    <x v="615"/>
    <x v="627"/>
    <x v="537"/>
    <x v="19"/>
    <x v="8"/>
    <x v="553"/>
    <x v="60"/>
    <x v="2"/>
    <x v="28"/>
    <x v="14"/>
    <x v="23"/>
    <x v="28"/>
    <x v="465"/>
    <x v="0"/>
    <x v="0"/>
    <x v="2"/>
    <x v="5"/>
    <x v="7"/>
    <x v="0"/>
    <x v="6"/>
    <x v="0"/>
    <x v="7"/>
  </r>
  <r>
    <x v="130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30"/>
    <x v="115"/>
    <x v="148"/>
    <x v="0"/>
    <x v="73"/>
    <x v="131"/>
    <x v="131"/>
    <x v="130"/>
    <x v="130"/>
    <x v="0"/>
    <x v="616"/>
    <x v="628"/>
    <x v="518"/>
    <x v="446"/>
    <x v="55"/>
    <x v="554"/>
    <x v="94"/>
    <x v="2"/>
    <x v="13"/>
    <x v="1"/>
    <x v="2"/>
    <x v="265"/>
    <x v="114"/>
    <x v="0"/>
    <x v="0"/>
    <x v="10"/>
    <x v="11"/>
    <x v="71"/>
    <x v="0"/>
    <x v="14"/>
    <x v="5"/>
    <x v="73"/>
  </r>
  <r>
    <x v="130"/>
    <x v="115"/>
    <x v="149"/>
    <x v="0"/>
    <x v="7"/>
    <x v="132"/>
    <x v="132"/>
    <x v="131"/>
    <x v="1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  <x v="7"/>
  </r>
  <r>
    <x v="130"/>
    <x v="116"/>
    <x v="150"/>
    <x v="0"/>
    <x v="73"/>
    <x v="133"/>
    <x v="133"/>
    <x v="132"/>
    <x v="132"/>
    <x v="0"/>
    <x v="617"/>
    <x v="629"/>
    <x v="538"/>
    <x v="447"/>
    <x v="81"/>
    <x v="555"/>
    <x v="199"/>
    <x v="7"/>
    <x v="140"/>
    <x v="11"/>
    <x v="13"/>
    <x v="215"/>
    <x v="135"/>
    <x v="0"/>
    <x v="0"/>
    <x v="20"/>
    <x v="25"/>
    <x v="71"/>
    <x v="0"/>
    <x v="14"/>
    <x v="5"/>
    <x v="73"/>
  </r>
  <r>
    <x v="131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31"/>
    <x v="115"/>
    <x v="148"/>
    <x v="0"/>
    <x v="73"/>
    <x v="131"/>
    <x v="131"/>
    <x v="130"/>
    <x v="130"/>
    <x v="0"/>
    <x v="618"/>
    <x v="630"/>
    <x v="539"/>
    <x v="448"/>
    <x v="89"/>
    <x v="349"/>
    <x v="18"/>
    <x v="2"/>
    <x v="24"/>
    <x v="3"/>
    <x v="3"/>
    <x v="27"/>
    <x v="466"/>
    <x v="0"/>
    <x v="0"/>
    <x v="5"/>
    <x v="2"/>
    <x v="71"/>
    <x v="0"/>
    <x v="14"/>
    <x v="5"/>
    <x v="73"/>
  </r>
  <r>
    <x v="131"/>
    <x v="116"/>
    <x v="150"/>
    <x v="0"/>
    <x v="73"/>
    <x v="133"/>
    <x v="133"/>
    <x v="132"/>
    <x v="132"/>
    <x v="0"/>
    <x v="619"/>
    <x v="631"/>
    <x v="540"/>
    <x v="449"/>
    <x v="100"/>
    <x v="556"/>
    <x v="1"/>
    <x v="0"/>
    <x v="7"/>
    <x v="3"/>
    <x v="4"/>
    <x v="69"/>
    <x v="357"/>
    <x v="0"/>
    <x v="0"/>
    <x v="1"/>
    <x v="11"/>
    <x v="71"/>
    <x v="0"/>
    <x v="14"/>
    <x v="5"/>
    <x v="73"/>
  </r>
  <r>
    <x v="131"/>
    <x v="117"/>
    <x v="151"/>
    <x v="0"/>
    <x v="78"/>
    <x v="134"/>
    <x v="134"/>
    <x v="133"/>
    <x v="133"/>
    <x v="0"/>
    <x v="620"/>
    <x v="632"/>
    <x v="541"/>
    <x v="450"/>
    <x v="77"/>
    <x v="557"/>
    <x v="26"/>
    <x v="2"/>
    <x v="14"/>
    <x v="3"/>
    <x v="2"/>
    <x v="83"/>
    <x v="467"/>
    <x v="0"/>
    <x v="0"/>
    <x v="5"/>
    <x v="2"/>
    <x v="76"/>
    <x v="0"/>
    <x v="0"/>
    <x v="6"/>
    <x v="78"/>
  </r>
  <r>
    <x v="131"/>
    <x v="117"/>
    <x v="152"/>
    <x v="0"/>
    <x v="79"/>
    <x v="135"/>
    <x v="135"/>
    <x v="134"/>
    <x v="134"/>
    <x v="0"/>
    <x v="621"/>
    <x v="633"/>
    <x v="249"/>
    <x v="451"/>
    <x v="19"/>
    <x v="558"/>
    <x v="15"/>
    <x v="2"/>
    <x v="14"/>
    <x v="3"/>
    <x v="3"/>
    <x v="15"/>
    <x v="15"/>
    <x v="0"/>
    <x v="0"/>
    <x v="5"/>
    <x v="2"/>
    <x v="77"/>
    <x v="0"/>
    <x v="17"/>
    <x v="6"/>
    <x v="79"/>
  </r>
  <r>
    <x v="131"/>
    <x v="117"/>
    <x v="153"/>
    <x v="0"/>
    <x v="9"/>
    <x v="136"/>
    <x v="136"/>
    <x v="135"/>
    <x v="135"/>
    <x v="0"/>
    <x v="622"/>
    <x v="634"/>
    <x v="542"/>
    <x v="452"/>
    <x v="73"/>
    <x v="559"/>
    <x v="125"/>
    <x v="2"/>
    <x v="14"/>
    <x v="11"/>
    <x v="3"/>
    <x v="30"/>
    <x v="468"/>
    <x v="0"/>
    <x v="0"/>
    <x v="2"/>
    <x v="2"/>
    <x v="9"/>
    <x v="1"/>
    <x v="3"/>
    <x v="2"/>
    <x v="9"/>
  </r>
  <r>
    <x v="131"/>
    <x v="117"/>
    <x v="154"/>
    <x v="0"/>
    <x v="9"/>
    <x v="137"/>
    <x v="137"/>
    <x v="136"/>
    <x v="136"/>
    <x v="0"/>
    <x v="623"/>
    <x v="635"/>
    <x v="543"/>
    <x v="46"/>
    <x v="81"/>
    <x v="56"/>
    <x v="15"/>
    <x v="2"/>
    <x v="14"/>
    <x v="3"/>
    <x v="3"/>
    <x v="15"/>
    <x v="15"/>
    <x v="0"/>
    <x v="0"/>
    <x v="5"/>
    <x v="2"/>
    <x v="9"/>
    <x v="1"/>
    <x v="3"/>
    <x v="2"/>
    <x v="9"/>
  </r>
  <r>
    <x v="131"/>
    <x v="118"/>
    <x v="155"/>
    <x v="0"/>
    <x v="73"/>
    <x v="138"/>
    <x v="138"/>
    <x v="137"/>
    <x v="137"/>
    <x v="0"/>
    <x v="30"/>
    <x v="636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31"/>
    <x v="119"/>
    <x v="156"/>
    <x v="0"/>
    <x v="79"/>
    <x v="139"/>
    <x v="139"/>
    <x v="138"/>
    <x v="138"/>
    <x v="0"/>
    <x v="624"/>
    <x v="637"/>
    <x v="544"/>
    <x v="318"/>
    <x v="49"/>
    <x v="560"/>
    <x v="18"/>
    <x v="2"/>
    <x v="14"/>
    <x v="3"/>
    <x v="3"/>
    <x v="20"/>
    <x v="469"/>
    <x v="0"/>
    <x v="0"/>
    <x v="5"/>
    <x v="2"/>
    <x v="77"/>
    <x v="0"/>
    <x v="17"/>
    <x v="6"/>
    <x v="79"/>
  </r>
  <r>
    <x v="13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32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32"/>
    <x v="116"/>
    <x v="150"/>
    <x v="0"/>
    <x v="73"/>
    <x v="133"/>
    <x v="133"/>
    <x v="132"/>
    <x v="132"/>
    <x v="0"/>
    <x v="625"/>
    <x v="638"/>
    <x v="545"/>
    <x v="413"/>
    <x v="55"/>
    <x v="561"/>
    <x v="88"/>
    <x v="0"/>
    <x v="26"/>
    <x v="3"/>
    <x v="23"/>
    <x v="266"/>
    <x v="470"/>
    <x v="0"/>
    <x v="0"/>
    <x v="14"/>
    <x v="5"/>
    <x v="71"/>
    <x v="0"/>
    <x v="14"/>
    <x v="5"/>
    <x v="73"/>
  </r>
  <r>
    <x v="132"/>
    <x v="117"/>
    <x v="151"/>
    <x v="0"/>
    <x v="78"/>
    <x v="134"/>
    <x v="134"/>
    <x v="133"/>
    <x v="133"/>
    <x v="0"/>
    <x v="626"/>
    <x v="639"/>
    <x v="32"/>
    <x v="453"/>
    <x v="47"/>
    <x v="562"/>
    <x v="8"/>
    <x v="2"/>
    <x v="14"/>
    <x v="3"/>
    <x v="3"/>
    <x v="27"/>
    <x v="281"/>
    <x v="0"/>
    <x v="0"/>
    <x v="5"/>
    <x v="2"/>
    <x v="76"/>
    <x v="0"/>
    <x v="0"/>
    <x v="6"/>
    <x v="78"/>
  </r>
  <r>
    <x v="132"/>
    <x v="117"/>
    <x v="153"/>
    <x v="0"/>
    <x v="9"/>
    <x v="136"/>
    <x v="136"/>
    <x v="135"/>
    <x v="135"/>
    <x v="0"/>
    <x v="627"/>
    <x v="640"/>
    <x v="546"/>
    <x v="210"/>
    <x v="0"/>
    <x v="60"/>
    <x v="7"/>
    <x v="2"/>
    <x v="20"/>
    <x v="56"/>
    <x v="3"/>
    <x v="13"/>
    <x v="471"/>
    <x v="0"/>
    <x v="0"/>
    <x v="1"/>
    <x v="2"/>
    <x v="9"/>
    <x v="1"/>
    <x v="3"/>
    <x v="2"/>
    <x v="9"/>
  </r>
  <r>
    <x v="132"/>
    <x v="117"/>
    <x v="154"/>
    <x v="0"/>
    <x v="9"/>
    <x v="137"/>
    <x v="137"/>
    <x v="136"/>
    <x v="136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32"/>
    <x v="118"/>
    <x v="155"/>
    <x v="0"/>
    <x v="73"/>
    <x v="138"/>
    <x v="138"/>
    <x v="137"/>
    <x v="137"/>
    <x v="0"/>
    <x v="628"/>
    <x v="641"/>
    <x v="547"/>
    <x v="454"/>
    <x v="43"/>
    <x v="563"/>
    <x v="112"/>
    <x v="2"/>
    <x v="31"/>
    <x v="3"/>
    <x v="2"/>
    <x v="64"/>
    <x v="472"/>
    <x v="0"/>
    <x v="0"/>
    <x v="9"/>
    <x v="12"/>
    <x v="71"/>
    <x v="0"/>
    <x v="14"/>
    <x v="5"/>
    <x v="73"/>
  </r>
  <r>
    <x v="132"/>
    <x v="119"/>
    <x v="156"/>
    <x v="0"/>
    <x v="79"/>
    <x v="139"/>
    <x v="139"/>
    <x v="138"/>
    <x v="138"/>
    <x v="0"/>
    <x v="629"/>
    <x v="642"/>
    <x v="548"/>
    <x v="197"/>
    <x v="52"/>
    <x v="561"/>
    <x v="63"/>
    <x v="1"/>
    <x v="50"/>
    <x v="3"/>
    <x v="3"/>
    <x v="13"/>
    <x v="473"/>
    <x v="0"/>
    <x v="0"/>
    <x v="4"/>
    <x v="2"/>
    <x v="77"/>
    <x v="0"/>
    <x v="17"/>
    <x v="6"/>
    <x v="79"/>
  </r>
  <r>
    <x v="132"/>
    <x v="120"/>
    <x v="157"/>
    <x v="0"/>
    <x v="80"/>
    <x v="140"/>
    <x v="140"/>
    <x v="139"/>
    <x v="139"/>
    <x v="0"/>
    <x v="630"/>
    <x v="643"/>
    <x v="549"/>
    <x v="455"/>
    <x v="81"/>
    <x v="564"/>
    <x v="161"/>
    <x v="1"/>
    <x v="4"/>
    <x v="11"/>
    <x v="2"/>
    <x v="1"/>
    <x v="145"/>
    <x v="0"/>
    <x v="0"/>
    <x v="2"/>
    <x v="2"/>
    <x v="78"/>
    <x v="1"/>
    <x v="3"/>
    <x v="2"/>
    <x v="80"/>
  </r>
  <r>
    <x v="132"/>
    <x v="120"/>
    <x v="158"/>
    <x v="0"/>
    <x v="81"/>
    <x v="141"/>
    <x v="141"/>
    <x v="140"/>
    <x v="140"/>
    <x v="0"/>
    <x v="631"/>
    <x v="644"/>
    <x v="550"/>
    <x v="456"/>
    <x v="76"/>
    <x v="565"/>
    <x v="99"/>
    <x v="2"/>
    <x v="21"/>
    <x v="0"/>
    <x v="2"/>
    <x v="32"/>
    <x v="186"/>
    <x v="0"/>
    <x v="0"/>
    <x v="12"/>
    <x v="12"/>
    <x v="79"/>
    <x v="0"/>
    <x v="14"/>
    <x v="5"/>
    <x v="81"/>
  </r>
  <r>
    <x v="132"/>
    <x v="120"/>
    <x v="159"/>
    <x v="0"/>
    <x v="82"/>
    <x v="142"/>
    <x v="142"/>
    <x v="141"/>
    <x v="141"/>
    <x v="0"/>
    <x v="632"/>
    <x v="645"/>
    <x v="551"/>
    <x v="457"/>
    <x v="3"/>
    <x v="566"/>
    <x v="149"/>
    <x v="0"/>
    <x v="15"/>
    <x v="4"/>
    <x v="1"/>
    <x v="5"/>
    <x v="292"/>
    <x v="0"/>
    <x v="0"/>
    <x v="0"/>
    <x v="43"/>
    <x v="80"/>
    <x v="0"/>
    <x v="0"/>
    <x v="6"/>
    <x v="82"/>
  </r>
  <r>
    <x v="133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33"/>
    <x v="116"/>
    <x v="150"/>
    <x v="0"/>
    <x v="73"/>
    <x v="133"/>
    <x v="133"/>
    <x v="132"/>
    <x v="132"/>
    <x v="0"/>
    <x v="633"/>
    <x v="646"/>
    <x v="552"/>
    <x v="294"/>
    <x v="76"/>
    <x v="359"/>
    <x v="200"/>
    <x v="2"/>
    <x v="141"/>
    <x v="5"/>
    <x v="0"/>
    <x v="267"/>
    <x v="474"/>
    <x v="0"/>
    <x v="0"/>
    <x v="0"/>
    <x v="11"/>
    <x v="71"/>
    <x v="0"/>
    <x v="14"/>
    <x v="5"/>
    <x v="73"/>
  </r>
  <r>
    <x v="133"/>
    <x v="120"/>
    <x v="157"/>
    <x v="0"/>
    <x v="80"/>
    <x v="140"/>
    <x v="140"/>
    <x v="139"/>
    <x v="139"/>
    <x v="0"/>
    <x v="632"/>
    <x v="647"/>
    <x v="553"/>
    <x v="190"/>
    <x v="12"/>
    <x v="567"/>
    <x v="33"/>
    <x v="2"/>
    <x v="73"/>
    <x v="51"/>
    <x v="2"/>
    <x v="33"/>
    <x v="475"/>
    <x v="0"/>
    <x v="0"/>
    <x v="1"/>
    <x v="11"/>
    <x v="78"/>
    <x v="1"/>
    <x v="3"/>
    <x v="2"/>
    <x v="80"/>
  </r>
  <r>
    <x v="133"/>
    <x v="120"/>
    <x v="158"/>
    <x v="0"/>
    <x v="81"/>
    <x v="141"/>
    <x v="141"/>
    <x v="140"/>
    <x v="140"/>
    <x v="0"/>
    <x v="634"/>
    <x v="648"/>
    <x v="554"/>
    <x v="458"/>
    <x v="34"/>
    <x v="568"/>
    <x v="96"/>
    <x v="2"/>
    <x v="16"/>
    <x v="0"/>
    <x v="3"/>
    <x v="122"/>
    <x v="476"/>
    <x v="0"/>
    <x v="0"/>
    <x v="12"/>
    <x v="2"/>
    <x v="79"/>
    <x v="0"/>
    <x v="14"/>
    <x v="5"/>
    <x v="81"/>
  </r>
  <r>
    <x v="133"/>
    <x v="120"/>
    <x v="159"/>
    <x v="0"/>
    <x v="82"/>
    <x v="142"/>
    <x v="142"/>
    <x v="141"/>
    <x v="141"/>
    <x v="0"/>
    <x v="635"/>
    <x v="649"/>
    <x v="555"/>
    <x v="262"/>
    <x v="0"/>
    <x v="569"/>
    <x v="114"/>
    <x v="2"/>
    <x v="142"/>
    <x v="1"/>
    <x v="0"/>
    <x v="266"/>
    <x v="152"/>
    <x v="0"/>
    <x v="0"/>
    <x v="42"/>
    <x v="0"/>
    <x v="80"/>
    <x v="0"/>
    <x v="0"/>
    <x v="6"/>
    <x v="82"/>
  </r>
  <r>
    <x v="133"/>
    <x v="121"/>
    <x v="160"/>
    <x v="0"/>
    <x v="79"/>
    <x v="143"/>
    <x v="143"/>
    <x v="142"/>
    <x v="142"/>
    <x v="0"/>
    <x v="636"/>
    <x v="650"/>
    <x v="556"/>
    <x v="459"/>
    <x v="41"/>
    <x v="570"/>
    <x v="13"/>
    <x v="2"/>
    <x v="19"/>
    <x v="3"/>
    <x v="3"/>
    <x v="26"/>
    <x v="477"/>
    <x v="0"/>
    <x v="0"/>
    <x v="7"/>
    <x v="5"/>
    <x v="77"/>
    <x v="0"/>
    <x v="17"/>
    <x v="6"/>
    <x v="79"/>
  </r>
  <r>
    <x v="133"/>
    <x v="121"/>
    <x v="161"/>
    <x v="0"/>
    <x v="83"/>
    <x v="144"/>
    <x v="144"/>
    <x v="143"/>
    <x v="143"/>
    <x v="0"/>
    <x v="632"/>
    <x v="466"/>
    <x v="557"/>
    <x v="397"/>
    <x v="26"/>
    <x v="571"/>
    <x v="176"/>
    <x v="2"/>
    <x v="32"/>
    <x v="9"/>
    <x v="2"/>
    <x v="268"/>
    <x v="478"/>
    <x v="0"/>
    <x v="0"/>
    <x v="2"/>
    <x v="2"/>
    <x v="81"/>
    <x v="1"/>
    <x v="3"/>
    <x v="2"/>
    <x v="83"/>
  </r>
  <r>
    <x v="134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134"/>
    <x v="116"/>
    <x v="150"/>
    <x v="0"/>
    <x v="73"/>
    <x v="133"/>
    <x v="133"/>
    <x v="132"/>
    <x v="132"/>
    <x v="0"/>
    <x v="637"/>
    <x v="651"/>
    <x v="558"/>
    <x v="460"/>
    <x v="20"/>
    <x v="572"/>
    <x v="201"/>
    <x v="1"/>
    <x v="125"/>
    <x v="11"/>
    <x v="4"/>
    <x v="269"/>
    <x v="479"/>
    <x v="0"/>
    <x v="0"/>
    <x v="0"/>
    <x v="6"/>
    <x v="71"/>
    <x v="0"/>
    <x v="14"/>
    <x v="5"/>
    <x v="73"/>
  </r>
  <r>
    <x v="134"/>
    <x v="120"/>
    <x v="157"/>
    <x v="0"/>
    <x v="80"/>
    <x v="140"/>
    <x v="140"/>
    <x v="139"/>
    <x v="139"/>
    <x v="0"/>
    <x v="630"/>
    <x v="652"/>
    <x v="559"/>
    <x v="461"/>
    <x v="10"/>
    <x v="573"/>
    <x v="92"/>
    <x v="2"/>
    <x v="91"/>
    <x v="1"/>
    <x v="2"/>
    <x v="244"/>
    <x v="480"/>
    <x v="0"/>
    <x v="0"/>
    <x v="2"/>
    <x v="5"/>
    <x v="78"/>
    <x v="1"/>
    <x v="3"/>
    <x v="2"/>
    <x v="80"/>
  </r>
  <r>
    <x v="134"/>
    <x v="120"/>
    <x v="158"/>
    <x v="0"/>
    <x v="81"/>
    <x v="141"/>
    <x v="141"/>
    <x v="140"/>
    <x v="140"/>
    <x v="0"/>
    <x v="638"/>
    <x v="653"/>
    <x v="560"/>
    <x v="275"/>
    <x v="101"/>
    <x v="574"/>
    <x v="8"/>
    <x v="2"/>
    <x v="42"/>
    <x v="5"/>
    <x v="3"/>
    <x v="93"/>
    <x v="481"/>
    <x v="0"/>
    <x v="0"/>
    <x v="5"/>
    <x v="2"/>
    <x v="79"/>
    <x v="0"/>
    <x v="14"/>
    <x v="5"/>
    <x v="81"/>
  </r>
  <r>
    <x v="134"/>
    <x v="120"/>
    <x v="159"/>
    <x v="0"/>
    <x v="82"/>
    <x v="142"/>
    <x v="142"/>
    <x v="141"/>
    <x v="141"/>
    <x v="0"/>
    <x v="632"/>
    <x v="654"/>
    <x v="561"/>
    <x v="16"/>
    <x v="7"/>
    <x v="575"/>
    <x v="202"/>
    <x v="2"/>
    <x v="135"/>
    <x v="11"/>
    <x v="0"/>
    <x v="270"/>
    <x v="482"/>
    <x v="0"/>
    <x v="0"/>
    <x v="21"/>
    <x v="21"/>
    <x v="80"/>
    <x v="0"/>
    <x v="0"/>
    <x v="6"/>
    <x v="82"/>
  </r>
  <r>
    <x v="134"/>
    <x v="121"/>
    <x v="160"/>
    <x v="0"/>
    <x v="79"/>
    <x v="143"/>
    <x v="143"/>
    <x v="142"/>
    <x v="142"/>
    <x v="0"/>
    <x v="639"/>
    <x v="442"/>
    <x v="73"/>
    <x v="462"/>
    <x v="76"/>
    <x v="576"/>
    <x v="15"/>
    <x v="2"/>
    <x v="14"/>
    <x v="3"/>
    <x v="3"/>
    <x v="15"/>
    <x v="15"/>
    <x v="0"/>
    <x v="0"/>
    <x v="5"/>
    <x v="2"/>
    <x v="77"/>
    <x v="0"/>
    <x v="17"/>
    <x v="6"/>
    <x v="79"/>
  </r>
  <r>
    <x v="134"/>
    <x v="121"/>
    <x v="161"/>
    <x v="0"/>
    <x v="83"/>
    <x v="144"/>
    <x v="144"/>
    <x v="143"/>
    <x v="143"/>
    <x v="0"/>
    <x v="640"/>
    <x v="655"/>
    <x v="286"/>
    <x v="240"/>
    <x v="102"/>
    <x v="577"/>
    <x v="18"/>
    <x v="2"/>
    <x v="24"/>
    <x v="3"/>
    <x v="3"/>
    <x v="27"/>
    <x v="482"/>
    <x v="0"/>
    <x v="0"/>
    <x v="5"/>
    <x v="2"/>
    <x v="81"/>
    <x v="1"/>
    <x v="3"/>
    <x v="2"/>
    <x v="83"/>
  </r>
  <r>
    <x v="134"/>
    <x v="122"/>
    <x v="162"/>
    <x v="0"/>
    <x v="84"/>
    <x v="145"/>
    <x v="145"/>
    <x v="144"/>
    <x v="144"/>
    <x v="0"/>
    <x v="126"/>
    <x v="656"/>
    <x v="562"/>
    <x v="463"/>
    <x v="9"/>
    <x v="578"/>
    <x v="71"/>
    <x v="4"/>
    <x v="42"/>
    <x v="5"/>
    <x v="6"/>
    <x v="19"/>
    <x v="483"/>
    <x v="0"/>
    <x v="0"/>
    <x v="24"/>
    <x v="12"/>
    <x v="82"/>
    <x v="1"/>
    <x v="3"/>
    <x v="2"/>
    <x v="84"/>
  </r>
  <r>
    <x v="134"/>
    <x v="123"/>
    <x v="163"/>
    <x v="0"/>
    <x v="73"/>
    <x v="146"/>
    <x v="146"/>
    <x v="145"/>
    <x v="145"/>
    <x v="0"/>
    <x v="641"/>
    <x v="657"/>
    <x v="563"/>
    <x v="252"/>
    <x v="50"/>
    <x v="579"/>
    <x v="203"/>
    <x v="2"/>
    <x v="17"/>
    <x v="3"/>
    <x v="4"/>
    <x v="114"/>
    <x v="484"/>
    <x v="0"/>
    <x v="0"/>
    <x v="10"/>
    <x v="5"/>
    <x v="71"/>
    <x v="0"/>
    <x v="14"/>
    <x v="5"/>
    <x v="73"/>
  </r>
  <r>
    <x v="135"/>
    <x v="116"/>
    <x v="150"/>
    <x v="0"/>
    <x v="73"/>
    <x v="133"/>
    <x v="133"/>
    <x v="132"/>
    <x v="132"/>
    <x v="0"/>
    <x v="642"/>
    <x v="658"/>
    <x v="564"/>
    <x v="352"/>
    <x v="14"/>
    <x v="580"/>
    <x v="18"/>
    <x v="2"/>
    <x v="24"/>
    <x v="3"/>
    <x v="3"/>
    <x v="27"/>
    <x v="485"/>
    <x v="0"/>
    <x v="0"/>
    <x v="5"/>
    <x v="2"/>
    <x v="71"/>
    <x v="0"/>
    <x v="14"/>
    <x v="5"/>
    <x v="73"/>
  </r>
  <r>
    <x v="135"/>
    <x v="117"/>
    <x v="153"/>
    <x v="0"/>
    <x v="9"/>
    <x v="136"/>
    <x v="136"/>
    <x v="135"/>
    <x v="13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35"/>
    <x v="120"/>
    <x v="157"/>
    <x v="0"/>
    <x v="80"/>
    <x v="140"/>
    <x v="140"/>
    <x v="139"/>
    <x v="13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8"/>
    <x v="1"/>
    <x v="3"/>
    <x v="2"/>
    <x v="80"/>
  </r>
  <r>
    <x v="135"/>
    <x v="120"/>
    <x v="159"/>
    <x v="0"/>
    <x v="82"/>
    <x v="142"/>
    <x v="142"/>
    <x v="141"/>
    <x v="1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0"/>
    <x v="0"/>
    <x v="0"/>
    <x v="6"/>
    <x v="82"/>
  </r>
  <r>
    <x v="135"/>
    <x v="121"/>
    <x v="161"/>
    <x v="0"/>
    <x v="83"/>
    <x v="144"/>
    <x v="144"/>
    <x v="143"/>
    <x v="143"/>
    <x v="0"/>
    <x v="632"/>
    <x v="659"/>
    <x v="254"/>
    <x v="37"/>
    <x v="73"/>
    <x v="581"/>
    <x v="121"/>
    <x v="1"/>
    <x v="141"/>
    <x v="10"/>
    <x v="1"/>
    <x v="226"/>
    <x v="486"/>
    <x v="0"/>
    <x v="0"/>
    <x v="2"/>
    <x v="3"/>
    <x v="81"/>
    <x v="1"/>
    <x v="3"/>
    <x v="2"/>
    <x v="83"/>
  </r>
  <r>
    <x v="135"/>
    <x v="122"/>
    <x v="162"/>
    <x v="0"/>
    <x v="84"/>
    <x v="145"/>
    <x v="145"/>
    <x v="144"/>
    <x v="1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2"/>
    <x v="1"/>
    <x v="3"/>
    <x v="2"/>
    <x v="84"/>
  </r>
  <r>
    <x v="135"/>
    <x v="123"/>
    <x v="163"/>
    <x v="0"/>
    <x v="73"/>
    <x v="146"/>
    <x v="146"/>
    <x v="145"/>
    <x v="145"/>
    <x v="0"/>
    <x v="643"/>
    <x v="660"/>
    <x v="565"/>
    <x v="464"/>
    <x v="32"/>
    <x v="582"/>
    <x v="15"/>
    <x v="2"/>
    <x v="14"/>
    <x v="3"/>
    <x v="3"/>
    <x v="15"/>
    <x v="15"/>
    <x v="0"/>
    <x v="0"/>
    <x v="5"/>
    <x v="2"/>
    <x v="71"/>
    <x v="0"/>
    <x v="14"/>
    <x v="5"/>
    <x v="73"/>
  </r>
  <r>
    <x v="135"/>
    <x v="124"/>
    <x v="164"/>
    <x v="0"/>
    <x v="72"/>
    <x v="147"/>
    <x v="147"/>
    <x v="146"/>
    <x v="146"/>
    <x v="0"/>
    <x v="644"/>
    <x v="661"/>
    <x v="566"/>
    <x v="195"/>
    <x v="7"/>
    <x v="583"/>
    <x v="165"/>
    <x v="3"/>
    <x v="136"/>
    <x v="0"/>
    <x v="7"/>
    <x v="271"/>
    <x v="162"/>
    <x v="0"/>
    <x v="0"/>
    <x v="18"/>
    <x v="11"/>
    <x v="70"/>
    <x v="0"/>
    <x v="14"/>
    <x v="5"/>
    <x v="72"/>
  </r>
  <r>
    <x v="135"/>
    <x v="124"/>
    <x v="165"/>
    <x v="0"/>
    <x v="85"/>
    <x v="148"/>
    <x v="148"/>
    <x v="147"/>
    <x v="147"/>
    <x v="0"/>
    <x v="645"/>
    <x v="662"/>
    <x v="567"/>
    <x v="52"/>
    <x v="82"/>
    <x v="584"/>
    <x v="204"/>
    <x v="3"/>
    <x v="143"/>
    <x v="44"/>
    <x v="30"/>
    <x v="272"/>
    <x v="487"/>
    <x v="0"/>
    <x v="0"/>
    <x v="2"/>
    <x v="21"/>
    <x v="83"/>
    <x v="0"/>
    <x v="14"/>
    <x v="5"/>
    <x v="85"/>
  </r>
  <r>
    <x v="136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36"/>
    <x v="121"/>
    <x v="161"/>
    <x v="0"/>
    <x v="83"/>
    <x v="144"/>
    <x v="144"/>
    <x v="143"/>
    <x v="143"/>
    <x v="0"/>
    <x v="204"/>
    <x v="663"/>
    <x v="568"/>
    <x v="465"/>
    <x v="42"/>
    <x v="585"/>
    <x v="205"/>
    <x v="0"/>
    <x v="139"/>
    <x v="17"/>
    <x v="23"/>
    <x v="189"/>
    <x v="267"/>
    <x v="0"/>
    <x v="0"/>
    <x v="43"/>
    <x v="13"/>
    <x v="81"/>
    <x v="1"/>
    <x v="3"/>
    <x v="2"/>
    <x v="83"/>
  </r>
  <r>
    <x v="136"/>
    <x v="124"/>
    <x v="164"/>
    <x v="0"/>
    <x v="72"/>
    <x v="147"/>
    <x v="147"/>
    <x v="146"/>
    <x v="146"/>
    <x v="0"/>
    <x v="646"/>
    <x v="664"/>
    <x v="569"/>
    <x v="97"/>
    <x v="3"/>
    <x v="586"/>
    <x v="6"/>
    <x v="0"/>
    <x v="144"/>
    <x v="5"/>
    <x v="8"/>
    <x v="270"/>
    <x v="488"/>
    <x v="0"/>
    <x v="0"/>
    <x v="37"/>
    <x v="13"/>
    <x v="70"/>
    <x v="0"/>
    <x v="14"/>
    <x v="5"/>
    <x v="72"/>
  </r>
  <r>
    <x v="136"/>
    <x v="124"/>
    <x v="165"/>
    <x v="0"/>
    <x v="85"/>
    <x v="148"/>
    <x v="148"/>
    <x v="147"/>
    <x v="147"/>
    <x v="0"/>
    <x v="647"/>
    <x v="665"/>
    <x v="570"/>
    <x v="93"/>
    <x v="51"/>
    <x v="587"/>
    <x v="142"/>
    <x v="0"/>
    <x v="145"/>
    <x v="22"/>
    <x v="24"/>
    <x v="161"/>
    <x v="489"/>
    <x v="0"/>
    <x v="0"/>
    <x v="1"/>
    <x v="25"/>
    <x v="83"/>
    <x v="0"/>
    <x v="14"/>
    <x v="5"/>
    <x v="85"/>
  </r>
  <r>
    <x v="137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5"/>
    <x v="56"/>
  </r>
  <r>
    <x v="137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37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5"/>
    <x v="67"/>
  </r>
  <r>
    <x v="137"/>
    <x v="116"/>
    <x v="150"/>
    <x v="0"/>
    <x v="73"/>
    <x v="133"/>
    <x v="133"/>
    <x v="132"/>
    <x v="13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37"/>
    <x v="121"/>
    <x v="161"/>
    <x v="0"/>
    <x v="83"/>
    <x v="144"/>
    <x v="144"/>
    <x v="143"/>
    <x v="143"/>
    <x v="0"/>
    <x v="648"/>
    <x v="666"/>
    <x v="571"/>
    <x v="466"/>
    <x v="2"/>
    <x v="588"/>
    <x v="49"/>
    <x v="1"/>
    <x v="81"/>
    <x v="6"/>
    <x v="0"/>
    <x v="226"/>
    <x v="490"/>
    <x v="0"/>
    <x v="0"/>
    <x v="2"/>
    <x v="13"/>
    <x v="81"/>
    <x v="1"/>
    <x v="3"/>
    <x v="2"/>
    <x v="83"/>
  </r>
  <r>
    <x v="137"/>
    <x v="124"/>
    <x v="164"/>
    <x v="0"/>
    <x v="72"/>
    <x v="147"/>
    <x v="147"/>
    <x v="146"/>
    <x v="146"/>
    <x v="0"/>
    <x v="649"/>
    <x v="667"/>
    <x v="572"/>
    <x v="390"/>
    <x v="35"/>
    <x v="589"/>
    <x v="121"/>
    <x v="3"/>
    <x v="136"/>
    <x v="3"/>
    <x v="6"/>
    <x v="188"/>
    <x v="491"/>
    <x v="0"/>
    <x v="0"/>
    <x v="7"/>
    <x v="5"/>
    <x v="70"/>
    <x v="0"/>
    <x v="14"/>
    <x v="5"/>
    <x v="72"/>
  </r>
  <r>
    <x v="137"/>
    <x v="124"/>
    <x v="165"/>
    <x v="0"/>
    <x v="85"/>
    <x v="148"/>
    <x v="148"/>
    <x v="147"/>
    <x v="147"/>
    <x v="0"/>
    <x v="650"/>
    <x v="668"/>
    <x v="573"/>
    <x v="300"/>
    <x v="32"/>
    <x v="590"/>
    <x v="206"/>
    <x v="1"/>
    <x v="146"/>
    <x v="21"/>
    <x v="15"/>
    <x v="273"/>
    <x v="492"/>
    <x v="0"/>
    <x v="0"/>
    <x v="10"/>
    <x v="7"/>
    <x v="83"/>
    <x v="0"/>
    <x v="14"/>
    <x v="5"/>
    <x v="85"/>
  </r>
  <r>
    <x v="137"/>
    <x v="125"/>
    <x v="166"/>
    <x v="1"/>
    <x v="73"/>
    <x v="149"/>
    <x v="149"/>
    <x v="148"/>
    <x v="148"/>
    <x v="0"/>
    <x v="651"/>
    <x v="669"/>
    <x v="574"/>
    <x v="467"/>
    <x v="22"/>
    <x v="591"/>
    <x v="26"/>
    <x v="2"/>
    <x v="14"/>
    <x v="3"/>
    <x v="3"/>
    <x v="70"/>
    <x v="493"/>
    <x v="0"/>
    <x v="0"/>
    <x v="2"/>
    <x v="2"/>
    <x v="71"/>
    <x v="0"/>
    <x v="14"/>
    <x v="5"/>
    <x v="73"/>
  </r>
  <r>
    <x v="137"/>
    <x v="126"/>
    <x v="167"/>
    <x v="1"/>
    <x v="73"/>
    <x v="150"/>
    <x v="150"/>
    <x v="149"/>
    <x v="149"/>
    <x v="0"/>
    <x v="652"/>
    <x v="670"/>
    <x v="344"/>
    <x v="468"/>
    <x v="29"/>
    <x v="592"/>
    <x v="17"/>
    <x v="1"/>
    <x v="42"/>
    <x v="3"/>
    <x v="3"/>
    <x v="139"/>
    <x v="494"/>
    <x v="0"/>
    <x v="0"/>
    <x v="2"/>
    <x v="11"/>
    <x v="71"/>
    <x v="0"/>
    <x v="14"/>
    <x v="5"/>
    <x v="73"/>
  </r>
  <r>
    <x v="137"/>
    <x v="127"/>
    <x v="168"/>
    <x v="0"/>
    <x v="9"/>
    <x v="151"/>
    <x v="151"/>
    <x v="150"/>
    <x v="150"/>
    <x v="0"/>
    <x v="653"/>
    <x v="671"/>
    <x v="575"/>
    <x v="241"/>
    <x v="4"/>
    <x v="376"/>
    <x v="50"/>
    <x v="0"/>
    <x v="20"/>
    <x v="5"/>
    <x v="3"/>
    <x v="52"/>
    <x v="495"/>
    <x v="0"/>
    <x v="0"/>
    <x v="4"/>
    <x v="2"/>
    <x v="9"/>
    <x v="1"/>
    <x v="3"/>
    <x v="2"/>
    <x v="9"/>
  </r>
  <r>
    <x v="137"/>
    <x v="128"/>
    <x v="169"/>
    <x v="1"/>
    <x v="73"/>
    <x v="152"/>
    <x v="152"/>
    <x v="151"/>
    <x v="151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37"/>
    <x v="125"/>
    <x v="170"/>
    <x v="1"/>
    <x v="9"/>
    <x v="152"/>
    <x v="152"/>
    <x v="151"/>
    <x v="151"/>
    <x v="0"/>
    <x v="654"/>
    <x v="672"/>
    <x v="72"/>
    <x v="367"/>
    <x v="37"/>
    <x v="593"/>
    <x v="15"/>
    <x v="2"/>
    <x v="14"/>
    <x v="3"/>
    <x v="3"/>
    <x v="15"/>
    <x v="15"/>
    <x v="0"/>
    <x v="0"/>
    <x v="5"/>
    <x v="2"/>
    <x v="9"/>
    <x v="1"/>
    <x v="3"/>
    <x v="2"/>
    <x v="9"/>
  </r>
  <r>
    <x v="137"/>
    <x v="129"/>
    <x v="171"/>
    <x v="1"/>
    <x v="9"/>
    <x v="153"/>
    <x v="153"/>
    <x v="152"/>
    <x v="152"/>
    <x v="0"/>
    <x v="655"/>
    <x v="673"/>
    <x v="576"/>
    <x v="294"/>
    <x v="103"/>
    <x v="594"/>
    <x v="18"/>
    <x v="2"/>
    <x v="14"/>
    <x v="3"/>
    <x v="3"/>
    <x v="20"/>
    <x v="496"/>
    <x v="0"/>
    <x v="0"/>
    <x v="5"/>
    <x v="2"/>
    <x v="9"/>
    <x v="1"/>
    <x v="3"/>
    <x v="2"/>
    <x v="9"/>
  </r>
  <r>
    <x v="138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138"/>
    <x v="121"/>
    <x v="161"/>
    <x v="0"/>
    <x v="83"/>
    <x v="144"/>
    <x v="144"/>
    <x v="143"/>
    <x v="143"/>
    <x v="0"/>
    <x v="290"/>
    <x v="674"/>
    <x v="301"/>
    <x v="469"/>
    <x v="5"/>
    <x v="595"/>
    <x v="15"/>
    <x v="2"/>
    <x v="24"/>
    <x v="5"/>
    <x v="3"/>
    <x v="27"/>
    <x v="268"/>
    <x v="0"/>
    <x v="0"/>
    <x v="2"/>
    <x v="2"/>
    <x v="81"/>
    <x v="1"/>
    <x v="3"/>
    <x v="2"/>
    <x v="83"/>
  </r>
  <r>
    <x v="138"/>
    <x v="124"/>
    <x v="164"/>
    <x v="0"/>
    <x v="72"/>
    <x v="147"/>
    <x v="147"/>
    <x v="146"/>
    <x v="146"/>
    <x v="0"/>
    <x v="656"/>
    <x v="675"/>
    <x v="577"/>
    <x v="436"/>
    <x v="82"/>
    <x v="596"/>
    <x v="164"/>
    <x v="0"/>
    <x v="147"/>
    <x v="11"/>
    <x v="1"/>
    <x v="29"/>
    <x v="346"/>
    <x v="0"/>
    <x v="0"/>
    <x v="7"/>
    <x v="11"/>
    <x v="70"/>
    <x v="0"/>
    <x v="14"/>
    <x v="5"/>
    <x v="72"/>
  </r>
  <r>
    <x v="138"/>
    <x v="124"/>
    <x v="165"/>
    <x v="0"/>
    <x v="85"/>
    <x v="148"/>
    <x v="148"/>
    <x v="147"/>
    <x v="147"/>
    <x v="0"/>
    <x v="657"/>
    <x v="676"/>
    <x v="396"/>
    <x v="470"/>
    <x v="4"/>
    <x v="33"/>
    <x v="21"/>
    <x v="2"/>
    <x v="7"/>
    <x v="5"/>
    <x v="3"/>
    <x v="56"/>
    <x v="497"/>
    <x v="0"/>
    <x v="0"/>
    <x v="5"/>
    <x v="2"/>
    <x v="83"/>
    <x v="0"/>
    <x v="14"/>
    <x v="5"/>
    <x v="85"/>
  </r>
  <r>
    <x v="138"/>
    <x v="125"/>
    <x v="166"/>
    <x v="1"/>
    <x v="73"/>
    <x v="149"/>
    <x v="149"/>
    <x v="148"/>
    <x v="148"/>
    <x v="0"/>
    <x v="658"/>
    <x v="677"/>
    <x v="578"/>
    <x v="471"/>
    <x v="44"/>
    <x v="597"/>
    <x v="125"/>
    <x v="2"/>
    <x v="24"/>
    <x v="3"/>
    <x v="3"/>
    <x v="37"/>
    <x v="498"/>
    <x v="0"/>
    <x v="0"/>
    <x v="2"/>
    <x v="5"/>
    <x v="71"/>
    <x v="0"/>
    <x v="14"/>
    <x v="5"/>
    <x v="73"/>
  </r>
  <r>
    <x v="138"/>
    <x v="126"/>
    <x v="167"/>
    <x v="1"/>
    <x v="73"/>
    <x v="150"/>
    <x v="150"/>
    <x v="149"/>
    <x v="149"/>
    <x v="0"/>
    <x v="659"/>
    <x v="678"/>
    <x v="579"/>
    <x v="470"/>
    <x v="80"/>
    <x v="598"/>
    <x v="13"/>
    <x v="2"/>
    <x v="50"/>
    <x v="3"/>
    <x v="3"/>
    <x v="37"/>
    <x v="499"/>
    <x v="0"/>
    <x v="0"/>
    <x v="5"/>
    <x v="2"/>
    <x v="71"/>
    <x v="0"/>
    <x v="14"/>
    <x v="5"/>
    <x v="73"/>
  </r>
  <r>
    <x v="138"/>
    <x v="127"/>
    <x v="168"/>
    <x v="0"/>
    <x v="9"/>
    <x v="151"/>
    <x v="151"/>
    <x v="150"/>
    <x v="150"/>
    <x v="0"/>
    <x v="660"/>
    <x v="679"/>
    <x v="580"/>
    <x v="147"/>
    <x v="51"/>
    <x v="599"/>
    <x v="16"/>
    <x v="7"/>
    <x v="7"/>
    <x v="11"/>
    <x v="1"/>
    <x v="114"/>
    <x v="500"/>
    <x v="0"/>
    <x v="0"/>
    <x v="7"/>
    <x v="2"/>
    <x v="9"/>
    <x v="1"/>
    <x v="3"/>
    <x v="2"/>
    <x v="9"/>
  </r>
  <r>
    <x v="138"/>
    <x v="125"/>
    <x v="170"/>
    <x v="1"/>
    <x v="9"/>
    <x v="152"/>
    <x v="152"/>
    <x v="151"/>
    <x v="151"/>
    <x v="0"/>
    <x v="661"/>
    <x v="680"/>
    <x v="581"/>
    <x v="472"/>
    <x v="44"/>
    <x v="266"/>
    <x v="8"/>
    <x v="2"/>
    <x v="14"/>
    <x v="3"/>
    <x v="3"/>
    <x v="27"/>
    <x v="501"/>
    <x v="0"/>
    <x v="0"/>
    <x v="5"/>
    <x v="2"/>
    <x v="9"/>
    <x v="1"/>
    <x v="3"/>
    <x v="2"/>
    <x v="9"/>
  </r>
  <r>
    <x v="138"/>
    <x v="129"/>
    <x v="171"/>
    <x v="1"/>
    <x v="9"/>
    <x v="153"/>
    <x v="153"/>
    <x v="152"/>
    <x v="152"/>
    <x v="0"/>
    <x v="662"/>
    <x v="681"/>
    <x v="582"/>
    <x v="328"/>
    <x v="88"/>
    <x v="600"/>
    <x v="26"/>
    <x v="2"/>
    <x v="24"/>
    <x v="3"/>
    <x v="3"/>
    <x v="83"/>
    <x v="502"/>
    <x v="0"/>
    <x v="0"/>
    <x v="5"/>
    <x v="2"/>
    <x v="9"/>
    <x v="1"/>
    <x v="3"/>
    <x v="2"/>
    <x v="9"/>
  </r>
  <r>
    <x v="138"/>
    <x v="130"/>
    <x v="172"/>
    <x v="0"/>
    <x v="86"/>
    <x v="154"/>
    <x v="154"/>
    <x v="153"/>
    <x v="153"/>
    <x v="0"/>
    <x v="663"/>
    <x v="682"/>
    <x v="583"/>
    <x v="150"/>
    <x v="3"/>
    <x v="83"/>
    <x v="207"/>
    <x v="1"/>
    <x v="12"/>
    <x v="0"/>
    <x v="23"/>
    <x v="274"/>
    <x v="1"/>
    <x v="0"/>
    <x v="0"/>
    <x v="5"/>
    <x v="10"/>
    <x v="84"/>
    <x v="0"/>
    <x v="0"/>
    <x v="6"/>
    <x v="86"/>
  </r>
  <r>
    <x v="138"/>
    <x v="130"/>
    <x v="173"/>
    <x v="0"/>
    <x v="78"/>
    <x v="155"/>
    <x v="155"/>
    <x v="154"/>
    <x v="154"/>
    <x v="0"/>
    <x v="664"/>
    <x v="683"/>
    <x v="396"/>
    <x v="361"/>
    <x v="37"/>
    <x v="601"/>
    <x v="8"/>
    <x v="2"/>
    <x v="14"/>
    <x v="3"/>
    <x v="3"/>
    <x v="27"/>
    <x v="503"/>
    <x v="0"/>
    <x v="0"/>
    <x v="5"/>
    <x v="2"/>
    <x v="76"/>
    <x v="0"/>
    <x v="0"/>
    <x v="6"/>
    <x v="78"/>
  </r>
  <r>
    <x v="139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39"/>
    <x v="124"/>
    <x v="164"/>
    <x v="0"/>
    <x v="72"/>
    <x v="147"/>
    <x v="147"/>
    <x v="146"/>
    <x v="146"/>
    <x v="0"/>
    <x v="665"/>
    <x v="684"/>
    <x v="584"/>
    <x v="336"/>
    <x v="81"/>
    <x v="602"/>
    <x v="83"/>
    <x v="7"/>
    <x v="30"/>
    <x v="3"/>
    <x v="1"/>
    <x v="268"/>
    <x v="166"/>
    <x v="0"/>
    <x v="0"/>
    <x v="12"/>
    <x v="5"/>
    <x v="70"/>
    <x v="0"/>
    <x v="14"/>
    <x v="5"/>
    <x v="72"/>
  </r>
  <r>
    <x v="139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  <x v="85"/>
  </r>
  <r>
    <x v="139"/>
    <x v="125"/>
    <x v="166"/>
    <x v="1"/>
    <x v="73"/>
    <x v="149"/>
    <x v="149"/>
    <x v="148"/>
    <x v="148"/>
    <x v="0"/>
    <x v="30"/>
    <x v="68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39"/>
    <x v="126"/>
    <x v="167"/>
    <x v="1"/>
    <x v="73"/>
    <x v="150"/>
    <x v="150"/>
    <x v="149"/>
    <x v="14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39"/>
    <x v="127"/>
    <x v="168"/>
    <x v="0"/>
    <x v="9"/>
    <x v="151"/>
    <x v="151"/>
    <x v="150"/>
    <x v="150"/>
    <x v="0"/>
    <x v="666"/>
    <x v="686"/>
    <x v="585"/>
    <x v="473"/>
    <x v="30"/>
    <x v="603"/>
    <x v="71"/>
    <x v="2"/>
    <x v="19"/>
    <x v="3"/>
    <x v="2"/>
    <x v="7"/>
    <x v="254"/>
    <x v="0"/>
    <x v="0"/>
    <x v="2"/>
    <x v="5"/>
    <x v="9"/>
    <x v="1"/>
    <x v="3"/>
    <x v="2"/>
    <x v="9"/>
  </r>
  <r>
    <x v="139"/>
    <x v="125"/>
    <x v="170"/>
    <x v="1"/>
    <x v="9"/>
    <x v="152"/>
    <x v="152"/>
    <x v="151"/>
    <x v="151"/>
    <x v="0"/>
    <x v="667"/>
    <x v="687"/>
    <x v="586"/>
    <x v="474"/>
    <x v="73"/>
    <x v="230"/>
    <x v="8"/>
    <x v="2"/>
    <x v="50"/>
    <x v="3"/>
    <x v="3"/>
    <x v="83"/>
    <x v="504"/>
    <x v="0"/>
    <x v="0"/>
    <x v="2"/>
    <x v="2"/>
    <x v="9"/>
    <x v="1"/>
    <x v="3"/>
    <x v="2"/>
    <x v="9"/>
  </r>
  <r>
    <x v="139"/>
    <x v="129"/>
    <x v="171"/>
    <x v="1"/>
    <x v="9"/>
    <x v="153"/>
    <x v="153"/>
    <x v="152"/>
    <x v="152"/>
    <x v="0"/>
    <x v="668"/>
    <x v="688"/>
    <x v="587"/>
    <x v="475"/>
    <x v="88"/>
    <x v="604"/>
    <x v="26"/>
    <x v="2"/>
    <x v="24"/>
    <x v="3"/>
    <x v="3"/>
    <x v="83"/>
    <x v="505"/>
    <x v="0"/>
    <x v="0"/>
    <x v="5"/>
    <x v="2"/>
    <x v="9"/>
    <x v="1"/>
    <x v="3"/>
    <x v="2"/>
    <x v="9"/>
  </r>
  <r>
    <x v="139"/>
    <x v="130"/>
    <x v="172"/>
    <x v="0"/>
    <x v="86"/>
    <x v="154"/>
    <x v="154"/>
    <x v="153"/>
    <x v="153"/>
    <x v="0"/>
    <x v="669"/>
    <x v="689"/>
    <x v="588"/>
    <x v="403"/>
    <x v="30"/>
    <x v="266"/>
    <x v="19"/>
    <x v="1"/>
    <x v="55"/>
    <x v="5"/>
    <x v="3"/>
    <x v="86"/>
    <x v="71"/>
    <x v="0"/>
    <x v="0"/>
    <x v="5"/>
    <x v="11"/>
    <x v="84"/>
    <x v="0"/>
    <x v="0"/>
    <x v="6"/>
    <x v="86"/>
  </r>
  <r>
    <x v="139"/>
    <x v="130"/>
    <x v="173"/>
    <x v="0"/>
    <x v="78"/>
    <x v="155"/>
    <x v="155"/>
    <x v="154"/>
    <x v="154"/>
    <x v="0"/>
    <x v="670"/>
    <x v="690"/>
    <x v="589"/>
    <x v="476"/>
    <x v="101"/>
    <x v="605"/>
    <x v="46"/>
    <x v="1"/>
    <x v="19"/>
    <x v="3"/>
    <x v="1"/>
    <x v="275"/>
    <x v="430"/>
    <x v="0"/>
    <x v="0"/>
    <x v="12"/>
    <x v="2"/>
    <x v="76"/>
    <x v="0"/>
    <x v="0"/>
    <x v="6"/>
    <x v="78"/>
  </r>
  <r>
    <x v="139"/>
    <x v="131"/>
    <x v="174"/>
    <x v="0"/>
    <x v="70"/>
    <x v="156"/>
    <x v="156"/>
    <x v="155"/>
    <x v="155"/>
    <x v="0"/>
    <x v="671"/>
    <x v="691"/>
    <x v="590"/>
    <x v="477"/>
    <x v="8"/>
    <x v="276"/>
    <x v="187"/>
    <x v="7"/>
    <x v="33"/>
    <x v="3"/>
    <x v="8"/>
    <x v="276"/>
    <x v="506"/>
    <x v="0"/>
    <x v="0"/>
    <x v="11"/>
    <x v="13"/>
    <x v="68"/>
    <x v="0"/>
    <x v="14"/>
    <x v="5"/>
    <x v="70"/>
  </r>
  <r>
    <x v="139"/>
    <x v="132"/>
    <x v="175"/>
    <x v="1"/>
    <x v="62"/>
    <x v="157"/>
    <x v="157"/>
    <x v="156"/>
    <x v="156"/>
    <x v="0"/>
    <x v="672"/>
    <x v="692"/>
    <x v="591"/>
    <x v="478"/>
    <x v="26"/>
    <x v="606"/>
    <x v="8"/>
    <x v="2"/>
    <x v="14"/>
    <x v="3"/>
    <x v="3"/>
    <x v="27"/>
    <x v="507"/>
    <x v="3"/>
    <x v="75"/>
    <x v="5"/>
    <x v="5"/>
    <x v="60"/>
    <x v="0"/>
    <x v="16"/>
    <x v="5"/>
    <x v="62"/>
  </r>
  <r>
    <x v="140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40"/>
    <x v="124"/>
    <x v="164"/>
    <x v="0"/>
    <x v="72"/>
    <x v="147"/>
    <x v="147"/>
    <x v="146"/>
    <x v="146"/>
    <x v="0"/>
    <x v="673"/>
    <x v="693"/>
    <x v="543"/>
    <x v="479"/>
    <x v="51"/>
    <x v="142"/>
    <x v="15"/>
    <x v="2"/>
    <x v="14"/>
    <x v="3"/>
    <x v="3"/>
    <x v="15"/>
    <x v="15"/>
    <x v="0"/>
    <x v="0"/>
    <x v="5"/>
    <x v="2"/>
    <x v="70"/>
    <x v="0"/>
    <x v="14"/>
    <x v="5"/>
    <x v="72"/>
  </r>
  <r>
    <x v="140"/>
    <x v="124"/>
    <x v="165"/>
    <x v="0"/>
    <x v="85"/>
    <x v="148"/>
    <x v="148"/>
    <x v="147"/>
    <x v="147"/>
    <x v="0"/>
    <x v="674"/>
    <x v="694"/>
    <x v="592"/>
    <x v="387"/>
    <x v="32"/>
    <x v="361"/>
    <x v="208"/>
    <x v="7"/>
    <x v="148"/>
    <x v="57"/>
    <x v="10"/>
    <x v="277"/>
    <x v="212"/>
    <x v="0"/>
    <x v="0"/>
    <x v="44"/>
    <x v="44"/>
    <x v="83"/>
    <x v="0"/>
    <x v="14"/>
    <x v="5"/>
    <x v="85"/>
  </r>
  <r>
    <x v="140"/>
    <x v="127"/>
    <x v="168"/>
    <x v="0"/>
    <x v="9"/>
    <x v="151"/>
    <x v="151"/>
    <x v="150"/>
    <x v="150"/>
    <x v="0"/>
    <x v="675"/>
    <x v="695"/>
    <x v="593"/>
    <x v="280"/>
    <x v="51"/>
    <x v="607"/>
    <x v="62"/>
    <x v="0"/>
    <x v="2"/>
    <x v="5"/>
    <x v="2"/>
    <x v="241"/>
    <x v="508"/>
    <x v="0"/>
    <x v="0"/>
    <x v="7"/>
    <x v="2"/>
    <x v="9"/>
    <x v="1"/>
    <x v="3"/>
    <x v="2"/>
    <x v="9"/>
  </r>
  <r>
    <x v="140"/>
    <x v="125"/>
    <x v="170"/>
    <x v="1"/>
    <x v="9"/>
    <x v="152"/>
    <x v="152"/>
    <x v="151"/>
    <x v="151"/>
    <x v="0"/>
    <x v="676"/>
    <x v="696"/>
    <x v="594"/>
    <x v="480"/>
    <x v="44"/>
    <x v="608"/>
    <x v="23"/>
    <x v="2"/>
    <x v="24"/>
    <x v="3"/>
    <x v="3"/>
    <x v="75"/>
    <x v="509"/>
    <x v="0"/>
    <x v="0"/>
    <x v="5"/>
    <x v="2"/>
    <x v="9"/>
    <x v="1"/>
    <x v="3"/>
    <x v="2"/>
    <x v="9"/>
  </r>
  <r>
    <x v="140"/>
    <x v="129"/>
    <x v="171"/>
    <x v="1"/>
    <x v="9"/>
    <x v="153"/>
    <x v="153"/>
    <x v="152"/>
    <x v="152"/>
    <x v="0"/>
    <x v="677"/>
    <x v="697"/>
    <x v="582"/>
    <x v="481"/>
    <x v="104"/>
    <x v="609"/>
    <x v="8"/>
    <x v="2"/>
    <x v="24"/>
    <x v="3"/>
    <x v="3"/>
    <x v="70"/>
    <x v="510"/>
    <x v="0"/>
    <x v="0"/>
    <x v="2"/>
    <x v="2"/>
    <x v="9"/>
    <x v="1"/>
    <x v="3"/>
    <x v="2"/>
    <x v="9"/>
  </r>
  <r>
    <x v="140"/>
    <x v="130"/>
    <x v="172"/>
    <x v="0"/>
    <x v="86"/>
    <x v="154"/>
    <x v="154"/>
    <x v="153"/>
    <x v="153"/>
    <x v="0"/>
    <x v="678"/>
    <x v="698"/>
    <x v="595"/>
    <x v="482"/>
    <x v="37"/>
    <x v="610"/>
    <x v="16"/>
    <x v="2"/>
    <x v="13"/>
    <x v="5"/>
    <x v="1"/>
    <x v="41"/>
    <x v="511"/>
    <x v="0"/>
    <x v="0"/>
    <x v="5"/>
    <x v="5"/>
    <x v="84"/>
    <x v="0"/>
    <x v="0"/>
    <x v="6"/>
    <x v="86"/>
  </r>
  <r>
    <x v="140"/>
    <x v="130"/>
    <x v="173"/>
    <x v="0"/>
    <x v="78"/>
    <x v="155"/>
    <x v="155"/>
    <x v="154"/>
    <x v="154"/>
    <x v="0"/>
    <x v="679"/>
    <x v="699"/>
    <x v="27"/>
    <x v="483"/>
    <x v="105"/>
    <x v="611"/>
    <x v="8"/>
    <x v="2"/>
    <x v="14"/>
    <x v="3"/>
    <x v="3"/>
    <x v="27"/>
    <x v="512"/>
    <x v="0"/>
    <x v="0"/>
    <x v="2"/>
    <x v="2"/>
    <x v="76"/>
    <x v="0"/>
    <x v="0"/>
    <x v="6"/>
    <x v="78"/>
  </r>
  <r>
    <x v="140"/>
    <x v="131"/>
    <x v="174"/>
    <x v="0"/>
    <x v="70"/>
    <x v="156"/>
    <x v="156"/>
    <x v="155"/>
    <x v="155"/>
    <x v="0"/>
    <x v="680"/>
    <x v="700"/>
    <x v="142"/>
    <x v="484"/>
    <x v="8"/>
    <x v="612"/>
    <x v="15"/>
    <x v="2"/>
    <x v="14"/>
    <x v="3"/>
    <x v="3"/>
    <x v="15"/>
    <x v="15"/>
    <x v="0"/>
    <x v="0"/>
    <x v="5"/>
    <x v="2"/>
    <x v="68"/>
    <x v="0"/>
    <x v="14"/>
    <x v="5"/>
    <x v="70"/>
  </r>
  <r>
    <x v="140"/>
    <x v="132"/>
    <x v="175"/>
    <x v="1"/>
    <x v="62"/>
    <x v="157"/>
    <x v="157"/>
    <x v="156"/>
    <x v="156"/>
    <x v="0"/>
    <x v="681"/>
    <x v="701"/>
    <x v="596"/>
    <x v="485"/>
    <x v="15"/>
    <x v="613"/>
    <x v="18"/>
    <x v="2"/>
    <x v="14"/>
    <x v="3"/>
    <x v="3"/>
    <x v="20"/>
    <x v="513"/>
    <x v="18"/>
    <x v="76"/>
    <x v="5"/>
    <x v="11"/>
    <x v="60"/>
    <x v="0"/>
    <x v="16"/>
    <x v="5"/>
    <x v="62"/>
  </r>
  <r>
    <x v="140"/>
    <x v="132"/>
    <x v="176"/>
    <x v="1"/>
    <x v="62"/>
    <x v="158"/>
    <x v="158"/>
    <x v="157"/>
    <x v="157"/>
    <x v="0"/>
    <x v="682"/>
    <x v="702"/>
    <x v="597"/>
    <x v="161"/>
    <x v="64"/>
    <x v="614"/>
    <x v="23"/>
    <x v="2"/>
    <x v="24"/>
    <x v="3"/>
    <x v="1"/>
    <x v="31"/>
    <x v="514"/>
    <x v="1"/>
    <x v="77"/>
    <x v="4"/>
    <x v="11"/>
    <x v="60"/>
    <x v="0"/>
    <x v="16"/>
    <x v="5"/>
    <x v="62"/>
  </r>
  <r>
    <x v="141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41"/>
    <x v="124"/>
    <x v="164"/>
    <x v="0"/>
    <x v="72"/>
    <x v="147"/>
    <x v="147"/>
    <x v="146"/>
    <x v="1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0"/>
    <x v="0"/>
    <x v="14"/>
    <x v="5"/>
    <x v="72"/>
  </r>
  <r>
    <x v="141"/>
    <x v="124"/>
    <x v="165"/>
    <x v="0"/>
    <x v="85"/>
    <x v="148"/>
    <x v="148"/>
    <x v="147"/>
    <x v="147"/>
    <x v="0"/>
    <x v="683"/>
    <x v="703"/>
    <x v="598"/>
    <x v="248"/>
    <x v="32"/>
    <x v="615"/>
    <x v="209"/>
    <x v="1"/>
    <x v="149"/>
    <x v="58"/>
    <x v="10"/>
    <x v="278"/>
    <x v="492"/>
    <x v="0"/>
    <x v="0"/>
    <x v="28"/>
    <x v="45"/>
    <x v="83"/>
    <x v="0"/>
    <x v="14"/>
    <x v="5"/>
    <x v="85"/>
  </r>
  <r>
    <x v="141"/>
    <x v="127"/>
    <x v="168"/>
    <x v="0"/>
    <x v="9"/>
    <x v="151"/>
    <x v="151"/>
    <x v="150"/>
    <x v="150"/>
    <x v="0"/>
    <x v="220"/>
    <x v="704"/>
    <x v="73"/>
    <x v="486"/>
    <x v="1"/>
    <x v="616"/>
    <x v="15"/>
    <x v="2"/>
    <x v="14"/>
    <x v="3"/>
    <x v="3"/>
    <x v="15"/>
    <x v="15"/>
    <x v="0"/>
    <x v="0"/>
    <x v="5"/>
    <x v="2"/>
    <x v="9"/>
    <x v="1"/>
    <x v="3"/>
    <x v="2"/>
    <x v="9"/>
  </r>
  <r>
    <x v="141"/>
    <x v="125"/>
    <x v="170"/>
    <x v="1"/>
    <x v="9"/>
    <x v="152"/>
    <x v="152"/>
    <x v="151"/>
    <x v="151"/>
    <x v="0"/>
    <x v="684"/>
    <x v="705"/>
    <x v="132"/>
    <x v="449"/>
    <x v="22"/>
    <x v="617"/>
    <x v="15"/>
    <x v="2"/>
    <x v="14"/>
    <x v="3"/>
    <x v="3"/>
    <x v="15"/>
    <x v="15"/>
    <x v="0"/>
    <x v="0"/>
    <x v="5"/>
    <x v="2"/>
    <x v="9"/>
    <x v="1"/>
    <x v="3"/>
    <x v="2"/>
    <x v="9"/>
  </r>
  <r>
    <x v="141"/>
    <x v="129"/>
    <x v="171"/>
    <x v="1"/>
    <x v="9"/>
    <x v="153"/>
    <x v="153"/>
    <x v="152"/>
    <x v="152"/>
    <x v="0"/>
    <x v="685"/>
    <x v="706"/>
    <x v="599"/>
    <x v="179"/>
    <x v="78"/>
    <x v="618"/>
    <x v="18"/>
    <x v="2"/>
    <x v="50"/>
    <x v="3"/>
    <x v="3"/>
    <x v="70"/>
    <x v="448"/>
    <x v="0"/>
    <x v="0"/>
    <x v="5"/>
    <x v="2"/>
    <x v="9"/>
    <x v="1"/>
    <x v="3"/>
    <x v="2"/>
    <x v="9"/>
  </r>
  <r>
    <x v="141"/>
    <x v="130"/>
    <x v="172"/>
    <x v="0"/>
    <x v="86"/>
    <x v="154"/>
    <x v="154"/>
    <x v="153"/>
    <x v="153"/>
    <x v="0"/>
    <x v="686"/>
    <x v="707"/>
    <x v="600"/>
    <x v="487"/>
    <x v="10"/>
    <x v="619"/>
    <x v="162"/>
    <x v="1"/>
    <x v="136"/>
    <x v="1"/>
    <x v="0"/>
    <x v="11"/>
    <x v="515"/>
    <x v="0"/>
    <x v="0"/>
    <x v="2"/>
    <x v="11"/>
    <x v="84"/>
    <x v="0"/>
    <x v="0"/>
    <x v="6"/>
    <x v="86"/>
  </r>
  <r>
    <x v="141"/>
    <x v="132"/>
    <x v="175"/>
    <x v="1"/>
    <x v="62"/>
    <x v="157"/>
    <x v="157"/>
    <x v="156"/>
    <x v="156"/>
    <x v="0"/>
    <x v="687"/>
    <x v="708"/>
    <x v="309"/>
    <x v="488"/>
    <x v="43"/>
    <x v="620"/>
    <x v="15"/>
    <x v="2"/>
    <x v="14"/>
    <x v="3"/>
    <x v="3"/>
    <x v="15"/>
    <x v="15"/>
    <x v="2"/>
    <x v="78"/>
    <x v="5"/>
    <x v="2"/>
    <x v="60"/>
    <x v="0"/>
    <x v="16"/>
    <x v="5"/>
    <x v="62"/>
  </r>
  <r>
    <x v="141"/>
    <x v="132"/>
    <x v="176"/>
    <x v="1"/>
    <x v="62"/>
    <x v="158"/>
    <x v="158"/>
    <x v="157"/>
    <x v="157"/>
    <x v="0"/>
    <x v="688"/>
    <x v="709"/>
    <x v="601"/>
    <x v="489"/>
    <x v="106"/>
    <x v="621"/>
    <x v="41"/>
    <x v="2"/>
    <x v="14"/>
    <x v="3"/>
    <x v="3"/>
    <x v="75"/>
    <x v="516"/>
    <x v="18"/>
    <x v="79"/>
    <x v="7"/>
    <x v="2"/>
    <x v="60"/>
    <x v="0"/>
    <x v="16"/>
    <x v="5"/>
    <x v="62"/>
  </r>
  <r>
    <x v="14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5"/>
    <x v="60"/>
  </r>
  <r>
    <x v="142"/>
    <x v="124"/>
    <x v="165"/>
    <x v="0"/>
    <x v="85"/>
    <x v="148"/>
    <x v="148"/>
    <x v="147"/>
    <x v="147"/>
    <x v="0"/>
    <x v="689"/>
    <x v="633"/>
    <x v="279"/>
    <x v="44"/>
    <x v="4"/>
    <x v="622"/>
    <x v="1"/>
    <x v="2"/>
    <x v="73"/>
    <x v="11"/>
    <x v="3"/>
    <x v="243"/>
    <x v="517"/>
    <x v="0"/>
    <x v="0"/>
    <x v="2"/>
    <x v="2"/>
    <x v="83"/>
    <x v="0"/>
    <x v="14"/>
    <x v="5"/>
    <x v="85"/>
  </r>
  <r>
    <x v="142"/>
    <x v="127"/>
    <x v="168"/>
    <x v="0"/>
    <x v="9"/>
    <x v="151"/>
    <x v="151"/>
    <x v="150"/>
    <x v="150"/>
    <x v="0"/>
    <x v="690"/>
    <x v="710"/>
    <x v="602"/>
    <x v="162"/>
    <x v="32"/>
    <x v="189"/>
    <x v="185"/>
    <x v="1"/>
    <x v="19"/>
    <x v="3"/>
    <x v="3"/>
    <x v="69"/>
    <x v="256"/>
    <x v="0"/>
    <x v="0"/>
    <x v="2"/>
    <x v="11"/>
    <x v="9"/>
    <x v="1"/>
    <x v="3"/>
    <x v="2"/>
    <x v="9"/>
  </r>
  <r>
    <x v="142"/>
    <x v="125"/>
    <x v="170"/>
    <x v="1"/>
    <x v="9"/>
    <x v="152"/>
    <x v="152"/>
    <x v="151"/>
    <x v="151"/>
    <x v="0"/>
    <x v="691"/>
    <x v="630"/>
    <x v="603"/>
    <x v="360"/>
    <x v="15"/>
    <x v="623"/>
    <x v="18"/>
    <x v="2"/>
    <x v="24"/>
    <x v="3"/>
    <x v="3"/>
    <x v="27"/>
    <x v="518"/>
    <x v="0"/>
    <x v="0"/>
    <x v="5"/>
    <x v="2"/>
    <x v="9"/>
    <x v="1"/>
    <x v="3"/>
    <x v="2"/>
    <x v="9"/>
  </r>
  <r>
    <x v="142"/>
    <x v="129"/>
    <x v="171"/>
    <x v="1"/>
    <x v="9"/>
    <x v="153"/>
    <x v="153"/>
    <x v="152"/>
    <x v="152"/>
    <x v="0"/>
    <x v="692"/>
    <x v="711"/>
    <x v="604"/>
    <x v="490"/>
    <x v="79"/>
    <x v="624"/>
    <x v="22"/>
    <x v="1"/>
    <x v="50"/>
    <x v="3"/>
    <x v="3"/>
    <x v="68"/>
    <x v="519"/>
    <x v="0"/>
    <x v="0"/>
    <x v="5"/>
    <x v="2"/>
    <x v="9"/>
    <x v="1"/>
    <x v="3"/>
    <x v="2"/>
    <x v="9"/>
  </r>
  <r>
    <x v="142"/>
    <x v="130"/>
    <x v="172"/>
    <x v="0"/>
    <x v="86"/>
    <x v="154"/>
    <x v="154"/>
    <x v="153"/>
    <x v="153"/>
    <x v="0"/>
    <x v="693"/>
    <x v="712"/>
    <x v="605"/>
    <x v="491"/>
    <x v="12"/>
    <x v="315"/>
    <x v="210"/>
    <x v="2"/>
    <x v="71"/>
    <x v="0"/>
    <x v="2"/>
    <x v="279"/>
    <x v="422"/>
    <x v="0"/>
    <x v="0"/>
    <x v="1"/>
    <x v="6"/>
    <x v="84"/>
    <x v="0"/>
    <x v="0"/>
    <x v="6"/>
    <x v="86"/>
  </r>
  <r>
    <x v="142"/>
    <x v="132"/>
    <x v="175"/>
    <x v="1"/>
    <x v="62"/>
    <x v="157"/>
    <x v="157"/>
    <x v="156"/>
    <x v="156"/>
    <x v="0"/>
    <x v="694"/>
    <x v="713"/>
    <x v="606"/>
    <x v="186"/>
    <x v="25"/>
    <x v="625"/>
    <x v="26"/>
    <x v="2"/>
    <x v="24"/>
    <x v="3"/>
    <x v="3"/>
    <x v="83"/>
    <x v="520"/>
    <x v="2"/>
    <x v="80"/>
    <x v="4"/>
    <x v="2"/>
    <x v="60"/>
    <x v="0"/>
    <x v="16"/>
    <x v="5"/>
    <x v="62"/>
  </r>
  <r>
    <x v="142"/>
    <x v="132"/>
    <x v="176"/>
    <x v="1"/>
    <x v="62"/>
    <x v="158"/>
    <x v="158"/>
    <x v="157"/>
    <x v="157"/>
    <x v="0"/>
    <x v="695"/>
    <x v="714"/>
    <x v="526"/>
    <x v="492"/>
    <x v="107"/>
    <x v="626"/>
    <x v="26"/>
    <x v="1"/>
    <x v="50"/>
    <x v="3"/>
    <x v="4"/>
    <x v="68"/>
    <x v="521"/>
    <x v="13"/>
    <x v="10"/>
    <x v="1"/>
    <x v="5"/>
    <x v="60"/>
    <x v="0"/>
    <x v="16"/>
    <x v="5"/>
    <x v="62"/>
  </r>
  <r>
    <x v="142"/>
    <x v="133"/>
    <x v="177"/>
    <x v="0"/>
    <x v="69"/>
    <x v="159"/>
    <x v="159"/>
    <x v="158"/>
    <x v="158"/>
    <x v="0"/>
    <x v="696"/>
    <x v="715"/>
    <x v="607"/>
    <x v="493"/>
    <x v="43"/>
    <x v="627"/>
    <x v="185"/>
    <x v="2"/>
    <x v="4"/>
    <x v="3"/>
    <x v="1"/>
    <x v="178"/>
    <x v="316"/>
    <x v="0"/>
    <x v="0"/>
    <x v="2"/>
    <x v="5"/>
    <x v="67"/>
    <x v="0"/>
    <x v="14"/>
    <x v="5"/>
    <x v="69"/>
  </r>
  <r>
    <x v="143"/>
    <x v="124"/>
    <x v="164"/>
    <x v="0"/>
    <x v="72"/>
    <x v="147"/>
    <x v="147"/>
    <x v="146"/>
    <x v="146"/>
    <x v="0"/>
    <x v="697"/>
    <x v="716"/>
    <x v="608"/>
    <x v="494"/>
    <x v="2"/>
    <x v="376"/>
    <x v="8"/>
    <x v="2"/>
    <x v="24"/>
    <x v="3"/>
    <x v="3"/>
    <x v="70"/>
    <x v="522"/>
    <x v="0"/>
    <x v="0"/>
    <x v="5"/>
    <x v="2"/>
    <x v="70"/>
    <x v="0"/>
    <x v="14"/>
    <x v="5"/>
    <x v="72"/>
  </r>
  <r>
    <x v="143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  <x v="85"/>
  </r>
  <r>
    <x v="143"/>
    <x v="127"/>
    <x v="168"/>
    <x v="0"/>
    <x v="9"/>
    <x v="151"/>
    <x v="151"/>
    <x v="150"/>
    <x v="150"/>
    <x v="0"/>
    <x v="119"/>
    <x v="717"/>
    <x v="72"/>
    <x v="495"/>
    <x v="4"/>
    <x v="628"/>
    <x v="15"/>
    <x v="2"/>
    <x v="14"/>
    <x v="3"/>
    <x v="3"/>
    <x v="15"/>
    <x v="15"/>
    <x v="0"/>
    <x v="0"/>
    <x v="5"/>
    <x v="2"/>
    <x v="9"/>
    <x v="1"/>
    <x v="3"/>
    <x v="2"/>
    <x v="9"/>
  </r>
  <r>
    <x v="143"/>
    <x v="125"/>
    <x v="170"/>
    <x v="1"/>
    <x v="9"/>
    <x v="152"/>
    <x v="152"/>
    <x v="151"/>
    <x v="151"/>
    <x v="0"/>
    <x v="698"/>
    <x v="718"/>
    <x v="609"/>
    <x v="115"/>
    <x v="83"/>
    <x v="186"/>
    <x v="26"/>
    <x v="2"/>
    <x v="24"/>
    <x v="3"/>
    <x v="3"/>
    <x v="83"/>
    <x v="523"/>
    <x v="0"/>
    <x v="0"/>
    <x v="5"/>
    <x v="2"/>
    <x v="9"/>
    <x v="1"/>
    <x v="3"/>
    <x v="2"/>
    <x v="9"/>
  </r>
  <r>
    <x v="143"/>
    <x v="129"/>
    <x v="171"/>
    <x v="1"/>
    <x v="9"/>
    <x v="153"/>
    <x v="153"/>
    <x v="152"/>
    <x v="152"/>
    <x v="0"/>
    <x v="699"/>
    <x v="719"/>
    <x v="610"/>
    <x v="496"/>
    <x v="15"/>
    <x v="629"/>
    <x v="13"/>
    <x v="2"/>
    <x v="24"/>
    <x v="3"/>
    <x v="3"/>
    <x v="68"/>
    <x v="524"/>
    <x v="0"/>
    <x v="0"/>
    <x v="5"/>
    <x v="5"/>
    <x v="9"/>
    <x v="1"/>
    <x v="3"/>
    <x v="2"/>
    <x v="9"/>
  </r>
  <r>
    <x v="143"/>
    <x v="130"/>
    <x v="172"/>
    <x v="0"/>
    <x v="86"/>
    <x v="154"/>
    <x v="154"/>
    <x v="153"/>
    <x v="153"/>
    <x v="0"/>
    <x v="700"/>
    <x v="720"/>
    <x v="611"/>
    <x v="157"/>
    <x v="41"/>
    <x v="544"/>
    <x v="207"/>
    <x v="2"/>
    <x v="61"/>
    <x v="11"/>
    <x v="4"/>
    <x v="144"/>
    <x v="525"/>
    <x v="0"/>
    <x v="0"/>
    <x v="1"/>
    <x v="11"/>
    <x v="84"/>
    <x v="0"/>
    <x v="0"/>
    <x v="6"/>
    <x v="86"/>
  </r>
  <r>
    <x v="143"/>
    <x v="132"/>
    <x v="175"/>
    <x v="1"/>
    <x v="62"/>
    <x v="157"/>
    <x v="157"/>
    <x v="156"/>
    <x v="156"/>
    <x v="0"/>
    <x v="701"/>
    <x v="721"/>
    <x v="612"/>
    <x v="497"/>
    <x v="44"/>
    <x v="630"/>
    <x v="8"/>
    <x v="2"/>
    <x v="24"/>
    <x v="3"/>
    <x v="2"/>
    <x v="83"/>
    <x v="526"/>
    <x v="1"/>
    <x v="81"/>
    <x v="1"/>
    <x v="2"/>
    <x v="60"/>
    <x v="0"/>
    <x v="16"/>
    <x v="5"/>
    <x v="62"/>
  </r>
  <r>
    <x v="143"/>
    <x v="132"/>
    <x v="176"/>
    <x v="1"/>
    <x v="62"/>
    <x v="158"/>
    <x v="158"/>
    <x v="157"/>
    <x v="157"/>
    <x v="0"/>
    <x v="702"/>
    <x v="722"/>
    <x v="227"/>
    <x v="498"/>
    <x v="82"/>
    <x v="631"/>
    <x v="23"/>
    <x v="2"/>
    <x v="50"/>
    <x v="3"/>
    <x v="3"/>
    <x v="93"/>
    <x v="527"/>
    <x v="14"/>
    <x v="82"/>
    <x v="1"/>
    <x v="2"/>
    <x v="60"/>
    <x v="0"/>
    <x v="16"/>
    <x v="5"/>
    <x v="62"/>
  </r>
  <r>
    <x v="143"/>
    <x v="133"/>
    <x v="177"/>
    <x v="0"/>
    <x v="69"/>
    <x v="159"/>
    <x v="159"/>
    <x v="158"/>
    <x v="158"/>
    <x v="0"/>
    <x v="703"/>
    <x v="723"/>
    <x v="613"/>
    <x v="211"/>
    <x v="108"/>
    <x v="632"/>
    <x v="211"/>
    <x v="1"/>
    <x v="132"/>
    <x v="5"/>
    <x v="1"/>
    <x v="280"/>
    <x v="78"/>
    <x v="0"/>
    <x v="0"/>
    <x v="12"/>
    <x v="13"/>
    <x v="67"/>
    <x v="0"/>
    <x v="14"/>
    <x v="5"/>
    <x v="69"/>
  </r>
  <r>
    <x v="144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144"/>
    <x v="116"/>
    <x v="150"/>
    <x v="0"/>
    <x v="73"/>
    <x v="133"/>
    <x v="133"/>
    <x v="132"/>
    <x v="132"/>
    <x v="0"/>
    <x v="704"/>
    <x v="724"/>
    <x v="614"/>
    <x v="499"/>
    <x v="44"/>
    <x v="633"/>
    <x v="93"/>
    <x v="0"/>
    <x v="61"/>
    <x v="5"/>
    <x v="4"/>
    <x v="217"/>
    <x v="528"/>
    <x v="0"/>
    <x v="0"/>
    <x v="8"/>
    <x v="12"/>
    <x v="71"/>
    <x v="0"/>
    <x v="14"/>
    <x v="5"/>
    <x v="73"/>
  </r>
  <r>
    <x v="144"/>
    <x v="124"/>
    <x v="164"/>
    <x v="0"/>
    <x v="72"/>
    <x v="147"/>
    <x v="147"/>
    <x v="146"/>
    <x v="146"/>
    <x v="0"/>
    <x v="705"/>
    <x v="725"/>
    <x v="615"/>
    <x v="224"/>
    <x v="47"/>
    <x v="634"/>
    <x v="143"/>
    <x v="10"/>
    <x v="133"/>
    <x v="5"/>
    <x v="2"/>
    <x v="253"/>
    <x v="529"/>
    <x v="0"/>
    <x v="0"/>
    <x v="24"/>
    <x v="5"/>
    <x v="70"/>
    <x v="0"/>
    <x v="14"/>
    <x v="5"/>
    <x v="72"/>
  </r>
  <r>
    <x v="144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  <x v="85"/>
  </r>
  <r>
    <x v="144"/>
    <x v="127"/>
    <x v="168"/>
    <x v="0"/>
    <x v="9"/>
    <x v="151"/>
    <x v="151"/>
    <x v="150"/>
    <x v="150"/>
    <x v="0"/>
    <x v="393"/>
    <x v="726"/>
    <x v="616"/>
    <x v="435"/>
    <x v="74"/>
    <x v="635"/>
    <x v="66"/>
    <x v="2"/>
    <x v="90"/>
    <x v="3"/>
    <x v="3"/>
    <x v="1"/>
    <x v="530"/>
    <x v="0"/>
    <x v="0"/>
    <x v="5"/>
    <x v="2"/>
    <x v="9"/>
    <x v="1"/>
    <x v="3"/>
    <x v="2"/>
    <x v="9"/>
  </r>
  <r>
    <x v="144"/>
    <x v="125"/>
    <x v="170"/>
    <x v="1"/>
    <x v="9"/>
    <x v="152"/>
    <x v="152"/>
    <x v="151"/>
    <x v="151"/>
    <x v="0"/>
    <x v="706"/>
    <x v="727"/>
    <x v="560"/>
    <x v="500"/>
    <x v="15"/>
    <x v="636"/>
    <x v="15"/>
    <x v="2"/>
    <x v="14"/>
    <x v="3"/>
    <x v="3"/>
    <x v="15"/>
    <x v="15"/>
    <x v="0"/>
    <x v="0"/>
    <x v="5"/>
    <x v="2"/>
    <x v="9"/>
    <x v="1"/>
    <x v="3"/>
    <x v="2"/>
    <x v="9"/>
  </r>
  <r>
    <x v="144"/>
    <x v="129"/>
    <x v="171"/>
    <x v="1"/>
    <x v="9"/>
    <x v="153"/>
    <x v="153"/>
    <x v="152"/>
    <x v="152"/>
    <x v="0"/>
    <x v="707"/>
    <x v="728"/>
    <x v="617"/>
    <x v="354"/>
    <x v="59"/>
    <x v="637"/>
    <x v="18"/>
    <x v="2"/>
    <x v="14"/>
    <x v="3"/>
    <x v="3"/>
    <x v="20"/>
    <x v="531"/>
    <x v="0"/>
    <x v="0"/>
    <x v="5"/>
    <x v="2"/>
    <x v="9"/>
    <x v="1"/>
    <x v="3"/>
    <x v="2"/>
    <x v="9"/>
  </r>
  <r>
    <x v="144"/>
    <x v="130"/>
    <x v="172"/>
    <x v="0"/>
    <x v="86"/>
    <x v="154"/>
    <x v="154"/>
    <x v="153"/>
    <x v="153"/>
    <x v="0"/>
    <x v="30"/>
    <x v="40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  <x v="86"/>
  </r>
  <r>
    <x v="144"/>
    <x v="131"/>
    <x v="174"/>
    <x v="0"/>
    <x v="70"/>
    <x v="156"/>
    <x v="156"/>
    <x v="155"/>
    <x v="155"/>
    <x v="0"/>
    <x v="708"/>
    <x v="729"/>
    <x v="618"/>
    <x v="288"/>
    <x v="82"/>
    <x v="638"/>
    <x v="89"/>
    <x v="5"/>
    <x v="3"/>
    <x v="11"/>
    <x v="1"/>
    <x v="53"/>
    <x v="51"/>
    <x v="0"/>
    <x v="0"/>
    <x v="10"/>
    <x v="3"/>
    <x v="68"/>
    <x v="0"/>
    <x v="14"/>
    <x v="5"/>
    <x v="70"/>
  </r>
  <r>
    <x v="144"/>
    <x v="132"/>
    <x v="175"/>
    <x v="1"/>
    <x v="62"/>
    <x v="157"/>
    <x v="157"/>
    <x v="156"/>
    <x v="156"/>
    <x v="0"/>
    <x v="709"/>
    <x v="730"/>
    <x v="619"/>
    <x v="501"/>
    <x v="73"/>
    <x v="639"/>
    <x v="18"/>
    <x v="1"/>
    <x v="24"/>
    <x v="3"/>
    <x v="3"/>
    <x v="70"/>
    <x v="532"/>
    <x v="27"/>
    <x v="44"/>
    <x v="11"/>
    <x v="12"/>
    <x v="60"/>
    <x v="0"/>
    <x v="16"/>
    <x v="5"/>
    <x v="62"/>
  </r>
  <r>
    <x v="144"/>
    <x v="132"/>
    <x v="176"/>
    <x v="1"/>
    <x v="62"/>
    <x v="158"/>
    <x v="158"/>
    <x v="157"/>
    <x v="157"/>
    <x v="0"/>
    <x v="710"/>
    <x v="731"/>
    <x v="290"/>
    <x v="213"/>
    <x v="43"/>
    <x v="640"/>
    <x v="18"/>
    <x v="2"/>
    <x v="24"/>
    <x v="3"/>
    <x v="3"/>
    <x v="27"/>
    <x v="533"/>
    <x v="14"/>
    <x v="83"/>
    <x v="5"/>
    <x v="2"/>
    <x v="60"/>
    <x v="0"/>
    <x v="16"/>
    <x v="5"/>
    <x v="62"/>
  </r>
  <r>
    <x v="144"/>
    <x v="133"/>
    <x v="177"/>
    <x v="0"/>
    <x v="69"/>
    <x v="159"/>
    <x v="159"/>
    <x v="158"/>
    <x v="158"/>
    <x v="0"/>
    <x v="711"/>
    <x v="732"/>
    <x v="308"/>
    <x v="72"/>
    <x v="29"/>
    <x v="641"/>
    <x v="23"/>
    <x v="2"/>
    <x v="14"/>
    <x v="3"/>
    <x v="3"/>
    <x v="83"/>
    <x v="64"/>
    <x v="0"/>
    <x v="0"/>
    <x v="5"/>
    <x v="2"/>
    <x v="67"/>
    <x v="0"/>
    <x v="14"/>
    <x v="5"/>
    <x v="69"/>
  </r>
  <r>
    <x v="144"/>
    <x v="134"/>
    <x v="178"/>
    <x v="1"/>
    <x v="62"/>
    <x v="160"/>
    <x v="160"/>
    <x v="159"/>
    <x v="159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144"/>
    <x v="135"/>
    <x v="179"/>
    <x v="1"/>
    <x v="46"/>
    <x v="160"/>
    <x v="160"/>
    <x v="159"/>
    <x v="159"/>
    <x v="0"/>
    <x v="712"/>
    <x v="733"/>
    <x v="62"/>
    <x v="275"/>
    <x v="25"/>
    <x v="642"/>
    <x v="26"/>
    <x v="2"/>
    <x v="14"/>
    <x v="3"/>
    <x v="3"/>
    <x v="70"/>
    <x v="534"/>
    <x v="3"/>
    <x v="84"/>
    <x v="5"/>
    <x v="2"/>
    <x v="46"/>
    <x v="0"/>
    <x v="14"/>
    <x v="5"/>
    <x v="46"/>
  </r>
  <r>
    <x v="144"/>
    <x v="136"/>
    <x v="180"/>
    <x v="1"/>
    <x v="46"/>
    <x v="161"/>
    <x v="161"/>
    <x v="160"/>
    <x v="160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144"/>
    <x v="135"/>
    <x v="181"/>
    <x v="1"/>
    <x v="7"/>
    <x v="161"/>
    <x v="161"/>
    <x v="160"/>
    <x v="160"/>
    <x v="0"/>
    <x v="713"/>
    <x v="734"/>
    <x v="620"/>
    <x v="99"/>
    <x v="82"/>
    <x v="643"/>
    <x v="7"/>
    <x v="2"/>
    <x v="7"/>
    <x v="5"/>
    <x v="2"/>
    <x v="165"/>
    <x v="119"/>
    <x v="0"/>
    <x v="0"/>
    <x v="2"/>
    <x v="2"/>
    <x v="7"/>
    <x v="0"/>
    <x v="6"/>
    <x v="0"/>
    <x v="7"/>
  </r>
  <r>
    <x v="144"/>
    <x v="137"/>
    <x v="182"/>
    <x v="1"/>
    <x v="62"/>
    <x v="162"/>
    <x v="162"/>
    <x v="161"/>
    <x v="161"/>
    <x v="0"/>
    <x v="714"/>
    <x v="685"/>
    <x v="72"/>
    <x v="372"/>
    <x v="14"/>
    <x v="644"/>
    <x v="15"/>
    <x v="2"/>
    <x v="14"/>
    <x v="3"/>
    <x v="3"/>
    <x v="15"/>
    <x v="15"/>
    <x v="0"/>
    <x v="0"/>
    <x v="5"/>
    <x v="2"/>
    <x v="60"/>
    <x v="0"/>
    <x v="16"/>
    <x v="5"/>
    <x v="62"/>
  </r>
  <r>
    <x v="144"/>
    <x v="135"/>
    <x v="183"/>
    <x v="1"/>
    <x v="87"/>
    <x v="162"/>
    <x v="162"/>
    <x v="161"/>
    <x v="161"/>
    <x v="0"/>
    <x v="715"/>
    <x v="735"/>
    <x v="621"/>
    <x v="12"/>
    <x v="25"/>
    <x v="645"/>
    <x v="31"/>
    <x v="2"/>
    <x v="55"/>
    <x v="0"/>
    <x v="4"/>
    <x v="281"/>
    <x v="394"/>
    <x v="0"/>
    <x v="0"/>
    <x v="5"/>
    <x v="11"/>
    <x v="85"/>
    <x v="1"/>
    <x v="18"/>
    <x v="2"/>
    <x v="87"/>
  </r>
  <r>
    <x v="144"/>
    <x v="138"/>
    <x v="184"/>
    <x v="1"/>
    <x v="87"/>
    <x v="163"/>
    <x v="163"/>
    <x v="162"/>
    <x v="162"/>
    <x v="0"/>
    <x v="716"/>
    <x v="592"/>
    <x v="113"/>
    <x v="502"/>
    <x v="23"/>
    <x v="646"/>
    <x v="15"/>
    <x v="2"/>
    <x v="14"/>
    <x v="3"/>
    <x v="3"/>
    <x v="15"/>
    <x v="15"/>
    <x v="0"/>
    <x v="0"/>
    <x v="5"/>
    <x v="2"/>
    <x v="85"/>
    <x v="1"/>
    <x v="18"/>
    <x v="2"/>
    <x v="87"/>
  </r>
  <r>
    <x v="144"/>
    <x v="135"/>
    <x v="185"/>
    <x v="1"/>
    <x v="83"/>
    <x v="163"/>
    <x v="163"/>
    <x v="162"/>
    <x v="162"/>
    <x v="0"/>
    <x v="717"/>
    <x v="736"/>
    <x v="622"/>
    <x v="503"/>
    <x v="27"/>
    <x v="647"/>
    <x v="125"/>
    <x v="2"/>
    <x v="91"/>
    <x v="5"/>
    <x v="3"/>
    <x v="275"/>
    <x v="118"/>
    <x v="0"/>
    <x v="0"/>
    <x v="5"/>
    <x v="5"/>
    <x v="81"/>
    <x v="1"/>
    <x v="3"/>
    <x v="2"/>
    <x v="83"/>
  </r>
  <r>
    <x v="144"/>
    <x v="135"/>
    <x v="186"/>
    <x v="1"/>
    <x v="87"/>
    <x v="164"/>
    <x v="164"/>
    <x v="163"/>
    <x v="163"/>
    <x v="0"/>
    <x v="718"/>
    <x v="737"/>
    <x v="85"/>
    <x v="504"/>
    <x v="27"/>
    <x v="648"/>
    <x v="8"/>
    <x v="2"/>
    <x v="14"/>
    <x v="5"/>
    <x v="2"/>
    <x v="83"/>
    <x v="535"/>
    <x v="0"/>
    <x v="0"/>
    <x v="5"/>
    <x v="2"/>
    <x v="85"/>
    <x v="1"/>
    <x v="18"/>
    <x v="2"/>
    <x v="87"/>
  </r>
  <r>
    <x v="144"/>
    <x v="139"/>
    <x v="187"/>
    <x v="0"/>
    <x v="72"/>
    <x v="165"/>
    <x v="165"/>
    <x v="164"/>
    <x v="164"/>
    <x v="0"/>
    <x v="719"/>
    <x v="738"/>
    <x v="623"/>
    <x v="272"/>
    <x v="8"/>
    <x v="649"/>
    <x v="15"/>
    <x v="2"/>
    <x v="14"/>
    <x v="3"/>
    <x v="3"/>
    <x v="15"/>
    <x v="15"/>
    <x v="0"/>
    <x v="0"/>
    <x v="2"/>
    <x v="2"/>
    <x v="70"/>
    <x v="0"/>
    <x v="14"/>
    <x v="5"/>
    <x v="72"/>
  </r>
  <r>
    <x v="144"/>
    <x v="140"/>
    <x v="188"/>
    <x v="1"/>
    <x v="87"/>
    <x v="166"/>
    <x v="166"/>
    <x v="165"/>
    <x v="165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  <x v="87"/>
  </r>
  <r>
    <x v="144"/>
    <x v="135"/>
    <x v="189"/>
    <x v="1"/>
    <x v="83"/>
    <x v="166"/>
    <x v="166"/>
    <x v="165"/>
    <x v="165"/>
    <x v="0"/>
    <x v="720"/>
    <x v="739"/>
    <x v="624"/>
    <x v="505"/>
    <x v="35"/>
    <x v="650"/>
    <x v="15"/>
    <x v="2"/>
    <x v="14"/>
    <x v="3"/>
    <x v="3"/>
    <x v="15"/>
    <x v="15"/>
    <x v="0"/>
    <x v="0"/>
    <x v="5"/>
    <x v="2"/>
    <x v="81"/>
    <x v="1"/>
    <x v="3"/>
    <x v="2"/>
    <x v="83"/>
  </r>
  <r>
    <x v="145"/>
    <x v="116"/>
    <x v="150"/>
    <x v="0"/>
    <x v="73"/>
    <x v="133"/>
    <x v="133"/>
    <x v="132"/>
    <x v="132"/>
    <x v="0"/>
    <x v="721"/>
    <x v="740"/>
    <x v="625"/>
    <x v="493"/>
    <x v="76"/>
    <x v="651"/>
    <x v="146"/>
    <x v="0"/>
    <x v="55"/>
    <x v="3"/>
    <x v="2"/>
    <x v="143"/>
    <x v="536"/>
    <x v="0"/>
    <x v="0"/>
    <x v="0"/>
    <x v="10"/>
    <x v="71"/>
    <x v="0"/>
    <x v="14"/>
    <x v="5"/>
    <x v="73"/>
  </r>
  <r>
    <x v="145"/>
    <x v="121"/>
    <x v="161"/>
    <x v="0"/>
    <x v="83"/>
    <x v="144"/>
    <x v="144"/>
    <x v="143"/>
    <x v="143"/>
    <x v="0"/>
    <x v="722"/>
    <x v="741"/>
    <x v="626"/>
    <x v="506"/>
    <x v="28"/>
    <x v="652"/>
    <x v="40"/>
    <x v="2"/>
    <x v="144"/>
    <x v="11"/>
    <x v="7"/>
    <x v="43"/>
    <x v="537"/>
    <x v="0"/>
    <x v="0"/>
    <x v="4"/>
    <x v="8"/>
    <x v="81"/>
    <x v="1"/>
    <x v="3"/>
    <x v="2"/>
    <x v="83"/>
  </r>
  <r>
    <x v="145"/>
    <x v="124"/>
    <x v="164"/>
    <x v="0"/>
    <x v="72"/>
    <x v="147"/>
    <x v="147"/>
    <x v="146"/>
    <x v="146"/>
    <x v="0"/>
    <x v="723"/>
    <x v="742"/>
    <x v="627"/>
    <x v="174"/>
    <x v="21"/>
    <x v="653"/>
    <x v="30"/>
    <x v="0"/>
    <x v="31"/>
    <x v="3"/>
    <x v="3"/>
    <x v="282"/>
    <x v="538"/>
    <x v="0"/>
    <x v="0"/>
    <x v="12"/>
    <x v="12"/>
    <x v="70"/>
    <x v="0"/>
    <x v="14"/>
    <x v="5"/>
    <x v="72"/>
  </r>
  <r>
    <x v="145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  <x v="85"/>
  </r>
  <r>
    <x v="145"/>
    <x v="127"/>
    <x v="168"/>
    <x v="0"/>
    <x v="9"/>
    <x v="151"/>
    <x v="151"/>
    <x v="150"/>
    <x v="150"/>
    <x v="0"/>
    <x v="724"/>
    <x v="743"/>
    <x v="37"/>
    <x v="507"/>
    <x v="47"/>
    <x v="654"/>
    <x v="194"/>
    <x v="2"/>
    <x v="14"/>
    <x v="3"/>
    <x v="3"/>
    <x v="259"/>
    <x v="15"/>
    <x v="0"/>
    <x v="0"/>
    <x v="5"/>
    <x v="2"/>
    <x v="9"/>
    <x v="1"/>
    <x v="3"/>
    <x v="2"/>
    <x v="9"/>
  </r>
  <r>
    <x v="145"/>
    <x v="125"/>
    <x v="170"/>
    <x v="1"/>
    <x v="9"/>
    <x v="152"/>
    <x v="152"/>
    <x v="151"/>
    <x v="151"/>
    <x v="0"/>
    <x v="30"/>
    <x v="717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45"/>
    <x v="129"/>
    <x v="171"/>
    <x v="1"/>
    <x v="9"/>
    <x v="153"/>
    <x v="153"/>
    <x v="152"/>
    <x v="152"/>
    <x v="0"/>
    <x v="725"/>
    <x v="744"/>
    <x v="628"/>
    <x v="277"/>
    <x v="104"/>
    <x v="655"/>
    <x v="18"/>
    <x v="1"/>
    <x v="14"/>
    <x v="3"/>
    <x v="3"/>
    <x v="27"/>
    <x v="539"/>
    <x v="0"/>
    <x v="0"/>
    <x v="5"/>
    <x v="6"/>
    <x v="9"/>
    <x v="1"/>
    <x v="3"/>
    <x v="2"/>
    <x v="9"/>
  </r>
  <r>
    <x v="145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  <x v="86"/>
  </r>
  <r>
    <x v="145"/>
    <x v="131"/>
    <x v="174"/>
    <x v="0"/>
    <x v="70"/>
    <x v="156"/>
    <x v="156"/>
    <x v="155"/>
    <x v="155"/>
    <x v="0"/>
    <x v="726"/>
    <x v="745"/>
    <x v="629"/>
    <x v="508"/>
    <x v="48"/>
    <x v="656"/>
    <x v="202"/>
    <x v="11"/>
    <x v="29"/>
    <x v="3"/>
    <x v="12"/>
    <x v="283"/>
    <x v="540"/>
    <x v="0"/>
    <x v="0"/>
    <x v="11"/>
    <x v="6"/>
    <x v="68"/>
    <x v="0"/>
    <x v="14"/>
    <x v="5"/>
    <x v="70"/>
  </r>
  <r>
    <x v="145"/>
    <x v="132"/>
    <x v="175"/>
    <x v="1"/>
    <x v="62"/>
    <x v="157"/>
    <x v="157"/>
    <x v="156"/>
    <x v="156"/>
    <x v="0"/>
    <x v="727"/>
    <x v="746"/>
    <x v="630"/>
    <x v="509"/>
    <x v="73"/>
    <x v="657"/>
    <x v="23"/>
    <x v="2"/>
    <x v="20"/>
    <x v="3"/>
    <x v="2"/>
    <x v="37"/>
    <x v="541"/>
    <x v="5"/>
    <x v="85"/>
    <x v="4"/>
    <x v="5"/>
    <x v="60"/>
    <x v="0"/>
    <x v="16"/>
    <x v="5"/>
    <x v="62"/>
  </r>
  <r>
    <x v="145"/>
    <x v="132"/>
    <x v="176"/>
    <x v="1"/>
    <x v="62"/>
    <x v="158"/>
    <x v="158"/>
    <x v="157"/>
    <x v="157"/>
    <x v="0"/>
    <x v="728"/>
    <x v="747"/>
    <x v="180"/>
    <x v="510"/>
    <x v="43"/>
    <x v="195"/>
    <x v="18"/>
    <x v="2"/>
    <x v="14"/>
    <x v="3"/>
    <x v="3"/>
    <x v="20"/>
    <x v="542"/>
    <x v="14"/>
    <x v="86"/>
    <x v="1"/>
    <x v="2"/>
    <x v="60"/>
    <x v="0"/>
    <x v="16"/>
    <x v="5"/>
    <x v="62"/>
  </r>
  <r>
    <x v="145"/>
    <x v="135"/>
    <x v="179"/>
    <x v="1"/>
    <x v="46"/>
    <x v="160"/>
    <x v="160"/>
    <x v="159"/>
    <x v="159"/>
    <x v="0"/>
    <x v="729"/>
    <x v="748"/>
    <x v="631"/>
    <x v="219"/>
    <x v="25"/>
    <x v="658"/>
    <x v="46"/>
    <x v="2"/>
    <x v="22"/>
    <x v="5"/>
    <x v="3"/>
    <x v="284"/>
    <x v="33"/>
    <x v="6"/>
    <x v="87"/>
    <x v="7"/>
    <x v="5"/>
    <x v="46"/>
    <x v="0"/>
    <x v="14"/>
    <x v="5"/>
    <x v="46"/>
  </r>
  <r>
    <x v="145"/>
    <x v="135"/>
    <x v="181"/>
    <x v="1"/>
    <x v="7"/>
    <x v="161"/>
    <x v="161"/>
    <x v="160"/>
    <x v="160"/>
    <x v="0"/>
    <x v="730"/>
    <x v="749"/>
    <x v="632"/>
    <x v="511"/>
    <x v="76"/>
    <x v="659"/>
    <x v="177"/>
    <x v="2"/>
    <x v="90"/>
    <x v="5"/>
    <x v="1"/>
    <x v="285"/>
    <x v="474"/>
    <x v="0"/>
    <x v="0"/>
    <x v="2"/>
    <x v="2"/>
    <x v="7"/>
    <x v="0"/>
    <x v="6"/>
    <x v="0"/>
    <x v="7"/>
  </r>
  <r>
    <x v="145"/>
    <x v="135"/>
    <x v="183"/>
    <x v="1"/>
    <x v="87"/>
    <x v="162"/>
    <x v="162"/>
    <x v="161"/>
    <x v="16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  <x v="87"/>
  </r>
  <r>
    <x v="145"/>
    <x v="135"/>
    <x v="185"/>
    <x v="1"/>
    <x v="83"/>
    <x v="163"/>
    <x v="163"/>
    <x v="162"/>
    <x v="16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45"/>
    <x v="135"/>
    <x v="186"/>
    <x v="1"/>
    <x v="87"/>
    <x v="164"/>
    <x v="164"/>
    <x v="163"/>
    <x v="163"/>
    <x v="0"/>
    <x v="731"/>
    <x v="750"/>
    <x v="51"/>
    <x v="215"/>
    <x v="26"/>
    <x v="660"/>
    <x v="139"/>
    <x v="0"/>
    <x v="150"/>
    <x v="7"/>
    <x v="7"/>
    <x v="279"/>
    <x v="543"/>
    <x v="2"/>
    <x v="88"/>
    <x v="5"/>
    <x v="10"/>
    <x v="85"/>
    <x v="1"/>
    <x v="18"/>
    <x v="2"/>
    <x v="87"/>
  </r>
  <r>
    <x v="145"/>
    <x v="135"/>
    <x v="189"/>
    <x v="1"/>
    <x v="83"/>
    <x v="166"/>
    <x v="166"/>
    <x v="165"/>
    <x v="165"/>
    <x v="0"/>
    <x v="732"/>
    <x v="179"/>
    <x v="113"/>
    <x v="161"/>
    <x v="3"/>
    <x v="661"/>
    <x v="15"/>
    <x v="2"/>
    <x v="14"/>
    <x v="3"/>
    <x v="3"/>
    <x v="15"/>
    <x v="15"/>
    <x v="0"/>
    <x v="0"/>
    <x v="5"/>
    <x v="2"/>
    <x v="81"/>
    <x v="1"/>
    <x v="3"/>
    <x v="2"/>
    <x v="83"/>
  </r>
  <r>
    <x v="145"/>
    <x v="141"/>
    <x v="190"/>
    <x v="0"/>
    <x v="88"/>
    <x v="167"/>
    <x v="167"/>
    <x v="166"/>
    <x v="166"/>
    <x v="0"/>
    <x v="733"/>
    <x v="751"/>
    <x v="633"/>
    <x v="512"/>
    <x v="2"/>
    <x v="662"/>
    <x v="10"/>
    <x v="1"/>
    <x v="42"/>
    <x v="4"/>
    <x v="3"/>
    <x v="7"/>
    <x v="544"/>
    <x v="0"/>
    <x v="0"/>
    <x v="11"/>
    <x v="6"/>
    <x v="86"/>
    <x v="1"/>
    <x v="3"/>
    <x v="2"/>
    <x v="88"/>
  </r>
  <r>
    <x v="145"/>
    <x v="141"/>
    <x v="191"/>
    <x v="0"/>
    <x v="89"/>
    <x v="168"/>
    <x v="168"/>
    <x v="167"/>
    <x v="167"/>
    <x v="0"/>
    <x v="734"/>
    <x v="752"/>
    <x v="634"/>
    <x v="147"/>
    <x v="73"/>
    <x v="663"/>
    <x v="28"/>
    <x v="2"/>
    <x v="30"/>
    <x v="11"/>
    <x v="1"/>
    <x v="117"/>
    <x v="249"/>
    <x v="0"/>
    <x v="0"/>
    <x v="5"/>
    <x v="5"/>
    <x v="87"/>
    <x v="0"/>
    <x v="0"/>
    <x v="6"/>
    <x v="89"/>
  </r>
  <r>
    <x v="145"/>
    <x v="141"/>
    <x v="192"/>
    <x v="0"/>
    <x v="90"/>
    <x v="169"/>
    <x v="169"/>
    <x v="168"/>
    <x v="168"/>
    <x v="0"/>
    <x v="735"/>
    <x v="753"/>
    <x v="635"/>
    <x v="513"/>
    <x v="35"/>
    <x v="664"/>
    <x v="126"/>
    <x v="2"/>
    <x v="49"/>
    <x v="3"/>
    <x v="4"/>
    <x v="42"/>
    <x v="545"/>
    <x v="0"/>
    <x v="0"/>
    <x v="10"/>
    <x v="11"/>
    <x v="88"/>
    <x v="0"/>
    <x v="0"/>
    <x v="6"/>
    <x v="90"/>
  </r>
  <r>
    <x v="146"/>
    <x v="116"/>
    <x v="150"/>
    <x v="0"/>
    <x v="73"/>
    <x v="133"/>
    <x v="133"/>
    <x v="132"/>
    <x v="132"/>
    <x v="0"/>
    <x v="736"/>
    <x v="754"/>
    <x v="636"/>
    <x v="140"/>
    <x v="74"/>
    <x v="665"/>
    <x v="212"/>
    <x v="2"/>
    <x v="142"/>
    <x v="3"/>
    <x v="1"/>
    <x v="271"/>
    <x v="546"/>
    <x v="0"/>
    <x v="0"/>
    <x v="39"/>
    <x v="2"/>
    <x v="71"/>
    <x v="0"/>
    <x v="14"/>
    <x v="5"/>
    <x v="73"/>
  </r>
  <r>
    <x v="146"/>
    <x v="121"/>
    <x v="161"/>
    <x v="0"/>
    <x v="83"/>
    <x v="144"/>
    <x v="144"/>
    <x v="143"/>
    <x v="143"/>
    <x v="0"/>
    <x v="737"/>
    <x v="755"/>
    <x v="637"/>
    <x v="514"/>
    <x v="9"/>
    <x v="666"/>
    <x v="128"/>
    <x v="7"/>
    <x v="6"/>
    <x v="14"/>
    <x v="5"/>
    <x v="218"/>
    <x v="547"/>
    <x v="0"/>
    <x v="0"/>
    <x v="13"/>
    <x v="13"/>
    <x v="81"/>
    <x v="1"/>
    <x v="3"/>
    <x v="2"/>
    <x v="83"/>
  </r>
  <r>
    <x v="146"/>
    <x v="124"/>
    <x v="164"/>
    <x v="0"/>
    <x v="72"/>
    <x v="147"/>
    <x v="147"/>
    <x v="146"/>
    <x v="146"/>
    <x v="0"/>
    <x v="738"/>
    <x v="756"/>
    <x v="638"/>
    <x v="515"/>
    <x v="53"/>
    <x v="359"/>
    <x v="212"/>
    <x v="3"/>
    <x v="61"/>
    <x v="3"/>
    <x v="2"/>
    <x v="286"/>
    <x v="548"/>
    <x v="0"/>
    <x v="0"/>
    <x v="13"/>
    <x v="5"/>
    <x v="70"/>
    <x v="0"/>
    <x v="14"/>
    <x v="5"/>
    <x v="72"/>
  </r>
  <r>
    <x v="146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  <x v="85"/>
  </r>
  <r>
    <x v="146"/>
    <x v="125"/>
    <x v="170"/>
    <x v="1"/>
    <x v="9"/>
    <x v="152"/>
    <x v="152"/>
    <x v="151"/>
    <x v="151"/>
    <x v="0"/>
    <x v="75"/>
    <x v="274"/>
    <x v="73"/>
    <x v="445"/>
    <x v="35"/>
    <x v="667"/>
    <x v="15"/>
    <x v="2"/>
    <x v="14"/>
    <x v="3"/>
    <x v="3"/>
    <x v="15"/>
    <x v="15"/>
    <x v="0"/>
    <x v="0"/>
    <x v="5"/>
    <x v="2"/>
    <x v="9"/>
    <x v="1"/>
    <x v="3"/>
    <x v="2"/>
    <x v="9"/>
  </r>
  <r>
    <x v="146"/>
    <x v="129"/>
    <x v="171"/>
    <x v="1"/>
    <x v="9"/>
    <x v="153"/>
    <x v="153"/>
    <x v="152"/>
    <x v="152"/>
    <x v="0"/>
    <x v="739"/>
    <x v="757"/>
    <x v="639"/>
    <x v="147"/>
    <x v="38"/>
    <x v="668"/>
    <x v="26"/>
    <x v="2"/>
    <x v="14"/>
    <x v="3"/>
    <x v="3"/>
    <x v="70"/>
    <x v="549"/>
    <x v="0"/>
    <x v="0"/>
    <x v="2"/>
    <x v="2"/>
    <x v="9"/>
    <x v="1"/>
    <x v="3"/>
    <x v="2"/>
    <x v="9"/>
  </r>
  <r>
    <x v="146"/>
    <x v="131"/>
    <x v="174"/>
    <x v="0"/>
    <x v="70"/>
    <x v="156"/>
    <x v="156"/>
    <x v="155"/>
    <x v="155"/>
    <x v="0"/>
    <x v="740"/>
    <x v="758"/>
    <x v="640"/>
    <x v="337"/>
    <x v="12"/>
    <x v="449"/>
    <x v="49"/>
    <x v="11"/>
    <x v="23"/>
    <x v="5"/>
    <x v="24"/>
    <x v="247"/>
    <x v="550"/>
    <x v="0"/>
    <x v="0"/>
    <x v="39"/>
    <x v="2"/>
    <x v="68"/>
    <x v="0"/>
    <x v="14"/>
    <x v="5"/>
    <x v="70"/>
  </r>
  <r>
    <x v="146"/>
    <x v="132"/>
    <x v="175"/>
    <x v="1"/>
    <x v="62"/>
    <x v="157"/>
    <x v="157"/>
    <x v="156"/>
    <x v="156"/>
    <x v="0"/>
    <x v="741"/>
    <x v="759"/>
    <x v="641"/>
    <x v="516"/>
    <x v="15"/>
    <x v="669"/>
    <x v="15"/>
    <x v="1"/>
    <x v="24"/>
    <x v="3"/>
    <x v="1"/>
    <x v="83"/>
    <x v="551"/>
    <x v="14"/>
    <x v="48"/>
    <x v="2"/>
    <x v="2"/>
    <x v="60"/>
    <x v="0"/>
    <x v="16"/>
    <x v="5"/>
    <x v="62"/>
  </r>
  <r>
    <x v="146"/>
    <x v="132"/>
    <x v="176"/>
    <x v="1"/>
    <x v="62"/>
    <x v="158"/>
    <x v="158"/>
    <x v="157"/>
    <x v="157"/>
    <x v="0"/>
    <x v="742"/>
    <x v="760"/>
    <x v="642"/>
    <x v="517"/>
    <x v="14"/>
    <x v="670"/>
    <x v="18"/>
    <x v="2"/>
    <x v="14"/>
    <x v="3"/>
    <x v="3"/>
    <x v="20"/>
    <x v="552"/>
    <x v="1"/>
    <x v="89"/>
    <x v="5"/>
    <x v="2"/>
    <x v="60"/>
    <x v="0"/>
    <x v="16"/>
    <x v="5"/>
    <x v="62"/>
  </r>
  <r>
    <x v="146"/>
    <x v="135"/>
    <x v="179"/>
    <x v="1"/>
    <x v="46"/>
    <x v="160"/>
    <x v="160"/>
    <x v="159"/>
    <x v="159"/>
    <x v="0"/>
    <x v="743"/>
    <x v="761"/>
    <x v="643"/>
    <x v="518"/>
    <x v="25"/>
    <x v="671"/>
    <x v="56"/>
    <x v="1"/>
    <x v="20"/>
    <x v="11"/>
    <x v="3"/>
    <x v="165"/>
    <x v="553"/>
    <x v="30"/>
    <x v="90"/>
    <x v="2"/>
    <x v="11"/>
    <x v="46"/>
    <x v="0"/>
    <x v="14"/>
    <x v="5"/>
    <x v="46"/>
  </r>
  <r>
    <x v="146"/>
    <x v="135"/>
    <x v="181"/>
    <x v="1"/>
    <x v="7"/>
    <x v="161"/>
    <x v="161"/>
    <x v="160"/>
    <x v="160"/>
    <x v="0"/>
    <x v="744"/>
    <x v="762"/>
    <x v="113"/>
    <x v="197"/>
    <x v="21"/>
    <x v="672"/>
    <x v="18"/>
    <x v="2"/>
    <x v="14"/>
    <x v="3"/>
    <x v="3"/>
    <x v="20"/>
    <x v="554"/>
    <x v="0"/>
    <x v="0"/>
    <x v="5"/>
    <x v="2"/>
    <x v="7"/>
    <x v="0"/>
    <x v="6"/>
    <x v="0"/>
    <x v="7"/>
  </r>
  <r>
    <x v="146"/>
    <x v="135"/>
    <x v="186"/>
    <x v="1"/>
    <x v="87"/>
    <x v="164"/>
    <x v="164"/>
    <x v="163"/>
    <x v="163"/>
    <x v="0"/>
    <x v="745"/>
    <x v="763"/>
    <x v="36"/>
    <x v="69"/>
    <x v="22"/>
    <x v="673"/>
    <x v="63"/>
    <x v="2"/>
    <x v="36"/>
    <x v="11"/>
    <x v="3"/>
    <x v="18"/>
    <x v="83"/>
    <x v="0"/>
    <x v="0"/>
    <x v="5"/>
    <x v="11"/>
    <x v="85"/>
    <x v="1"/>
    <x v="18"/>
    <x v="2"/>
    <x v="87"/>
  </r>
  <r>
    <x v="146"/>
    <x v="141"/>
    <x v="190"/>
    <x v="0"/>
    <x v="88"/>
    <x v="167"/>
    <x v="167"/>
    <x v="166"/>
    <x v="16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6"/>
    <x v="1"/>
    <x v="3"/>
    <x v="2"/>
    <x v="88"/>
  </r>
  <r>
    <x v="146"/>
    <x v="141"/>
    <x v="191"/>
    <x v="0"/>
    <x v="89"/>
    <x v="168"/>
    <x v="168"/>
    <x v="167"/>
    <x v="167"/>
    <x v="0"/>
    <x v="746"/>
    <x v="764"/>
    <x v="497"/>
    <x v="303"/>
    <x v="21"/>
    <x v="674"/>
    <x v="33"/>
    <x v="2"/>
    <x v="34"/>
    <x v="5"/>
    <x v="2"/>
    <x v="105"/>
    <x v="0"/>
    <x v="0"/>
    <x v="0"/>
    <x v="5"/>
    <x v="11"/>
    <x v="87"/>
    <x v="0"/>
    <x v="0"/>
    <x v="6"/>
    <x v="89"/>
  </r>
  <r>
    <x v="146"/>
    <x v="141"/>
    <x v="192"/>
    <x v="0"/>
    <x v="90"/>
    <x v="169"/>
    <x v="169"/>
    <x v="168"/>
    <x v="168"/>
    <x v="0"/>
    <x v="747"/>
    <x v="765"/>
    <x v="199"/>
    <x v="519"/>
    <x v="51"/>
    <x v="675"/>
    <x v="15"/>
    <x v="2"/>
    <x v="14"/>
    <x v="3"/>
    <x v="3"/>
    <x v="15"/>
    <x v="15"/>
    <x v="0"/>
    <x v="0"/>
    <x v="5"/>
    <x v="2"/>
    <x v="88"/>
    <x v="0"/>
    <x v="0"/>
    <x v="6"/>
    <x v="90"/>
  </r>
  <r>
    <x v="146"/>
    <x v="142"/>
    <x v="193"/>
    <x v="0"/>
    <x v="91"/>
    <x v="170"/>
    <x v="170"/>
    <x v="169"/>
    <x v="169"/>
    <x v="0"/>
    <x v="748"/>
    <x v="766"/>
    <x v="644"/>
    <x v="520"/>
    <x v="44"/>
    <x v="676"/>
    <x v="98"/>
    <x v="2"/>
    <x v="151"/>
    <x v="10"/>
    <x v="4"/>
    <x v="287"/>
    <x v="555"/>
    <x v="0"/>
    <x v="0"/>
    <x v="5"/>
    <x v="3"/>
    <x v="89"/>
    <x v="0"/>
    <x v="14"/>
    <x v="5"/>
    <x v="91"/>
  </r>
  <r>
    <x v="147"/>
    <x v="116"/>
    <x v="150"/>
    <x v="0"/>
    <x v="73"/>
    <x v="133"/>
    <x v="133"/>
    <x v="132"/>
    <x v="132"/>
    <x v="0"/>
    <x v="749"/>
    <x v="767"/>
    <x v="645"/>
    <x v="521"/>
    <x v="55"/>
    <x v="677"/>
    <x v="213"/>
    <x v="2"/>
    <x v="37"/>
    <x v="3"/>
    <x v="2"/>
    <x v="159"/>
    <x v="50"/>
    <x v="0"/>
    <x v="0"/>
    <x v="10"/>
    <x v="12"/>
    <x v="71"/>
    <x v="0"/>
    <x v="14"/>
    <x v="5"/>
    <x v="73"/>
  </r>
  <r>
    <x v="147"/>
    <x v="121"/>
    <x v="161"/>
    <x v="0"/>
    <x v="83"/>
    <x v="144"/>
    <x v="144"/>
    <x v="143"/>
    <x v="143"/>
    <x v="0"/>
    <x v="750"/>
    <x v="486"/>
    <x v="37"/>
    <x v="502"/>
    <x v="28"/>
    <x v="678"/>
    <x v="15"/>
    <x v="2"/>
    <x v="14"/>
    <x v="3"/>
    <x v="2"/>
    <x v="20"/>
    <x v="556"/>
    <x v="0"/>
    <x v="0"/>
    <x v="5"/>
    <x v="2"/>
    <x v="81"/>
    <x v="1"/>
    <x v="3"/>
    <x v="2"/>
    <x v="83"/>
  </r>
  <r>
    <x v="147"/>
    <x v="124"/>
    <x v="164"/>
    <x v="0"/>
    <x v="72"/>
    <x v="147"/>
    <x v="147"/>
    <x v="146"/>
    <x v="146"/>
    <x v="0"/>
    <x v="751"/>
    <x v="768"/>
    <x v="646"/>
    <x v="404"/>
    <x v="52"/>
    <x v="679"/>
    <x v="0"/>
    <x v="4"/>
    <x v="119"/>
    <x v="5"/>
    <x v="0"/>
    <x v="54"/>
    <x v="264"/>
    <x v="0"/>
    <x v="0"/>
    <x v="39"/>
    <x v="10"/>
    <x v="70"/>
    <x v="0"/>
    <x v="14"/>
    <x v="5"/>
    <x v="72"/>
  </r>
  <r>
    <x v="147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  <x v="85"/>
  </r>
  <r>
    <x v="147"/>
    <x v="125"/>
    <x v="170"/>
    <x v="1"/>
    <x v="9"/>
    <x v="152"/>
    <x v="152"/>
    <x v="151"/>
    <x v="151"/>
    <x v="0"/>
    <x v="752"/>
    <x v="30"/>
    <x v="72"/>
    <x v="522"/>
    <x v="53"/>
    <x v="680"/>
    <x v="15"/>
    <x v="2"/>
    <x v="14"/>
    <x v="3"/>
    <x v="3"/>
    <x v="15"/>
    <x v="15"/>
    <x v="0"/>
    <x v="0"/>
    <x v="5"/>
    <x v="2"/>
    <x v="9"/>
    <x v="1"/>
    <x v="3"/>
    <x v="2"/>
    <x v="9"/>
  </r>
  <r>
    <x v="147"/>
    <x v="129"/>
    <x v="171"/>
    <x v="1"/>
    <x v="9"/>
    <x v="153"/>
    <x v="153"/>
    <x v="152"/>
    <x v="152"/>
    <x v="0"/>
    <x v="753"/>
    <x v="769"/>
    <x v="73"/>
    <x v="134"/>
    <x v="101"/>
    <x v="681"/>
    <x v="15"/>
    <x v="2"/>
    <x v="14"/>
    <x v="3"/>
    <x v="3"/>
    <x v="15"/>
    <x v="15"/>
    <x v="0"/>
    <x v="0"/>
    <x v="5"/>
    <x v="2"/>
    <x v="9"/>
    <x v="1"/>
    <x v="3"/>
    <x v="2"/>
    <x v="9"/>
  </r>
  <r>
    <x v="147"/>
    <x v="131"/>
    <x v="174"/>
    <x v="0"/>
    <x v="70"/>
    <x v="156"/>
    <x v="156"/>
    <x v="155"/>
    <x v="155"/>
    <x v="0"/>
    <x v="754"/>
    <x v="770"/>
    <x v="647"/>
    <x v="279"/>
    <x v="41"/>
    <x v="682"/>
    <x v="214"/>
    <x v="5"/>
    <x v="38"/>
    <x v="3"/>
    <x v="29"/>
    <x v="257"/>
    <x v="159"/>
    <x v="0"/>
    <x v="0"/>
    <x v="12"/>
    <x v="6"/>
    <x v="68"/>
    <x v="0"/>
    <x v="14"/>
    <x v="5"/>
    <x v="70"/>
  </r>
  <r>
    <x v="147"/>
    <x v="132"/>
    <x v="175"/>
    <x v="1"/>
    <x v="62"/>
    <x v="157"/>
    <x v="157"/>
    <x v="156"/>
    <x v="156"/>
    <x v="0"/>
    <x v="755"/>
    <x v="771"/>
    <x v="648"/>
    <x v="523"/>
    <x v="44"/>
    <x v="683"/>
    <x v="8"/>
    <x v="2"/>
    <x v="14"/>
    <x v="3"/>
    <x v="1"/>
    <x v="83"/>
    <x v="557"/>
    <x v="1"/>
    <x v="91"/>
    <x v="1"/>
    <x v="2"/>
    <x v="60"/>
    <x v="0"/>
    <x v="16"/>
    <x v="5"/>
    <x v="62"/>
  </r>
  <r>
    <x v="147"/>
    <x v="132"/>
    <x v="176"/>
    <x v="1"/>
    <x v="62"/>
    <x v="158"/>
    <x v="158"/>
    <x v="157"/>
    <x v="157"/>
    <x v="0"/>
    <x v="756"/>
    <x v="772"/>
    <x v="19"/>
    <x v="223"/>
    <x v="82"/>
    <x v="684"/>
    <x v="8"/>
    <x v="1"/>
    <x v="50"/>
    <x v="3"/>
    <x v="3"/>
    <x v="75"/>
    <x v="558"/>
    <x v="0"/>
    <x v="0"/>
    <x v="5"/>
    <x v="2"/>
    <x v="60"/>
    <x v="0"/>
    <x v="16"/>
    <x v="5"/>
    <x v="62"/>
  </r>
  <r>
    <x v="147"/>
    <x v="135"/>
    <x v="179"/>
    <x v="1"/>
    <x v="46"/>
    <x v="160"/>
    <x v="160"/>
    <x v="159"/>
    <x v="159"/>
    <x v="0"/>
    <x v="757"/>
    <x v="773"/>
    <x v="649"/>
    <x v="280"/>
    <x v="25"/>
    <x v="685"/>
    <x v="1"/>
    <x v="1"/>
    <x v="49"/>
    <x v="3"/>
    <x v="1"/>
    <x v="170"/>
    <x v="559"/>
    <x v="6"/>
    <x v="50"/>
    <x v="10"/>
    <x v="6"/>
    <x v="46"/>
    <x v="0"/>
    <x v="14"/>
    <x v="5"/>
    <x v="46"/>
  </r>
  <r>
    <x v="147"/>
    <x v="135"/>
    <x v="186"/>
    <x v="1"/>
    <x v="87"/>
    <x v="164"/>
    <x v="164"/>
    <x v="163"/>
    <x v="163"/>
    <x v="0"/>
    <x v="758"/>
    <x v="774"/>
    <x v="650"/>
    <x v="524"/>
    <x v="73"/>
    <x v="686"/>
    <x v="16"/>
    <x v="2"/>
    <x v="9"/>
    <x v="14"/>
    <x v="1"/>
    <x v="34"/>
    <x v="560"/>
    <x v="0"/>
    <x v="0"/>
    <x v="5"/>
    <x v="10"/>
    <x v="85"/>
    <x v="1"/>
    <x v="18"/>
    <x v="2"/>
    <x v="87"/>
  </r>
  <r>
    <x v="147"/>
    <x v="141"/>
    <x v="190"/>
    <x v="0"/>
    <x v="88"/>
    <x v="167"/>
    <x v="167"/>
    <x v="166"/>
    <x v="16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6"/>
    <x v="1"/>
    <x v="3"/>
    <x v="2"/>
    <x v="88"/>
  </r>
  <r>
    <x v="147"/>
    <x v="141"/>
    <x v="191"/>
    <x v="0"/>
    <x v="89"/>
    <x v="168"/>
    <x v="168"/>
    <x v="167"/>
    <x v="1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7"/>
    <x v="0"/>
    <x v="0"/>
    <x v="6"/>
    <x v="89"/>
  </r>
  <r>
    <x v="147"/>
    <x v="142"/>
    <x v="193"/>
    <x v="0"/>
    <x v="91"/>
    <x v="170"/>
    <x v="170"/>
    <x v="169"/>
    <x v="169"/>
    <x v="0"/>
    <x v="759"/>
    <x v="775"/>
    <x v="651"/>
    <x v="148"/>
    <x v="53"/>
    <x v="687"/>
    <x v="215"/>
    <x v="7"/>
    <x v="88"/>
    <x v="17"/>
    <x v="7"/>
    <x v="288"/>
    <x v="30"/>
    <x v="0"/>
    <x v="0"/>
    <x v="2"/>
    <x v="30"/>
    <x v="89"/>
    <x v="0"/>
    <x v="14"/>
    <x v="5"/>
    <x v="91"/>
  </r>
  <r>
    <x v="147"/>
    <x v="143"/>
    <x v="194"/>
    <x v="0"/>
    <x v="92"/>
    <x v="171"/>
    <x v="171"/>
    <x v="170"/>
    <x v="170"/>
    <x v="0"/>
    <x v="760"/>
    <x v="776"/>
    <x v="652"/>
    <x v="525"/>
    <x v="28"/>
    <x v="198"/>
    <x v="14"/>
    <x v="2"/>
    <x v="19"/>
    <x v="1"/>
    <x v="2"/>
    <x v="284"/>
    <x v="561"/>
    <x v="0"/>
    <x v="0"/>
    <x v="7"/>
    <x v="12"/>
    <x v="90"/>
    <x v="1"/>
    <x v="3"/>
    <x v="2"/>
    <x v="92"/>
  </r>
  <r>
    <x v="14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5"/>
    <x v="48"/>
  </r>
  <r>
    <x v="148"/>
    <x v="116"/>
    <x v="150"/>
    <x v="0"/>
    <x v="73"/>
    <x v="133"/>
    <x v="133"/>
    <x v="132"/>
    <x v="132"/>
    <x v="0"/>
    <x v="761"/>
    <x v="78"/>
    <x v="113"/>
    <x v="526"/>
    <x v="12"/>
    <x v="688"/>
    <x v="15"/>
    <x v="2"/>
    <x v="14"/>
    <x v="3"/>
    <x v="3"/>
    <x v="15"/>
    <x v="15"/>
    <x v="0"/>
    <x v="0"/>
    <x v="5"/>
    <x v="2"/>
    <x v="71"/>
    <x v="0"/>
    <x v="14"/>
    <x v="5"/>
    <x v="73"/>
  </r>
  <r>
    <x v="148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48"/>
    <x v="124"/>
    <x v="164"/>
    <x v="0"/>
    <x v="72"/>
    <x v="147"/>
    <x v="147"/>
    <x v="146"/>
    <x v="146"/>
    <x v="0"/>
    <x v="762"/>
    <x v="777"/>
    <x v="653"/>
    <x v="123"/>
    <x v="12"/>
    <x v="417"/>
    <x v="8"/>
    <x v="2"/>
    <x v="14"/>
    <x v="3"/>
    <x v="3"/>
    <x v="27"/>
    <x v="562"/>
    <x v="0"/>
    <x v="0"/>
    <x v="5"/>
    <x v="2"/>
    <x v="70"/>
    <x v="0"/>
    <x v="14"/>
    <x v="5"/>
    <x v="72"/>
  </r>
  <r>
    <x v="148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  <x v="86"/>
  </r>
  <r>
    <x v="148"/>
    <x v="131"/>
    <x v="174"/>
    <x v="0"/>
    <x v="70"/>
    <x v="156"/>
    <x v="156"/>
    <x v="155"/>
    <x v="155"/>
    <x v="0"/>
    <x v="763"/>
    <x v="778"/>
    <x v="406"/>
    <x v="326"/>
    <x v="51"/>
    <x v="689"/>
    <x v="8"/>
    <x v="2"/>
    <x v="24"/>
    <x v="3"/>
    <x v="3"/>
    <x v="70"/>
    <x v="563"/>
    <x v="0"/>
    <x v="0"/>
    <x v="5"/>
    <x v="2"/>
    <x v="68"/>
    <x v="0"/>
    <x v="14"/>
    <x v="5"/>
    <x v="70"/>
  </r>
  <r>
    <x v="148"/>
    <x v="132"/>
    <x v="175"/>
    <x v="1"/>
    <x v="62"/>
    <x v="157"/>
    <x v="157"/>
    <x v="156"/>
    <x v="156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148"/>
    <x v="132"/>
    <x v="176"/>
    <x v="1"/>
    <x v="62"/>
    <x v="158"/>
    <x v="158"/>
    <x v="157"/>
    <x v="157"/>
    <x v="0"/>
    <x v="479"/>
    <x v="141"/>
    <x v="199"/>
    <x v="527"/>
    <x v="36"/>
    <x v="690"/>
    <x v="15"/>
    <x v="2"/>
    <x v="14"/>
    <x v="3"/>
    <x v="3"/>
    <x v="15"/>
    <x v="15"/>
    <x v="0"/>
    <x v="0"/>
    <x v="5"/>
    <x v="2"/>
    <x v="60"/>
    <x v="0"/>
    <x v="16"/>
    <x v="5"/>
    <x v="62"/>
  </r>
  <r>
    <x v="148"/>
    <x v="135"/>
    <x v="179"/>
    <x v="1"/>
    <x v="46"/>
    <x v="160"/>
    <x v="160"/>
    <x v="159"/>
    <x v="159"/>
    <x v="0"/>
    <x v="764"/>
    <x v="779"/>
    <x v="406"/>
    <x v="512"/>
    <x v="43"/>
    <x v="691"/>
    <x v="15"/>
    <x v="2"/>
    <x v="14"/>
    <x v="3"/>
    <x v="3"/>
    <x v="15"/>
    <x v="15"/>
    <x v="0"/>
    <x v="0"/>
    <x v="5"/>
    <x v="2"/>
    <x v="46"/>
    <x v="0"/>
    <x v="14"/>
    <x v="5"/>
    <x v="46"/>
  </r>
  <r>
    <x v="148"/>
    <x v="135"/>
    <x v="186"/>
    <x v="1"/>
    <x v="87"/>
    <x v="164"/>
    <x v="164"/>
    <x v="163"/>
    <x v="163"/>
    <x v="0"/>
    <x v="765"/>
    <x v="780"/>
    <x v="70"/>
    <x v="528"/>
    <x v="25"/>
    <x v="692"/>
    <x v="8"/>
    <x v="2"/>
    <x v="50"/>
    <x v="3"/>
    <x v="3"/>
    <x v="83"/>
    <x v="517"/>
    <x v="0"/>
    <x v="0"/>
    <x v="5"/>
    <x v="2"/>
    <x v="85"/>
    <x v="1"/>
    <x v="18"/>
    <x v="2"/>
    <x v="87"/>
  </r>
  <r>
    <x v="148"/>
    <x v="142"/>
    <x v="193"/>
    <x v="0"/>
    <x v="91"/>
    <x v="170"/>
    <x v="170"/>
    <x v="169"/>
    <x v="169"/>
    <x v="0"/>
    <x v="766"/>
    <x v="781"/>
    <x v="654"/>
    <x v="529"/>
    <x v="22"/>
    <x v="461"/>
    <x v="216"/>
    <x v="0"/>
    <x v="152"/>
    <x v="32"/>
    <x v="14"/>
    <x v="289"/>
    <x v="564"/>
    <x v="0"/>
    <x v="0"/>
    <x v="7"/>
    <x v="26"/>
    <x v="89"/>
    <x v="0"/>
    <x v="14"/>
    <x v="5"/>
    <x v="91"/>
  </r>
  <r>
    <x v="148"/>
    <x v="143"/>
    <x v="194"/>
    <x v="0"/>
    <x v="92"/>
    <x v="171"/>
    <x v="171"/>
    <x v="170"/>
    <x v="17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0"/>
    <x v="1"/>
    <x v="3"/>
    <x v="2"/>
    <x v="92"/>
  </r>
  <r>
    <x v="148"/>
    <x v="144"/>
    <x v="195"/>
    <x v="0"/>
    <x v="91"/>
    <x v="172"/>
    <x v="172"/>
    <x v="171"/>
    <x v="171"/>
    <x v="0"/>
    <x v="767"/>
    <x v="782"/>
    <x v="655"/>
    <x v="187"/>
    <x v="47"/>
    <x v="693"/>
    <x v="217"/>
    <x v="2"/>
    <x v="153"/>
    <x v="18"/>
    <x v="6"/>
    <x v="290"/>
    <x v="565"/>
    <x v="0"/>
    <x v="0"/>
    <x v="2"/>
    <x v="3"/>
    <x v="89"/>
    <x v="0"/>
    <x v="14"/>
    <x v="5"/>
    <x v="91"/>
  </r>
  <r>
    <x v="149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  <x v="85"/>
  </r>
  <r>
    <x v="149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49"/>
    <x v="135"/>
    <x v="179"/>
    <x v="1"/>
    <x v="46"/>
    <x v="160"/>
    <x v="160"/>
    <x v="159"/>
    <x v="1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5"/>
    <x v="46"/>
  </r>
  <r>
    <x v="149"/>
    <x v="142"/>
    <x v="193"/>
    <x v="0"/>
    <x v="91"/>
    <x v="170"/>
    <x v="170"/>
    <x v="169"/>
    <x v="169"/>
    <x v="0"/>
    <x v="768"/>
    <x v="276"/>
    <x v="73"/>
    <x v="240"/>
    <x v="12"/>
    <x v="694"/>
    <x v="15"/>
    <x v="2"/>
    <x v="14"/>
    <x v="3"/>
    <x v="3"/>
    <x v="15"/>
    <x v="15"/>
    <x v="0"/>
    <x v="0"/>
    <x v="5"/>
    <x v="2"/>
    <x v="89"/>
    <x v="0"/>
    <x v="14"/>
    <x v="5"/>
    <x v="91"/>
  </r>
  <r>
    <x v="149"/>
    <x v="144"/>
    <x v="195"/>
    <x v="0"/>
    <x v="91"/>
    <x v="172"/>
    <x v="172"/>
    <x v="171"/>
    <x v="171"/>
    <x v="0"/>
    <x v="769"/>
    <x v="93"/>
    <x v="73"/>
    <x v="530"/>
    <x v="51"/>
    <x v="695"/>
    <x v="15"/>
    <x v="2"/>
    <x v="14"/>
    <x v="3"/>
    <x v="3"/>
    <x v="15"/>
    <x v="15"/>
    <x v="0"/>
    <x v="0"/>
    <x v="5"/>
    <x v="2"/>
    <x v="89"/>
    <x v="0"/>
    <x v="14"/>
    <x v="5"/>
    <x v="91"/>
  </r>
  <r>
    <x v="149"/>
    <x v="145"/>
    <x v="196"/>
    <x v="0"/>
    <x v="90"/>
    <x v="173"/>
    <x v="173"/>
    <x v="172"/>
    <x v="172"/>
    <x v="0"/>
    <x v="770"/>
    <x v="783"/>
    <x v="656"/>
    <x v="531"/>
    <x v="53"/>
    <x v="696"/>
    <x v="218"/>
    <x v="0"/>
    <x v="58"/>
    <x v="0"/>
    <x v="0"/>
    <x v="291"/>
    <x v="160"/>
    <x v="0"/>
    <x v="0"/>
    <x v="22"/>
    <x v="0"/>
    <x v="88"/>
    <x v="0"/>
    <x v="0"/>
    <x v="6"/>
    <x v="90"/>
  </r>
  <r>
    <x v="150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5"/>
    <x v="54"/>
  </r>
  <r>
    <x v="150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5"/>
    <x v="85"/>
  </r>
  <r>
    <x v="150"/>
    <x v="127"/>
    <x v="168"/>
    <x v="0"/>
    <x v="9"/>
    <x v="151"/>
    <x v="151"/>
    <x v="150"/>
    <x v="15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50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  <x v="86"/>
  </r>
  <r>
    <x v="150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50"/>
    <x v="142"/>
    <x v="193"/>
    <x v="0"/>
    <x v="91"/>
    <x v="170"/>
    <x v="170"/>
    <x v="169"/>
    <x v="16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5"/>
    <x v="91"/>
  </r>
  <r>
    <x v="150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5"/>
    <x v="91"/>
  </r>
  <r>
    <x v="150"/>
    <x v="145"/>
    <x v="196"/>
    <x v="0"/>
    <x v="90"/>
    <x v="173"/>
    <x v="173"/>
    <x v="172"/>
    <x v="172"/>
    <x v="0"/>
    <x v="93"/>
    <x v="780"/>
    <x v="72"/>
    <x v="532"/>
    <x v="12"/>
    <x v="697"/>
    <x v="15"/>
    <x v="2"/>
    <x v="14"/>
    <x v="3"/>
    <x v="3"/>
    <x v="15"/>
    <x v="15"/>
    <x v="0"/>
    <x v="0"/>
    <x v="5"/>
    <x v="2"/>
    <x v="88"/>
    <x v="0"/>
    <x v="0"/>
    <x v="6"/>
    <x v="90"/>
  </r>
  <r>
    <x v="150"/>
    <x v="146"/>
    <x v="197"/>
    <x v="0"/>
    <x v="86"/>
    <x v="174"/>
    <x v="174"/>
    <x v="173"/>
    <x v="173"/>
    <x v="0"/>
    <x v="771"/>
    <x v="784"/>
    <x v="657"/>
    <x v="303"/>
    <x v="53"/>
    <x v="696"/>
    <x v="135"/>
    <x v="7"/>
    <x v="154"/>
    <x v="10"/>
    <x v="8"/>
    <x v="292"/>
    <x v="566"/>
    <x v="0"/>
    <x v="0"/>
    <x v="2"/>
    <x v="8"/>
    <x v="84"/>
    <x v="0"/>
    <x v="0"/>
    <x v="6"/>
    <x v="86"/>
  </r>
  <r>
    <x v="151"/>
    <x v="116"/>
    <x v="150"/>
    <x v="0"/>
    <x v="73"/>
    <x v="133"/>
    <x v="133"/>
    <x v="132"/>
    <x v="132"/>
    <x v="0"/>
    <x v="772"/>
    <x v="785"/>
    <x v="658"/>
    <x v="376"/>
    <x v="52"/>
    <x v="698"/>
    <x v="219"/>
    <x v="2"/>
    <x v="32"/>
    <x v="3"/>
    <x v="0"/>
    <x v="293"/>
    <x v="567"/>
    <x v="0"/>
    <x v="0"/>
    <x v="14"/>
    <x v="2"/>
    <x v="71"/>
    <x v="0"/>
    <x v="14"/>
    <x v="5"/>
    <x v="73"/>
  </r>
  <r>
    <x v="151"/>
    <x v="124"/>
    <x v="164"/>
    <x v="0"/>
    <x v="72"/>
    <x v="147"/>
    <x v="147"/>
    <x v="146"/>
    <x v="146"/>
    <x v="0"/>
    <x v="773"/>
    <x v="786"/>
    <x v="659"/>
    <x v="204"/>
    <x v="44"/>
    <x v="699"/>
    <x v="94"/>
    <x v="1"/>
    <x v="73"/>
    <x v="3"/>
    <x v="4"/>
    <x v="90"/>
    <x v="568"/>
    <x v="0"/>
    <x v="0"/>
    <x v="12"/>
    <x v="11"/>
    <x v="70"/>
    <x v="0"/>
    <x v="14"/>
    <x v="5"/>
    <x v="72"/>
  </r>
  <r>
    <x v="151"/>
    <x v="132"/>
    <x v="175"/>
    <x v="1"/>
    <x v="62"/>
    <x v="157"/>
    <x v="157"/>
    <x v="156"/>
    <x v="156"/>
    <x v="0"/>
    <x v="774"/>
    <x v="787"/>
    <x v="660"/>
    <x v="533"/>
    <x v="15"/>
    <x v="700"/>
    <x v="41"/>
    <x v="2"/>
    <x v="24"/>
    <x v="3"/>
    <x v="3"/>
    <x v="93"/>
    <x v="569"/>
    <x v="1"/>
    <x v="92"/>
    <x v="2"/>
    <x v="5"/>
    <x v="60"/>
    <x v="0"/>
    <x v="16"/>
    <x v="5"/>
    <x v="62"/>
  </r>
  <r>
    <x v="151"/>
    <x v="132"/>
    <x v="176"/>
    <x v="1"/>
    <x v="62"/>
    <x v="158"/>
    <x v="158"/>
    <x v="157"/>
    <x v="157"/>
    <x v="0"/>
    <x v="775"/>
    <x v="788"/>
    <x v="661"/>
    <x v="226"/>
    <x v="34"/>
    <x v="701"/>
    <x v="18"/>
    <x v="2"/>
    <x v="24"/>
    <x v="5"/>
    <x v="3"/>
    <x v="70"/>
    <x v="570"/>
    <x v="2"/>
    <x v="24"/>
    <x v="2"/>
    <x v="11"/>
    <x v="60"/>
    <x v="0"/>
    <x v="16"/>
    <x v="5"/>
    <x v="62"/>
  </r>
  <r>
    <x v="151"/>
    <x v="141"/>
    <x v="191"/>
    <x v="0"/>
    <x v="89"/>
    <x v="168"/>
    <x v="168"/>
    <x v="167"/>
    <x v="1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7"/>
    <x v="0"/>
    <x v="0"/>
    <x v="6"/>
    <x v="89"/>
  </r>
  <r>
    <x v="151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5"/>
    <x v="91"/>
  </r>
  <r>
    <x v="151"/>
    <x v="146"/>
    <x v="197"/>
    <x v="0"/>
    <x v="86"/>
    <x v="174"/>
    <x v="174"/>
    <x v="173"/>
    <x v="173"/>
    <x v="0"/>
    <x v="776"/>
    <x v="789"/>
    <x v="94"/>
    <x v="232"/>
    <x v="42"/>
    <x v="389"/>
    <x v="18"/>
    <x v="2"/>
    <x v="14"/>
    <x v="3"/>
    <x v="3"/>
    <x v="20"/>
    <x v="153"/>
    <x v="0"/>
    <x v="0"/>
    <x v="5"/>
    <x v="2"/>
    <x v="84"/>
    <x v="0"/>
    <x v="0"/>
    <x v="6"/>
    <x v="86"/>
  </r>
  <r>
    <x v="151"/>
    <x v="147"/>
    <x v="198"/>
    <x v="1"/>
    <x v="62"/>
    <x v="175"/>
    <x v="175"/>
    <x v="174"/>
    <x v="174"/>
    <x v="0"/>
    <x v="30"/>
    <x v="337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151"/>
    <x v="148"/>
    <x v="199"/>
    <x v="1"/>
    <x v="73"/>
    <x v="175"/>
    <x v="175"/>
    <x v="174"/>
    <x v="174"/>
    <x v="0"/>
    <x v="777"/>
    <x v="790"/>
    <x v="662"/>
    <x v="4"/>
    <x v="14"/>
    <x v="702"/>
    <x v="10"/>
    <x v="2"/>
    <x v="91"/>
    <x v="3"/>
    <x v="3"/>
    <x v="149"/>
    <x v="311"/>
    <x v="0"/>
    <x v="0"/>
    <x v="1"/>
    <x v="2"/>
    <x v="71"/>
    <x v="0"/>
    <x v="14"/>
    <x v="5"/>
    <x v="73"/>
  </r>
  <r>
    <x v="151"/>
    <x v="149"/>
    <x v="200"/>
    <x v="0"/>
    <x v="93"/>
    <x v="176"/>
    <x v="176"/>
    <x v="175"/>
    <x v="175"/>
    <x v="0"/>
    <x v="778"/>
    <x v="791"/>
    <x v="663"/>
    <x v="534"/>
    <x v="10"/>
    <x v="703"/>
    <x v="220"/>
    <x v="7"/>
    <x v="85"/>
    <x v="26"/>
    <x v="1"/>
    <x v="294"/>
    <x v="8"/>
    <x v="0"/>
    <x v="0"/>
    <x v="2"/>
    <x v="2"/>
    <x v="91"/>
    <x v="0"/>
    <x v="19"/>
    <x v="0"/>
    <x v="93"/>
  </r>
  <r>
    <x v="151"/>
    <x v="150"/>
    <x v="201"/>
    <x v="0"/>
    <x v="94"/>
    <x v="177"/>
    <x v="177"/>
    <x v="176"/>
    <x v="176"/>
    <x v="0"/>
    <x v="779"/>
    <x v="792"/>
    <x v="664"/>
    <x v="405"/>
    <x v="73"/>
    <x v="704"/>
    <x v="4"/>
    <x v="1"/>
    <x v="8"/>
    <x v="3"/>
    <x v="8"/>
    <x v="243"/>
    <x v="571"/>
    <x v="0"/>
    <x v="0"/>
    <x v="11"/>
    <x v="2"/>
    <x v="92"/>
    <x v="0"/>
    <x v="0"/>
    <x v="6"/>
    <x v="94"/>
  </r>
  <r>
    <x v="151"/>
    <x v="151"/>
    <x v="202"/>
    <x v="0"/>
    <x v="95"/>
    <x v="178"/>
    <x v="178"/>
    <x v="177"/>
    <x v="177"/>
    <x v="0"/>
    <x v="469"/>
    <x v="793"/>
    <x v="205"/>
    <x v="496"/>
    <x v="55"/>
    <x v="705"/>
    <x v="43"/>
    <x v="0"/>
    <x v="49"/>
    <x v="3"/>
    <x v="3"/>
    <x v="148"/>
    <x v="572"/>
    <x v="0"/>
    <x v="0"/>
    <x v="5"/>
    <x v="2"/>
    <x v="93"/>
    <x v="1"/>
    <x v="3"/>
    <x v="2"/>
    <x v="95"/>
  </r>
  <r>
    <x v="151"/>
    <x v="149"/>
    <x v="203"/>
    <x v="0"/>
    <x v="96"/>
    <x v="179"/>
    <x v="179"/>
    <x v="178"/>
    <x v="178"/>
    <x v="0"/>
    <x v="780"/>
    <x v="794"/>
    <x v="665"/>
    <x v="108"/>
    <x v="52"/>
    <x v="706"/>
    <x v="80"/>
    <x v="2"/>
    <x v="8"/>
    <x v="3"/>
    <x v="3"/>
    <x v="170"/>
    <x v="573"/>
    <x v="0"/>
    <x v="0"/>
    <x v="4"/>
    <x v="5"/>
    <x v="94"/>
    <x v="1"/>
    <x v="3"/>
    <x v="2"/>
    <x v="96"/>
  </r>
  <r>
    <x v="151"/>
    <x v="152"/>
    <x v="204"/>
    <x v="0"/>
    <x v="72"/>
    <x v="180"/>
    <x v="180"/>
    <x v="179"/>
    <x v="179"/>
    <x v="0"/>
    <x v="781"/>
    <x v="795"/>
    <x v="666"/>
    <x v="535"/>
    <x v="12"/>
    <x v="707"/>
    <x v="17"/>
    <x v="2"/>
    <x v="2"/>
    <x v="3"/>
    <x v="2"/>
    <x v="295"/>
    <x v="574"/>
    <x v="0"/>
    <x v="0"/>
    <x v="11"/>
    <x v="2"/>
    <x v="70"/>
    <x v="0"/>
    <x v="14"/>
    <x v="5"/>
    <x v="72"/>
  </r>
  <r>
    <x v="152"/>
    <x v="116"/>
    <x v="150"/>
    <x v="0"/>
    <x v="73"/>
    <x v="133"/>
    <x v="133"/>
    <x v="132"/>
    <x v="132"/>
    <x v="0"/>
    <x v="782"/>
    <x v="796"/>
    <x v="667"/>
    <x v="167"/>
    <x v="76"/>
    <x v="212"/>
    <x v="158"/>
    <x v="1"/>
    <x v="39"/>
    <x v="5"/>
    <x v="1"/>
    <x v="193"/>
    <x v="575"/>
    <x v="0"/>
    <x v="0"/>
    <x v="12"/>
    <x v="10"/>
    <x v="71"/>
    <x v="0"/>
    <x v="14"/>
    <x v="5"/>
    <x v="73"/>
  </r>
  <r>
    <x v="152"/>
    <x v="124"/>
    <x v="164"/>
    <x v="0"/>
    <x v="72"/>
    <x v="147"/>
    <x v="147"/>
    <x v="146"/>
    <x v="146"/>
    <x v="0"/>
    <x v="783"/>
    <x v="797"/>
    <x v="668"/>
    <x v="88"/>
    <x v="53"/>
    <x v="708"/>
    <x v="120"/>
    <x v="6"/>
    <x v="155"/>
    <x v="1"/>
    <x v="2"/>
    <x v="212"/>
    <x v="576"/>
    <x v="0"/>
    <x v="0"/>
    <x v="0"/>
    <x v="11"/>
    <x v="70"/>
    <x v="0"/>
    <x v="14"/>
    <x v="5"/>
    <x v="72"/>
  </r>
  <r>
    <x v="152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5"/>
    <x v="70"/>
  </r>
  <r>
    <x v="152"/>
    <x v="132"/>
    <x v="175"/>
    <x v="1"/>
    <x v="62"/>
    <x v="157"/>
    <x v="157"/>
    <x v="156"/>
    <x v="156"/>
    <x v="0"/>
    <x v="784"/>
    <x v="798"/>
    <x v="660"/>
    <x v="536"/>
    <x v="73"/>
    <x v="709"/>
    <x v="18"/>
    <x v="2"/>
    <x v="24"/>
    <x v="3"/>
    <x v="3"/>
    <x v="27"/>
    <x v="577"/>
    <x v="0"/>
    <x v="0"/>
    <x v="4"/>
    <x v="2"/>
    <x v="60"/>
    <x v="0"/>
    <x v="16"/>
    <x v="5"/>
    <x v="62"/>
  </r>
  <r>
    <x v="152"/>
    <x v="132"/>
    <x v="176"/>
    <x v="1"/>
    <x v="62"/>
    <x v="158"/>
    <x v="158"/>
    <x v="157"/>
    <x v="157"/>
    <x v="0"/>
    <x v="785"/>
    <x v="799"/>
    <x v="669"/>
    <x v="162"/>
    <x v="101"/>
    <x v="710"/>
    <x v="21"/>
    <x v="1"/>
    <x v="14"/>
    <x v="3"/>
    <x v="3"/>
    <x v="8"/>
    <x v="578"/>
    <x v="14"/>
    <x v="93"/>
    <x v="2"/>
    <x v="5"/>
    <x v="60"/>
    <x v="0"/>
    <x v="16"/>
    <x v="5"/>
    <x v="62"/>
  </r>
  <r>
    <x v="152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5"/>
    <x v="91"/>
  </r>
  <r>
    <x v="152"/>
    <x v="146"/>
    <x v="197"/>
    <x v="0"/>
    <x v="86"/>
    <x v="174"/>
    <x v="174"/>
    <x v="173"/>
    <x v="17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  <x v="86"/>
  </r>
  <r>
    <x v="152"/>
    <x v="148"/>
    <x v="199"/>
    <x v="1"/>
    <x v="73"/>
    <x v="175"/>
    <x v="175"/>
    <x v="174"/>
    <x v="174"/>
    <x v="0"/>
    <x v="30"/>
    <x v="51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52"/>
    <x v="149"/>
    <x v="200"/>
    <x v="0"/>
    <x v="93"/>
    <x v="176"/>
    <x v="176"/>
    <x v="175"/>
    <x v="175"/>
    <x v="0"/>
    <x v="786"/>
    <x v="800"/>
    <x v="670"/>
    <x v="537"/>
    <x v="51"/>
    <x v="711"/>
    <x v="221"/>
    <x v="3"/>
    <x v="92"/>
    <x v="22"/>
    <x v="3"/>
    <x v="296"/>
    <x v="579"/>
    <x v="0"/>
    <x v="0"/>
    <x v="2"/>
    <x v="5"/>
    <x v="91"/>
    <x v="0"/>
    <x v="19"/>
    <x v="0"/>
    <x v="93"/>
  </r>
  <r>
    <x v="152"/>
    <x v="150"/>
    <x v="201"/>
    <x v="0"/>
    <x v="94"/>
    <x v="177"/>
    <x v="177"/>
    <x v="176"/>
    <x v="176"/>
    <x v="0"/>
    <x v="787"/>
    <x v="801"/>
    <x v="671"/>
    <x v="538"/>
    <x v="23"/>
    <x v="712"/>
    <x v="14"/>
    <x v="1"/>
    <x v="50"/>
    <x v="3"/>
    <x v="3"/>
    <x v="78"/>
    <x v="264"/>
    <x v="0"/>
    <x v="0"/>
    <x v="5"/>
    <x v="2"/>
    <x v="92"/>
    <x v="0"/>
    <x v="0"/>
    <x v="6"/>
    <x v="94"/>
  </r>
  <r>
    <x v="152"/>
    <x v="151"/>
    <x v="202"/>
    <x v="0"/>
    <x v="95"/>
    <x v="178"/>
    <x v="178"/>
    <x v="177"/>
    <x v="177"/>
    <x v="0"/>
    <x v="788"/>
    <x v="802"/>
    <x v="672"/>
    <x v="53"/>
    <x v="10"/>
    <x v="341"/>
    <x v="41"/>
    <x v="2"/>
    <x v="19"/>
    <x v="3"/>
    <x v="3"/>
    <x v="68"/>
    <x v="580"/>
    <x v="0"/>
    <x v="0"/>
    <x v="1"/>
    <x v="5"/>
    <x v="93"/>
    <x v="1"/>
    <x v="3"/>
    <x v="2"/>
    <x v="95"/>
  </r>
  <r>
    <x v="152"/>
    <x v="149"/>
    <x v="203"/>
    <x v="0"/>
    <x v="96"/>
    <x v="179"/>
    <x v="179"/>
    <x v="178"/>
    <x v="178"/>
    <x v="0"/>
    <x v="789"/>
    <x v="803"/>
    <x v="673"/>
    <x v="191"/>
    <x v="3"/>
    <x v="713"/>
    <x v="13"/>
    <x v="2"/>
    <x v="19"/>
    <x v="3"/>
    <x v="2"/>
    <x v="50"/>
    <x v="581"/>
    <x v="0"/>
    <x v="0"/>
    <x v="2"/>
    <x v="2"/>
    <x v="94"/>
    <x v="1"/>
    <x v="3"/>
    <x v="2"/>
    <x v="96"/>
  </r>
  <r>
    <x v="152"/>
    <x v="152"/>
    <x v="204"/>
    <x v="0"/>
    <x v="72"/>
    <x v="180"/>
    <x v="180"/>
    <x v="179"/>
    <x v="179"/>
    <x v="0"/>
    <x v="790"/>
    <x v="804"/>
    <x v="161"/>
    <x v="397"/>
    <x v="41"/>
    <x v="714"/>
    <x v="18"/>
    <x v="1"/>
    <x v="24"/>
    <x v="3"/>
    <x v="3"/>
    <x v="70"/>
    <x v="582"/>
    <x v="0"/>
    <x v="0"/>
    <x v="5"/>
    <x v="2"/>
    <x v="70"/>
    <x v="0"/>
    <x v="14"/>
    <x v="5"/>
    <x v="72"/>
  </r>
  <r>
    <x v="152"/>
    <x v="153"/>
    <x v="205"/>
    <x v="0"/>
    <x v="97"/>
    <x v="181"/>
    <x v="181"/>
    <x v="180"/>
    <x v="180"/>
    <x v="0"/>
    <x v="791"/>
    <x v="805"/>
    <x v="674"/>
    <x v="539"/>
    <x v="42"/>
    <x v="348"/>
    <x v="35"/>
    <x v="10"/>
    <x v="4"/>
    <x v="1"/>
    <x v="4"/>
    <x v="282"/>
    <x v="583"/>
    <x v="0"/>
    <x v="0"/>
    <x v="0"/>
    <x v="11"/>
    <x v="95"/>
    <x v="0"/>
    <x v="14"/>
    <x v="5"/>
    <x v="97"/>
  </r>
  <r>
    <x v="152"/>
    <x v="153"/>
    <x v="206"/>
    <x v="0"/>
    <x v="92"/>
    <x v="182"/>
    <x v="182"/>
    <x v="181"/>
    <x v="181"/>
    <x v="0"/>
    <x v="792"/>
    <x v="806"/>
    <x v="675"/>
    <x v="540"/>
    <x v="28"/>
    <x v="715"/>
    <x v="21"/>
    <x v="2"/>
    <x v="20"/>
    <x v="1"/>
    <x v="3"/>
    <x v="13"/>
    <x v="584"/>
    <x v="0"/>
    <x v="0"/>
    <x v="4"/>
    <x v="5"/>
    <x v="90"/>
    <x v="1"/>
    <x v="3"/>
    <x v="2"/>
    <x v="92"/>
  </r>
  <r>
    <x v="152"/>
    <x v="154"/>
    <x v="207"/>
    <x v="1"/>
    <x v="72"/>
    <x v="183"/>
    <x v="183"/>
    <x v="182"/>
    <x v="182"/>
    <x v="0"/>
    <x v="793"/>
    <x v="807"/>
    <x v="676"/>
    <x v="145"/>
    <x v="14"/>
    <x v="619"/>
    <x v="2"/>
    <x v="7"/>
    <x v="7"/>
    <x v="5"/>
    <x v="1"/>
    <x v="7"/>
    <x v="585"/>
    <x v="0"/>
    <x v="0"/>
    <x v="1"/>
    <x v="5"/>
    <x v="70"/>
    <x v="0"/>
    <x v="14"/>
    <x v="5"/>
    <x v="72"/>
  </r>
  <r>
    <x v="153"/>
    <x v="116"/>
    <x v="150"/>
    <x v="0"/>
    <x v="73"/>
    <x v="133"/>
    <x v="133"/>
    <x v="132"/>
    <x v="132"/>
    <x v="0"/>
    <x v="794"/>
    <x v="808"/>
    <x v="677"/>
    <x v="541"/>
    <x v="50"/>
    <x v="716"/>
    <x v="162"/>
    <x v="1"/>
    <x v="156"/>
    <x v="3"/>
    <x v="2"/>
    <x v="180"/>
    <x v="586"/>
    <x v="0"/>
    <x v="0"/>
    <x v="10"/>
    <x v="12"/>
    <x v="71"/>
    <x v="0"/>
    <x v="14"/>
    <x v="5"/>
    <x v="73"/>
  </r>
  <r>
    <x v="153"/>
    <x v="124"/>
    <x v="164"/>
    <x v="0"/>
    <x v="72"/>
    <x v="147"/>
    <x v="147"/>
    <x v="146"/>
    <x v="146"/>
    <x v="0"/>
    <x v="795"/>
    <x v="809"/>
    <x v="678"/>
    <x v="280"/>
    <x v="82"/>
    <x v="717"/>
    <x v="222"/>
    <x v="10"/>
    <x v="58"/>
    <x v="5"/>
    <x v="8"/>
    <x v="297"/>
    <x v="587"/>
    <x v="0"/>
    <x v="0"/>
    <x v="0"/>
    <x v="11"/>
    <x v="70"/>
    <x v="0"/>
    <x v="14"/>
    <x v="5"/>
    <x v="72"/>
  </r>
  <r>
    <x v="153"/>
    <x v="125"/>
    <x v="170"/>
    <x v="1"/>
    <x v="9"/>
    <x v="152"/>
    <x v="152"/>
    <x v="151"/>
    <x v="151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53"/>
    <x v="129"/>
    <x v="171"/>
    <x v="1"/>
    <x v="9"/>
    <x v="153"/>
    <x v="153"/>
    <x v="152"/>
    <x v="152"/>
    <x v="0"/>
    <x v="796"/>
    <x v="810"/>
    <x v="679"/>
    <x v="339"/>
    <x v="104"/>
    <x v="718"/>
    <x v="8"/>
    <x v="2"/>
    <x v="14"/>
    <x v="3"/>
    <x v="1"/>
    <x v="83"/>
    <x v="588"/>
    <x v="0"/>
    <x v="0"/>
    <x v="5"/>
    <x v="2"/>
    <x v="9"/>
    <x v="1"/>
    <x v="3"/>
    <x v="2"/>
    <x v="9"/>
  </r>
  <r>
    <x v="153"/>
    <x v="132"/>
    <x v="175"/>
    <x v="1"/>
    <x v="62"/>
    <x v="157"/>
    <x v="157"/>
    <x v="156"/>
    <x v="156"/>
    <x v="0"/>
    <x v="797"/>
    <x v="811"/>
    <x v="680"/>
    <x v="542"/>
    <x v="71"/>
    <x v="70"/>
    <x v="8"/>
    <x v="1"/>
    <x v="14"/>
    <x v="3"/>
    <x v="3"/>
    <x v="70"/>
    <x v="589"/>
    <x v="2"/>
    <x v="94"/>
    <x v="5"/>
    <x v="2"/>
    <x v="60"/>
    <x v="0"/>
    <x v="16"/>
    <x v="5"/>
    <x v="62"/>
  </r>
  <r>
    <x v="153"/>
    <x v="132"/>
    <x v="176"/>
    <x v="1"/>
    <x v="62"/>
    <x v="158"/>
    <x v="158"/>
    <x v="157"/>
    <x v="157"/>
    <x v="0"/>
    <x v="798"/>
    <x v="812"/>
    <x v="156"/>
    <x v="0"/>
    <x v="99"/>
    <x v="719"/>
    <x v="8"/>
    <x v="2"/>
    <x v="14"/>
    <x v="3"/>
    <x v="3"/>
    <x v="27"/>
    <x v="590"/>
    <x v="2"/>
    <x v="28"/>
    <x v="2"/>
    <x v="5"/>
    <x v="60"/>
    <x v="0"/>
    <x v="16"/>
    <x v="5"/>
    <x v="62"/>
  </r>
  <r>
    <x v="153"/>
    <x v="141"/>
    <x v="192"/>
    <x v="0"/>
    <x v="90"/>
    <x v="169"/>
    <x v="169"/>
    <x v="168"/>
    <x v="168"/>
    <x v="0"/>
    <x v="799"/>
    <x v="813"/>
    <x v="681"/>
    <x v="543"/>
    <x v="21"/>
    <x v="720"/>
    <x v="223"/>
    <x v="0"/>
    <x v="32"/>
    <x v="5"/>
    <x v="4"/>
    <x v="298"/>
    <x v="358"/>
    <x v="0"/>
    <x v="0"/>
    <x v="8"/>
    <x v="28"/>
    <x v="88"/>
    <x v="0"/>
    <x v="0"/>
    <x v="6"/>
    <x v="90"/>
  </r>
  <r>
    <x v="153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  <x v="0"/>
    <x v="19"/>
    <x v="0"/>
    <x v="93"/>
  </r>
  <r>
    <x v="153"/>
    <x v="153"/>
    <x v="205"/>
    <x v="0"/>
    <x v="97"/>
    <x v="181"/>
    <x v="181"/>
    <x v="180"/>
    <x v="1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5"/>
    <x v="0"/>
    <x v="14"/>
    <x v="5"/>
    <x v="97"/>
  </r>
  <r>
    <x v="153"/>
    <x v="153"/>
    <x v="206"/>
    <x v="0"/>
    <x v="92"/>
    <x v="182"/>
    <x v="182"/>
    <x v="181"/>
    <x v="18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0"/>
    <x v="1"/>
    <x v="3"/>
    <x v="2"/>
    <x v="92"/>
  </r>
  <r>
    <x v="153"/>
    <x v="154"/>
    <x v="207"/>
    <x v="1"/>
    <x v="72"/>
    <x v="183"/>
    <x v="183"/>
    <x v="182"/>
    <x v="182"/>
    <x v="0"/>
    <x v="800"/>
    <x v="814"/>
    <x v="421"/>
    <x v="456"/>
    <x v="26"/>
    <x v="721"/>
    <x v="177"/>
    <x v="2"/>
    <x v="20"/>
    <x v="3"/>
    <x v="2"/>
    <x v="13"/>
    <x v="591"/>
    <x v="0"/>
    <x v="0"/>
    <x v="10"/>
    <x v="11"/>
    <x v="70"/>
    <x v="0"/>
    <x v="14"/>
    <x v="5"/>
    <x v="72"/>
  </r>
  <r>
    <x v="153"/>
    <x v="155"/>
    <x v="208"/>
    <x v="0"/>
    <x v="96"/>
    <x v="184"/>
    <x v="184"/>
    <x v="183"/>
    <x v="183"/>
    <x v="0"/>
    <x v="801"/>
    <x v="815"/>
    <x v="682"/>
    <x v="78"/>
    <x v="21"/>
    <x v="722"/>
    <x v="63"/>
    <x v="2"/>
    <x v="20"/>
    <x v="3"/>
    <x v="3"/>
    <x v="23"/>
    <x v="266"/>
    <x v="0"/>
    <x v="0"/>
    <x v="2"/>
    <x v="2"/>
    <x v="94"/>
    <x v="1"/>
    <x v="3"/>
    <x v="2"/>
    <x v="96"/>
  </r>
  <r>
    <x v="153"/>
    <x v="156"/>
    <x v="209"/>
    <x v="0"/>
    <x v="87"/>
    <x v="185"/>
    <x v="185"/>
    <x v="184"/>
    <x v="184"/>
    <x v="0"/>
    <x v="635"/>
    <x v="816"/>
    <x v="683"/>
    <x v="488"/>
    <x v="7"/>
    <x v="723"/>
    <x v="224"/>
    <x v="2"/>
    <x v="157"/>
    <x v="31"/>
    <x v="27"/>
    <x v="299"/>
    <x v="592"/>
    <x v="2"/>
    <x v="95"/>
    <x v="2"/>
    <x v="10"/>
    <x v="85"/>
    <x v="1"/>
    <x v="18"/>
    <x v="2"/>
    <x v="87"/>
  </r>
  <r>
    <x v="153"/>
    <x v="157"/>
    <x v="210"/>
    <x v="1"/>
    <x v="72"/>
    <x v="186"/>
    <x v="186"/>
    <x v="185"/>
    <x v="185"/>
    <x v="0"/>
    <x v="802"/>
    <x v="817"/>
    <x v="684"/>
    <x v="510"/>
    <x v="66"/>
    <x v="724"/>
    <x v="18"/>
    <x v="2"/>
    <x v="14"/>
    <x v="3"/>
    <x v="3"/>
    <x v="20"/>
    <x v="593"/>
    <x v="0"/>
    <x v="0"/>
    <x v="5"/>
    <x v="2"/>
    <x v="70"/>
    <x v="0"/>
    <x v="14"/>
    <x v="5"/>
    <x v="72"/>
  </r>
  <r>
    <x v="153"/>
    <x v="158"/>
    <x v="211"/>
    <x v="1"/>
    <x v="98"/>
    <x v="186"/>
    <x v="186"/>
    <x v="185"/>
    <x v="185"/>
    <x v="0"/>
    <x v="803"/>
    <x v="818"/>
    <x v="685"/>
    <x v="544"/>
    <x v="54"/>
    <x v="725"/>
    <x v="2"/>
    <x v="2"/>
    <x v="20"/>
    <x v="3"/>
    <x v="2"/>
    <x v="78"/>
    <x v="594"/>
    <x v="0"/>
    <x v="0"/>
    <x v="5"/>
    <x v="2"/>
    <x v="96"/>
    <x v="0"/>
    <x v="0"/>
    <x v="0"/>
    <x v="98"/>
  </r>
  <r>
    <x v="154"/>
    <x v="116"/>
    <x v="150"/>
    <x v="0"/>
    <x v="73"/>
    <x v="133"/>
    <x v="133"/>
    <x v="132"/>
    <x v="132"/>
    <x v="0"/>
    <x v="804"/>
    <x v="819"/>
    <x v="686"/>
    <x v="205"/>
    <x v="26"/>
    <x v="726"/>
    <x v="146"/>
    <x v="1"/>
    <x v="158"/>
    <x v="3"/>
    <x v="3"/>
    <x v="300"/>
    <x v="595"/>
    <x v="0"/>
    <x v="0"/>
    <x v="9"/>
    <x v="10"/>
    <x v="71"/>
    <x v="0"/>
    <x v="14"/>
    <x v="5"/>
    <x v="73"/>
  </r>
  <r>
    <x v="154"/>
    <x v="124"/>
    <x v="164"/>
    <x v="0"/>
    <x v="72"/>
    <x v="147"/>
    <x v="147"/>
    <x v="146"/>
    <x v="146"/>
    <x v="0"/>
    <x v="805"/>
    <x v="820"/>
    <x v="687"/>
    <x v="195"/>
    <x v="27"/>
    <x v="727"/>
    <x v="160"/>
    <x v="1"/>
    <x v="159"/>
    <x v="11"/>
    <x v="23"/>
    <x v="280"/>
    <x v="596"/>
    <x v="0"/>
    <x v="0"/>
    <x v="0"/>
    <x v="13"/>
    <x v="70"/>
    <x v="0"/>
    <x v="14"/>
    <x v="5"/>
    <x v="72"/>
  </r>
  <r>
    <x v="154"/>
    <x v="125"/>
    <x v="170"/>
    <x v="1"/>
    <x v="9"/>
    <x v="152"/>
    <x v="152"/>
    <x v="151"/>
    <x v="151"/>
    <x v="0"/>
    <x v="806"/>
    <x v="337"/>
    <x v="308"/>
    <x v="545"/>
    <x v="53"/>
    <x v="728"/>
    <x v="15"/>
    <x v="2"/>
    <x v="14"/>
    <x v="3"/>
    <x v="3"/>
    <x v="15"/>
    <x v="15"/>
    <x v="0"/>
    <x v="0"/>
    <x v="5"/>
    <x v="2"/>
    <x v="9"/>
    <x v="1"/>
    <x v="3"/>
    <x v="2"/>
    <x v="9"/>
  </r>
  <r>
    <x v="154"/>
    <x v="129"/>
    <x v="171"/>
    <x v="1"/>
    <x v="9"/>
    <x v="153"/>
    <x v="153"/>
    <x v="152"/>
    <x v="152"/>
    <x v="0"/>
    <x v="807"/>
    <x v="821"/>
    <x v="688"/>
    <x v="354"/>
    <x v="88"/>
    <x v="729"/>
    <x v="15"/>
    <x v="2"/>
    <x v="14"/>
    <x v="3"/>
    <x v="3"/>
    <x v="15"/>
    <x v="15"/>
    <x v="0"/>
    <x v="0"/>
    <x v="2"/>
    <x v="2"/>
    <x v="9"/>
    <x v="1"/>
    <x v="3"/>
    <x v="2"/>
    <x v="9"/>
  </r>
  <r>
    <x v="154"/>
    <x v="132"/>
    <x v="175"/>
    <x v="1"/>
    <x v="62"/>
    <x v="157"/>
    <x v="157"/>
    <x v="156"/>
    <x v="156"/>
    <x v="0"/>
    <x v="336"/>
    <x v="822"/>
    <x v="594"/>
    <x v="546"/>
    <x v="44"/>
    <x v="730"/>
    <x v="18"/>
    <x v="2"/>
    <x v="24"/>
    <x v="3"/>
    <x v="3"/>
    <x v="27"/>
    <x v="275"/>
    <x v="0"/>
    <x v="0"/>
    <x v="2"/>
    <x v="5"/>
    <x v="60"/>
    <x v="0"/>
    <x v="16"/>
    <x v="5"/>
    <x v="62"/>
  </r>
  <r>
    <x v="154"/>
    <x v="132"/>
    <x v="176"/>
    <x v="1"/>
    <x v="62"/>
    <x v="158"/>
    <x v="158"/>
    <x v="157"/>
    <x v="157"/>
    <x v="0"/>
    <x v="808"/>
    <x v="823"/>
    <x v="689"/>
    <x v="547"/>
    <x v="62"/>
    <x v="731"/>
    <x v="22"/>
    <x v="2"/>
    <x v="24"/>
    <x v="5"/>
    <x v="3"/>
    <x v="8"/>
    <x v="597"/>
    <x v="14"/>
    <x v="96"/>
    <x v="4"/>
    <x v="5"/>
    <x v="60"/>
    <x v="0"/>
    <x v="16"/>
    <x v="5"/>
    <x v="62"/>
  </r>
  <r>
    <x v="154"/>
    <x v="135"/>
    <x v="186"/>
    <x v="1"/>
    <x v="87"/>
    <x v="164"/>
    <x v="164"/>
    <x v="163"/>
    <x v="163"/>
    <x v="0"/>
    <x v="809"/>
    <x v="824"/>
    <x v="482"/>
    <x v="548"/>
    <x v="73"/>
    <x v="732"/>
    <x v="36"/>
    <x v="2"/>
    <x v="85"/>
    <x v="4"/>
    <x v="1"/>
    <x v="244"/>
    <x v="598"/>
    <x v="2"/>
    <x v="49"/>
    <x v="5"/>
    <x v="6"/>
    <x v="85"/>
    <x v="1"/>
    <x v="18"/>
    <x v="2"/>
    <x v="87"/>
  </r>
  <r>
    <x v="154"/>
    <x v="141"/>
    <x v="192"/>
    <x v="0"/>
    <x v="90"/>
    <x v="169"/>
    <x v="169"/>
    <x v="168"/>
    <x v="168"/>
    <x v="0"/>
    <x v="810"/>
    <x v="825"/>
    <x v="690"/>
    <x v="549"/>
    <x v="3"/>
    <x v="733"/>
    <x v="156"/>
    <x v="7"/>
    <x v="0"/>
    <x v="11"/>
    <x v="30"/>
    <x v="301"/>
    <x v="599"/>
    <x v="0"/>
    <x v="0"/>
    <x v="15"/>
    <x v="38"/>
    <x v="88"/>
    <x v="0"/>
    <x v="0"/>
    <x v="6"/>
    <x v="90"/>
  </r>
  <r>
    <x v="154"/>
    <x v="146"/>
    <x v="197"/>
    <x v="0"/>
    <x v="86"/>
    <x v="174"/>
    <x v="174"/>
    <x v="173"/>
    <x v="17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6"/>
    <x v="86"/>
  </r>
  <r>
    <x v="154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  <x v="0"/>
    <x v="19"/>
    <x v="0"/>
    <x v="93"/>
  </r>
  <r>
    <x v="154"/>
    <x v="149"/>
    <x v="203"/>
    <x v="0"/>
    <x v="96"/>
    <x v="179"/>
    <x v="179"/>
    <x v="178"/>
    <x v="1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4"/>
    <x v="1"/>
    <x v="3"/>
    <x v="2"/>
    <x v="96"/>
  </r>
  <r>
    <x v="154"/>
    <x v="154"/>
    <x v="207"/>
    <x v="1"/>
    <x v="72"/>
    <x v="183"/>
    <x v="183"/>
    <x v="182"/>
    <x v="182"/>
    <x v="0"/>
    <x v="811"/>
    <x v="826"/>
    <x v="691"/>
    <x v="326"/>
    <x v="15"/>
    <x v="734"/>
    <x v="17"/>
    <x v="2"/>
    <x v="8"/>
    <x v="3"/>
    <x v="3"/>
    <x v="275"/>
    <x v="600"/>
    <x v="0"/>
    <x v="0"/>
    <x v="10"/>
    <x v="2"/>
    <x v="70"/>
    <x v="0"/>
    <x v="14"/>
    <x v="5"/>
    <x v="72"/>
  </r>
  <r>
    <x v="154"/>
    <x v="155"/>
    <x v="208"/>
    <x v="0"/>
    <x v="96"/>
    <x v="184"/>
    <x v="184"/>
    <x v="183"/>
    <x v="183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4"/>
    <x v="1"/>
    <x v="3"/>
    <x v="2"/>
    <x v="96"/>
  </r>
  <r>
    <x v="154"/>
    <x v="156"/>
    <x v="209"/>
    <x v="0"/>
    <x v="87"/>
    <x v="185"/>
    <x v="185"/>
    <x v="184"/>
    <x v="18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  <x v="87"/>
  </r>
  <r>
    <x v="154"/>
    <x v="159"/>
    <x v="212"/>
    <x v="0"/>
    <x v="99"/>
    <x v="187"/>
    <x v="187"/>
    <x v="186"/>
    <x v="186"/>
    <x v="0"/>
    <x v="812"/>
    <x v="827"/>
    <x v="692"/>
    <x v="550"/>
    <x v="10"/>
    <x v="735"/>
    <x v="127"/>
    <x v="2"/>
    <x v="147"/>
    <x v="3"/>
    <x v="1"/>
    <x v="302"/>
    <x v="601"/>
    <x v="0"/>
    <x v="0"/>
    <x v="1"/>
    <x v="5"/>
    <x v="97"/>
    <x v="0"/>
    <x v="14"/>
    <x v="5"/>
    <x v="99"/>
  </r>
  <r>
    <x v="154"/>
    <x v="159"/>
    <x v="213"/>
    <x v="0"/>
    <x v="100"/>
    <x v="188"/>
    <x v="188"/>
    <x v="187"/>
    <x v="187"/>
    <x v="0"/>
    <x v="813"/>
    <x v="828"/>
    <x v="693"/>
    <x v="321"/>
    <x v="71"/>
    <x v="736"/>
    <x v="54"/>
    <x v="2"/>
    <x v="22"/>
    <x v="5"/>
    <x v="2"/>
    <x v="24"/>
    <x v="544"/>
    <x v="0"/>
    <x v="0"/>
    <x v="5"/>
    <x v="5"/>
    <x v="98"/>
    <x v="0"/>
    <x v="0"/>
    <x v="6"/>
    <x v="100"/>
  </r>
  <r>
    <x v="154"/>
    <x v="159"/>
    <x v="214"/>
    <x v="0"/>
    <x v="101"/>
    <x v="189"/>
    <x v="189"/>
    <x v="188"/>
    <x v="188"/>
    <x v="0"/>
    <x v="814"/>
    <x v="829"/>
    <x v="694"/>
    <x v="551"/>
    <x v="32"/>
    <x v="737"/>
    <x v="172"/>
    <x v="1"/>
    <x v="4"/>
    <x v="0"/>
    <x v="4"/>
    <x v="303"/>
    <x v="602"/>
    <x v="0"/>
    <x v="0"/>
    <x v="1"/>
    <x v="5"/>
    <x v="99"/>
    <x v="1"/>
    <x v="3"/>
    <x v="2"/>
    <x v="101"/>
  </r>
  <r>
    <x v="154"/>
    <x v="160"/>
    <x v="215"/>
    <x v="1"/>
    <x v="102"/>
    <x v="186"/>
    <x v="186"/>
    <x v="185"/>
    <x v="185"/>
    <x v="0"/>
    <x v="815"/>
    <x v="830"/>
    <x v="695"/>
    <x v="552"/>
    <x v="104"/>
    <x v="738"/>
    <x v="14"/>
    <x v="2"/>
    <x v="8"/>
    <x v="5"/>
    <x v="2"/>
    <x v="275"/>
    <x v="603"/>
    <x v="0"/>
    <x v="0"/>
    <x v="5"/>
    <x v="2"/>
    <x v="96"/>
    <x v="2"/>
    <x v="20"/>
    <x v="7"/>
    <x v="102"/>
  </r>
  <r>
    <x v="155"/>
    <x v="116"/>
    <x v="150"/>
    <x v="0"/>
    <x v="73"/>
    <x v="133"/>
    <x v="133"/>
    <x v="132"/>
    <x v="132"/>
    <x v="0"/>
    <x v="816"/>
    <x v="831"/>
    <x v="696"/>
    <x v="187"/>
    <x v="14"/>
    <x v="664"/>
    <x v="120"/>
    <x v="2"/>
    <x v="16"/>
    <x v="5"/>
    <x v="1"/>
    <x v="304"/>
    <x v="146"/>
    <x v="0"/>
    <x v="0"/>
    <x v="36"/>
    <x v="13"/>
    <x v="71"/>
    <x v="0"/>
    <x v="14"/>
    <x v="5"/>
    <x v="73"/>
  </r>
  <r>
    <x v="155"/>
    <x v="124"/>
    <x v="164"/>
    <x v="0"/>
    <x v="72"/>
    <x v="147"/>
    <x v="147"/>
    <x v="146"/>
    <x v="146"/>
    <x v="0"/>
    <x v="817"/>
    <x v="832"/>
    <x v="697"/>
    <x v="79"/>
    <x v="19"/>
    <x v="739"/>
    <x v="178"/>
    <x v="7"/>
    <x v="160"/>
    <x v="11"/>
    <x v="7"/>
    <x v="305"/>
    <x v="604"/>
    <x v="0"/>
    <x v="0"/>
    <x v="18"/>
    <x v="23"/>
    <x v="70"/>
    <x v="0"/>
    <x v="14"/>
    <x v="5"/>
    <x v="72"/>
  </r>
  <r>
    <x v="155"/>
    <x v="125"/>
    <x v="170"/>
    <x v="1"/>
    <x v="9"/>
    <x v="152"/>
    <x v="152"/>
    <x v="151"/>
    <x v="151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55"/>
    <x v="129"/>
    <x v="171"/>
    <x v="1"/>
    <x v="9"/>
    <x v="153"/>
    <x v="153"/>
    <x v="152"/>
    <x v="152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55"/>
    <x v="132"/>
    <x v="175"/>
    <x v="1"/>
    <x v="62"/>
    <x v="157"/>
    <x v="157"/>
    <x v="156"/>
    <x v="156"/>
    <x v="0"/>
    <x v="818"/>
    <x v="833"/>
    <x v="698"/>
    <x v="553"/>
    <x v="17"/>
    <x v="740"/>
    <x v="18"/>
    <x v="2"/>
    <x v="24"/>
    <x v="3"/>
    <x v="3"/>
    <x v="27"/>
    <x v="605"/>
    <x v="0"/>
    <x v="0"/>
    <x v="5"/>
    <x v="2"/>
    <x v="60"/>
    <x v="0"/>
    <x v="16"/>
    <x v="5"/>
    <x v="62"/>
  </r>
  <r>
    <x v="155"/>
    <x v="132"/>
    <x v="176"/>
    <x v="1"/>
    <x v="62"/>
    <x v="158"/>
    <x v="158"/>
    <x v="157"/>
    <x v="157"/>
    <x v="0"/>
    <x v="819"/>
    <x v="834"/>
    <x v="631"/>
    <x v="554"/>
    <x v="56"/>
    <x v="741"/>
    <x v="22"/>
    <x v="2"/>
    <x v="24"/>
    <x v="3"/>
    <x v="3"/>
    <x v="31"/>
    <x v="606"/>
    <x v="3"/>
    <x v="57"/>
    <x v="1"/>
    <x v="2"/>
    <x v="60"/>
    <x v="0"/>
    <x v="16"/>
    <x v="5"/>
    <x v="62"/>
  </r>
  <r>
    <x v="155"/>
    <x v="135"/>
    <x v="186"/>
    <x v="1"/>
    <x v="87"/>
    <x v="164"/>
    <x v="164"/>
    <x v="163"/>
    <x v="163"/>
    <x v="0"/>
    <x v="820"/>
    <x v="835"/>
    <x v="699"/>
    <x v="555"/>
    <x v="97"/>
    <x v="742"/>
    <x v="54"/>
    <x v="2"/>
    <x v="45"/>
    <x v="12"/>
    <x v="2"/>
    <x v="101"/>
    <x v="607"/>
    <x v="2"/>
    <x v="81"/>
    <x v="2"/>
    <x v="5"/>
    <x v="85"/>
    <x v="1"/>
    <x v="18"/>
    <x v="2"/>
    <x v="87"/>
  </r>
  <r>
    <x v="155"/>
    <x v="141"/>
    <x v="192"/>
    <x v="0"/>
    <x v="90"/>
    <x v="169"/>
    <x v="169"/>
    <x v="168"/>
    <x v="168"/>
    <x v="0"/>
    <x v="821"/>
    <x v="836"/>
    <x v="700"/>
    <x v="556"/>
    <x v="36"/>
    <x v="743"/>
    <x v="225"/>
    <x v="0"/>
    <x v="161"/>
    <x v="3"/>
    <x v="13"/>
    <x v="162"/>
    <x v="279"/>
    <x v="0"/>
    <x v="0"/>
    <x v="21"/>
    <x v="17"/>
    <x v="88"/>
    <x v="0"/>
    <x v="0"/>
    <x v="6"/>
    <x v="90"/>
  </r>
  <r>
    <x v="155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  <x v="0"/>
    <x v="19"/>
    <x v="0"/>
    <x v="93"/>
  </r>
  <r>
    <x v="155"/>
    <x v="154"/>
    <x v="207"/>
    <x v="1"/>
    <x v="72"/>
    <x v="183"/>
    <x v="183"/>
    <x v="182"/>
    <x v="182"/>
    <x v="0"/>
    <x v="822"/>
    <x v="837"/>
    <x v="701"/>
    <x v="326"/>
    <x v="17"/>
    <x v="744"/>
    <x v="9"/>
    <x v="2"/>
    <x v="91"/>
    <x v="5"/>
    <x v="3"/>
    <x v="1"/>
    <x v="608"/>
    <x v="0"/>
    <x v="0"/>
    <x v="9"/>
    <x v="2"/>
    <x v="70"/>
    <x v="0"/>
    <x v="14"/>
    <x v="5"/>
    <x v="72"/>
  </r>
  <r>
    <x v="155"/>
    <x v="159"/>
    <x v="212"/>
    <x v="0"/>
    <x v="99"/>
    <x v="187"/>
    <x v="187"/>
    <x v="186"/>
    <x v="186"/>
    <x v="0"/>
    <x v="250"/>
    <x v="123"/>
    <x v="27"/>
    <x v="557"/>
    <x v="0"/>
    <x v="173"/>
    <x v="15"/>
    <x v="2"/>
    <x v="14"/>
    <x v="3"/>
    <x v="3"/>
    <x v="15"/>
    <x v="15"/>
    <x v="0"/>
    <x v="0"/>
    <x v="5"/>
    <x v="2"/>
    <x v="97"/>
    <x v="0"/>
    <x v="14"/>
    <x v="5"/>
    <x v="99"/>
  </r>
  <r>
    <x v="155"/>
    <x v="159"/>
    <x v="213"/>
    <x v="0"/>
    <x v="100"/>
    <x v="188"/>
    <x v="188"/>
    <x v="187"/>
    <x v="187"/>
    <x v="0"/>
    <x v="823"/>
    <x v="838"/>
    <x v="286"/>
    <x v="412"/>
    <x v="95"/>
    <x v="745"/>
    <x v="15"/>
    <x v="2"/>
    <x v="14"/>
    <x v="3"/>
    <x v="3"/>
    <x v="15"/>
    <x v="15"/>
    <x v="0"/>
    <x v="0"/>
    <x v="5"/>
    <x v="2"/>
    <x v="98"/>
    <x v="0"/>
    <x v="0"/>
    <x v="6"/>
    <x v="100"/>
  </r>
  <r>
    <x v="155"/>
    <x v="159"/>
    <x v="214"/>
    <x v="0"/>
    <x v="101"/>
    <x v="189"/>
    <x v="189"/>
    <x v="188"/>
    <x v="188"/>
    <x v="0"/>
    <x v="824"/>
    <x v="839"/>
    <x v="702"/>
    <x v="558"/>
    <x v="50"/>
    <x v="746"/>
    <x v="104"/>
    <x v="3"/>
    <x v="142"/>
    <x v="17"/>
    <x v="4"/>
    <x v="306"/>
    <x v="609"/>
    <x v="0"/>
    <x v="0"/>
    <x v="12"/>
    <x v="5"/>
    <x v="99"/>
    <x v="1"/>
    <x v="3"/>
    <x v="2"/>
    <x v="101"/>
  </r>
  <r>
    <x v="155"/>
    <x v="161"/>
    <x v="216"/>
    <x v="0"/>
    <x v="103"/>
    <x v="190"/>
    <x v="190"/>
    <x v="189"/>
    <x v="189"/>
    <x v="0"/>
    <x v="825"/>
    <x v="840"/>
    <x v="703"/>
    <x v="447"/>
    <x v="72"/>
    <x v="747"/>
    <x v="28"/>
    <x v="2"/>
    <x v="30"/>
    <x v="4"/>
    <x v="3"/>
    <x v="33"/>
    <x v="248"/>
    <x v="0"/>
    <x v="0"/>
    <x v="5"/>
    <x v="11"/>
    <x v="100"/>
    <x v="2"/>
    <x v="20"/>
    <x v="7"/>
    <x v="103"/>
  </r>
  <r>
    <x v="155"/>
    <x v="162"/>
    <x v="217"/>
    <x v="1"/>
    <x v="87"/>
    <x v="191"/>
    <x v="191"/>
    <x v="190"/>
    <x v="190"/>
    <x v="0"/>
    <x v="30"/>
    <x v="97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  <x v="87"/>
  </r>
  <r>
    <x v="155"/>
    <x v="163"/>
    <x v="218"/>
    <x v="1"/>
    <x v="47"/>
    <x v="191"/>
    <x v="191"/>
    <x v="190"/>
    <x v="190"/>
    <x v="0"/>
    <x v="826"/>
    <x v="841"/>
    <x v="704"/>
    <x v="308"/>
    <x v="109"/>
    <x v="748"/>
    <x v="21"/>
    <x v="2"/>
    <x v="50"/>
    <x v="5"/>
    <x v="3"/>
    <x v="37"/>
    <x v="189"/>
    <x v="0"/>
    <x v="0"/>
    <x v="5"/>
    <x v="2"/>
    <x v="31"/>
    <x v="0"/>
    <x v="14"/>
    <x v="5"/>
    <x v="47"/>
  </r>
  <r>
    <x v="156"/>
    <x v="116"/>
    <x v="150"/>
    <x v="0"/>
    <x v="73"/>
    <x v="133"/>
    <x v="133"/>
    <x v="132"/>
    <x v="132"/>
    <x v="0"/>
    <x v="827"/>
    <x v="842"/>
    <x v="73"/>
    <x v="87"/>
    <x v="68"/>
    <x v="749"/>
    <x v="194"/>
    <x v="2"/>
    <x v="14"/>
    <x v="3"/>
    <x v="3"/>
    <x v="259"/>
    <x v="15"/>
    <x v="0"/>
    <x v="0"/>
    <x v="5"/>
    <x v="2"/>
    <x v="71"/>
    <x v="0"/>
    <x v="14"/>
    <x v="5"/>
    <x v="73"/>
  </r>
  <r>
    <x v="156"/>
    <x v="124"/>
    <x v="164"/>
    <x v="0"/>
    <x v="72"/>
    <x v="147"/>
    <x v="147"/>
    <x v="146"/>
    <x v="146"/>
    <x v="0"/>
    <x v="828"/>
    <x v="843"/>
    <x v="38"/>
    <x v="559"/>
    <x v="43"/>
    <x v="223"/>
    <x v="15"/>
    <x v="2"/>
    <x v="14"/>
    <x v="3"/>
    <x v="3"/>
    <x v="15"/>
    <x v="15"/>
    <x v="0"/>
    <x v="0"/>
    <x v="4"/>
    <x v="2"/>
    <x v="70"/>
    <x v="0"/>
    <x v="14"/>
    <x v="5"/>
    <x v="72"/>
  </r>
  <r>
    <x v="156"/>
    <x v="132"/>
    <x v="176"/>
    <x v="1"/>
    <x v="62"/>
    <x v="158"/>
    <x v="158"/>
    <x v="157"/>
    <x v="157"/>
    <x v="0"/>
    <x v="452"/>
    <x v="844"/>
    <x v="72"/>
    <x v="359"/>
    <x v="110"/>
    <x v="750"/>
    <x v="15"/>
    <x v="2"/>
    <x v="14"/>
    <x v="3"/>
    <x v="3"/>
    <x v="15"/>
    <x v="15"/>
    <x v="0"/>
    <x v="0"/>
    <x v="5"/>
    <x v="2"/>
    <x v="60"/>
    <x v="0"/>
    <x v="16"/>
    <x v="5"/>
    <x v="62"/>
  </r>
  <r>
    <x v="156"/>
    <x v="141"/>
    <x v="192"/>
    <x v="0"/>
    <x v="90"/>
    <x v="169"/>
    <x v="169"/>
    <x v="168"/>
    <x v="168"/>
    <x v="0"/>
    <x v="829"/>
    <x v="845"/>
    <x v="705"/>
    <x v="315"/>
    <x v="3"/>
    <x v="751"/>
    <x v="23"/>
    <x v="2"/>
    <x v="14"/>
    <x v="3"/>
    <x v="3"/>
    <x v="83"/>
    <x v="431"/>
    <x v="0"/>
    <x v="0"/>
    <x v="5"/>
    <x v="2"/>
    <x v="88"/>
    <x v="0"/>
    <x v="0"/>
    <x v="6"/>
    <x v="90"/>
  </r>
  <r>
    <x v="156"/>
    <x v="159"/>
    <x v="214"/>
    <x v="0"/>
    <x v="101"/>
    <x v="189"/>
    <x v="189"/>
    <x v="188"/>
    <x v="188"/>
    <x v="0"/>
    <x v="830"/>
    <x v="226"/>
    <x v="72"/>
    <x v="197"/>
    <x v="7"/>
    <x v="73"/>
    <x v="15"/>
    <x v="2"/>
    <x v="14"/>
    <x v="3"/>
    <x v="3"/>
    <x v="15"/>
    <x v="15"/>
    <x v="0"/>
    <x v="0"/>
    <x v="5"/>
    <x v="2"/>
    <x v="99"/>
    <x v="1"/>
    <x v="3"/>
    <x v="2"/>
    <x v="101"/>
  </r>
  <r>
    <x v="157"/>
    <x v="164"/>
    <x v="219"/>
    <x v="0"/>
    <x v="104"/>
    <x v="192"/>
    <x v="192"/>
    <x v="191"/>
    <x v="191"/>
    <x v="0"/>
    <x v="831"/>
    <x v="846"/>
    <x v="706"/>
    <x v="560"/>
    <x v="42"/>
    <x v="130"/>
    <x v="226"/>
    <x v="24"/>
    <x v="162"/>
    <x v="59"/>
    <x v="39"/>
    <x v="307"/>
    <x v="610"/>
    <x v="2"/>
    <x v="97"/>
    <x v="2"/>
    <x v="5"/>
    <x v="101"/>
    <x v="0"/>
    <x v="6"/>
    <x v="0"/>
    <x v="104"/>
  </r>
  <r>
    <x v="157"/>
    <x v="165"/>
    <x v="220"/>
    <x v="0"/>
    <x v="7"/>
    <x v="193"/>
    <x v="193"/>
    <x v="192"/>
    <x v="192"/>
    <x v="0"/>
    <x v="832"/>
    <x v="847"/>
    <x v="707"/>
    <x v="229"/>
    <x v="111"/>
    <x v="752"/>
    <x v="225"/>
    <x v="10"/>
    <x v="163"/>
    <x v="2"/>
    <x v="40"/>
    <x v="308"/>
    <x v="611"/>
    <x v="1"/>
    <x v="98"/>
    <x v="4"/>
    <x v="11"/>
    <x v="7"/>
    <x v="0"/>
    <x v="6"/>
    <x v="0"/>
    <x v="7"/>
  </r>
  <r>
    <x v="157"/>
    <x v="166"/>
    <x v="221"/>
    <x v="0"/>
    <x v="105"/>
    <x v="194"/>
    <x v="194"/>
    <x v="193"/>
    <x v="193"/>
    <x v="0"/>
    <x v="833"/>
    <x v="848"/>
    <x v="708"/>
    <x v="508"/>
    <x v="110"/>
    <x v="753"/>
    <x v="227"/>
    <x v="0"/>
    <x v="164"/>
    <x v="32"/>
    <x v="30"/>
    <x v="309"/>
    <x v="612"/>
    <x v="13"/>
    <x v="99"/>
    <x v="1"/>
    <x v="12"/>
    <x v="102"/>
    <x v="0"/>
    <x v="16"/>
    <x v="0"/>
    <x v="105"/>
  </r>
  <r>
    <x v="157"/>
    <x v="167"/>
    <x v="222"/>
    <x v="0"/>
    <x v="106"/>
    <x v="195"/>
    <x v="195"/>
    <x v="194"/>
    <x v="194"/>
    <x v="0"/>
    <x v="834"/>
    <x v="849"/>
    <x v="709"/>
    <x v="561"/>
    <x v="80"/>
    <x v="754"/>
    <x v="228"/>
    <x v="7"/>
    <x v="123"/>
    <x v="1"/>
    <x v="12"/>
    <x v="310"/>
    <x v="613"/>
    <x v="14"/>
    <x v="100"/>
    <x v="7"/>
    <x v="6"/>
    <x v="103"/>
    <x v="0"/>
    <x v="6"/>
    <x v="8"/>
    <x v="106"/>
  </r>
  <r>
    <x v="157"/>
    <x v="168"/>
    <x v="223"/>
    <x v="0"/>
    <x v="107"/>
    <x v="196"/>
    <x v="196"/>
    <x v="195"/>
    <x v="195"/>
    <x v="0"/>
    <x v="835"/>
    <x v="850"/>
    <x v="710"/>
    <x v="562"/>
    <x v="14"/>
    <x v="755"/>
    <x v="229"/>
    <x v="0"/>
    <x v="165"/>
    <x v="60"/>
    <x v="6"/>
    <x v="311"/>
    <x v="427"/>
    <x v="18"/>
    <x v="101"/>
    <x v="10"/>
    <x v="10"/>
    <x v="104"/>
    <x v="1"/>
    <x v="21"/>
    <x v="2"/>
    <x v="107"/>
  </r>
  <r>
    <x v="157"/>
    <x v="169"/>
    <x v="224"/>
    <x v="0"/>
    <x v="108"/>
    <x v="197"/>
    <x v="197"/>
    <x v="196"/>
    <x v="196"/>
    <x v="0"/>
    <x v="836"/>
    <x v="851"/>
    <x v="711"/>
    <x v="563"/>
    <x v="28"/>
    <x v="183"/>
    <x v="230"/>
    <x v="25"/>
    <x v="166"/>
    <x v="46"/>
    <x v="41"/>
    <x v="312"/>
    <x v="614"/>
    <x v="16"/>
    <x v="102"/>
    <x v="12"/>
    <x v="13"/>
    <x v="105"/>
    <x v="1"/>
    <x v="3"/>
    <x v="2"/>
    <x v="108"/>
  </r>
  <r>
    <x v="157"/>
    <x v="170"/>
    <x v="225"/>
    <x v="0"/>
    <x v="109"/>
    <x v="198"/>
    <x v="198"/>
    <x v="197"/>
    <x v="197"/>
    <x v="0"/>
    <x v="837"/>
    <x v="852"/>
    <x v="712"/>
    <x v="564"/>
    <x v="5"/>
    <x v="56"/>
    <x v="231"/>
    <x v="12"/>
    <x v="60"/>
    <x v="61"/>
    <x v="42"/>
    <x v="313"/>
    <x v="615"/>
    <x v="3"/>
    <x v="103"/>
    <x v="11"/>
    <x v="3"/>
    <x v="106"/>
    <x v="1"/>
    <x v="3"/>
    <x v="2"/>
    <x v="109"/>
  </r>
  <r>
    <x v="157"/>
    <x v="171"/>
    <x v="226"/>
    <x v="0"/>
    <x v="110"/>
    <x v="199"/>
    <x v="199"/>
    <x v="198"/>
    <x v="198"/>
    <x v="0"/>
    <x v="838"/>
    <x v="853"/>
    <x v="713"/>
    <x v="484"/>
    <x v="60"/>
    <x v="234"/>
    <x v="40"/>
    <x v="3"/>
    <x v="1"/>
    <x v="17"/>
    <x v="0"/>
    <x v="131"/>
    <x v="616"/>
    <x v="27"/>
    <x v="104"/>
    <x v="3"/>
    <x v="1"/>
    <x v="107"/>
    <x v="1"/>
    <x v="3"/>
    <x v="2"/>
    <x v="110"/>
  </r>
  <r>
    <x v="157"/>
    <x v="172"/>
    <x v="227"/>
    <x v="0"/>
    <x v="111"/>
    <x v="200"/>
    <x v="200"/>
    <x v="199"/>
    <x v="199"/>
    <x v="0"/>
    <x v="839"/>
    <x v="854"/>
    <x v="714"/>
    <x v="565"/>
    <x v="5"/>
    <x v="756"/>
    <x v="232"/>
    <x v="26"/>
    <x v="167"/>
    <x v="34"/>
    <x v="43"/>
    <x v="314"/>
    <x v="210"/>
    <x v="5"/>
    <x v="105"/>
    <x v="9"/>
    <x v="8"/>
    <x v="108"/>
    <x v="0"/>
    <x v="6"/>
    <x v="0"/>
    <x v="111"/>
  </r>
  <r>
    <x v="157"/>
    <x v="173"/>
    <x v="228"/>
    <x v="0"/>
    <x v="112"/>
    <x v="201"/>
    <x v="201"/>
    <x v="200"/>
    <x v="200"/>
    <x v="0"/>
    <x v="840"/>
    <x v="855"/>
    <x v="715"/>
    <x v="234"/>
    <x v="12"/>
    <x v="757"/>
    <x v="152"/>
    <x v="2"/>
    <x v="9"/>
    <x v="51"/>
    <x v="4"/>
    <x v="25"/>
    <x v="617"/>
    <x v="4"/>
    <x v="106"/>
    <x v="39"/>
    <x v="26"/>
    <x v="109"/>
    <x v="1"/>
    <x v="21"/>
    <x v="2"/>
    <x v="112"/>
  </r>
  <r>
    <x v="157"/>
    <x v="174"/>
    <x v="229"/>
    <x v="0"/>
    <x v="113"/>
    <x v="202"/>
    <x v="202"/>
    <x v="201"/>
    <x v="201"/>
    <x v="0"/>
    <x v="841"/>
    <x v="856"/>
    <x v="716"/>
    <x v="566"/>
    <x v="66"/>
    <x v="758"/>
    <x v="14"/>
    <x v="2"/>
    <x v="22"/>
    <x v="3"/>
    <x v="3"/>
    <x v="285"/>
    <x v="618"/>
    <x v="15"/>
    <x v="107"/>
    <x v="0"/>
    <x v="9"/>
    <x v="110"/>
    <x v="0"/>
    <x v="6"/>
    <x v="0"/>
    <x v="113"/>
  </r>
  <r>
    <x v="157"/>
    <x v="175"/>
    <x v="230"/>
    <x v="0"/>
    <x v="9"/>
    <x v="203"/>
    <x v="203"/>
    <x v="202"/>
    <x v="202"/>
    <x v="0"/>
    <x v="842"/>
    <x v="857"/>
    <x v="717"/>
    <x v="567"/>
    <x v="9"/>
    <x v="759"/>
    <x v="233"/>
    <x v="5"/>
    <x v="158"/>
    <x v="18"/>
    <x v="0"/>
    <x v="315"/>
    <x v="18"/>
    <x v="8"/>
    <x v="108"/>
    <x v="8"/>
    <x v="23"/>
    <x v="9"/>
    <x v="1"/>
    <x v="3"/>
    <x v="2"/>
    <x v="9"/>
  </r>
  <r>
    <x v="157"/>
    <x v="176"/>
    <x v="231"/>
    <x v="0"/>
    <x v="114"/>
    <x v="204"/>
    <x v="204"/>
    <x v="203"/>
    <x v="203"/>
    <x v="0"/>
    <x v="843"/>
    <x v="858"/>
    <x v="718"/>
    <x v="568"/>
    <x v="112"/>
    <x v="760"/>
    <x v="234"/>
    <x v="11"/>
    <x v="12"/>
    <x v="48"/>
    <x v="24"/>
    <x v="316"/>
    <x v="265"/>
    <x v="38"/>
    <x v="109"/>
    <x v="14"/>
    <x v="30"/>
    <x v="111"/>
    <x v="0"/>
    <x v="6"/>
    <x v="0"/>
    <x v="114"/>
  </r>
  <r>
    <x v="157"/>
    <x v="177"/>
    <x v="232"/>
    <x v="0"/>
    <x v="17"/>
    <x v="205"/>
    <x v="205"/>
    <x v="204"/>
    <x v="204"/>
    <x v="0"/>
    <x v="844"/>
    <x v="859"/>
    <x v="719"/>
    <x v="569"/>
    <x v="32"/>
    <x v="139"/>
    <x v="217"/>
    <x v="1"/>
    <x v="72"/>
    <x v="10"/>
    <x v="23"/>
    <x v="63"/>
    <x v="619"/>
    <x v="20"/>
    <x v="110"/>
    <x v="23"/>
    <x v="28"/>
    <x v="17"/>
    <x v="0"/>
    <x v="0"/>
    <x v="0"/>
    <x v="17"/>
  </r>
  <r>
    <x v="157"/>
    <x v="178"/>
    <x v="233"/>
    <x v="0"/>
    <x v="115"/>
    <x v="206"/>
    <x v="206"/>
    <x v="205"/>
    <x v="205"/>
    <x v="0"/>
    <x v="845"/>
    <x v="860"/>
    <x v="720"/>
    <x v="570"/>
    <x v="51"/>
    <x v="108"/>
    <x v="144"/>
    <x v="0"/>
    <x v="168"/>
    <x v="62"/>
    <x v="0"/>
    <x v="317"/>
    <x v="261"/>
    <x v="39"/>
    <x v="111"/>
    <x v="13"/>
    <x v="25"/>
    <x v="112"/>
    <x v="0"/>
    <x v="6"/>
    <x v="0"/>
    <x v="115"/>
  </r>
  <r>
    <x v="157"/>
    <x v="179"/>
    <x v="234"/>
    <x v="0"/>
    <x v="116"/>
    <x v="207"/>
    <x v="207"/>
    <x v="206"/>
    <x v="206"/>
    <x v="0"/>
    <x v="846"/>
    <x v="861"/>
    <x v="721"/>
    <x v="571"/>
    <x v="9"/>
    <x v="761"/>
    <x v="76"/>
    <x v="2"/>
    <x v="39"/>
    <x v="26"/>
    <x v="0"/>
    <x v="16"/>
    <x v="298"/>
    <x v="23"/>
    <x v="112"/>
    <x v="24"/>
    <x v="31"/>
    <x v="113"/>
    <x v="1"/>
    <x v="3"/>
    <x v="2"/>
    <x v="116"/>
  </r>
  <r>
    <x v="158"/>
    <x v="161"/>
    <x v="235"/>
    <x v="0"/>
    <x v="103"/>
    <x v="208"/>
    <x v="208"/>
    <x v="207"/>
    <x v="207"/>
    <x v="0"/>
    <x v="847"/>
    <x v="862"/>
    <x v="116"/>
    <x v="572"/>
    <x v="10"/>
    <x v="762"/>
    <x v="235"/>
    <x v="2"/>
    <x v="169"/>
    <x v="12"/>
    <x v="2"/>
    <x v="318"/>
    <x v="95"/>
    <x v="0"/>
    <x v="0"/>
    <x v="10"/>
    <x v="26"/>
    <x v="100"/>
    <x v="2"/>
    <x v="20"/>
    <x v="7"/>
    <x v="103"/>
  </r>
  <r>
    <x v="158"/>
    <x v="180"/>
    <x v="236"/>
    <x v="0"/>
    <x v="117"/>
    <x v="209"/>
    <x v="209"/>
    <x v="208"/>
    <x v="208"/>
    <x v="0"/>
    <x v="848"/>
    <x v="863"/>
    <x v="722"/>
    <x v="573"/>
    <x v="37"/>
    <x v="763"/>
    <x v="215"/>
    <x v="1"/>
    <x v="170"/>
    <x v="1"/>
    <x v="4"/>
    <x v="319"/>
    <x v="152"/>
    <x v="0"/>
    <x v="0"/>
    <x v="2"/>
    <x v="3"/>
    <x v="114"/>
    <x v="0"/>
    <x v="14"/>
    <x v="5"/>
    <x v="117"/>
  </r>
  <r>
    <x v="159"/>
    <x v="161"/>
    <x v="235"/>
    <x v="0"/>
    <x v="103"/>
    <x v="208"/>
    <x v="208"/>
    <x v="207"/>
    <x v="207"/>
    <x v="0"/>
    <x v="849"/>
    <x v="864"/>
    <x v="113"/>
    <x v="395"/>
    <x v="35"/>
    <x v="764"/>
    <x v="15"/>
    <x v="2"/>
    <x v="14"/>
    <x v="3"/>
    <x v="3"/>
    <x v="15"/>
    <x v="15"/>
    <x v="0"/>
    <x v="0"/>
    <x v="5"/>
    <x v="2"/>
    <x v="100"/>
    <x v="2"/>
    <x v="20"/>
    <x v="7"/>
    <x v="103"/>
  </r>
  <r>
    <x v="159"/>
    <x v="180"/>
    <x v="236"/>
    <x v="0"/>
    <x v="117"/>
    <x v="209"/>
    <x v="209"/>
    <x v="208"/>
    <x v="208"/>
    <x v="0"/>
    <x v="850"/>
    <x v="865"/>
    <x v="723"/>
    <x v="105"/>
    <x v="9"/>
    <x v="765"/>
    <x v="227"/>
    <x v="21"/>
    <x v="141"/>
    <x v="63"/>
    <x v="29"/>
    <x v="320"/>
    <x v="4"/>
    <x v="0"/>
    <x v="0"/>
    <x v="23"/>
    <x v="1"/>
    <x v="114"/>
    <x v="0"/>
    <x v="14"/>
    <x v="5"/>
    <x v="117"/>
  </r>
  <r>
    <x v="159"/>
    <x v="181"/>
    <x v="237"/>
    <x v="0"/>
    <x v="118"/>
    <x v="210"/>
    <x v="210"/>
    <x v="209"/>
    <x v="209"/>
    <x v="0"/>
    <x v="851"/>
    <x v="866"/>
    <x v="170"/>
    <x v="574"/>
    <x v="9"/>
    <x v="766"/>
    <x v="236"/>
    <x v="6"/>
    <x v="45"/>
    <x v="22"/>
    <x v="2"/>
    <x v="321"/>
    <x v="620"/>
    <x v="0"/>
    <x v="0"/>
    <x v="10"/>
    <x v="2"/>
    <x v="115"/>
    <x v="2"/>
    <x v="20"/>
    <x v="7"/>
    <x v="118"/>
  </r>
  <r>
    <x v="160"/>
    <x v="180"/>
    <x v="236"/>
    <x v="0"/>
    <x v="117"/>
    <x v="209"/>
    <x v="209"/>
    <x v="208"/>
    <x v="208"/>
    <x v="0"/>
    <x v="852"/>
    <x v="442"/>
    <x v="565"/>
    <x v="217"/>
    <x v="0"/>
    <x v="767"/>
    <x v="15"/>
    <x v="2"/>
    <x v="14"/>
    <x v="3"/>
    <x v="3"/>
    <x v="15"/>
    <x v="15"/>
    <x v="0"/>
    <x v="0"/>
    <x v="5"/>
    <x v="2"/>
    <x v="114"/>
    <x v="0"/>
    <x v="14"/>
    <x v="5"/>
    <x v="117"/>
  </r>
  <r>
    <x v="160"/>
    <x v="182"/>
    <x v="238"/>
    <x v="0"/>
    <x v="119"/>
    <x v="211"/>
    <x v="211"/>
    <x v="210"/>
    <x v="210"/>
    <x v="0"/>
    <x v="254"/>
    <x v="867"/>
    <x v="724"/>
    <x v="575"/>
    <x v="1"/>
    <x v="214"/>
    <x v="29"/>
    <x v="1"/>
    <x v="55"/>
    <x v="4"/>
    <x v="2"/>
    <x v="142"/>
    <x v="621"/>
    <x v="0"/>
    <x v="0"/>
    <x v="9"/>
    <x v="31"/>
    <x v="116"/>
    <x v="0"/>
    <x v="0"/>
    <x v="6"/>
    <x v="119"/>
  </r>
  <r>
    <x v="160"/>
    <x v="183"/>
    <x v="239"/>
    <x v="0"/>
    <x v="62"/>
    <x v="212"/>
    <x v="212"/>
    <x v="211"/>
    <x v="211"/>
    <x v="0"/>
    <x v="853"/>
    <x v="868"/>
    <x v="725"/>
    <x v="335"/>
    <x v="41"/>
    <x v="768"/>
    <x v="119"/>
    <x v="2"/>
    <x v="23"/>
    <x v="3"/>
    <x v="4"/>
    <x v="99"/>
    <x v="381"/>
    <x v="17"/>
    <x v="113"/>
    <x v="11"/>
    <x v="6"/>
    <x v="60"/>
    <x v="0"/>
    <x v="16"/>
    <x v="5"/>
    <x v="62"/>
  </r>
  <r>
    <x v="160"/>
    <x v="184"/>
    <x v="240"/>
    <x v="0"/>
    <x v="120"/>
    <x v="213"/>
    <x v="213"/>
    <x v="212"/>
    <x v="212"/>
    <x v="0"/>
    <x v="854"/>
    <x v="869"/>
    <x v="726"/>
    <x v="576"/>
    <x v="1"/>
    <x v="769"/>
    <x v="210"/>
    <x v="10"/>
    <x v="147"/>
    <x v="1"/>
    <x v="1"/>
    <x v="12"/>
    <x v="622"/>
    <x v="0"/>
    <x v="0"/>
    <x v="41"/>
    <x v="46"/>
    <x v="117"/>
    <x v="2"/>
    <x v="20"/>
    <x v="7"/>
    <x v="120"/>
  </r>
  <r>
    <x v="161"/>
    <x v="183"/>
    <x v="239"/>
    <x v="0"/>
    <x v="62"/>
    <x v="212"/>
    <x v="212"/>
    <x v="211"/>
    <x v="211"/>
    <x v="0"/>
    <x v="855"/>
    <x v="870"/>
    <x v="565"/>
    <x v="267"/>
    <x v="0"/>
    <x v="770"/>
    <x v="15"/>
    <x v="2"/>
    <x v="14"/>
    <x v="3"/>
    <x v="3"/>
    <x v="15"/>
    <x v="15"/>
    <x v="0"/>
    <x v="0"/>
    <x v="5"/>
    <x v="2"/>
    <x v="60"/>
    <x v="0"/>
    <x v="16"/>
    <x v="5"/>
    <x v="62"/>
  </r>
  <r>
    <x v="161"/>
    <x v="185"/>
    <x v="241"/>
    <x v="0"/>
    <x v="73"/>
    <x v="214"/>
    <x v="214"/>
    <x v="213"/>
    <x v="213"/>
    <x v="0"/>
    <x v="856"/>
    <x v="871"/>
    <x v="727"/>
    <x v="281"/>
    <x v="3"/>
    <x v="534"/>
    <x v="163"/>
    <x v="1"/>
    <x v="171"/>
    <x v="5"/>
    <x v="0"/>
    <x v="322"/>
    <x v="206"/>
    <x v="0"/>
    <x v="0"/>
    <x v="9"/>
    <x v="13"/>
    <x v="71"/>
    <x v="0"/>
    <x v="14"/>
    <x v="5"/>
    <x v="73"/>
  </r>
  <r>
    <x v="161"/>
    <x v="186"/>
    <x v="242"/>
    <x v="0"/>
    <x v="90"/>
    <x v="215"/>
    <x v="215"/>
    <x v="214"/>
    <x v="214"/>
    <x v="0"/>
    <x v="857"/>
    <x v="872"/>
    <x v="728"/>
    <x v="320"/>
    <x v="4"/>
    <x v="771"/>
    <x v="237"/>
    <x v="2"/>
    <x v="155"/>
    <x v="11"/>
    <x v="2"/>
    <x v="323"/>
    <x v="623"/>
    <x v="0"/>
    <x v="0"/>
    <x v="24"/>
    <x v="13"/>
    <x v="88"/>
    <x v="0"/>
    <x v="0"/>
    <x v="6"/>
    <x v="90"/>
  </r>
  <r>
    <x v="161"/>
    <x v="187"/>
    <x v="243"/>
    <x v="0"/>
    <x v="102"/>
    <x v="216"/>
    <x v="216"/>
    <x v="215"/>
    <x v="215"/>
    <x v="0"/>
    <x v="858"/>
    <x v="873"/>
    <x v="729"/>
    <x v="577"/>
    <x v="2"/>
    <x v="772"/>
    <x v="82"/>
    <x v="7"/>
    <x v="130"/>
    <x v="12"/>
    <x v="5"/>
    <x v="324"/>
    <x v="624"/>
    <x v="0"/>
    <x v="0"/>
    <x v="1"/>
    <x v="10"/>
    <x v="96"/>
    <x v="2"/>
    <x v="20"/>
    <x v="7"/>
    <x v="102"/>
  </r>
  <r>
    <x v="162"/>
    <x v="183"/>
    <x v="239"/>
    <x v="0"/>
    <x v="62"/>
    <x v="212"/>
    <x v="212"/>
    <x v="211"/>
    <x v="211"/>
    <x v="0"/>
    <x v="859"/>
    <x v="874"/>
    <x v="730"/>
    <x v="289"/>
    <x v="36"/>
    <x v="773"/>
    <x v="49"/>
    <x v="1"/>
    <x v="73"/>
    <x v="5"/>
    <x v="2"/>
    <x v="21"/>
    <x v="379"/>
    <x v="40"/>
    <x v="114"/>
    <x v="4"/>
    <x v="10"/>
    <x v="60"/>
    <x v="0"/>
    <x v="16"/>
    <x v="5"/>
    <x v="62"/>
  </r>
  <r>
    <x v="162"/>
    <x v="184"/>
    <x v="240"/>
    <x v="0"/>
    <x v="120"/>
    <x v="213"/>
    <x v="213"/>
    <x v="212"/>
    <x v="212"/>
    <x v="0"/>
    <x v="860"/>
    <x v="875"/>
    <x v="731"/>
    <x v="578"/>
    <x v="1"/>
    <x v="774"/>
    <x v="33"/>
    <x v="0"/>
    <x v="53"/>
    <x v="12"/>
    <x v="3"/>
    <x v="28"/>
    <x v="625"/>
    <x v="0"/>
    <x v="0"/>
    <x v="44"/>
    <x v="4"/>
    <x v="117"/>
    <x v="2"/>
    <x v="20"/>
    <x v="7"/>
    <x v="120"/>
  </r>
  <r>
    <x v="162"/>
    <x v="185"/>
    <x v="241"/>
    <x v="0"/>
    <x v="73"/>
    <x v="214"/>
    <x v="214"/>
    <x v="213"/>
    <x v="213"/>
    <x v="0"/>
    <x v="861"/>
    <x v="876"/>
    <x v="732"/>
    <x v="456"/>
    <x v="10"/>
    <x v="775"/>
    <x v="238"/>
    <x v="1"/>
    <x v="104"/>
    <x v="3"/>
    <x v="8"/>
    <x v="325"/>
    <x v="312"/>
    <x v="0"/>
    <x v="0"/>
    <x v="3"/>
    <x v="6"/>
    <x v="71"/>
    <x v="0"/>
    <x v="14"/>
    <x v="5"/>
    <x v="73"/>
  </r>
  <r>
    <x v="162"/>
    <x v="186"/>
    <x v="242"/>
    <x v="0"/>
    <x v="90"/>
    <x v="215"/>
    <x v="215"/>
    <x v="214"/>
    <x v="214"/>
    <x v="0"/>
    <x v="862"/>
    <x v="877"/>
    <x v="733"/>
    <x v="579"/>
    <x v="42"/>
    <x v="331"/>
    <x v="239"/>
    <x v="7"/>
    <x v="172"/>
    <x v="5"/>
    <x v="0"/>
    <x v="326"/>
    <x v="391"/>
    <x v="0"/>
    <x v="0"/>
    <x v="22"/>
    <x v="37"/>
    <x v="88"/>
    <x v="0"/>
    <x v="0"/>
    <x v="6"/>
    <x v="90"/>
  </r>
  <r>
    <x v="162"/>
    <x v="187"/>
    <x v="243"/>
    <x v="0"/>
    <x v="102"/>
    <x v="216"/>
    <x v="216"/>
    <x v="215"/>
    <x v="215"/>
    <x v="0"/>
    <x v="863"/>
    <x v="878"/>
    <x v="734"/>
    <x v="580"/>
    <x v="9"/>
    <x v="131"/>
    <x v="240"/>
    <x v="10"/>
    <x v="130"/>
    <x v="4"/>
    <x v="13"/>
    <x v="324"/>
    <x v="626"/>
    <x v="0"/>
    <x v="0"/>
    <x v="2"/>
    <x v="8"/>
    <x v="96"/>
    <x v="2"/>
    <x v="20"/>
    <x v="7"/>
    <x v="102"/>
  </r>
  <r>
    <x v="162"/>
    <x v="188"/>
    <x v="244"/>
    <x v="0"/>
    <x v="72"/>
    <x v="217"/>
    <x v="217"/>
    <x v="216"/>
    <x v="216"/>
    <x v="0"/>
    <x v="864"/>
    <x v="879"/>
    <x v="735"/>
    <x v="581"/>
    <x v="0"/>
    <x v="449"/>
    <x v="128"/>
    <x v="2"/>
    <x v="158"/>
    <x v="5"/>
    <x v="1"/>
    <x v="5"/>
    <x v="579"/>
    <x v="0"/>
    <x v="0"/>
    <x v="1"/>
    <x v="10"/>
    <x v="70"/>
    <x v="0"/>
    <x v="14"/>
    <x v="5"/>
    <x v="72"/>
  </r>
  <r>
    <x v="162"/>
    <x v="189"/>
    <x v="245"/>
    <x v="0"/>
    <x v="76"/>
    <x v="218"/>
    <x v="218"/>
    <x v="217"/>
    <x v="217"/>
    <x v="0"/>
    <x v="865"/>
    <x v="880"/>
    <x v="736"/>
    <x v="134"/>
    <x v="81"/>
    <x v="776"/>
    <x v="16"/>
    <x v="2"/>
    <x v="45"/>
    <x v="3"/>
    <x v="2"/>
    <x v="327"/>
    <x v="319"/>
    <x v="0"/>
    <x v="0"/>
    <x v="4"/>
    <x v="2"/>
    <x v="74"/>
    <x v="0"/>
    <x v="14"/>
    <x v="5"/>
    <x v="76"/>
  </r>
  <r>
    <x v="162"/>
    <x v="190"/>
    <x v="246"/>
    <x v="0"/>
    <x v="121"/>
    <x v="219"/>
    <x v="219"/>
    <x v="218"/>
    <x v="218"/>
    <x v="0"/>
    <x v="866"/>
    <x v="881"/>
    <x v="737"/>
    <x v="397"/>
    <x v="58"/>
    <x v="777"/>
    <x v="19"/>
    <x v="3"/>
    <x v="33"/>
    <x v="5"/>
    <x v="13"/>
    <x v="45"/>
    <x v="427"/>
    <x v="0"/>
    <x v="0"/>
    <x v="9"/>
    <x v="25"/>
    <x v="118"/>
    <x v="0"/>
    <x v="0"/>
    <x v="9"/>
    <x v="121"/>
  </r>
  <r>
    <x v="163"/>
    <x v="183"/>
    <x v="239"/>
    <x v="0"/>
    <x v="62"/>
    <x v="212"/>
    <x v="212"/>
    <x v="211"/>
    <x v="211"/>
    <x v="0"/>
    <x v="867"/>
    <x v="882"/>
    <x v="376"/>
    <x v="278"/>
    <x v="21"/>
    <x v="587"/>
    <x v="241"/>
    <x v="2"/>
    <x v="73"/>
    <x v="5"/>
    <x v="2"/>
    <x v="328"/>
    <x v="627"/>
    <x v="5"/>
    <x v="77"/>
    <x v="8"/>
    <x v="12"/>
    <x v="60"/>
    <x v="0"/>
    <x v="16"/>
    <x v="5"/>
    <x v="62"/>
  </r>
  <r>
    <x v="163"/>
    <x v="184"/>
    <x v="240"/>
    <x v="0"/>
    <x v="120"/>
    <x v="213"/>
    <x v="213"/>
    <x v="212"/>
    <x v="212"/>
    <x v="0"/>
    <x v="868"/>
    <x v="883"/>
    <x v="113"/>
    <x v="17"/>
    <x v="41"/>
    <x v="778"/>
    <x v="15"/>
    <x v="2"/>
    <x v="24"/>
    <x v="3"/>
    <x v="3"/>
    <x v="20"/>
    <x v="628"/>
    <x v="0"/>
    <x v="0"/>
    <x v="5"/>
    <x v="2"/>
    <x v="117"/>
    <x v="2"/>
    <x v="20"/>
    <x v="7"/>
    <x v="120"/>
  </r>
  <r>
    <x v="163"/>
    <x v="185"/>
    <x v="241"/>
    <x v="0"/>
    <x v="73"/>
    <x v="214"/>
    <x v="214"/>
    <x v="213"/>
    <x v="213"/>
    <x v="0"/>
    <x v="869"/>
    <x v="884"/>
    <x v="738"/>
    <x v="347"/>
    <x v="8"/>
    <x v="779"/>
    <x v="205"/>
    <x v="2"/>
    <x v="141"/>
    <x v="3"/>
    <x v="1"/>
    <x v="329"/>
    <x v="543"/>
    <x v="0"/>
    <x v="0"/>
    <x v="12"/>
    <x v="6"/>
    <x v="71"/>
    <x v="0"/>
    <x v="14"/>
    <x v="5"/>
    <x v="73"/>
  </r>
  <r>
    <x v="163"/>
    <x v="186"/>
    <x v="242"/>
    <x v="0"/>
    <x v="90"/>
    <x v="215"/>
    <x v="215"/>
    <x v="214"/>
    <x v="214"/>
    <x v="0"/>
    <x v="870"/>
    <x v="885"/>
    <x v="739"/>
    <x v="312"/>
    <x v="42"/>
    <x v="780"/>
    <x v="242"/>
    <x v="0"/>
    <x v="173"/>
    <x v="5"/>
    <x v="27"/>
    <x v="330"/>
    <x v="629"/>
    <x v="0"/>
    <x v="0"/>
    <x v="45"/>
    <x v="21"/>
    <x v="88"/>
    <x v="0"/>
    <x v="0"/>
    <x v="6"/>
    <x v="90"/>
  </r>
  <r>
    <x v="163"/>
    <x v="187"/>
    <x v="243"/>
    <x v="0"/>
    <x v="102"/>
    <x v="216"/>
    <x v="216"/>
    <x v="215"/>
    <x v="215"/>
    <x v="0"/>
    <x v="871"/>
    <x v="886"/>
    <x v="740"/>
    <x v="582"/>
    <x v="9"/>
    <x v="715"/>
    <x v="243"/>
    <x v="4"/>
    <x v="174"/>
    <x v="13"/>
    <x v="41"/>
    <x v="331"/>
    <x v="138"/>
    <x v="0"/>
    <x v="0"/>
    <x v="39"/>
    <x v="9"/>
    <x v="96"/>
    <x v="2"/>
    <x v="20"/>
    <x v="7"/>
    <x v="102"/>
  </r>
  <r>
    <x v="163"/>
    <x v="188"/>
    <x v="244"/>
    <x v="0"/>
    <x v="72"/>
    <x v="217"/>
    <x v="217"/>
    <x v="216"/>
    <x v="216"/>
    <x v="0"/>
    <x v="872"/>
    <x v="887"/>
    <x v="741"/>
    <x v="298"/>
    <x v="51"/>
    <x v="482"/>
    <x v="244"/>
    <x v="1"/>
    <x v="41"/>
    <x v="11"/>
    <x v="6"/>
    <x v="332"/>
    <x v="429"/>
    <x v="0"/>
    <x v="0"/>
    <x v="13"/>
    <x v="3"/>
    <x v="70"/>
    <x v="0"/>
    <x v="14"/>
    <x v="5"/>
    <x v="72"/>
  </r>
  <r>
    <x v="163"/>
    <x v="189"/>
    <x v="245"/>
    <x v="0"/>
    <x v="76"/>
    <x v="218"/>
    <x v="218"/>
    <x v="217"/>
    <x v="217"/>
    <x v="0"/>
    <x v="873"/>
    <x v="888"/>
    <x v="239"/>
    <x v="305"/>
    <x v="3"/>
    <x v="781"/>
    <x v="23"/>
    <x v="2"/>
    <x v="14"/>
    <x v="3"/>
    <x v="3"/>
    <x v="83"/>
    <x v="555"/>
    <x v="0"/>
    <x v="0"/>
    <x v="5"/>
    <x v="2"/>
    <x v="74"/>
    <x v="0"/>
    <x v="14"/>
    <x v="5"/>
    <x v="76"/>
  </r>
  <r>
    <x v="163"/>
    <x v="190"/>
    <x v="246"/>
    <x v="0"/>
    <x v="121"/>
    <x v="219"/>
    <x v="219"/>
    <x v="218"/>
    <x v="218"/>
    <x v="0"/>
    <x v="874"/>
    <x v="889"/>
    <x v="278"/>
    <x v="583"/>
    <x v="51"/>
    <x v="782"/>
    <x v="15"/>
    <x v="2"/>
    <x v="24"/>
    <x v="3"/>
    <x v="3"/>
    <x v="20"/>
    <x v="630"/>
    <x v="0"/>
    <x v="0"/>
    <x v="5"/>
    <x v="2"/>
    <x v="118"/>
    <x v="0"/>
    <x v="0"/>
    <x v="9"/>
    <x v="121"/>
  </r>
  <r>
    <x v="163"/>
    <x v="191"/>
    <x v="247"/>
    <x v="0"/>
    <x v="122"/>
    <x v="220"/>
    <x v="220"/>
    <x v="219"/>
    <x v="219"/>
    <x v="0"/>
    <x v="875"/>
    <x v="890"/>
    <x v="742"/>
    <x v="154"/>
    <x v="36"/>
    <x v="783"/>
    <x v="86"/>
    <x v="0"/>
    <x v="91"/>
    <x v="3"/>
    <x v="2"/>
    <x v="232"/>
    <x v="631"/>
    <x v="0"/>
    <x v="0"/>
    <x v="11"/>
    <x v="5"/>
    <x v="119"/>
    <x v="0"/>
    <x v="22"/>
    <x v="6"/>
    <x v="122"/>
  </r>
  <r>
    <x v="164"/>
    <x v="183"/>
    <x v="239"/>
    <x v="0"/>
    <x v="62"/>
    <x v="212"/>
    <x v="212"/>
    <x v="211"/>
    <x v="211"/>
    <x v="0"/>
    <x v="876"/>
    <x v="891"/>
    <x v="743"/>
    <x v="584"/>
    <x v="43"/>
    <x v="140"/>
    <x v="66"/>
    <x v="1"/>
    <x v="17"/>
    <x v="3"/>
    <x v="4"/>
    <x v="66"/>
    <x v="632"/>
    <x v="3"/>
    <x v="115"/>
    <x v="5"/>
    <x v="13"/>
    <x v="60"/>
    <x v="0"/>
    <x v="16"/>
    <x v="5"/>
    <x v="62"/>
  </r>
  <r>
    <x v="164"/>
    <x v="185"/>
    <x v="241"/>
    <x v="0"/>
    <x v="73"/>
    <x v="214"/>
    <x v="214"/>
    <x v="213"/>
    <x v="213"/>
    <x v="0"/>
    <x v="877"/>
    <x v="892"/>
    <x v="744"/>
    <x v="551"/>
    <x v="48"/>
    <x v="587"/>
    <x v="245"/>
    <x v="2"/>
    <x v="12"/>
    <x v="3"/>
    <x v="3"/>
    <x v="333"/>
    <x v="316"/>
    <x v="0"/>
    <x v="0"/>
    <x v="10"/>
    <x v="5"/>
    <x v="71"/>
    <x v="0"/>
    <x v="14"/>
    <x v="5"/>
    <x v="73"/>
  </r>
  <r>
    <x v="164"/>
    <x v="186"/>
    <x v="242"/>
    <x v="0"/>
    <x v="90"/>
    <x v="215"/>
    <x v="215"/>
    <x v="214"/>
    <x v="214"/>
    <x v="0"/>
    <x v="878"/>
    <x v="893"/>
    <x v="400"/>
    <x v="585"/>
    <x v="7"/>
    <x v="779"/>
    <x v="246"/>
    <x v="1"/>
    <x v="81"/>
    <x v="3"/>
    <x v="4"/>
    <x v="334"/>
    <x v="312"/>
    <x v="0"/>
    <x v="0"/>
    <x v="18"/>
    <x v="13"/>
    <x v="88"/>
    <x v="0"/>
    <x v="0"/>
    <x v="6"/>
    <x v="90"/>
  </r>
  <r>
    <x v="164"/>
    <x v="187"/>
    <x v="243"/>
    <x v="0"/>
    <x v="102"/>
    <x v="216"/>
    <x v="216"/>
    <x v="215"/>
    <x v="215"/>
    <x v="0"/>
    <x v="879"/>
    <x v="894"/>
    <x v="745"/>
    <x v="586"/>
    <x v="9"/>
    <x v="784"/>
    <x v="182"/>
    <x v="7"/>
    <x v="131"/>
    <x v="4"/>
    <x v="7"/>
    <x v="332"/>
    <x v="265"/>
    <x v="0"/>
    <x v="0"/>
    <x v="13"/>
    <x v="10"/>
    <x v="96"/>
    <x v="2"/>
    <x v="20"/>
    <x v="7"/>
    <x v="102"/>
  </r>
  <r>
    <x v="164"/>
    <x v="188"/>
    <x v="244"/>
    <x v="0"/>
    <x v="72"/>
    <x v="217"/>
    <x v="217"/>
    <x v="216"/>
    <x v="216"/>
    <x v="0"/>
    <x v="880"/>
    <x v="895"/>
    <x v="746"/>
    <x v="125"/>
    <x v="42"/>
    <x v="785"/>
    <x v="16"/>
    <x v="2"/>
    <x v="92"/>
    <x v="5"/>
    <x v="3"/>
    <x v="109"/>
    <x v="473"/>
    <x v="0"/>
    <x v="0"/>
    <x v="12"/>
    <x v="2"/>
    <x v="70"/>
    <x v="0"/>
    <x v="14"/>
    <x v="5"/>
    <x v="72"/>
  </r>
  <r>
    <x v="164"/>
    <x v="191"/>
    <x v="247"/>
    <x v="0"/>
    <x v="122"/>
    <x v="220"/>
    <x v="220"/>
    <x v="219"/>
    <x v="219"/>
    <x v="0"/>
    <x v="881"/>
    <x v="896"/>
    <x v="747"/>
    <x v="226"/>
    <x v="58"/>
    <x v="786"/>
    <x v="30"/>
    <x v="2"/>
    <x v="91"/>
    <x v="5"/>
    <x v="2"/>
    <x v="14"/>
    <x v="401"/>
    <x v="0"/>
    <x v="0"/>
    <x v="4"/>
    <x v="11"/>
    <x v="119"/>
    <x v="0"/>
    <x v="22"/>
    <x v="6"/>
    <x v="122"/>
  </r>
  <r>
    <x v="164"/>
    <x v="183"/>
    <x v="248"/>
    <x v="1"/>
    <x v="62"/>
    <x v="221"/>
    <x v="221"/>
    <x v="220"/>
    <x v="220"/>
    <x v="0"/>
    <x v="882"/>
    <x v="897"/>
    <x v="748"/>
    <x v="76"/>
    <x v="40"/>
    <x v="787"/>
    <x v="8"/>
    <x v="2"/>
    <x v="50"/>
    <x v="3"/>
    <x v="3"/>
    <x v="83"/>
    <x v="633"/>
    <x v="13"/>
    <x v="116"/>
    <x v="2"/>
    <x v="5"/>
    <x v="60"/>
    <x v="0"/>
    <x v="16"/>
    <x v="5"/>
    <x v="62"/>
  </r>
  <r>
    <x v="164"/>
    <x v="192"/>
    <x v="249"/>
    <x v="1"/>
    <x v="62"/>
    <x v="222"/>
    <x v="222"/>
    <x v="221"/>
    <x v="221"/>
    <x v="0"/>
    <x v="883"/>
    <x v="467"/>
    <x v="113"/>
    <x v="587"/>
    <x v="74"/>
    <x v="216"/>
    <x v="15"/>
    <x v="2"/>
    <x v="14"/>
    <x v="3"/>
    <x v="3"/>
    <x v="15"/>
    <x v="15"/>
    <x v="0"/>
    <x v="0"/>
    <x v="5"/>
    <x v="2"/>
    <x v="60"/>
    <x v="0"/>
    <x v="16"/>
    <x v="5"/>
    <x v="62"/>
  </r>
  <r>
    <x v="164"/>
    <x v="186"/>
    <x v="250"/>
    <x v="1"/>
    <x v="90"/>
    <x v="222"/>
    <x v="222"/>
    <x v="221"/>
    <x v="221"/>
    <x v="0"/>
    <x v="884"/>
    <x v="898"/>
    <x v="749"/>
    <x v="585"/>
    <x v="108"/>
    <x v="788"/>
    <x v="17"/>
    <x v="0"/>
    <x v="22"/>
    <x v="3"/>
    <x v="3"/>
    <x v="165"/>
    <x v="634"/>
    <x v="0"/>
    <x v="0"/>
    <x v="7"/>
    <x v="2"/>
    <x v="88"/>
    <x v="0"/>
    <x v="0"/>
    <x v="6"/>
    <x v="90"/>
  </r>
  <r>
    <x v="164"/>
    <x v="193"/>
    <x v="251"/>
    <x v="0"/>
    <x v="123"/>
    <x v="223"/>
    <x v="223"/>
    <x v="222"/>
    <x v="222"/>
    <x v="0"/>
    <x v="885"/>
    <x v="899"/>
    <x v="750"/>
    <x v="588"/>
    <x v="2"/>
    <x v="789"/>
    <x v="86"/>
    <x v="10"/>
    <x v="8"/>
    <x v="11"/>
    <x v="1"/>
    <x v="232"/>
    <x v="548"/>
    <x v="0"/>
    <x v="0"/>
    <x v="11"/>
    <x v="6"/>
    <x v="120"/>
    <x v="2"/>
    <x v="20"/>
    <x v="7"/>
    <x v="123"/>
  </r>
  <r>
    <x v="165"/>
    <x v="183"/>
    <x v="239"/>
    <x v="0"/>
    <x v="62"/>
    <x v="212"/>
    <x v="212"/>
    <x v="211"/>
    <x v="211"/>
    <x v="0"/>
    <x v="886"/>
    <x v="900"/>
    <x v="751"/>
    <x v="589"/>
    <x v="15"/>
    <x v="790"/>
    <x v="36"/>
    <x v="0"/>
    <x v="49"/>
    <x v="3"/>
    <x v="4"/>
    <x v="1"/>
    <x v="545"/>
    <x v="14"/>
    <x v="113"/>
    <x v="7"/>
    <x v="2"/>
    <x v="60"/>
    <x v="0"/>
    <x v="16"/>
    <x v="5"/>
    <x v="62"/>
  </r>
  <r>
    <x v="165"/>
    <x v="185"/>
    <x v="241"/>
    <x v="0"/>
    <x v="73"/>
    <x v="214"/>
    <x v="214"/>
    <x v="213"/>
    <x v="213"/>
    <x v="0"/>
    <x v="887"/>
    <x v="901"/>
    <x v="752"/>
    <x v="590"/>
    <x v="52"/>
    <x v="791"/>
    <x v="202"/>
    <x v="3"/>
    <x v="122"/>
    <x v="11"/>
    <x v="0"/>
    <x v="335"/>
    <x v="432"/>
    <x v="0"/>
    <x v="0"/>
    <x v="24"/>
    <x v="13"/>
    <x v="71"/>
    <x v="0"/>
    <x v="14"/>
    <x v="5"/>
    <x v="73"/>
  </r>
  <r>
    <x v="165"/>
    <x v="186"/>
    <x v="242"/>
    <x v="0"/>
    <x v="90"/>
    <x v="215"/>
    <x v="215"/>
    <x v="214"/>
    <x v="214"/>
    <x v="0"/>
    <x v="888"/>
    <x v="902"/>
    <x v="753"/>
    <x v="591"/>
    <x v="7"/>
    <x v="281"/>
    <x v="247"/>
    <x v="3"/>
    <x v="126"/>
    <x v="11"/>
    <x v="0"/>
    <x v="111"/>
    <x v="249"/>
    <x v="0"/>
    <x v="0"/>
    <x v="8"/>
    <x v="28"/>
    <x v="88"/>
    <x v="0"/>
    <x v="0"/>
    <x v="6"/>
    <x v="90"/>
  </r>
  <r>
    <x v="165"/>
    <x v="187"/>
    <x v="243"/>
    <x v="0"/>
    <x v="102"/>
    <x v="216"/>
    <x v="216"/>
    <x v="215"/>
    <x v="215"/>
    <x v="0"/>
    <x v="889"/>
    <x v="903"/>
    <x v="754"/>
    <x v="271"/>
    <x v="9"/>
    <x v="792"/>
    <x v="248"/>
    <x v="7"/>
    <x v="175"/>
    <x v="0"/>
    <x v="6"/>
    <x v="233"/>
    <x v="317"/>
    <x v="0"/>
    <x v="0"/>
    <x v="4"/>
    <x v="5"/>
    <x v="96"/>
    <x v="2"/>
    <x v="20"/>
    <x v="7"/>
    <x v="102"/>
  </r>
  <r>
    <x v="165"/>
    <x v="188"/>
    <x v="244"/>
    <x v="0"/>
    <x v="72"/>
    <x v="217"/>
    <x v="217"/>
    <x v="216"/>
    <x v="216"/>
    <x v="0"/>
    <x v="890"/>
    <x v="904"/>
    <x v="248"/>
    <x v="113"/>
    <x v="4"/>
    <x v="793"/>
    <x v="15"/>
    <x v="2"/>
    <x v="24"/>
    <x v="3"/>
    <x v="3"/>
    <x v="20"/>
    <x v="635"/>
    <x v="0"/>
    <x v="0"/>
    <x v="5"/>
    <x v="2"/>
    <x v="70"/>
    <x v="0"/>
    <x v="14"/>
    <x v="5"/>
    <x v="72"/>
  </r>
  <r>
    <x v="165"/>
    <x v="191"/>
    <x v="247"/>
    <x v="0"/>
    <x v="122"/>
    <x v="220"/>
    <x v="220"/>
    <x v="219"/>
    <x v="219"/>
    <x v="0"/>
    <x v="30"/>
    <x v="90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22"/>
    <x v="6"/>
    <x v="122"/>
  </r>
  <r>
    <x v="165"/>
    <x v="183"/>
    <x v="248"/>
    <x v="1"/>
    <x v="62"/>
    <x v="221"/>
    <x v="221"/>
    <x v="223"/>
    <x v="220"/>
    <x v="0"/>
    <x v="891"/>
    <x v="906"/>
    <x v="755"/>
    <x v="592"/>
    <x v="33"/>
    <x v="794"/>
    <x v="8"/>
    <x v="2"/>
    <x v="14"/>
    <x v="3"/>
    <x v="3"/>
    <x v="27"/>
    <x v="636"/>
    <x v="0"/>
    <x v="0"/>
    <x v="1"/>
    <x v="2"/>
    <x v="60"/>
    <x v="0"/>
    <x v="16"/>
    <x v="5"/>
    <x v="62"/>
  </r>
  <r>
    <x v="165"/>
    <x v="186"/>
    <x v="250"/>
    <x v="1"/>
    <x v="90"/>
    <x v="222"/>
    <x v="222"/>
    <x v="224"/>
    <x v="221"/>
    <x v="0"/>
    <x v="892"/>
    <x v="907"/>
    <x v="756"/>
    <x v="187"/>
    <x v="98"/>
    <x v="795"/>
    <x v="23"/>
    <x v="2"/>
    <x v="50"/>
    <x v="3"/>
    <x v="3"/>
    <x v="93"/>
    <x v="637"/>
    <x v="0"/>
    <x v="0"/>
    <x v="2"/>
    <x v="11"/>
    <x v="88"/>
    <x v="0"/>
    <x v="0"/>
    <x v="6"/>
    <x v="90"/>
  </r>
  <r>
    <x v="165"/>
    <x v="193"/>
    <x v="251"/>
    <x v="0"/>
    <x v="123"/>
    <x v="223"/>
    <x v="223"/>
    <x v="222"/>
    <x v="222"/>
    <x v="0"/>
    <x v="893"/>
    <x v="908"/>
    <x v="113"/>
    <x v="335"/>
    <x v="13"/>
    <x v="796"/>
    <x v="15"/>
    <x v="2"/>
    <x v="14"/>
    <x v="3"/>
    <x v="3"/>
    <x v="15"/>
    <x v="15"/>
    <x v="0"/>
    <x v="0"/>
    <x v="5"/>
    <x v="2"/>
    <x v="120"/>
    <x v="2"/>
    <x v="20"/>
    <x v="7"/>
    <x v="123"/>
  </r>
  <r>
    <x v="165"/>
    <x v="194"/>
    <x v="252"/>
    <x v="0"/>
    <x v="124"/>
    <x v="224"/>
    <x v="224"/>
    <x v="225"/>
    <x v="223"/>
    <x v="0"/>
    <x v="894"/>
    <x v="909"/>
    <x v="757"/>
    <x v="521"/>
    <x v="14"/>
    <x v="797"/>
    <x v="185"/>
    <x v="1"/>
    <x v="49"/>
    <x v="3"/>
    <x v="2"/>
    <x v="1"/>
    <x v="157"/>
    <x v="0"/>
    <x v="0"/>
    <x v="2"/>
    <x v="2"/>
    <x v="121"/>
    <x v="0"/>
    <x v="0"/>
    <x v="6"/>
    <x v="124"/>
  </r>
  <r>
    <x v="16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5"/>
    <x v="47"/>
  </r>
  <r>
    <x v="166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5"/>
    <x v="63"/>
  </r>
  <r>
    <x v="166"/>
    <x v="182"/>
    <x v="238"/>
    <x v="0"/>
    <x v="119"/>
    <x v="211"/>
    <x v="211"/>
    <x v="210"/>
    <x v="2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6"/>
    <x v="0"/>
    <x v="0"/>
    <x v="6"/>
    <x v="119"/>
  </r>
  <r>
    <x v="166"/>
    <x v="183"/>
    <x v="239"/>
    <x v="0"/>
    <x v="62"/>
    <x v="212"/>
    <x v="212"/>
    <x v="211"/>
    <x v="211"/>
    <x v="0"/>
    <x v="895"/>
    <x v="779"/>
    <x v="27"/>
    <x v="150"/>
    <x v="48"/>
    <x v="425"/>
    <x v="15"/>
    <x v="2"/>
    <x v="14"/>
    <x v="3"/>
    <x v="3"/>
    <x v="15"/>
    <x v="15"/>
    <x v="0"/>
    <x v="0"/>
    <x v="5"/>
    <x v="2"/>
    <x v="60"/>
    <x v="0"/>
    <x v="16"/>
    <x v="5"/>
    <x v="62"/>
  </r>
  <r>
    <x v="166"/>
    <x v="185"/>
    <x v="241"/>
    <x v="0"/>
    <x v="73"/>
    <x v="214"/>
    <x v="214"/>
    <x v="213"/>
    <x v="213"/>
    <x v="0"/>
    <x v="896"/>
    <x v="910"/>
    <x v="758"/>
    <x v="272"/>
    <x v="74"/>
    <x v="798"/>
    <x v="58"/>
    <x v="2"/>
    <x v="71"/>
    <x v="3"/>
    <x v="1"/>
    <x v="214"/>
    <x v="292"/>
    <x v="0"/>
    <x v="0"/>
    <x v="0"/>
    <x v="6"/>
    <x v="71"/>
    <x v="0"/>
    <x v="14"/>
    <x v="5"/>
    <x v="73"/>
  </r>
  <r>
    <x v="166"/>
    <x v="186"/>
    <x v="242"/>
    <x v="0"/>
    <x v="90"/>
    <x v="215"/>
    <x v="215"/>
    <x v="214"/>
    <x v="214"/>
    <x v="0"/>
    <x v="897"/>
    <x v="911"/>
    <x v="759"/>
    <x v="593"/>
    <x v="7"/>
    <x v="799"/>
    <x v="249"/>
    <x v="1"/>
    <x v="176"/>
    <x v="3"/>
    <x v="4"/>
    <x v="336"/>
    <x v="397"/>
    <x v="0"/>
    <x v="0"/>
    <x v="28"/>
    <x v="23"/>
    <x v="88"/>
    <x v="0"/>
    <x v="0"/>
    <x v="6"/>
    <x v="90"/>
  </r>
  <r>
    <x v="166"/>
    <x v="187"/>
    <x v="243"/>
    <x v="0"/>
    <x v="102"/>
    <x v="216"/>
    <x v="216"/>
    <x v="215"/>
    <x v="215"/>
    <x v="0"/>
    <x v="898"/>
    <x v="912"/>
    <x v="577"/>
    <x v="594"/>
    <x v="5"/>
    <x v="800"/>
    <x v="107"/>
    <x v="0"/>
    <x v="12"/>
    <x v="5"/>
    <x v="8"/>
    <x v="142"/>
    <x v="95"/>
    <x v="0"/>
    <x v="0"/>
    <x v="2"/>
    <x v="5"/>
    <x v="96"/>
    <x v="2"/>
    <x v="20"/>
    <x v="7"/>
    <x v="102"/>
  </r>
  <r>
    <x v="166"/>
    <x v="190"/>
    <x v="246"/>
    <x v="0"/>
    <x v="121"/>
    <x v="219"/>
    <x v="219"/>
    <x v="218"/>
    <x v="2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8"/>
    <x v="0"/>
    <x v="0"/>
    <x v="9"/>
    <x v="121"/>
  </r>
  <r>
    <x v="166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22"/>
    <x v="6"/>
    <x v="122"/>
  </r>
  <r>
    <x v="166"/>
    <x v="183"/>
    <x v="248"/>
    <x v="1"/>
    <x v="62"/>
    <x v="221"/>
    <x v="221"/>
    <x v="223"/>
    <x v="220"/>
    <x v="0"/>
    <x v="899"/>
    <x v="913"/>
    <x v="760"/>
    <x v="595"/>
    <x v="44"/>
    <x v="801"/>
    <x v="23"/>
    <x v="2"/>
    <x v="24"/>
    <x v="3"/>
    <x v="2"/>
    <x v="93"/>
    <x v="638"/>
    <x v="13"/>
    <x v="115"/>
    <x v="2"/>
    <x v="5"/>
    <x v="60"/>
    <x v="0"/>
    <x v="16"/>
    <x v="5"/>
    <x v="62"/>
  </r>
  <r>
    <x v="166"/>
    <x v="193"/>
    <x v="251"/>
    <x v="0"/>
    <x v="123"/>
    <x v="223"/>
    <x v="223"/>
    <x v="222"/>
    <x v="2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20"/>
    <x v="2"/>
    <x v="20"/>
    <x v="7"/>
    <x v="123"/>
  </r>
  <r>
    <x v="166"/>
    <x v="194"/>
    <x v="252"/>
    <x v="0"/>
    <x v="124"/>
    <x v="224"/>
    <x v="224"/>
    <x v="225"/>
    <x v="223"/>
    <x v="0"/>
    <x v="900"/>
    <x v="914"/>
    <x v="27"/>
    <x v="596"/>
    <x v="44"/>
    <x v="802"/>
    <x v="15"/>
    <x v="2"/>
    <x v="24"/>
    <x v="3"/>
    <x v="3"/>
    <x v="20"/>
    <x v="639"/>
    <x v="0"/>
    <x v="0"/>
    <x v="2"/>
    <x v="2"/>
    <x v="121"/>
    <x v="0"/>
    <x v="0"/>
    <x v="6"/>
    <x v="124"/>
  </r>
  <r>
    <x v="166"/>
    <x v="163"/>
    <x v="253"/>
    <x v="0"/>
    <x v="47"/>
    <x v="225"/>
    <x v="225"/>
    <x v="226"/>
    <x v="224"/>
    <x v="0"/>
    <x v="901"/>
    <x v="915"/>
    <x v="761"/>
    <x v="597"/>
    <x v="36"/>
    <x v="803"/>
    <x v="5"/>
    <x v="2"/>
    <x v="159"/>
    <x v="4"/>
    <x v="23"/>
    <x v="337"/>
    <x v="302"/>
    <x v="0"/>
    <x v="0"/>
    <x v="2"/>
    <x v="13"/>
    <x v="31"/>
    <x v="0"/>
    <x v="14"/>
    <x v="5"/>
    <x v="47"/>
  </r>
  <r>
    <x v="167"/>
    <x v="180"/>
    <x v="236"/>
    <x v="0"/>
    <x v="117"/>
    <x v="209"/>
    <x v="209"/>
    <x v="208"/>
    <x v="20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4"/>
    <x v="0"/>
    <x v="14"/>
    <x v="5"/>
    <x v="117"/>
  </r>
  <r>
    <x v="167"/>
    <x v="183"/>
    <x v="239"/>
    <x v="0"/>
    <x v="62"/>
    <x v="212"/>
    <x v="212"/>
    <x v="211"/>
    <x v="2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5"/>
    <x v="62"/>
  </r>
  <r>
    <x v="167"/>
    <x v="185"/>
    <x v="241"/>
    <x v="0"/>
    <x v="73"/>
    <x v="214"/>
    <x v="214"/>
    <x v="213"/>
    <x v="213"/>
    <x v="0"/>
    <x v="902"/>
    <x v="916"/>
    <x v="762"/>
    <x v="295"/>
    <x v="25"/>
    <x v="804"/>
    <x v="250"/>
    <x v="1"/>
    <x v="168"/>
    <x v="5"/>
    <x v="8"/>
    <x v="338"/>
    <x v="640"/>
    <x v="0"/>
    <x v="0"/>
    <x v="8"/>
    <x v="6"/>
    <x v="71"/>
    <x v="0"/>
    <x v="14"/>
    <x v="5"/>
    <x v="73"/>
  </r>
  <r>
    <x v="167"/>
    <x v="186"/>
    <x v="242"/>
    <x v="0"/>
    <x v="90"/>
    <x v="215"/>
    <x v="215"/>
    <x v="214"/>
    <x v="214"/>
    <x v="0"/>
    <x v="903"/>
    <x v="917"/>
    <x v="763"/>
    <x v="62"/>
    <x v="51"/>
    <x v="805"/>
    <x v="193"/>
    <x v="0"/>
    <x v="142"/>
    <x v="11"/>
    <x v="2"/>
    <x v="339"/>
    <x v="421"/>
    <x v="0"/>
    <x v="0"/>
    <x v="21"/>
    <x v="37"/>
    <x v="88"/>
    <x v="0"/>
    <x v="0"/>
    <x v="6"/>
    <x v="90"/>
  </r>
  <r>
    <x v="167"/>
    <x v="187"/>
    <x v="243"/>
    <x v="0"/>
    <x v="102"/>
    <x v="216"/>
    <x v="216"/>
    <x v="215"/>
    <x v="215"/>
    <x v="0"/>
    <x v="904"/>
    <x v="918"/>
    <x v="764"/>
    <x v="598"/>
    <x v="5"/>
    <x v="162"/>
    <x v="95"/>
    <x v="0"/>
    <x v="25"/>
    <x v="3"/>
    <x v="7"/>
    <x v="116"/>
    <x v="155"/>
    <x v="0"/>
    <x v="0"/>
    <x v="2"/>
    <x v="5"/>
    <x v="96"/>
    <x v="2"/>
    <x v="20"/>
    <x v="7"/>
    <x v="102"/>
  </r>
  <r>
    <x v="167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22"/>
    <x v="6"/>
    <x v="122"/>
  </r>
  <r>
    <x v="167"/>
    <x v="183"/>
    <x v="248"/>
    <x v="1"/>
    <x v="62"/>
    <x v="221"/>
    <x v="221"/>
    <x v="223"/>
    <x v="220"/>
    <x v="0"/>
    <x v="905"/>
    <x v="919"/>
    <x v="765"/>
    <x v="42"/>
    <x v="44"/>
    <x v="806"/>
    <x v="26"/>
    <x v="2"/>
    <x v="19"/>
    <x v="3"/>
    <x v="2"/>
    <x v="8"/>
    <x v="641"/>
    <x v="20"/>
    <x v="117"/>
    <x v="3"/>
    <x v="3"/>
    <x v="60"/>
    <x v="0"/>
    <x v="16"/>
    <x v="5"/>
    <x v="62"/>
  </r>
  <r>
    <x v="167"/>
    <x v="163"/>
    <x v="253"/>
    <x v="0"/>
    <x v="47"/>
    <x v="225"/>
    <x v="225"/>
    <x v="226"/>
    <x v="224"/>
    <x v="0"/>
    <x v="906"/>
    <x v="883"/>
    <x v="113"/>
    <x v="17"/>
    <x v="51"/>
    <x v="807"/>
    <x v="15"/>
    <x v="2"/>
    <x v="14"/>
    <x v="3"/>
    <x v="3"/>
    <x v="15"/>
    <x v="15"/>
    <x v="0"/>
    <x v="0"/>
    <x v="5"/>
    <x v="2"/>
    <x v="31"/>
    <x v="0"/>
    <x v="14"/>
    <x v="5"/>
    <x v="47"/>
  </r>
  <r>
    <x v="168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68"/>
    <x v="185"/>
    <x v="241"/>
    <x v="0"/>
    <x v="73"/>
    <x v="214"/>
    <x v="214"/>
    <x v="213"/>
    <x v="213"/>
    <x v="0"/>
    <x v="907"/>
    <x v="920"/>
    <x v="766"/>
    <x v="599"/>
    <x v="23"/>
    <x v="808"/>
    <x v="157"/>
    <x v="1"/>
    <x v="176"/>
    <x v="3"/>
    <x v="23"/>
    <x v="340"/>
    <x v="642"/>
    <x v="0"/>
    <x v="0"/>
    <x v="24"/>
    <x v="6"/>
    <x v="71"/>
    <x v="0"/>
    <x v="14"/>
    <x v="5"/>
    <x v="73"/>
  </r>
  <r>
    <x v="168"/>
    <x v="186"/>
    <x v="242"/>
    <x v="0"/>
    <x v="90"/>
    <x v="215"/>
    <x v="215"/>
    <x v="214"/>
    <x v="214"/>
    <x v="0"/>
    <x v="908"/>
    <x v="921"/>
    <x v="767"/>
    <x v="600"/>
    <x v="51"/>
    <x v="809"/>
    <x v="251"/>
    <x v="7"/>
    <x v="61"/>
    <x v="5"/>
    <x v="4"/>
    <x v="334"/>
    <x v="643"/>
    <x v="0"/>
    <x v="0"/>
    <x v="13"/>
    <x v="0"/>
    <x v="88"/>
    <x v="0"/>
    <x v="0"/>
    <x v="6"/>
    <x v="90"/>
  </r>
  <r>
    <x v="168"/>
    <x v="187"/>
    <x v="243"/>
    <x v="0"/>
    <x v="102"/>
    <x v="216"/>
    <x v="216"/>
    <x v="215"/>
    <x v="215"/>
    <x v="0"/>
    <x v="909"/>
    <x v="922"/>
    <x v="768"/>
    <x v="601"/>
    <x v="5"/>
    <x v="810"/>
    <x v="118"/>
    <x v="0"/>
    <x v="15"/>
    <x v="11"/>
    <x v="4"/>
    <x v="39"/>
    <x v="240"/>
    <x v="0"/>
    <x v="0"/>
    <x v="4"/>
    <x v="11"/>
    <x v="96"/>
    <x v="2"/>
    <x v="20"/>
    <x v="7"/>
    <x v="102"/>
  </r>
  <r>
    <x v="168"/>
    <x v="188"/>
    <x v="244"/>
    <x v="0"/>
    <x v="72"/>
    <x v="217"/>
    <x v="217"/>
    <x v="216"/>
    <x v="216"/>
    <x v="0"/>
    <x v="910"/>
    <x v="923"/>
    <x v="769"/>
    <x v="40"/>
    <x v="41"/>
    <x v="811"/>
    <x v="99"/>
    <x v="1"/>
    <x v="35"/>
    <x v="11"/>
    <x v="0"/>
    <x v="143"/>
    <x v="644"/>
    <x v="0"/>
    <x v="0"/>
    <x v="12"/>
    <x v="5"/>
    <x v="70"/>
    <x v="0"/>
    <x v="14"/>
    <x v="5"/>
    <x v="72"/>
  </r>
  <r>
    <x v="168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22"/>
    <x v="6"/>
    <x v="122"/>
  </r>
  <r>
    <x v="168"/>
    <x v="183"/>
    <x v="248"/>
    <x v="1"/>
    <x v="62"/>
    <x v="221"/>
    <x v="221"/>
    <x v="223"/>
    <x v="220"/>
    <x v="0"/>
    <x v="911"/>
    <x v="924"/>
    <x v="770"/>
    <x v="602"/>
    <x v="44"/>
    <x v="812"/>
    <x v="41"/>
    <x v="2"/>
    <x v="14"/>
    <x v="3"/>
    <x v="2"/>
    <x v="93"/>
    <x v="645"/>
    <x v="27"/>
    <x v="118"/>
    <x v="1"/>
    <x v="5"/>
    <x v="60"/>
    <x v="0"/>
    <x v="16"/>
    <x v="5"/>
    <x v="62"/>
  </r>
  <r>
    <x v="169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5"/>
    <x v="73"/>
  </r>
  <r>
    <x v="169"/>
    <x v="185"/>
    <x v="241"/>
    <x v="0"/>
    <x v="73"/>
    <x v="214"/>
    <x v="214"/>
    <x v="213"/>
    <x v="213"/>
    <x v="0"/>
    <x v="912"/>
    <x v="925"/>
    <x v="393"/>
    <x v="585"/>
    <x v="14"/>
    <x v="813"/>
    <x v="0"/>
    <x v="7"/>
    <x v="147"/>
    <x v="5"/>
    <x v="2"/>
    <x v="159"/>
    <x v="474"/>
    <x v="0"/>
    <x v="0"/>
    <x v="8"/>
    <x v="12"/>
    <x v="71"/>
    <x v="0"/>
    <x v="14"/>
    <x v="5"/>
    <x v="73"/>
  </r>
  <r>
    <x v="169"/>
    <x v="186"/>
    <x v="242"/>
    <x v="0"/>
    <x v="90"/>
    <x v="215"/>
    <x v="215"/>
    <x v="214"/>
    <x v="214"/>
    <x v="0"/>
    <x v="458"/>
    <x v="123"/>
    <x v="113"/>
    <x v="115"/>
    <x v="37"/>
    <x v="814"/>
    <x v="15"/>
    <x v="2"/>
    <x v="14"/>
    <x v="3"/>
    <x v="3"/>
    <x v="15"/>
    <x v="15"/>
    <x v="0"/>
    <x v="0"/>
    <x v="5"/>
    <x v="2"/>
    <x v="88"/>
    <x v="0"/>
    <x v="0"/>
    <x v="6"/>
    <x v="90"/>
  </r>
  <r>
    <x v="169"/>
    <x v="187"/>
    <x v="243"/>
    <x v="0"/>
    <x v="102"/>
    <x v="216"/>
    <x v="216"/>
    <x v="215"/>
    <x v="2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6"/>
    <x v="2"/>
    <x v="20"/>
    <x v="7"/>
    <x v="102"/>
  </r>
  <r>
    <x v="169"/>
    <x v="188"/>
    <x v="244"/>
    <x v="0"/>
    <x v="72"/>
    <x v="217"/>
    <x v="217"/>
    <x v="216"/>
    <x v="216"/>
    <x v="0"/>
    <x v="913"/>
    <x v="926"/>
    <x v="771"/>
    <x v="603"/>
    <x v="52"/>
    <x v="815"/>
    <x v="176"/>
    <x v="2"/>
    <x v="89"/>
    <x v="3"/>
    <x v="4"/>
    <x v="145"/>
    <x v="178"/>
    <x v="0"/>
    <x v="0"/>
    <x v="4"/>
    <x v="2"/>
    <x v="70"/>
    <x v="0"/>
    <x v="14"/>
    <x v="5"/>
    <x v="72"/>
  </r>
  <r>
    <x v="169"/>
    <x v="183"/>
    <x v="248"/>
    <x v="1"/>
    <x v="62"/>
    <x v="221"/>
    <x v="221"/>
    <x v="223"/>
    <x v="220"/>
    <x v="0"/>
    <x v="914"/>
    <x v="927"/>
    <x v="772"/>
    <x v="604"/>
    <x v="26"/>
    <x v="816"/>
    <x v="18"/>
    <x v="2"/>
    <x v="103"/>
    <x v="3"/>
    <x v="2"/>
    <x v="20"/>
    <x v="646"/>
    <x v="5"/>
    <x v="11"/>
    <x v="5"/>
    <x v="2"/>
    <x v="60"/>
    <x v="0"/>
    <x v="16"/>
    <x v="5"/>
    <x v="62"/>
  </r>
  <r>
    <x v="169"/>
    <x v="195"/>
    <x v="254"/>
    <x v="1"/>
    <x v="62"/>
    <x v="226"/>
    <x v="226"/>
    <x v="227"/>
    <x v="225"/>
    <x v="0"/>
    <x v="915"/>
    <x v="30"/>
    <x v="72"/>
    <x v="522"/>
    <x v="17"/>
    <x v="817"/>
    <x v="15"/>
    <x v="2"/>
    <x v="14"/>
    <x v="3"/>
    <x v="3"/>
    <x v="15"/>
    <x v="15"/>
    <x v="0"/>
    <x v="0"/>
    <x v="5"/>
    <x v="2"/>
    <x v="60"/>
    <x v="0"/>
    <x v="16"/>
    <x v="5"/>
    <x v="62"/>
  </r>
  <r>
    <x v="169"/>
    <x v="163"/>
    <x v="255"/>
    <x v="1"/>
    <x v="47"/>
    <x v="226"/>
    <x v="226"/>
    <x v="227"/>
    <x v="225"/>
    <x v="0"/>
    <x v="916"/>
    <x v="928"/>
    <x v="773"/>
    <x v="515"/>
    <x v="15"/>
    <x v="746"/>
    <x v="65"/>
    <x v="2"/>
    <x v="38"/>
    <x v="1"/>
    <x v="4"/>
    <x v="64"/>
    <x v="647"/>
    <x v="0"/>
    <x v="0"/>
    <x v="5"/>
    <x v="5"/>
    <x v="31"/>
    <x v="0"/>
    <x v="14"/>
    <x v="5"/>
    <x v="47"/>
  </r>
  <r>
    <x v="170"/>
    <x v="196"/>
    <x v="256"/>
    <x v="2"/>
    <x v="125"/>
    <x v="227"/>
    <x v="227"/>
    <x v="228"/>
    <x v="226"/>
    <x v="1"/>
    <x v="917"/>
    <x v="929"/>
    <x v="774"/>
    <x v="605"/>
    <x v="113"/>
    <x v="818"/>
    <x v="252"/>
    <x v="27"/>
    <x v="177"/>
    <x v="64"/>
    <x v="44"/>
    <x v="341"/>
    <x v="648"/>
    <x v="41"/>
    <x v="119"/>
    <x v="46"/>
    <x v="47"/>
    <x v="122"/>
    <x v="3"/>
    <x v="23"/>
    <x v="10"/>
    <x v="12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0"/>
    <x v="0"/>
    <x v="1"/>
    <x v="1"/>
    <x v="1"/>
    <x v="0"/>
    <x v="1"/>
    <x v="0"/>
    <x v="1"/>
  </r>
  <r>
    <x v="0"/>
    <x v="2"/>
    <x v="2"/>
    <x v="0"/>
    <x v="2"/>
    <x v="0"/>
    <x v="0"/>
    <x v="0"/>
    <x v="0"/>
    <x v="0"/>
    <x v="2"/>
    <x v="2"/>
    <x v="2"/>
    <x v="2"/>
    <x v="2"/>
    <x v="2"/>
    <x v="2"/>
    <x v="2"/>
    <x v="2"/>
    <x v="1"/>
    <x v="2"/>
    <x v="2"/>
    <x v="2"/>
    <x v="0"/>
    <x v="0"/>
    <x v="2"/>
    <x v="2"/>
    <x v="2"/>
    <x v="0"/>
    <x v="1"/>
    <x v="0"/>
    <x v="2"/>
  </r>
  <r>
    <x v="0"/>
    <x v="3"/>
    <x v="3"/>
    <x v="0"/>
    <x v="3"/>
    <x v="1"/>
    <x v="1"/>
    <x v="1"/>
    <x v="1"/>
    <x v="0"/>
    <x v="3"/>
    <x v="3"/>
    <x v="3"/>
    <x v="3"/>
    <x v="3"/>
    <x v="3"/>
    <x v="3"/>
    <x v="0"/>
    <x v="3"/>
    <x v="2"/>
    <x v="2"/>
    <x v="3"/>
    <x v="3"/>
    <x v="0"/>
    <x v="0"/>
    <x v="3"/>
    <x v="2"/>
    <x v="3"/>
    <x v="1"/>
    <x v="2"/>
    <x v="1"/>
    <x v="3"/>
  </r>
  <r>
    <x v="0"/>
    <x v="4"/>
    <x v="4"/>
    <x v="0"/>
    <x v="4"/>
    <x v="2"/>
    <x v="2"/>
    <x v="2"/>
    <x v="2"/>
    <x v="0"/>
    <x v="4"/>
    <x v="4"/>
    <x v="4"/>
    <x v="4"/>
    <x v="2"/>
    <x v="4"/>
    <x v="4"/>
    <x v="0"/>
    <x v="4"/>
    <x v="3"/>
    <x v="2"/>
    <x v="4"/>
    <x v="4"/>
    <x v="0"/>
    <x v="0"/>
    <x v="4"/>
    <x v="3"/>
    <x v="4"/>
    <x v="1"/>
    <x v="3"/>
    <x v="2"/>
    <x v="4"/>
  </r>
  <r>
    <x v="0"/>
    <x v="5"/>
    <x v="5"/>
    <x v="0"/>
    <x v="5"/>
    <x v="2"/>
    <x v="2"/>
    <x v="2"/>
    <x v="2"/>
    <x v="0"/>
    <x v="5"/>
    <x v="5"/>
    <x v="5"/>
    <x v="5"/>
    <x v="4"/>
    <x v="5"/>
    <x v="5"/>
    <x v="2"/>
    <x v="5"/>
    <x v="0"/>
    <x v="1"/>
    <x v="5"/>
    <x v="5"/>
    <x v="0"/>
    <x v="0"/>
    <x v="5"/>
    <x v="2"/>
    <x v="5"/>
    <x v="1"/>
    <x v="4"/>
    <x v="2"/>
    <x v="5"/>
  </r>
  <r>
    <x v="1"/>
    <x v="0"/>
    <x v="0"/>
    <x v="0"/>
    <x v="0"/>
    <x v="0"/>
    <x v="0"/>
    <x v="0"/>
    <x v="0"/>
    <x v="0"/>
    <x v="6"/>
    <x v="6"/>
    <x v="6"/>
    <x v="6"/>
    <x v="5"/>
    <x v="6"/>
    <x v="6"/>
    <x v="0"/>
    <x v="6"/>
    <x v="4"/>
    <x v="2"/>
    <x v="6"/>
    <x v="6"/>
    <x v="0"/>
    <x v="0"/>
    <x v="6"/>
    <x v="4"/>
    <x v="0"/>
    <x v="0"/>
    <x v="0"/>
    <x v="0"/>
    <x v="0"/>
  </r>
  <r>
    <x v="1"/>
    <x v="1"/>
    <x v="1"/>
    <x v="0"/>
    <x v="1"/>
    <x v="0"/>
    <x v="0"/>
    <x v="0"/>
    <x v="0"/>
    <x v="0"/>
    <x v="7"/>
    <x v="7"/>
    <x v="7"/>
    <x v="7"/>
    <x v="6"/>
    <x v="7"/>
    <x v="7"/>
    <x v="3"/>
    <x v="7"/>
    <x v="5"/>
    <x v="3"/>
    <x v="7"/>
    <x v="7"/>
    <x v="0"/>
    <x v="0"/>
    <x v="7"/>
    <x v="1"/>
    <x v="1"/>
    <x v="0"/>
    <x v="1"/>
    <x v="0"/>
    <x v="1"/>
  </r>
  <r>
    <x v="1"/>
    <x v="2"/>
    <x v="2"/>
    <x v="0"/>
    <x v="2"/>
    <x v="0"/>
    <x v="0"/>
    <x v="0"/>
    <x v="0"/>
    <x v="0"/>
    <x v="8"/>
    <x v="8"/>
    <x v="8"/>
    <x v="8"/>
    <x v="5"/>
    <x v="8"/>
    <x v="8"/>
    <x v="2"/>
    <x v="8"/>
    <x v="3"/>
    <x v="3"/>
    <x v="8"/>
    <x v="8"/>
    <x v="0"/>
    <x v="0"/>
    <x v="2"/>
    <x v="2"/>
    <x v="2"/>
    <x v="0"/>
    <x v="1"/>
    <x v="0"/>
    <x v="2"/>
  </r>
  <r>
    <x v="1"/>
    <x v="3"/>
    <x v="3"/>
    <x v="0"/>
    <x v="3"/>
    <x v="1"/>
    <x v="1"/>
    <x v="1"/>
    <x v="1"/>
    <x v="0"/>
    <x v="9"/>
    <x v="9"/>
    <x v="9"/>
    <x v="9"/>
    <x v="7"/>
    <x v="9"/>
    <x v="9"/>
    <x v="1"/>
    <x v="9"/>
    <x v="6"/>
    <x v="3"/>
    <x v="9"/>
    <x v="9"/>
    <x v="0"/>
    <x v="0"/>
    <x v="4"/>
    <x v="5"/>
    <x v="3"/>
    <x v="1"/>
    <x v="2"/>
    <x v="1"/>
    <x v="3"/>
  </r>
  <r>
    <x v="1"/>
    <x v="4"/>
    <x v="4"/>
    <x v="0"/>
    <x v="4"/>
    <x v="2"/>
    <x v="2"/>
    <x v="2"/>
    <x v="2"/>
    <x v="0"/>
    <x v="10"/>
    <x v="10"/>
    <x v="10"/>
    <x v="10"/>
    <x v="5"/>
    <x v="10"/>
    <x v="10"/>
    <x v="2"/>
    <x v="10"/>
    <x v="3"/>
    <x v="3"/>
    <x v="10"/>
    <x v="10"/>
    <x v="0"/>
    <x v="0"/>
    <x v="5"/>
    <x v="3"/>
    <x v="4"/>
    <x v="1"/>
    <x v="3"/>
    <x v="2"/>
    <x v="4"/>
  </r>
  <r>
    <x v="1"/>
    <x v="5"/>
    <x v="5"/>
    <x v="0"/>
    <x v="5"/>
    <x v="2"/>
    <x v="2"/>
    <x v="2"/>
    <x v="2"/>
    <x v="0"/>
    <x v="11"/>
    <x v="11"/>
    <x v="11"/>
    <x v="11"/>
    <x v="5"/>
    <x v="11"/>
    <x v="11"/>
    <x v="2"/>
    <x v="11"/>
    <x v="7"/>
    <x v="4"/>
    <x v="11"/>
    <x v="11"/>
    <x v="0"/>
    <x v="0"/>
    <x v="5"/>
    <x v="2"/>
    <x v="5"/>
    <x v="1"/>
    <x v="4"/>
    <x v="2"/>
    <x v="5"/>
  </r>
  <r>
    <x v="2"/>
    <x v="0"/>
    <x v="0"/>
    <x v="0"/>
    <x v="0"/>
    <x v="0"/>
    <x v="0"/>
    <x v="0"/>
    <x v="0"/>
    <x v="0"/>
    <x v="12"/>
    <x v="12"/>
    <x v="12"/>
    <x v="12"/>
    <x v="6"/>
    <x v="12"/>
    <x v="12"/>
    <x v="2"/>
    <x v="12"/>
    <x v="0"/>
    <x v="1"/>
    <x v="12"/>
    <x v="12"/>
    <x v="0"/>
    <x v="0"/>
    <x v="8"/>
    <x v="0"/>
    <x v="0"/>
    <x v="0"/>
    <x v="0"/>
    <x v="0"/>
    <x v="0"/>
  </r>
  <r>
    <x v="2"/>
    <x v="1"/>
    <x v="1"/>
    <x v="0"/>
    <x v="1"/>
    <x v="0"/>
    <x v="0"/>
    <x v="0"/>
    <x v="0"/>
    <x v="0"/>
    <x v="13"/>
    <x v="13"/>
    <x v="13"/>
    <x v="13"/>
    <x v="6"/>
    <x v="13"/>
    <x v="13"/>
    <x v="2"/>
    <x v="8"/>
    <x v="5"/>
    <x v="2"/>
    <x v="13"/>
    <x v="13"/>
    <x v="0"/>
    <x v="0"/>
    <x v="5"/>
    <x v="6"/>
    <x v="1"/>
    <x v="0"/>
    <x v="1"/>
    <x v="0"/>
    <x v="1"/>
  </r>
  <r>
    <x v="2"/>
    <x v="3"/>
    <x v="3"/>
    <x v="0"/>
    <x v="3"/>
    <x v="1"/>
    <x v="1"/>
    <x v="1"/>
    <x v="1"/>
    <x v="0"/>
    <x v="14"/>
    <x v="14"/>
    <x v="14"/>
    <x v="14"/>
    <x v="8"/>
    <x v="14"/>
    <x v="14"/>
    <x v="0"/>
    <x v="13"/>
    <x v="8"/>
    <x v="4"/>
    <x v="14"/>
    <x v="14"/>
    <x v="0"/>
    <x v="0"/>
    <x v="4"/>
    <x v="5"/>
    <x v="3"/>
    <x v="1"/>
    <x v="2"/>
    <x v="1"/>
    <x v="3"/>
  </r>
  <r>
    <x v="2"/>
    <x v="4"/>
    <x v="4"/>
    <x v="0"/>
    <x v="4"/>
    <x v="2"/>
    <x v="2"/>
    <x v="2"/>
    <x v="2"/>
    <x v="0"/>
    <x v="15"/>
    <x v="15"/>
    <x v="15"/>
    <x v="15"/>
    <x v="2"/>
    <x v="15"/>
    <x v="15"/>
    <x v="2"/>
    <x v="14"/>
    <x v="3"/>
    <x v="3"/>
    <x v="15"/>
    <x v="15"/>
    <x v="0"/>
    <x v="0"/>
    <x v="5"/>
    <x v="2"/>
    <x v="4"/>
    <x v="1"/>
    <x v="3"/>
    <x v="2"/>
    <x v="4"/>
  </r>
  <r>
    <x v="2"/>
    <x v="5"/>
    <x v="5"/>
    <x v="0"/>
    <x v="5"/>
    <x v="2"/>
    <x v="2"/>
    <x v="2"/>
    <x v="2"/>
    <x v="0"/>
    <x v="16"/>
    <x v="16"/>
    <x v="16"/>
    <x v="16"/>
    <x v="5"/>
    <x v="16"/>
    <x v="16"/>
    <x v="2"/>
    <x v="15"/>
    <x v="9"/>
    <x v="0"/>
    <x v="16"/>
    <x v="16"/>
    <x v="1"/>
    <x v="1"/>
    <x v="5"/>
    <x v="2"/>
    <x v="5"/>
    <x v="1"/>
    <x v="4"/>
    <x v="2"/>
    <x v="5"/>
  </r>
  <r>
    <x v="3"/>
    <x v="0"/>
    <x v="0"/>
    <x v="0"/>
    <x v="0"/>
    <x v="0"/>
    <x v="0"/>
    <x v="0"/>
    <x v="0"/>
    <x v="0"/>
    <x v="17"/>
    <x v="17"/>
    <x v="17"/>
    <x v="17"/>
    <x v="9"/>
    <x v="17"/>
    <x v="5"/>
    <x v="2"/>
    <x v="16"/>
    <x v="3"/>
    <x v="2"/>
    <x v="17"/>
    <x v="17"/>
    <x v="0"/>
    <x v="0"/>
    <x v="9"/>
    <x v="7"/>
    <x v="0"/>
    <x v="0"/>
    <x v="0"/>
    <x v="0"/>
    <x v="0"/>
  </r>
  <r>
    <x v="3"/>
    <x v="1"/>
    <x v="1"/>
    <x v="0"/>
    <x v="1"/>
    <x v="0"/>
    <x v="0"/>
    <x v="0"/>
    <x v="0"/>
    <x v="0"/>
    <x v="18"/>
    <x v="18"/>
    <x v="18"/>
    <x v="18"/>
    <x v="5"/>
    <x v="18"/>
    <x v="17"/>
    <x v="2"/>
    <x v="17"/>
    <x v="5"/>
    <x v="2"/>
    <x v="18"/>
    <x v="18"/>
    <x v="0"/>
    <x v="0"/>
    <x v="10"/>
    <x v="8"/>
    <x v="1"/>
    <x v="0"/>
    <x v="1"/>
    <x v="0"/>
    <x v="1"/>
  </r>
  <r>
    <x v="3"/>
    <x v="3"/>
    <x v="3"/>
    <x v="0"/>
    <x v="3"/>
    <x v="1"/>
    <x v="1"/>
    <x v="1"/>
    <x v="1"/>
    <x v="0"/>
    <x v="19"/>
    <x v="19"/>
    <x v="19"/>
    <x v="19"/>
    <x v="10"/>
    <x v="19"/>
    <x v="14"/>
    <x v="2"/>
    <x v="17"/>
    <x v="10"/>
    <x v="3"/>
    <x v="19"/>
    <x v="19"/>
    <x v="0"/>
    <x v="0"/>
    <x v="5"/>
    <x v="2"/>
    <x v="3"/>
    <x v="1"/>
    <x v="2"/>
    <x v="1"/>
    <x v="3"/>
  </r>
  <r>
    <x v="3"/>
    <x v="4"/>
    <x v="4"/>
    <x v="0"/>
    <x v="4"/>
    <x v="2"/>
    <x v="2"/>
    <x v="2"/>
    <x v="2"/>
    <x v="0"/>
    <x v="20"/>
    <x v="20"/>
    <x v="20"/>
    <x v="20"/>
    <x v="5"/>
    <x v="20"/>
    <x v="18"/>
    <x v="2"/>
    <x v="14"/>
    <x v="3"/>
    <x v="3"/>
    <x v="20"/>
    <x v="20"/>
    <x v="0"/>
    <x v="0"/>
    <x v="5"/>
    <x v="2"/>
    <x v="4"/>
    <x v="1"/>
    <x v="3"/>
    <x v="2"/>
    <x v="4"/>
  </r>
  <r>
    <x v="3"/>
    <x v="5"/>
    <x v="5"/>
    <x v="0"/>
    <x v="5"/>
    <x v="2"/>
    <x v="2"/>
    <x v="2"/>
    <x v="2"/>
    <x v="0"/>
    <x v="21"/>
    <x v="21"/>
    <x v="21"/>
    <x v="21"/>
    <x v="5"/>
    <x v="21"/>
    <x v="19"/>
    <x v="1"/>
    <x v="5"/>
    <x v="4"/>
    <x v="0"/>
    <x v="21"/>
    <x v="6"/>
    <x v="0"/>
    <x v="0"/>
    <x v="5"/>
    <x v="2"/>
    <x v="5"/>
    <x v="1"/>
    <x v="4"/>
    <x v="2"/>
    <x v="5"/>
  </r>
  <r>
    <x v="4"/>
    <x v="0"/>
    <x v="0"/>
    <x v="0"/>
    <x v="0"/>
    <x v="0"/>
    <x v="0"/>
    <x v="0"/>
    <x v="0"/>
    <x v="0"/>
    <x v="22"/>
    <x v="22"/>
    <x v="22"/>
    <x v="22"/>
    <x v="6"/>
    <x v="22"/>
    <x v="20"/>
    <x v="2"/>
    <x v="18"/>
    <x v="0"/>
    <x v="2"/>
    <x v="21"/>
    <x v="21"/>
    <x v="0"/>
    <x v="0"/>
    <x v="11"/>
    <x v="9"/>
    <x v="0"/>
    <x v="0"/>
    <x v="0"/>
    <x v="0"/>
    <x v="0"/>
  </r>
  <r>
    <x v="4"/>
    <x v="1"/>
    <x v="1"/>
    <x v="0"/>
    <x v="1"/>
    <x v="0"/>
    <x v="0"/>
    <x v="0"/>
    <x v="0"/>
    <x v="0"/>
    <x v="23"/>
    <x v="23"/>
    <x v="23"/>
    <x v="23"/>
    <x v="11"/>
    <x v="13"/>
    <x v="21"/>
    <x v="1"/>
    <x v="19"/>
    <x v="11"/>
    <x v="3"/>
    <x v="22"/>
    <x v="22"/>
    <x v="0"/>
    <x v="0"/>
    <x v="5"/>
    <x v="10"/>
    <x v="1"/>
    <x v="0"/>
    <x v="1"/>
    <x v="0"/>
    <x v="1"/>
  </r>
  <r>
    <x v="4"/>
    <x v="3"/>
    <x v="3"/>
    <x v="0"/>
    <x v="3"/>
    <x v="1"/>
    <x v="1"/>
    <x v="1"/>
    <x v="1"/>
    <x v="0"/>
    <x v="24"/>
    <x v="24"/>
    <x v="15"/>
    <x v="24"/>
    <x v="12"/>
    <x v="23"/>
    <x v="22"/>
    <x v="2"/>
    <x v="20"/>
    <x v="4"/>
    <x v="1"/>
    <x v="23"/>
    <x v="23"/>
    <x v="0"/>
    <x v="0"/>
    <x v="5"/>
    <x v="2"/>
    <x v="3"/>
    <x v="1"/>
    <x v="2"/>
    <x v="1"/>
    <x v="3"/>
  </r>
  <r>
    <x v="4"/>
    <x v="4"/>
    <x v="4"/>
    <x v="0"/>
    <x v="4"/>
    <x v="2"/>
    <x v="2"/>
    <x v="2"/>
    <x v="2"/>
    <x v="0"/>
    <x v="25"/>
    <x v="25"/>
    <x v="24"/>
    <x v="25"/>
    <x v="13"/>
    <x v="24"/>
    <x v="15"/>
    <x v="2"/>
    <x v="14"/>
    <x v="3"/>
    <x v="3"/>
    <x v="15"/>
    <x v="15"/>
    <x v="0"/>
    <x v="0"/>
    <x v="5"/>
    <x v="2"/>
    <x v="4"/>
    <x v="1"/>
    <x v="3"/>
    <x v="2"/>
    <x v="4"/>
  </r>
  <r>
    <x v="4"/>
    <x v="5"/>
    <x v="5"/>
    <x v="0"/>
    <x v="5"/>
    <x v="2"/>
    <x v="2"/>
    <x v="2"/>
    <x v="2"/>
    <x v="0"/>
    <x v="26"/>
    <x v="26"/>
    <x v="25"/>
    <x v="26"/>
    <x v="13"/>
    <x v="25"/>
    <x v="7"/>
    <x v="2"/>
    <x v="4"/>
    <x v="1"/>
    <x v="3"/>
    <x v="24"/>
    <x v="24"/>
    <x v="0"/>
    <x v="0"/>
    <x v="5"/>
    <x v="2"/>
    <x v="5"/>
    <x v="1"/>
    <x v="4"/>
    <x v="2"/>
    <x v="5"/>
  </r>
  <r>
    <x v="5"/>
    <x v="6"/>
    <x v="6"/>
    <x v="0"/>
    <x v="6"/>
    <x v="3"/>
    <x v="3"/>
    <x v="3"/>
    <x v="3"/>
    <x v="0"/>
    <x v="27"/>
    <x v="27"/>
    <x v="26"/>
    <x v="27"/>
    <x v="5"/>
    <x v="26"/>
    <x v="11"/>
    <x v="4"/>
    <x v="21"/>
    <x v="12"/>
    <x v="5"/>
    <x v="25"/>
    <x v="25"/>
    <x v="0"/>
    <x v="0"/>
    <x v="11"/>
    <x v="2"/>
    <x v="6"/>
    <x v="2"/>
    <x v="5"/>
    <x v="3"/>
    <x v="6"/>
  </r>
  <r>
    <x v="5"/>
    <x v="7"/>
    <x v="7"/>
    <x v="1"/>
    <x v="3"/>
    <x v="4"/>
    <x v="4"/>
    <x v="4"/>
    <x v="4"/>
    <x v="0"/>
    <x v="28"/>
    <x v="28"/>
    <x v="27"/>
    <x v="28"/>
    <x v="14"/>
    <x v="27"/>
    <x v="15"/>
    <x v="2"/>
    <x v="14"/>
    <x v="3"/>
    <x v="3"/>
    <x v="15"/>
    <x v="15"/>
    <x v="0"/>
    <x v="0"/>
    <x v="5"/>
    <x v="2"/>
    <x v="3"/>
    <x v="1"/>
    <x v="2"/>
    <x v="1"/>
    <x v="3"/>
  </r>
  <r>
    <x v="5"/>
    <x v="8"/>
    <x v="8"/>
    <x v="1"/>
    <x v="7"/>
    <x v="5"/>
    <x v="5"/>
    <x v="5"/>
    <x v="5"/>
    <x v="0"/>
    <x v="29"/>
    <x v="29"/>
    <x v="28"/>
    <x v="29"/>
    <x v="15"/>
    <x v="28"/>
    <x v="23"/>
    <x v="2"/>
    <x v="22"/>
    <x v="5"/>
    <x v="3"/>
    <x v="26"/>
    <x v="26"/>
    <x v="0"/>
    <x v="0"/>
    <x v="5"/>
    <x v="2"/>
    <x v="7"/>
    <x v="0"/>
    <x v="6"/>
    <x v="0"/>
    <x v="7"/>
  </r>
  <r>
    <x v="5"/>
    <x v="9"/>
    <x v="9"/>
    <x v="1"/>
    <x v="7"/>
    <x v="6"/>
    <x v="6"/>
    <x v="5"/>
    <x v="5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  <x v="7"/>
  </r>
  <r>
    <x v="5"/>
    <x v="0"/>
    <x v="10"/>
    <x v="1"/>
    <x v="0"/>
    <x v="7"/>
    <x v="7"/>
    <x v="6"/>
    <x v="6"/>
    <x v="0"/>
    <x v="31"/>
    <x v="31"/>
    <x v="30"/>
    <x v="31"/>
    <x v="17"/>
    <x v="30"/>
    <x v="13"/>
    <x v="2"/>
    <x v="8"/>
    <x v="3"/>
    <x v="3"/>
    <x v="22"/>
    <x v="27"/>
    <x v="0"/>
    <x v="0"/>
    <x v="5"/>
    <x v="2"/>
    <x v="0"/>
    <x v="0"/>
    <x v="0"/>
    <x v="0"/>
    <x v="0"/>
  </r>
  <r>
    <x v="5"/>
    <x v="10"/>
    <x v="11"/>
    <x v="0"/>
    <x v="8"/>
    <x v="8"/>
    <x v="8"/>
    <x v="7"/>
    <x v="7"/>
    <x v="0"/>
    <x v="32"/>
    <x v="32"/>
    <x v="31"/>
    <x v="32"/>
    <x v="5"/>
    <x v="31"/>
    <x v="10"/>
    <x v="2"/>
    <x v="23"/>
    <x v="6"/>
    <x v="4"/>
    <x v="4"/>
    <x v="28"/>
    <x v="0"/>
    <x v="0"/>
    <x v="2"/>
    <x v="11"/>
    <x v="8"/>
    <x v="0"/>
    <x v="6"/>
    <x v="0"/>
    <x v="8"/>
  </r>
  <r>
    <x v="5"/>
    <x v="11"/>
    <x v="12"/>
    <x v="1"/>
    <x v="9"/>
    <x v="9"/>
    <x v="9"/>
    <x v="8"/>
    <x v="8"/>
    <x v="0"/>
    <x v="33"/>
    <x v="33"/>
    <x v="32"/>
    <x v="33"/>
    <x v="18"/>
    <x v="32"/>
    <x v="18"/>
    <x v="2"/>
    <x v="24"/>
    <x v="3"/>
    <x v="3"/>
    <x v="27"/>
    <x v="29"/>
    <x v="0"/>
    <x v="0"/>
    <x v="5"/>
    <x v="2"/>
    <x v="9"/>
    <x v="1"/>
    <x v="3"/>
    <x v="2"/>
    <x v="9"/>
  </r>
  <r>
    <x v="5"/>
    <x v="12"/>
    <x v="13"/>
    <x v="1"/>
    <x v="5"/>
    <x v="10"/>
    <x v="10"/>
    <x v="9"/>
    <x v="9"/>
    <x v="0"/>
    <x v="34"/>
    <x v="34"/>
    <x v="27"/>
    <x v="34"/>
    <x v="19"/>
    <x v="33"/>
    <x v="15"/>
    <x v="2"/>
    <x v="14"/>
    <x v="3"/>
    <x v="3"/>
    <x v="15"/>
    <x v="15"/>
    <x v="0"/>
    <x v="0"/>
    <x v="5"/>
    <x v="2"/>
    <x v="5"/>
    <x v="1"/>
    <x v="4"/>
    <x v="2"/>
    <x v="5"/>
  </r>
  <r>
    <x v="5"/>
    <x v="13"/>
    <x v="14"/>
    <x v="0"/>
    <x v="10"/>
    <x v="11"/>
    <x v="11"/>
    <x v="10"/>
    <x v="10"/>
    <x v="0"/>
    <x v="35"/>
    <x v="35"/>
    <x v="33"/>
    <x v="35"/>
    <x v="1"/>
    <x v="34"/>
    <x v="24"/>
    <x v="2"/>
    <x v="25"/>
    <x v="5"/>
    <x v="2"/>
    <x v="28"/>
    <x v="30"/>
    <x v="0"/>
    <x v="0"/>
    <x v="2"/>
    <x v="12"/>
    <x v="10"/>
    <x v="1"/>
    <x v="4"/>
    <x v="2"/>
    <x v="10"/>
  </r>
  <r>
    <x v="6"/>
    <x v="6"/>
    <x v="6"/>
    <x v="0"/>
    <x v="6"/>
    <x v="3"/>
    <x v="3"/>
    <x v="3"/>
    <x v="3"/>
    <x v="0"/>
    <x v="36"/>
    <x v="36"/>
    <x v="34"/>
    <x v="36"/>
    <x v="5"/>
    <x v="35"/>
    <x v="25"/>
    <x v="0"/>
    <x v="26"/>
    <x v="8"/>
    <x v="5"/>
    <x v="29"/>
    <x v="31"/>
    <x v="0"/>
    <x v="0"/>
    <x v="10"/>
    <x v="12"/>
    <x v="6"/>
    <x v="2"/>
    <x v="5"/>
    <x v="3"/>
    <x v="6"/>
  </r>
  <r>
    <x v="6"/>
    <x v="8"/>
    <x v="8"/>
    <x v="1"/>
    <x v="7"/>
    <x v="5"/>
    <x v="5"/>
    <x v="5"/>
    <x v="5"/>
    <x v="0"/>
    <x v="37"/>
    <x v="37"/>
    <x v="35"/>
    <x v="14"/>
    <x v="19"/>
    <x v="36"/>
    <x v="26"/>
    <x v="2"/>
    <x v="22"/>
    <x v="3"/>
    <x v="2"/>
    <x v="30"/>
    <x v="32"/>
    <x v="0"/>
    <x v="0"/>
    <x v="5"/>
    <x v="2"/>
    <x v="7"/>
    <x v="0"/>
    <x v="6"/>
    <x v="0"/>
    <x v="7"/>
  </r>
  <r>
    <x v="6"/>
    <x v="0"/>
    <x v="10"/>
    <x v="1"/>
    <x v="0"/>
    <x v="7"/>
    <x v="7"/>
    <x v="6"/>
    <x v="6"/>
    <x v="0"/>
    <x v="38"/>
    <x v="38"/>
    <x v="36"/>
    <x v="37"/>
    <x v="20"/>
    <x v="37"/>
    <x v="26"/>
    <x v="2"/>
    <x v="19"/>
    <x v="3"/>
    <x v="3"/>
    <x v="31"/>
    <x v="33"/>
    <x v="0"/>
    <x v="0"/>
    <x v="4"/>
    <x v="2"/>
    <x v="0"/>
    <x v="0"/>
    <x v="0"/>
    <x v="0"/>
    <x v="0"/>
  </r>
  <r>
    <x v="6"/>
    <x v="10"/>
    <x v="11"/>
    <x v="0"/>
    <x v="8"/>
    <x v="8"/>
    <x v="8"/>
    <x v="7"/>
    <x v="7"/>
    <x v="0"/>
    <x v="39"/>
    <x v="39"/>
    <x v="37"/>
    <x v="38"/>
    <x v="1"/>
    <x v="38"/>
    <x v="15"/>
    <x v="2"/>
    <x v="14"/>
    <x v="3"/>
    <x v="3"/>
    <x v="15"/>
    <x v="15"/>
    <x v="0"/>
    <x v="0"/>
    <x v="5"/>
    <x v="2"/>
    <x v="8"/>
    <x v="0"/>
    <x v="6"/>
    <x v="0"/>
    <x v="8"/>
  </r>
  <r>
    <x v="6"/>
    <x v="11"/>
    <x v="12"/>
    <x v="1"/>
    <x v="9"/>
    <x v="9"/>
    <x v="9"/>
    <x v="8"/>
    <x v="8"/>
    <x v="0"/>
    <x v="30"/>
    <x v="40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6"/>
    <x v="12"/>
    <x v="13"/>
    <x v="1"/>
    <x v="5"/>
    <x v="10"/>
    <x v="10"/>
    <x v="9"/>
    <x v="9"/>
    <x v="0"/>
    <x v="40"/>
    <x v="41"/>
    <x v="38"/>
    <x v="39"/>
    <x v="21"/>
    <x v="39"/>
    <x v="18"/>
    <x v="2"/>
    <x v="24"/>
    <x v="3"/>
    <x v="3"/>
    <x v="27"/>
    <x v="34"/>
    <x v="0"/>
    <x v="0"/>
    <x v="5"/>
    <x v="2"/>
    <x v="5"/>
    <x v="1"/>
    <x v="4"/>
    <x v="2"/>
    <x v="5"/>
  </r>
  <r>
    <x v="6"/>
    <x v="13"/>
    <x v="14"/>
    <x v="0"/>
    <x v="10"/>
    <x v="11"/>
    <x v="11"/>
    <x v="10"/>
    <x v="10"/>
    <x v="0"/>
    <x v="41"/>
    <x v="42"/>
    <x v="39"/>
    <x v="40"/>
    <x v="1"/>
    <x v="40"/>
    <x v="27"/>
    <x v="2"/>
    <x v="27"/>
    <x v="12"/>
    <x v="2"/>
    <x v="32"/>
    <x v="35"/>
    <x v="0"/>
    <x v="0"/>
    <x v="5"/>
    <x v="13"/>
    <x v="10"/>
    <x v="1"/>
    <x v="4"/>
    <x v="2"/>
    <x v="10"/>
  </r>
  <r>
    <x v="6"/>
    <x v="14"/>
    <x v="15"/>
    <x v="0"/>
    <x v="9"/>
    <x v="12"/>
    <x v="12"/>
    <x v="11"/>
    <x v="11"/>
    <x v="0"/>
    <x v="42"/>
    <x v="43"/>
    <x v="40"/>
    <x v="41"/>
    <x v="13"/>
    <x v="41"/>
    <x v="28"/>
    <x v="3"/>
    <x v="28"/>
    <x v="6"/>
    <x v="2"/>
    <x v="33"/>
    <x v="36"/>
    <x v="0"/>
    <x v="0"/>
    <x v="12"/>
    <x v="11"/>
    <x v="9"/>
    <x v="1"/>
    <x v="3"/>
    <x v="2"/>
    <x v="9"/>
  </r>
  <r>
    <x v="6"/>
    <x v="15"/>
    <x v="16"/>
    <x v="0"/>
    <x v="1"/>
    <x v="13"/>
    <x v="13"/>
    <x v="12"/>
    <x v="12"/>
    <x v="0"/>
    <x v="43"/>
    <x v="44"/>
    <x v="41"/>
    <x v="42"/>
    <x v="5"/>
    <x v="42"/>
    <x v="19"/>
    <x v="1"/>
    <x v="21"/>
    <x v="9"/>
    <x v="2"/>
    <x v="34"/>
    <x v="37"/>
    <x v="0"/>
    <x v="0"/>
    <x v="12"/>
    <x v="14"/>
    <x v="1"/>
    <x v="0"/>
    <x v="1"/>
    <x v="0"/>
    <x v="1"/>
  </r>
  <r>
    <x v="7"/>
    <x v="6"/>
    <x v="6"/>
    <x v="0"/>
    <x v="6"/>
    <x v="3"/>
    <x v="3"/>
    <x v="3"/>
    <x v="3"/>
    <x v="0"/>
    <x v="44"/>
    <x v="45"/>
    <x v="42"/>
    <x v="43"/>
    <x v="6"/>
    <x v="43"/>
    <x v="29"/>
    <x v="1"/>
    <x v="29"/>
    <x v="11"/>
    <x v="6"/>
    <x v="25"/>
    <x v="38"/>
    <x v="0"/>
    <x v="0"/>
    <x v="2"/>
    <x v="6"/>
    <x v="6"/>
    <x v="2"/>
    <x v="5"/>
    <x v="3"/>
    <x v="6"/>
  </r>
  <r>
    <x v="7"/>
    <x v="8"/>
    <x v="8"/>
    <x v="1"/>
    <x v="7"/>
    <x v="5"/>
    <x v="5"/>
    <x v="5"/>
    <x v="5"/>
    <x v="0"/>
    <x v="45"/>
    <x v="46"/>
    <x v="43"/>
    <x v="44"/>
    <x v="14"/>
    <x v="44"/>
    <x v="30"/>
    <x v="2"/>
    <x v="30"/>
    <x v="1"/>
    <x v="7"/>
    <x v="35"/>
    <x v="36"/>
    <x v="0"/>
    <x v="0"/>
    <x v="4"/>
    <x v="5"/>
    <x v="7"/>
    <x v="0"/>
    <x v="6"/>
    <x v="0"/>
    <x v="7"/>
  </r>
  <r>
    <x v="7"/>
    <x v="0"/>
    <x v="10"/>
    <x v="1"/>
    <x v="0"/>
    <x v="7"/>
    <x v="7"/>
    <x v="6"/>
    <x v="6"/>
    <x v="0"/>
    <x v="46"/>
    <x v="47"/>
    <x v="44"/>
    <x v="45"/>
    <x v="22"/>
    <x v="45"/>
    <x v="31"/>
    <x v="2"/>
    <x v="31"/>
    <x v="5"/>
    <x v="4"/>
    <x v="36"/>
    <x v="39"/>
    <x v="0"/>
    <x v="0"/>
    <x v="1"/>
    <x v="6"/>
    <x v="0"/>
    <x v="0"/>
    <x v="0"/>
    <x v="0"/>
    <x v="0"/>
  </r>
  <r>
    <x v="7"/>
    <x v="12"/>
    <x v="13"/>
    <x v="1"/>
    <x v="5"/>
    <x v="10"/>
    <x v="10"/>
    <x v="9"/>
    <x v="9"/>
    <x v="0"/>
    <x v="47"/>
    <x v="48"/>
    <x v="45"/>
    <x v="46"/>
    <x v="23"/>
    <x v="46"/>
    <x v="26"/>
    <x v="2"/>
    <x v="8"/>
    <x v="5"/>
    <x v="3"/>
    <x v="37"/>
    <x v="40"/>
    <x v="0"/>
    <x v="0"/>
    <x v="5"/>
    <x v="2"/>
    <x v="5"/>
    <x v="1"/>
    <x v="4"/>
    <x v="2"/>
    <x v="5"/>
  </r>
  <r>
    <x v="7"/>
    <x v="13"/>
    <x v="14"/>
    <x v="0"/>
    <x v="10"/>
    <x v="11"/>
    <x v="11"/>
    <x v="10"/>
    <x v="10"/>
    <x v="0"/>
    <x v="48"/>
    <x v="49"/>
    <x v="46"/>
    <x v="47"/>
    <x v="9"/>
    <x v="47"/>
    <x v="32"/>
    <x v="0"/>
    <x v="32"/>
    <x v="4"/>
    <x v="3"/>
    <x v="38"/>
    <x v="41"/>
    <x v="0"/>
    <x v="0"/>
    <x v="5"/>
    <x v="12"/>
    <x v="10"/>
    <x v="1"/>
    <x v="4"/>
    <x v="2"/>
    <x v="10"/>
  </r>
  <r>
    <x v="7"/>
    <x v="14"/>
    <x v="15"/>
    <x v="0"/>
    <x v="9"/>
    <x v="12"/>
    <x v="12"/>
    <x v="11"/>
    <x v="11"/>
    <x v="0"/>
    <x v="49"/>
    <x v="50"/>
    <x v="47"/>
    <x v="48"/>
    <x v="13"/>
    <x v="48"/>
    <x v="33"/>
    <x v="3"/>
    <x v="33"/>
    <x v="13"/>
    <x v="2"/>
    <x v="16"/>
    <x v="42"/>
    <x v="0"/>
    <x v="0"/>
    <x v="10"/>
    <x v="6"/>
    <x v="9"/>
    <x v="1"/>
    <x v="3"/>
    <x v="2"/>
    <x v="9"/>
  </r>
  <r>
    <x v="7"/>
    <x v="15"/>
    <x v="16"/>
    <x v="0"/>
    <x v="1"/>
    <x v="13"/>
    <x v="13"/>
    <x v="12"/>
    <x v="12"/>
    <x v="0"/>
    <x v="50"/>
    <x v="51"/>
    <x v="48"/>
    <x v="49"/>
    <x v="13"/>
    <x v="49"/>
    <x v="34"/>
    <x v="0"/>
    <x v="34"/>
    <x v="8"/>
    <x v="4"/>
    <x v="39"/>
    <x v="43"/>
    <x v="0"/>
    <x v="0"/>
    <x v="13"/>
    <x v="15"/>
    <x v="1"/>
    <x v="0"/>
    <x v="1"/>
    <x v="0"/>
    <x v="1"/>
  </r>
  <r>
    <x v="8"/>
    <x v="6"/>
    <x v="6"/>
    <x v="0"/>
    <x v="6"/>
    <x v="3"/>
    <x v="3"/>
    <x v="3"/>
    <x v="3"/>
    <x v="0"/>
    <x v="51"/>
    <x v="52"/>
    <x v="49"/>
    <x v="50"/>
    <x v="11"/>
    <x v="50"/>
    <x v="33"/>
    <x v="5"/>
    <x v="35"/>
    <x v="9"/>
    <x v="6"/>
    <x v="40"/>
    <x v="44"/>
    <x v="0"/>
    <x v="0"/>
    <x v="2"/>
    <x v="3"/>
    <x v="6"/>
    <x v="2"/>
    <x v="5"/>
    <x v="3"/>
    <x v="6"/>
  </r>
  <r>
    <x v="8"/>
    <x v="8"/>
    <x v="8"/>
    <x v="1"/>
    <x v="7"/>
    <x v="5"/>
    <x v="5"/>
    <x v="5"/>
    <x v="5"/>
    <x v="0"/>
    <x v="52"/>
    <x v="53"/>
    <x v="50"/>
    <x v="51"/>
    <x v="24"/>
    <x v="51"/>
    <x v="35"/>
    <x v="2"/>
    <x v="9"/>
    <x v="11"/>
    <x v="2"/>
    <x v="41"/>
    <x v="45"/>
    <x v="0"/>
    <x v="0"/>
    <x v="4"/>
    <x v="2"/>
    <x v="7"/>
    <x v="0"/>
    <x v="6"/>
    <x v="0"/>
    <x v="7"/>
  </r>
  <r>
    <x v="8"/>
    <x v="0"/>
    <x v="10"/>
    <x v="1"/>
    <x v="0"/>
    <x v="7"/>
    <x v="7"/>
    <x v="6"/>
    <x v="6"/>
    <x v="0"/>
    <x v="53"/>
    <x v="54"/>
    <x v="51"/>
    <x v="52"/>
    <x v="17"/>
    <x v="52"/>
    <x v="36"/>
    <x v="2"/>
    <x v="31"/>
    <x v="5"/>
    <x v="2"/>
    <x v="42"/>
    <x v="46"/>
    <x v="0"/>
    <x v="0"/>
    <x v="10"/>
    <x v="12"/>
    <x v="0"/>
    <x v="0"/>
    <x v="0"/>
    <x v="0"/>
    <x v="0"/>
  </r>
  <r>
    <x v="8"/>
    <x v="10"/>
    <x v="11"/>
    <x v="0"/>
    <x v="8"/>
    <x v="8"/>
    <x v="8"/>
    <x v="7"/>
    <x v="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"/>
    <x v="0"/>
    <x v="6"/>
    <x v="0"/>
    <x v="8"/>
  </r>
  <r>
    <x v="8"/>
    <x v="12"/>
    <x v="13"/>
    <x v="1"/>
    <x v="5"/>
    <x v="10"/>
    <x v="10"/>
    <x v="9"/>
    <x v="9"/>
    <x v="0"/>
    <x v="54"/>
    <x v="56"/>
    <x v="52"/>
    <x v="53"/>
    <x v="25"/>
    <x v="53"/>
    <x v="13"/>
    <x v="2"/>
    <x v="19"/>
    <x v="3"/>
    <x v="3"/>
    <x v="26"/>
    <x v="47"/>
    <x v="0"/>
    <x v="0"/>
    <x v="5"/>
    <x v="2"/>
    <x v="5"/>
    <x v="1"/>
    <x v="4"/>
    <x v="2"/>
    <x v="5"/>
  </r>
  <r>
    <x v="8"/>
    <x v="13"/>
    <x v="14"/>
    <x v="0"/>
    <x v="10"/>
    <x v="11"/>
    <x v="11"/>
    <x v="10"/>
    <x v="10"/>
    <x v="0"/>
    <x v="55"/>
    <x v="57"/>
    <x v="53"/>
    <x v="54"/>
    <x v="9"/>
    <x v="54"/>
    <x v="37"/>
    <x v="1"/>
    <x v="18"/>
    <x v="4"/>
    <x v="2"/>
    <x v="43"/>
    <x v="12"/>
    <x v="0"/>
    <x v="0"/>
    <x v="5"/>
    <x v="13"/>
    <x v="10"/>
    <x v="1"/>
    <x v="4"/>
    <x v="2"/>
    <x v="10"/>
  </r>
  <r>
    <x v="8"/>
    <x v="14"/>
    <x v="15"/>
    <x v="0"/>
    <x v="9"/>
    <x v="12"/>
    <x v="12"/>
    <x v="11"/>
    <x v="11"/>
    <x v="0"/>
    <x v="56"/>
    <x v="58"/>
    <x v="54"/>
    <x v="55"/>
    <x v="5"/>
    <x v="55"/>
    <x v="38"/>
    <x v="3"/>
    <x v="36"/>
    <x v="4"/>
    <x v="2"/>
    <x v="21"/>
    <x v="48"/>
    <x v="0"/>
    <x v="0"/>
    <x v="10"/>
    <x v="11"/>
    <x v="9"/>
    <x v="1"/>
    <x v="3"/>
    <x v="2"/>
    <x v="9"/>
  </r>
  <r>
    <x v="8"/>
    <x v="15"/>
    <x v="16"/>
    <x v="0"/>
    <x v="1"/>
    <x v="13"/>
    <x v="13"/>
    <x v="12"/>
    <x v="12"/>
    <x v="0"/>
    <x v="57"/>
    <x v="59"/>
    <x v="55"/>
    <x v="56"/>
    <x v="13"/>
    <x v="56"/>
    <x v="39"/>
    <x v="6"/>
    <x v="37"/>
    <x v="5"/>
    <x v="8"/>
    <x v="44"/>
    <x v="49"/>
    <x v="0"/>
    <x v="0"/>
    <x v="9"/>
    <x v="16"/>
    <x v="1"/>
    <x v="0"/>
    <x v="1"/>
    <x v="0"/>
    <x v="1"/>
  </r>
  <r>
    <x v="9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  <x v="5"/>
  </r>
  <r>
    <x v="9"/>
    <x v="6"/>
    <x v="6"/>
    <x v="0"/>
    <x v="6"/>
    <x v="3"/>
    <x v="3"/>
    <x v="3"/>
    <x v="3"/>
    <x v="0"/>
    <x v="58"/>
    <x v="60"/>
    <x v="56"/>
    <x v="57"/>
    <x v="6"/>
    <x v="57"/>
    <x v="19"/>
    <x v="2"/>
    <x v="38"/>
    <x v="1"/>
    <x v="0"/>
    <x v="45"/>
    <x v="20"/>
    <x v="0"/>
    <x v="0"/>
    <x v="2"/>
    <x v="5"/>
    <x v="6"/>
    <x v="2"/>
    <x v="5"/>
    <x v="3"/>
    <x v="6"/>
  </r>
  <r>
    <x v="9"/>
    <x v="8"/>
    <x v="8"/>
    <x v="1"/>
    <x v="7"/>
    <x v="5"/>
    <x v="5"/>
    <x v="5"/>
    <x v="5"/>
    <x v="0"/>
    <x v="59"/>
    <x v="61"/>
    <x v="57"/>
    <x v="58"/>
    <x v="26"/>
    <x v="58"/>
    <x v="40"/>
    <x v="2"/>
    <x v="39"/>
    <x v="11"/>
    <x v="2"/>
    <x v="46"/>
    <x v="50"/>
    <x v="0"/>
    <x v="0"/>
    <x v="10"/>
    <x v="2"/>
    <x v="7"/>
    <x v="0"/>
    <x v="6"/>
    <x v="0"/>
    <x v="7"/>
  </r>
  <r>
    <x v="9"/>
    <x v="0"/>
    <x v="10"/>
    <x v="1"/>
    <x v="0"/>
    <x v="7"/>
    <x v="7"/>
    <x v="6"/>
    <x v="6"/>
    <x v="0"/>
    <x v="60"/>
    <x v="62"/>
    <x v="58"/>
    <x v="59"/>
    <x v="27"/>
    <x v="59"/>
    <x v="13"/>
    <x v="2"/>
    <x v="8"/>
    <x v="3"/>
    <x v="2"/>
    <x v="47"/>
    <x v="51"/>
    <x v="0"/>
    <x v="0"/>
    <x v="4"/>
    <x v="6"/>
    <x v="0"/>
    <x v="0"/>
    <x v="0"/>
    <x v="0"/>
    <x v="0"/>
  </r>
  <r>
    <x v="9"/>
    <x v="12"/>
    <x v="13"/>
    <x v="1"/>
    <x v="5"/>
    <x v="10"/>
    <x v="10"/>
    <x v="9"/>
    <x v="9"/>
    <x v="0"/>
    <x v="30"/>
    <x v="63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  <x v="5"/>
  </r>
  <r>
    <x v="9"/>
    <x v="13"/>
    <x v="14"/>
    <x v="0"/>
    <x v="10"/>
    <x v="11"/>
    <x v="11"/>
    <x v="10"/>
    <x v="10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10"/>
    <x v="1"/>
    <x v="4"/>
    <x v="2"/>
    <x v="10"/>
  </r>
  <r>
    <x v="9"/>
    <x v="14"/>
    <x v="15"/>
    <x v="0"/>
    <x v="9"/>
    <x v="12"/>
    <x v="12"/>
    <x v="11"/>
    <x v="11"/>
    <x v="0"/>
    <x v="61"/>
    <x v="64"/>
    <x v="59"/>
    <x v="60"/>
    <x v="5"/>
    <x v="60"/>
    <x v="36"/>
    <x v="7"/>
    <x v="20"/>
    <x v="0"/>
    <x v="2"/>
    <x v="48"/>
    <x v="52"/>
    <x v="0"/>
    <x v="0"/>
    <x v="5"/>
    <x v="2"/>
    <x v="9"/>
    <x v="1"/>
    <x v="3"/>
    <x v="2"/>
    <x v="9"/>
  </r>
  <r>
    <x v="9"/>
    <x v="15"/>
    <x v="16"/>
    <x v="0"/>
    <x v="1"/>
    <x v="13"/>
    <x v="13"/>
    <x v="12"/>
    <x v="12"/>
    <x v="0"/>
    <x v="62"/>
    <x v="65"/>
    <x v="60"/>
    <x v="61"/>
    <x v="28"/>
    <x v="61"/>
    <x v="37"/>
    <x v="0"/>
    <x v="40"/>
    <x v="14"/>
    <x v="7"/>
    <x v="49"/>
    <x v="53"/>
    <x v="0"/>
    <x v="0"/>
    <x v="9"/>
    <x v="17"/>
    <x v="1"/>
    <x v="0"/>
    <x v="1"/>
    <x v="0"/>
    <x v="1"/>
  </r>
  <r>
    <x v="9"/>
    <x v="16"/>
    <x v="17"/>
    <x v="0"/>
    <x v="3"/>
    <x v="14"/>
    <x v="14"/>
    <x v="13"/>
    <x v="13"/>
    <x v="0"/>
    <x v="63"/>
    <x v="66"/>
    <x v="61"/>
    <x v="62"/>
    <x v="27"/>
    <x v="62"/>
    <x v="41"/>
    <x v="2"/>
    <x v="8"/>
    <x v="11"/>
    <x v="3"/>
    <x v="50"/>
    <x v="54"/>
    <x v="0"/>
    <x v="0"/>
    <x v="5"/>
    <x v="2"/>
    <x v="3"/>
    <x v="1"/>
    <x v="2"/>
    <x v="1"/>
    <x v="3"/>
  </r>
  <r>
    <x v="9"/>
    <x v="17"/>
    <x v="18"/>
    <x v="1"/>
    <x v="10"/>
    <x v="15"/>
    <x v="15"/>
    <x v="14"/>
    <x v="14"/>
    <x v="0"/>
    <x v="64"/>
    <x v="67"/>
    <x v="62"/>
    <x v="63"/>
    <x v="29"/>
    <x v="63"/>
    <x v="7"/>
    <x v="2"/>
    <x v="7"/>
    <x v="5"/>
    <x v="3"/>
    <x v="51"/>
    <x v="55"/>
    <x v="0"/>
    <x v="0"/>
    <x v="5"/>
    <x v="2"/>
    <x v="10"/>
    <x v="1"/>
    <x v="4"/>
    <x v="2"/>
    <x v="10"/>
  </r>
  <r>
    <x v="9"/>
    <x v="18"/>
    <x v="19"/>
    <x v="0"/>
    <x v="11"/>
    <x v="16"/>
    <x v="16"/>
    <x v="15"/>
    <x v="15"/>
    <x v="0"/>
    <x v="65"/>
    <x v="68"/>
    <x v="63"/>
    <x v="64"/>
    <x v="6"/>
    <x v="64"/>
    <x v="9"/>
    <x v="8"/>
    <x v="20"/>
    <x v="4"/>
    <x v="4"/>
    <x v="52"/>
    <x v="56"/>
    <x v="2"/>
    <x v="2"/>
    <x v="14"/>
    <x v="18"/>
    <x v="11"/>
    <x v="2"/>
    <x v="4"/>
    <x v="2"/>
    <x v="11"/>
  </r>
  <r>
    <x v="9"/>
    <x v="19"/>
    <x v="20"/>
    <x v="0"/>
    <x v="12"/>
    <x v="17"/>
    <x v="17"/>
    <x v="16"/>
    <x v="16"/>
    <x v="0"/>
    <x v="66"/>
    <x v="69"/>
    <x v="64"/>
    <x v="65"/>
    <x v="30"/>
    <x v="65"/>
    <x v="42"/>
    <x v="2"/>
    <x v="41"/>
    <x v="4"/>
    <x v="0"/>
    <x v="53"/>
    <x v="57"/>
    <x v="0"/>
    <x v="0"/>
    <x v="5"/>
    <x v="2"/>
    <x v="12"/>
    <x v="1"/>
    <x v="3"/>
    <x v="2"/>
    <x v="12"/>
  </r>
  <r>
    <x v="10"/>
    <x v="6"/>
    <x v="6"/>
    <x v="0"/>
    <x v="6"/>
    <x v="3"/>
    <x v="3"/>
    <x v="3"/>
    <x v="3"/>
    <x v="0"/>
    <x v="67"/>
    <x v="70"/>
    <x v="65"/>
    <x v="66"/>
    <x v="13"/>
    <x v="66"/>
    <x v="23"/>
    <x v="2"/>
    <x v="42"/>
    <x v="5"/>
    <x v="3"/>
    <x v="8"/>
    <x v="10"/>
    <x v="0"/>
    <x v="0"/>
    <x v="5"/>
    <x v="5"/>
    <x v="6"/>
    <x v="2"/>
    <x v="5"/>
    <x v="3"/>
    <x v="6"/>
  </r>
  <r>
    <x v="10"/>
    <x v="8"/>
    <x v="8"/>
    <x v="1"/>
    <x v="7"/>
    <x v="5"/>
    <x v="5"/>
    <x v="5"/>
    <x v="5"/>
    <x v="0"/>
    <x v="68"/>
    <x v="71"/>
    <x v="66"/>
    <x v="67"/>
    <x v="31"/>
    <x v="67"/>
    <x v="43"/>
    <x v="2"/>
    <x v="13"/>
    <x v="3"/>
    <x v="4"/>
    <x v="4"/>
    <x v="58"/>
    <x v="0"/>
    <x v="0"/>
    <x v="2"/>
    <x v="5"/>
    <x v="7"/>
    <x v="0"/>
    <x v="6"/>
    <x v="0"/>
    <x v="7"/>
  </r>
  <r>
    <x v="10"/>
    <x v="0"/>
    <x v="10"/>
    <x v="1"/>
    <x v="0"/>
    <x v="7"/>
    <x v="7"/>
    <x v="6"/>
    <x v="6"/>
    <x v="0"/>
    <x v="69"/>
    <x v="72"/>
    <x v="67"/>
    <x v="68"/>
    <x v="26"/>
    <x v="68"/>
    <x v="36"/>
    <x v="0"/>
    <x v="33"/>
    <x v="5"/>
    <x v="3"/>
    <x v="52"/>
    <x v="59"/>
    <x v="0"/>
    <x v="0"/>
    <x v="5"/>
    <x v="6"/>
    <x v="0"/>
    <x v="0"/>
    <x v="0"/>
    <x v="0"/>
    <x v="0"/>
  </r>
  <r>
    <x v="10"/>
    <x v="14"/>
    <x v="15"/>
    <x v="0"/>
    <x v="9"/>
    <x v="12"/>
    <x v="12"/>
    <x v="11"/>
    <x v="11"/>
    <x v="0"/>
    <x v="70"/>
    <x v="73"/>
    <x v="68"/>
    <x v="69"/>
    <x v="32"/>
    <x v="69"/>
    <x v="44"/>
    <x v="6"/>
    <x v="16"/>
    <x v="14"/>
    <x v="1"/>
    <x v="54"/>
    <x v="60"/>
    <x v="0"/>
    <x v="0"/>
    <x v="11"/>
    <x v="5"/>
    <x v="9"/>
    <x v="1"/>
    <x v="3"/>
    <x v="2"/>
    <x v="9"/>
  </r>
  <r>
    <x v="10"/>
    <x v="15"/>
    <x v="16"/>
    <x v="0"/>
    <x v="1"/>
    <x v="13"/>
    <x v="13"/>
    <x v="12"/>
    <x v="12"/>
    <x v="0"/>
    <x v="71"/>
    <x v="74"/>
    <x v="69"/>
    <x v="70"/>
    <x v="0"/>
    <x v="9"/>
    <x v="45"/>
    <x v="8"/>
    <x v="43"/>
    <x v="15"/>
    <x v="9"/>
    <x v="55"/>
    <x v="61"/>
    <x v="0"/>
    <x v="0"/>
    <x v="15"/>
    <x v="19"/>
    <x v="1"/>
    <x v="0"/>
    <x v="1"/>
    <x v="0"/>
    <x v="1"/>
  </r>
  <r>
    <x v="10"/>
    <x v="16"/>
    <x v="17"/>
    <x v="0"/>
    <x v="3"/>
    <x v="14"/>
    <x v="14"/>
    <x v="13"/>
    <x v="13"/>
    <x v="0"/>
    <x v="72"/>
    <x v="75"/>
    <x v="70"/>
    <x v="36"/>
    <x v="33"/>
    <x v="70"/>
    <x v="15"/>
    <x v="2"/>
    <x v="24"/>
    <x v="3"/>
    <x v="3"/>
    <x v="20"/>
    <x v="62"/>
    <x v="0"/>
    <x v="0"/>
    <x v="5"/>
    <x v="2"/>
    <x v="3"/>
    <x v="1"/>
    <x v="2"/>
    <x v="1"/>
    <x v="3"/>
  </r>
  <r>
    <x v="10"/>
    <x v="17"/>
    <x v="18"/>
    <x v="1"/>
    <x v="10"/>
    <x v="15"/>
    <x v="15"/>
    <x v="14"/>
    <x v="14"/>
    <x v="0"/>
    <x v="73"/>
    <x v="76"/>
    <x v="71"/>
    <x v="71"/>
    <x v="34"/>
    <x v="71"/>
    <x v="7"/>
    <x v="2"/>
    <x v="8"/>
    <x v="5"/>
    <x v="3"/>
    <x v="56"/>
    <x v="63"/>
    <x v="0"/>
    <x v="0"/>
    <x v="5"/>
    <x v="2"/>
    <x v="10"/>
    <x v="1"/>
    <x v="4"/>
    <x v="2"/>
    <x v="10"/>
  </r>
  <r>
    <x v="10"/>
    <x v="18"/>
    <x v="19"/>
    <x v="0"/>
    <x v="11"/>
    <x v="16"/>
    <x v="16"/>
    <x v="15"/>
    <x v="15"/>
    <x v="0"/>
    <x v="74"/>
    <x v="77"/>
    <x v="72"/>
    <x v="17"/>
    <x v="13"/>
    <x v="72"/>
    <x v="15"/>
    <x v="2"/>
    <x v="14"/>
    <x v="3"/>
    <x v="3"/>
    <x v="15"/>
    <x v="15"/>
    <x v="0"/>
    <x v="0"/>
    <x v="5"/>
    <x v="2"/>
    <x v="11"/>
    <x v="2"/>
    <x v="4"/>
    <x v="2"/>
    <x v="11"/>
  </r>
  <r>
    <x v="10"/>
    <x v="19"/>
    <x v="20"/>
    <x v="0"/>
    <x v="12"/>
    <x v="17"/>
    <x v="17"/>
    <x v="16"/>
    <x v="16"/>
    <x v="0"/>
    <x v="75"/>
    <x v="78"/>
    <x v="73"/>
    <x v="72"/>
    <x v="35"/>
    <x v="73"/>
    <x v="15"/>
    <x v="2"/>
    <x v="14"/>
    <x v="3"/>
    <x v="3"/>
    <x v="15"/>
    <x v="15"/>
    <x v="0"/>
    <x v="0"/>
    <x v="5"/>
    <x v="2"/>
    <x v="12"/>
    <x v="1"/>
    <x v="3"/>
    <x v="2"/>
    <x v="12"/>
  </r>
  <r>
    <x v="10"/>
    <x v="20"/>
    <x v="21"/>
    <x v="0"/>
    <x v="13"/>
    <x v="18"/>
    <x v="18"/>
    <x v="17"/>
    <x v="17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0"/>
    <x v="21"/>
    <x v="22"/>
    <x v="0"/>
    <x v="14"/>
    <x v="19"/>
    <x v="19"/>
    <x v="18"/>
    <x v="18"/>
    <x v="0"/>
    <x v="76"/>
    <x v="80"/>
    <x v="74"/>
    <x v="73"/>
    <x v="2"/>
    <x v="74"/>
    <x v="46"/>
    <x v="0"/>
    <x v="23"/>
    <x v="12"/>
    <x v="4"/>
    <x v="57"/>
    <x v="64"/>
    <x v="0"/>
    <x v="0"/>
    <x v="5"/>
    <x v="2"/>
    <x v="14"/>
    <x v="2"/>
    <x v="7"/>
    <x v="3"/>
    <x v="14"/>
  </r>
  <r>
    <x v="10"/>
    <x v="22"/>
    <x v="23"/>
    <x v="0"/>
    <x v="13"/>
    <x v="19"/>
    <x v="19"/>
    <x v="18"/>
    <x v="18"/>
    <x v="0"/>
    <x v="77"/>
    <x v="81"/>
    <x v="75"/>
    <x v="74"/>
    <x v="5"/>
    <x v="56"/>
    <x v="41"/>
    <x v="1"/>
    <x v="19"/>
    <x v="0"/>
    <x v="2"/>
    <x v="22"/>
    <x v="65"/>
    <x v="0"/>
    <x v="0"/>
    <x v="2"/>
    <x v="12"/>
    <x v="13"/>
    <x v="2"/>
    <x v="7"/>
    <x v="3"/>
    <x v="13"/>
  </r>
  <r>
    <x v="10"/>
    <x v="23"/>
    <x v="24"/>
    <x v="0"/>
    <x v="6"/>
    <x v="19"/>
    <x v="19"/>
    <x v="18"/>
    <x v="18"/>
    <x v="0"/>
    <x v="78"/>
    <x v="82"/>
    <x v="76"/>
    <x v="75"/>
    <x v="5"/>
    <x v="75"/>
    <x v="47"/>
    <x v="9"/>
    <x v="44"/>
    <x v="16"/>
    <x v="10"/>
    <x v="58"/>
    <x v="66"/>
    <x v="0"/>
    <x v="0"/>
    <x v="14"/>
    <x v="8"/>
    <x v="6"/>
    <x v="2"/>
    <x v="5"/>
    <x v="3"/>
    <x v="6"/>
  </r>
  <r>
    <x v="10"/>
    <x v="24"/>
    <x v="25"/>
    <x v="0"/>
    <x v="15"/>
    <x v="20"/>
    <x v="20"/>
    <x v="19"/>
    <x v="19"/>
    <x v="0"/>
    <x v="79"/>
    <x v="83"/>
    <x v="77"/>
    <x v="76"/>
    <x v="21"/>
    <x v="76"/>
    <x v="9"/>
    <x v="2"/>
    <x v="32"/>
    <x v="4"/>
    <x v="0"/>
    <x v="35"/>
    <x v="67"/>
    <x v="0"/>
    <x v="0"/>
    <x v="7"/>
    <x v="11"/>
    <x v="15"/>
    <x v="1"/>
    <x v="2"/>
    <x v="1"/>
    <x v="15"/>
  </r>
  <r>
    <x v="10"/>
    <x v="25"/>
    <x v="26"/>
    <x v="0"/>
    <x v="16"/>
    <x v="20"/>
    <x v="20"/>
    <x v="19"/>
    <x v="19"/>
    <x v="0"/>
    <x v="80"/>
    <x v="84"/>
    <x v="78"/>
    <x v="77"/>
    <x v="12"/>
    <x v="77"/>
    <x v="46"/>
    <x v="2"/>
    <x v="45"/>
    <x v="3"/>
    <x v="3"/>
    <x v="7"/>
    <x v="68"/>
    <x v="0"/>
    <x v="0"/>
    <x v="5"/>
    <x v="5"/>
    <x v="16"/>
    <x v="1"/>
    <x v="2"/>
    <x v="1"/>
    <x v="16"/>
  </r>
  <r>
    <x v="10"/>
    <x v="3"/>
    <x v="27"/>
    <x v="0"/>
    <x v="3"/>
    <x v="20"/>
    <x v="20"/>
    <x v="19"/>
    <x v="19"/>
    <x v="0"/>
    <x v="81"/>
    <x v="85"/>
    <x v="79"/>
    <x v="78"/>
    <x v="36"/>
    <x v="78"/>
    <x v="22"/>
    <x v="2"/>
    <x v="22"/>
    <x v="3"/>
    <x v="3"/>
    <x v="50"/>
    <x v="69"/>
    <x v="0"/>
    <x v="0"/>
    <x v="5"/>
    <x v="2"/>
    <x v="3"/>
    <x v="1"/>
    <x v="2"/>
    <x v="1"/>
    <x v="3"/>
  </r>
  <r>
    <x v="10"/>
    <x v="26"/>
    <x v="28"/>
    <x v="1"/>
    <x v="17"/>
    <x v="7"/>
    <x v="7"/>
    <x v="6"/>
    <x v="6"/>
    <x v="0"/>
    <x v="82"/>
    <x v="86"/>
    <x v="80"/>
    <x v="79"/>
    <x v="22"/>
    <x v="79"/>
    <x v="48"/>
    <x v="2"/>
    <x v="33"/>
    <x v="5"/>
    <x v="3"/>
    <x v="52"/>
    <x v="70"/>
    <x v="0"/>
    <x v="0"/>
    <x v="4"/>
    <x v="2"/>
    <x v="17"/>
    <x v="0"/>
    <x v="0"/>
    <x v="0"/>
    <x v="17"/>
  </r>
  <r>
    <x v="10"/>
    <x v="27"/>
    <x v="29"/>
    <x v="0"/>
    <x v="11"/>
    <x v="21"/>
    <x v="21"/>
    <x v="20"/>
    <x v="20"/>
    <x v="0"/>
    <x v="83"/>
    <x v="87"/>
    <x v="81"/>
    <x v="80"/>
    <x v="11"/>
    <x v="80"/>
    <x v="49"/>
    <x v="10"/>
    <x v="10"/>
    <x v="17"/>
    <x v="0"/>
    <x v="59"/>
    <x v="71"/>
    <x v="0"/>
    <x v="0"/>
    <x v="10"/>
    <x v="16"/>
    <x v="11"/>
    <x v="2"/>
    <x v="4"/>
    <x v="2"/>
    <x v="11"/>
  </r>
  <r>
    <x v="11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1"/>
    <x v="0"/>
    <x v="10"/>
    <x v="1"/>
    <x v="0"/>
    <x v="7"/>
    <x v="7"/>
    <x v="6"/>
    <x v="6"/>
    <x v="0"/>
    <x v="84"/>
    <x v="88"/>
    <x v="82"/>
    <x v="81"/>
    <x v="15"/>
    <x v="81"/>
    <x v="50"/>
    <x v="2"/>
    <x v="39"/>
    <x v="4"/>
    <x v="1"/>
    <x v="60"/>
    <x v="72"/>
    <x v="0"/>
    <x v="0"/>
    <x v="9"/>
    <x v="3"/>
    <x v="0"/>
    <x v="0"/>
    <x v="0"/>
    <x v="0"/>
    <x v="0"/>
  </r>
  <r>
    <x v="11"/>
    <x v="14"/>
    <x v="15"/>
    <x v="0"/>
    <x v="9"/>
    <x v="12"/>
    <x v="12"/>
    <x v="11"/>
    <x v="11"/>
    <x v="0"/>
    <x v="85"/>
    <x v="89"/>
    <x v="83"/>
    <x v="82"/>
    <x v="12"/>
    <x v="82"/>
    <x v="51"/>
    <x v="11"/>
    <x v="46"/>
    <x v="18"/>
    <x v="4"/>
    <x v="61"/>
    <x v="40"/>
    <x v="0"/>
    <x v="0"/>
    <x v="11"/>
    <x v="6"/>
    <x v="9"/>
    <x v="1"/>
    <x v="3"/>
    <x v="2"/>
    <x v="9"/>
  </r>
  <r>
    <x v="11"/>
    <x v="15"/>
    <x v="16"/>
    <x v="0"/>
    <x v="1"/>
    <x v="13"/>
    <x v="13"/>
    <x v="12"/>
    <x v="12"/>
    <x v="0"/>
    <x v="86"/>
    <x v="90"/>
    <x v="84"/>
    <x v="83"/>
    <x v="37"/>
    <x v="83"/>
    <x v="52"/>
    <x v="12"/>
    <x v="47"/>
    <x v="19"/>
    <x v="11"/>
    <x v="62"/>
    <x v="73"/>
    <x v="0"/>
    <x v="0"/>
    <x v="16"/>
    <x v="20"/>
    <x v="1"/>
    <x v="0"/>
    <x v="1"/>
    <x v="0"/>
    <x v="1"/>
  </r>
  <r>
    <x v="11"/>
    <x v="17"/>
    <x v="18"/>
    <x v="1"/>
    <x v="10"/>
    <x v="15"/>
    <x v="15"/>
    <x v="14"/>
    <x v="14"/>
    <x v="0"/>
    <x v="87"/>
    <x v="91"/>
    <x v="85"/>
    <x v="84"/>
    <x v="38"/>
    <x v="84"/>
    <x v="18"/>
    <x v="2"/>
    <x v="14"/>
    <x v="3"/>
    <x v="3"/>
    <x v="20"/>
    <x v="74"/>
    <x v="0"/>
    <x v="0"/>
    <x v="5"/>
    <x v="2"/>
    <x v="10"/>
    <x v="1"/>
    <x v="4"/>
    <x v="2"/>
    <x v="10"/>
  </r>
  <r>
    <x v="11"/>
    <x v="21"/>
    <x v="22"/>
    <x v="0"/>
    <x v="14"/>
    <x v="19"/>
    <x v="19"/>
    <x v="18"/>
    <x v="18"/>
    <x v="0"/>
    <x v="88"/>
    <x v="92"/>
    <x v="86"/>
    <x v="79"/>
    <x v="12"/>
    <x v="85"/>
    <x v="53"/>
    <x v="3"/>
    <x v="48"/>
    <x v="20"/>
    <x v="12"/>
    <x v="63"/>
    <x v="75"/>
    <x v="0"/>
    <x v="0"/>
    <x v="12"/>
    <x v="2"/>
    <x v="14"/>
    <x v="2"/>
    <x v="7"/>
    <x v="3"/>
    <x v="14"/>
  </r>
  <r>
    <x v="11"/>
    <x v="22"/>
    <x v="23"/>
    <x v="0"/>
    <x v="13"/>
    <x v="19"/>
    <x v="19"/>
    <x v="18"/>
    <x v="18"/>
    <x v="0"/>
    <x v="89"/>
    <x v="93"/>
    <x v="72"/>
    <x v="85"/>
    <x v="39"/>
    <x v="86"/>
    <x v="15"/>
    <x v="2"/>
    <x v="14"/>
    <x v="3"/>
    <x v="3"/>
    <x v="15"/>
    <x v="15"/>
    <x v="0"/>
    <x v="0"/>
    <x v="5"/>
    <x v="2"/>
    <x v="13"/>
    <x v="2"/>
    <x v="7"/>
    <x v="3"/>
    <x v="13"/>
  </r>
  <r>
    <x v="11"/>
    <x v="23"/>
    <x v="24"/>
    <x v="0"/>
    <x v="6"/>
    <x v="19"/>
    <x v="19"/>
    <x v="18"/>
    <x v="18"/>
    <x v="0"/>
    <x v="90"/>
    <x v="94"/>
    <x v="87"/>
    <x v="86"/>
    <x v="6"/>
    <x v="87"/>
    <x v="18"/>
    <x v="2"/>
    <x v="14"/>
    <x v="3"/>
    <x v="3"/>
    <x v="20"/>
    <x v="38"/>
    <x v="0"/>
    <x v="0"/>
    <x v="5"/>
    <x v="2"/>
    <x v="6"/>
    <x v="2"/>
    <x v="5"/>
    <x v="3"/>
    <x v="6"/>
  </r>
  <r>
    <x v="11"/>
    <x v="24"/>
    <x v="25"/>
    <x v="0"/>
    <x v="15"/>
    <x v="20"/>
    <x v="20"/>
    <x v="19"/>
    <x v="19"/>
    <x v="0"/>
    <x v="91"/>
    <x v="95"/>
    <x v="88"/>
    <x v="87"/>
    <x v="36"/>
    <x v="88"/>
    <x v="54"/>
    <x v="2"/>
    <x v="28"/>
    <x v="12"/>
    <x v="4"/>
    <x v="64"/>
    <x v="76"/>
    <x v="0"/>
    <x v="0"/>
    <x v="2"/>
    <x v="12"/>
    <x v="15"/>
    <x v="1"/>
    <x v="2"/>
    <x v="1"/>
    <x v="15"/>
  </r>
  <r>
    <x v="11"/>
    <x v="25"/>
    <x v="26"/>
    <x v="0"/>
    <x v="16"/>
    <x v="20"/>
    <x v="20"/>
    <x v="19"/>
    <x v="19"/>
    <x v="0"/>
    <x v="92"/>
    <x v="96"/>
    <x v="70"/>
    <x v="88"/>
    <x v="12"/>
    <x v="73"/>
    <x v="15"/>
    <x v="2"/>
    <x v="14"/>
    <x v="3"/>
    <x v="3"/>
    <x v="15"/>
    <x v="15"/>
    <x v="0"/>
    <x v="0"/>
    <x v="5"/>
    <x v="2"/>
    <x v="16"/>
    <x v="1"/>
    <x v="2"/>
    <x v="1"/>
    <x v="16"/>
  </r>
  <r>
    <x v="11"/>
    <x v="3"/>
    <x v="27"/>
    <x v="0"/>
    <x v="3"/>
    <x v="20"/>
    <x v="20"/>
    <x v="19"/>
    <x v="19"/>
    <x v="0"/>
    <x v="93"/>
    <x v="97"/>
    <x v="72"/>
    <x v="89"/>
    <x v="12"/>
    <x v="89"/>
    <x v="15"/>
    <x v="2"/>
    <x v="24"/>
    <x v="3"/>
    <x v="3"/>
    <x v="20"/>
    <x v="77"/>
    <x v="0"/>
    <x v="0"/>
    <x v="5"/>
    <x v="2"/>
    <x v="3"/>
    <x v="1"/>
    <x v="2"/>
    <x v="1"/>
    <x v="3"/>
  </r>
  <r>
    <x v="11"/>
    <x v="27"/>
    <x v="29"/>
    <x v="0"/>
    <x v="11"/>
    <x v="21"/>
    <x v="21"/>
    <x v="20"/>
    <x v="20"/>
    <x v="0"/>
    <x v="94"/>
    <x v="98"/>
    <x v="89"/>
    <x v="90"/>
    <x v="11"/>
    <x v="90"/>
    <x v="55"/>
    <x v="13"/>
    <x v="49"/>
    <x v="8"/>
    <x v="13"/>
    <x v="65"/>
    <x v="78"/>
    <x v="0"/>
    <x v="0"/>
    <x v="14"/>
    <x v="21"/>
    <x v="11"/>
    <x v="2"/>
    <x v="4"/>
    <x v="2"/>
    <x v="11"/>
  </r>
  <r>
    <x v="11"/>
    <x v="26"/>
    <x v="30"/>
    <x v="1"/>
    <x v="17"/>
    <x v="22"/>
    <x v="22"/>
    <x v="21"/>
    <x v="21"/>
    <x v="0"/>
    <x v="95"/>
    <x v="99"/>
    <x v="90"/>
    <x v="91"/>
    <x v="40"/>
    <x v="91"/>
    <x v="48"/>
    <x v="2"/>
    <x v="39"/>
    <x v="5"/>
    <x v="2"/>
    <x v="66"/>
    <x v="79"/>
    <x v="0"/>
    <x v="0"/>
    <x v="1"/>
    <x v="2"/>
    <x v="17"/>
    <x v="0"/>
    <x v="0"/>
    <x v="0"/>
    <x v="17"/>
  </r>
  <r>
    <x v="12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2"/>
    <x v="20"/>
    <x v="15"/>
    <x v="0"/>
    <x v="0"/>
    <x v="5"/>
    <x v="2"/>
    <x v="5"/>
    <x v="1"/>
    <x v="4"/>
    <x v="2"/>
    <x v="5"/>
  </r>
  <r>
    <x v="12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2"/>
    <x v="0"/>
    <x v="10"/>
    <x v="1"/>
    <x v="0"/>
    <x v="7"/>
    <x v="7"/>
    <x v="6"/>
    <x v="6"/>
    <x v="0"/>
    <x v="96"/>
    <x v="100"/>
    <x v="91"/>
    <x v="92"/>
    <x v="20"/>
    <x v="92"/>
    <x v="19"/>
    <x v="2"/>
    <x v="17"/>
    <x v="11"/>
    <x v="3"/>
    <x v="67"/>
    <x v="80"/>
    <x v="0"/>
    <x v="0"/>
    <x v="1"/>
    <x v="13"/>
    <x v="0"/>
    <x v="0"/>
    <x v="0"/>
    <x v="0"/>
    <x v="0"/>
  </r>
  <r>
    <x v="12"/>
    <x v="14"/>
    <x v="15"/>
    <x v="0"/>
    <x v="9"/>
    <x v="12"/>
    <x v="12"/>
    <x v="11"/>
    <x v="11"/>
    <x v="0"/>
    <x v="97"/>
    <x v="101"/>
    <x v="92"/>
    <x v="93"/>
    <x v="41"/>
    <x v="93"/>
    <x v="41"/>
    <x v="2"/>
    <x v="50"/>
    <x v="5"/>
    <x v="2"/>
    <x v="68"/>
    <x v="81"/>
    <x v="0"/>
    <x v="0"/>
    <x v="5"/>
    <x v="2"/>
    <x v="9"/>
    <x v="1"/>
    <x v="3"/>
    <x v="2"/>
    <x v="9"/>
  </r>
  <r>
    <x v="12"/>
    <x v="15"/>
    <x v="16"/>
    <x v="0"/>
    <x v="1"/>
    <x v="13"/>
    <x v="13"/>
    <x v="12"/>
    <x v="12"/>
    <x v="0"/>
    <x v="98"/>
    <x v="102"/>
    <x v="93"/>
    <x v="94"/>
    <x v="42"/>
    <x v="94"/>
    <x v="56"/>
    <x v="2"/>
    <x v="1"/>
    <x v="0"/>
    <x v="2"/>
    <x v="69"/>
    <x v="82"/>
    <x v="0"/>
    <x v="0"/>
    <x v="2"/>
    <x v="5"/>
    <x v="1"/>
    <x v="0"/>
    <x v="1"/>
    <x v="0"/>
    <x v="1"/>
  </r>
  <r>
    <x v="12"/>
    <x v="17"/>
    <x v="18"/>
    <x v="1"/>
    <x v="10"/>
    <x v="15"/>
    <x v="15"/>
    <x v="14"/>
    <x v="14"/>
    <x v="0"/>
    <x v="99"/>
    <x v="103"/>
    <x v="94"/>
    <x v="95"/>
    <x v="19"/>
    <x v="95"/>
    <x v="26"/>
    <x v="2"/>
    <x v="14"/>
    <x v="3"/>
    <x v="3"/>
    <x v="70"/>
    <x v="83"/>
    <x v="0"/>
    <x v="0"/>
    <x v="5"/>
    <x v="2"/>
    <x v="10"/>
    <x v="1"/>
    <x v="4"/>
    <x v="2"/>
    <x v="10"/>
  </r>
  <r>
    <x v="12"/>
    <x v="21"/>
    <x v="22"/>
    <x v="0"/>
    <x v="14"/>
    <x v="19"/>
    <x v="19"/>
    <x v="18"/>
    <x v="18"/>
    <x v="0"/>
    <x v="100"/>
    <x v="104"/>
    <x v="95"/>
    <x v="96"/>
    <x v="36"/>
    <x v="96"/>
    <x v="57"/>
    <x v="8"/>
    <x v="51"/>
    <x v="21"/>
    <x v="14"/>
    <x v="71"/>
    <x v="84"/>
    <x v="0"/>
    <x v="0"/>
    <x v="7"/>
    <x v="2"/>
    <x v="14"/>
    <x v="2"/>
    <x v="7"/>
    <x v="3"/>
    <x v="14"/>
  </r>
  <r>
    <x v="12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2"/>
    <x v="24"/>
    <x v="25"/>
    <x v="0"/>
    <x v="15"/>
    <x v="20"/>
    <x v="20"/>
    <x v="19"/>
    <x v="19"/>
    <x v="0"/>
    <x v="101"/>
    <x v="105"/>
    <x v="96"/>
    <x v="97"/>
    <x v="43"/>
    <x v="97"/>
    <x v="58"/>
    <x v="0"/>
    <x v="52"/>
    <x v="22"/>
    <x v="12"/>
    <x v="72"/>
    <x v="85"/>
    <x v="0"/>
    <x v="0"/>
    <x v="8"/>
    <x v="3"/>
    <x v="15"/>
    <x v="1"/>
    <x v="2"/>
    <x v="1"/>
    <x v="15"/>
  </r>
  <r>
    <x v="12"/>
    <x v="27"/>
    <x v="29"/>
    <x v="0"/>
    <x v="11"/>
    <x v="21"/>
    <x v="21"/>
    <x v="20"/>
    <x v="20"/>
    <x v="0"/>
    <x v="102"/>
    <x v="106"/>
    <x v="97"/>
    <x v="98"/>
    <x v="39"/>
    <x v="98"/>
    <x v="59"/>
    <x v="14"/>
    <x v="53"/>
    <x v="23"/>
    <x v="14"/>
    <x v="73"/>
    <x v="86"/>
    <x v="3"/>
    <x v="3"/>
    <x v="17"/>
    <x v="22"/>
    <x v="11"/>
    <x v="2"/>
    <x v="4"/>
    <x v="2"/>
    <x v="11"/>
  </r>
  <r>
    <x v="12"/>
    <x v="26"/>
    <x v="30"/>
    <x v="1"/>
    <x v="17"/>
    <x v="22"/>
    <x v="22"/>
    <x v="21"/>
    <x v="21"/>
    <x v="0"/>
    <x v="103"/>
    <x v="107"/>
    <x v="98"/>
    <x v="99"/>
    <x v="40"/>
    <x v="99"/>
    <x v="60"/>
    <x v="2"/>
    <x v="11"/>
    <x v="12"/>
    <x v="1"/>
    <x v="74"/>
    <x v="87"/>
    <x v="0"/>
    <x v="0"/>
    <x v="2"/>
    <x v="3"/>
    <x v="17"/>
    <x v="0"/>
    <x v="0"/>
    <x v="0"/>
    <x v="17"/>
  </r>
  <r>
    <x v="12"/>
    <x v="28"/>
    <x v="31"/>
    <x v="1"/>
    <x v="9"/>
    <x v="15"/>
    <x v="15"/>
    <x v="14"/>
    <x v="14"/>
    <x v="0"/>
    <x v="104"/>
    <x v="108"/>
    <x v="99"/>
    <x v="100"/>
    <x v="44"/>
    <x v="100"/>
    <x v="23"/>
    <x v="2"/>
    <x v="14"/>
    <x v="5"/>
    <x v="3"/>
    <x v="75"/>
    <x v="88"/>
    <x v="0"/>
    <x v="0"/>
    <x v="2"/>
    <x v="2"/>
    <x v="9"/>
    <x v="1"/>
    <x v="3"/>
    <x v="2"/>
    <x v="9"/>
  </r>
  <r>
    <x v="12"/>
    <x v="29"/>
    <x v="32"/>
    <x v="1"/>
    <x v="11"/>
    <x v="15"/>
    <x v="15"/>
    <x v="14"/>
    <x v="14"/>
    <x v="0"/>
    <x v="105"/>
    <x v="109"/>
    <x v="100"/>
    <x v="101"/>
    <x v="18"/>
    <x v="101"/>
    <x v="26"/>
    <x v="2"/>
    <x v="14"/>
    <x v="3"/>
    <x v="3"/>
    <x v="70"/>
    <x v="89"/>
    <x v="0"/>
    <x v="0"/>
    <x v="5"/>
    <x v="2"/>
    <x v="11"/>
    <x v="2"/>
    <x v="4"/>
    <x v="2"/>
    <x v="11"/>
  </r>
  <r>
    <x v="12"/>
    <x v="26"/>
    <x v="33"/>
    <x v="0"/>
    <x v="17"/>
    <x v="23"/>
    <x v="23"/>
    <x v="22"/>
    <x v="22"/>
    <x v="0"/>
    <x v="106"/>
    <x v="110"/>
    <x v="101"/>
    <x v="102"/>
    <x v="42"/>
    <x v="102"/>
    <x v="61"/>
    <x v="15"/>
    <x v="54"/>
    <x v="15"/>
    <x v="15"/>
    <x v="76"/>
    <x v="13"/>
    <x v="0"/>
    <x v="0"/>
    <x v="18"/>
    <x v="9"/>
    <x v="17"/>
    <x v="0"/>
    <x v="0"/>
    <x v="0"/>
    <x v="17"/>
  </r>
  <r>
    <x v="12"/>
    <x v="30"/>
    <x v="34"/>
    <x v="0"/>
    <x v="18"/>
    <x v="24"/>
    <x v="24"/>
    <x v="23"/>
    <x v="23"/>
    <x v="0"/>
    <x v="107"/>
    <x v="111"/>
    <x v="102"/>
    <x v="103"/>
    <x v="13"/>
    <x v="103"/>
    <x v="62"/>
    <x v="1"/>
    <x v="22"/>
    <x v="13"/>
    <x v="2"/>
    <x v="77"/>
    <x v="90"/>
    <x v="0"/>
    <x v="0"/>
    <x v="5"/>
    <x v="13"/>
    <x v="18"/>
    <x v="0"/>
    <x v="6"/>
    <x v="0"/>
    <x v="18"/>
  </r>
  <r>
    <x v="12"/>
    <x v="31"/>
    <x v="35"/>
    <x v="0"/>
    <x v="19"/>
    <x v="25"/>
    <x v="25"/>
    <x v="24"/>
    <x v="24"/>
    <x v="0"/>
    <x v="108"/>
    <x v="112"/>
    <x v="103"/>
    <x v="104"/>
    <x v="9"/>
    <x v="104"/>
    <x v="63"/>
    <x v="0"/>
    <x v="14"/>
    <x v="11"/>
    <x v="3"/>
    <x v="78"/>
    <x v="91"/>
    <x v="0"/>
    <x v="0"/>
    <x v="5"/>
    <x v="5"/>
    <x v="19"/>
    <x v="1"/>
    <x v="2"/>
    <x v="1"/>
    <x v="19"/>
  </r>
  <r>
    <x v="12"/>
    <x v="32"/>
    <x v="36"/>
    <x v="0"/>
    <x v="20"/>
    <x v="25"/>
    <x v="25"/>
    <x v="24"/>
    <x v="24"/>
    <x v="0"/>
    <x v="109"/>
    <x v="113"/>
    <x v="104"/>
    <x v="105"/>
    <x v="5"/>
    <x v="105"/>
    <x v="64"/>
    <x v="0"/>
    <x v="50"/>
    <x v="5"/>
    <x v="2"/>
    <x v="51"/>
    <x v="92"/>
    <x v="0"/>
    <x v="0"/>
    <x v="5"/>
    <x v="12"/>
    <x v="20"/>
    <x v="1"/>
    <x v="2"/>
    <x v="1"/>
    <x v="20"/>
  </r>
  <r>
    <x v="12"/>
    <x v="29"/>
    <x v="37"/>
    <x v="0"/>
    <x v="13"/>
    <x v="26"/>
    <x v="26"/>
    <x v="25"/>
    <x v="25"/>
    <x v="0"/>
    <x v="110"/>
    <x v="114"/>
    <x v="105"/>
    <x v="106"/>
    <x v="13"/>
    <x v="106"/>
    <x v="65"/>
    <x v="6"/>
    <x v="7"/>
    <x v="4"/>
    <x v="1"/>
    <x v="4"/>
    <x v="93"/>
    <x v="0"/>
    <x v="0"/>
    <x v="1"/>
    <x v="9"/>
    <x v="13"/>
    <x v="2"/>
    <x v="7"/>
    <x v="3"/>
    <x v="13"/>
  </r>
  <r>
    <x v="13"/>
    <x v="0"/>
    <x v="10"/>
    <x v="1"/>
    <x v="0"/>
    <x v="7"/>
    <x v="7"/>
    <x v="6"/>
    <x v="6"/>
    <x v="0"/>
    <x v="111"/>
    <x v="115"/>
    <x v="106"/>
    <x v="107"/>
    <x v="24"/>
    <x v="107"/>
    <x v="66"/>
    <x v="1"/>
    <x v="55"/>
    <x v="11"/>
    <x v="3"/>
    <x v="79"/>
    <x v="94"/>
    <x v="0"/>
    <x v="0"/>
    <x v="7"/>
    <x v="23"/>
    <x v="0"/>
    <x v="0"/>
    <x v="0"/>
    <x v="0"/>
    <x v="0"/>
  </r>
  <r>
    <x v="13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  <x v="1"/>
  </r>
  <r>
    <x v="13"/>
    <x v="21"/>
    <x v="22"/>
    <x v="0"/>
    <x v="14"/>
    <x v="19"/>
    <x v="19"/>
    <x v="18"/>
    <x v="18"/>
    <x v="0"/>
    <x v="112"/>
    <x v="116"/>
    <x v="107"/>
    <x v="108"/>
    <x v="36"/>
    <x v="108"/>
    <x v="67"/>
    <x v="16"/>
    <x v="56"/>
    <x v="24"/>
    <x v="16"/>
    <x v="80"/>
    <x v="95"/>
    <x v="2"/>
    <x v="3"/>
    <x v="18"/>
    <x v="2"/>
    <x v="14"/>
    <x v="2"/>
    <x v="7"/>
    <x v="3"/>
    <x v="14"/>
  </r>
  <r>
    <x v="13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3"/>
    <x v="24"/>
    <x v="25"/>
    <x v="0"/>
    <x v="15"/>
    <x v="20"/>
    <x v="20"/>
    <x v="19"/>
    <x v="19"/>
    <x v="0"/>
    <x v="113"/>
    <x v="117"/>
    <x v="94"/>
    <x v="109"/>
    <x v="27"/>
    <x v="109"/>
    <x v="15"/>
    <x v="2"/>
    <x v="24"/>
    <x v="3"/>
    <x v="3"/>
    <x v="20"/>
    <x v="96"/>
    <x v="0"/>
    <x v="0"/>
    <x v="5"/>
    <x v="2"/>
    <x v="15"/>
    <x v="1"/>
    <x v="2"/>
    <x v="1"/>
    <x v="15"/>
  </r>
  <r>
    <x v="13"/>
    <x v="27"/>
    <x v="29"/>
    <x v="0"/>
    <x v="11"/>
    <x v="21"/>
    <x v="21"/>
    <x v="20"/>
    <x v="20"/>
    <x v="0"/>
    <x v="114"/>
    <x v="118"/>
    <x v="108"/>
    <x v="110"/>
    <x v="11"/>
    <x v="106"/>
    <x v="68"/>
    <x v="17"/>
    <x v="57"/>
    <x v="25"/>
    <x v="17"/>
    <x v="81"/>
    <x v="97"/>
    <x v="4"/>
    <x v="3"/>
    <x v="19"/>
    <x v="24"/>
    <x v="11"/>
    <x v="2"/>
    <x v="4"/>
    <x v="2"/>
    <x v="11"/>
  </r>
  <r>
    <x v="13"/>
    <x v="26"/>
    <x v="30"/>
    <x v="1"/>
    <x v="17"/>
    <x v="22"/>
    <x v="22"/>
    <x v="21"/>
    <x v="21"/>
    <x v="0"/>
    <x v="115"/>
    <x v="119"/>
    <x v="109"/>
    <x v="111"/>
    <x v="45"/>
    <x v="110"/>
    <x v="12"/>
    <x v="0"/>
    <x v="58"/>
    <x v="12"/>
    <x v="4"/>
    <x v="82"/>
    <x v="98"/>
    <x v="0"/>
    <x v="0"/>
    <x v="1"/>
    <x v="5"/>
    <x v="17"/>
    <x v="0"/>
    <x v="0"/>
    <x v="0"/>
    <x v="17"/>
  </r>
  <r>
    <x v="13"/>
    <x v="28"/>
    <x v="31"/>
    <x v="1"/>
    <x v="9"/>
    <x v="15"/>
    <x v="15"/>
    <x v="14"/>
    <x v="14"/>
    <x v="0"/>
    <x v="116"/>
    <x v="120"/>
    <x v="110"/>
    <x v="112"/>
    <x v="46"/>
    <x v="111"/>
    <x v="18"/>
    <x v="2"/>
    <x v="24"/>
    <x v="5"/>
    <x v="2"/>
    <x v="83"/>
    <x v="99"/>
    <x v="0"/>
    <x v="0"/>
    <x v="2"/>
    <x v="2"/>
    <x v="9"/>
    <x v="1"/>
    <x v="3"/>
    <x v="2"/>
    <x v="9"/>
  </r>
  <r>
    <x v="13"/>
    <x v="29"/>
    <x v="32"/>
    <x v="1"/>
    <x v="11"/>
    <x v="15"/>
    <x v="15"/>
    <x v="14"/>
    <x v="14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3"/>
    <x v="26"/>
    <x v="33"/>
    <x v="0"/>
    <x v="17"/>
    <x v="23"/>
    <x v="23"/>
    <x v="22"/>
    <x v="22"/>
    <x v="0"/>
    <x v="117"/>
    <x v="121"/>
    <x v="111"/>
    <x v="113"/>
    <x v="8"/>
    <x v="112"/>
    <x v="69"/>
    <x v="6"/>
    <x v="59"/>
    <x v="26"/>
    <x v="13"/>
    <x v="84"/>
    <x v="100"/>
    <x v="0"/>
    <x v="0"/>
    <x v="10"/>
    <x v="11"/>
    <x v="17"/>
    <x v="0"/>
    <x v="0"/>
    <x v="0"/>
    <x v="17"/>
  </r>
  <r>
    <x v="13"/>
    <x v="30"/>
    <x v="34"/>
    <x v="0"/>
    <x v="18"/>
    <x v="24"/>
    <x v="24"/>
    <x v="23"/>
    <x v="23"/>
    <x v="0"/>
    <x v="118"/>
    <x v="122"/>
    <x v="112"/>
    <x v="114"/>
    <x v="6"/>
    <x v="113"/>
    <x v="46"/>
    <x v="2"/>
    <x v="8"/>
    <x v="8"/>
    <x v="2"/>
    <x v="85"/>
    <x v="13"/>
    <x v="0"/>
    <x v="0"/>
    <x v="2"/>
    <x v="25"/>
    <x v="18"/>
    <x v="0"/>
    <x v="6"/>
    <x v="0"/>
    <x v="18"/>
  </r>
  <r>
    <x v="13"/>
    <x v="31"/>
    <x v="35"/>
    <x v="0"/>
    <x v="19"/>
    <x v="25"/>
    <x v="25"/>
    <x v="24"/>
    <x v="24"/>
    <x v="0"/>
    <x v="119"/>
    <x v="123"/>
    <x v="113"/>
    <x v="115"/>
    <x v="13"/>
    <x v="114"/>
    <x v="15"/>
    <x v="2"/>
    <x v="14"/>
    <x v="3"/>
    <x v="3"/>
    <x v="15"/>
    <x v="15"/>
    <x v="0"/>
    <x v="0"/>
    <x v="5"/>
    <x v="2"/>
    <x v="19"/>
    <x v="1"/>
    <x v="2"/>
    <x v="1"/>
    <x v="19"/>
  </r>
  <r>
    <x v="13"/>
    <x v="32"/>
    <x v="36"/>
    <x v="0"/>
    <x v="20"/>
    <x v="25"/>
    <x v="25"/>
    <x v="24"/>
    <x v="24"/>
    <x v="0"/>
    <x v="120"/>
    <x v="124"/>
    <x v="114"/>
    <x v="116"/>
    <x v="13"/>
    <x v="115"/>
    <x v="70"/>
    <x v="3"/>
    <x v="8"/>
    <x v="12"/>
    <x v="0"/>
    <x v="86"/>
    <x v="101"/>
    <x v="0"/>
    <x v="0"/>
    <x v="7"/>
    <x v="11"/>
    <x v="20"/>
    <x v="1"/>
    <x v="2"/>
    <x v="1"/>
    <x v="20"/>
  </r>
  <r>
    <x v="13"/>
    <x v="29"/>
    <x v="37"/>
    <x v="0"/>
    <x v="13"/>
    <x v="26"/>
    <x v="26"/>
    <x v="25"/>
    <x v="25"/>
    <x v="0"/>
    <x v="121"/>
    <x v="125"/>
    <x v="115"/>
    <x v="117"/>
    <x v="13"/>
    <x v="116"/>
    <x v="71"/>
    <x v="3"/>
    <x v="22"/>
    <x v="4"/>
    <x v="3"/>
    <x v="87"/>
    <x v="102"/>
    <x v="0"/>
    <x v="0"/>
    <x v="5"/>
    <x v="26"/>
    <x v="13"/>
    <x v="2"/>
    <x v="7"/>
    <x v="3"/>
    <x v="13"/>
  </r>
  <r>
    <x v="14"/>
    <x v="0"/>
    <x v="10"/>
    <x v="1"/>
    <x v="0"/>
    <x v="7"/>
    <x v="7"/>
    <x v="6"/>
    <x v="6"/>
    <x v="0"/>
    <x v="122"/>
    <x v="126"/>
    <x v="116"/>
    <x v="118"/>
    <x v="17"/>
    <x v="117"/>
    <x v="50"/>
    <x v="2"/>
    <x v="39"/>
    <x v="1"/>
    <x v="2"/>
    <x v="41"/>
    <x v="103"/>
    <x v="0"/>
    <x v="0"/>
    <x v="11"/>
    <x v="26"/>
    <x v="0"/>
    <x v="0"/>
    <x v="0"/>
    <x v="0"/>
    <x v="0"/>
  </r>
  <r>
    <x v="14"/>
    <x v="12"/>
    <x v="13"/>
    <x v="1"/>
    <x v="5"/>
    <x v="10"/>
    <x v="10"/>
    <x v="9"/>
    <x v="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  <x v="5"/>
  </r>
  <r>
    <x v="14"/>
    <x v="21"/>
    <x v="22"/>
    <x v="0"/>
    <x v="14"/>
    <x v="19"/>
    <x v="19"/>
    <x v="18"/>
    <x v="18"/>
    <x v="0"/>
    <x v="123"/>
    <x v="127"/>
    <x v="117"/>
    <x v="119"/>
    <x v="35"/>
    <x v="118"/>
    <x v="72"/>
    <x v="18"/>
    <x v="60"/>
    <x v="27"/>
    <x v="18"/>
    <x v="88"/>
    <x v="104"/>
    <x v="0"/>
    <x v="0"/>
    <x v="20"/>
    <x v="2"/>
    <x v="14"/>
    <x v="2"/>
    <x v="7"/>
    <x v="3"/>
    <x v="14"/>
  </r>
  <r>
    <x v="14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5"/>
    <x v="6"/>
    <x v="2"/>
    <x v="5"/>
    <x v="3"/>
    <x v="6"/>
  </r>
  <r>
    <x v="14"/>
    <x v="24"/>
    <x v="25"/>
    <x v="0"/>
    <x v="15"/>
    <x v="20"/>
    <x v="20"/>
    <x v="19"/>
    <x v="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5"/>
    <x v="1"/>
    <x v="2"/>
    <x v="1"/>
    <x v="15"/>
  </r>
  <r>
    <x v="14"/>
    <x v="27"/>
    <x v="29"/>
    <x v="0"/>
    <x v="11"/>
    <x v="21"/>
    <x v="21"/>
    <x v="20"/>
    <x v="20"/>
    <x v="0"/>
    <x v="124"/>
    <x v="128"/>
    <x v="118"/>
    <x v="120"/>
    <x v="11"/>
    <x v="119"/>
    <x v="18"/>
    <x v="2"/>
    <x v="14"/>
    <x v="5"/>
    <x v="3"/>
    <x v="27"/>
    <x v="105"/>
    <x v="0"/>
    <x v="0"/>
    <x v="2"/>
    <x v="2"/>
    <x v="11"/>
    <x v="2"/>
    <x v="4"/>
    <x v="2"/>
    <x v="11"/>
  </r>
  <r>
    <x v="14"/>
    <x v="26"/>
    <x v="30"/>
    <x v="1"/>
    <x v="17"/>
    <x v="22"/>
    <x v="22"/>
    <x v="21"/>
    <x v="21"/>
    <x v="0"/>
    <x v="125"/>
    <x v="129"/>
    <x v="119"/>
    <x v="121"/>
    <x v="18"/>
    <x v="120"/>
    <x v="25"/>
    <x v="2"/>
    <x v="61"/>
    <x v="1"/>
    <x v="1"/>
    <x v="89"/>
    <x v="106"/>
    <x v="0"/>
    <x v="0"/>
    <x v="12"/>
    <x v="10"/>
    <x v="17"/>
    <x v="0"/>
    <x v="0"/>
    <x v="0"/>
    <x v="17"/>
  </r>
  <r>
    <x v="14"/>
    <x v="28"/>
    <x v="31"/>
    <x v="1"/>
    <x v="9"/>
    <x v="15"/>
    <x v="15"/>
    <x v="14"/>
    <x v="14"/>
    <x v="0"/>
    <x v="126"/>
    <x v="130"/>
    <x v="120"/>
    <x v="122"/>
    <x v="19"/>
    <x v="121"/>
    <x v="8"/>
    <x v="2"/>
    <x v="19"/>
    <x v="5"/>
    <x v="3"/>
    <x v="31"/>
    <x v="107"/>
    <x v="0"/>
    <x v="0"/>
    <x v="2"/>
    <x v="2"/>
    <x v="9"/>
    <x v="1"/>
    <x v="3"/>
    <x v="2"/>
    <x v="9"/>
  </r>
  <r>
    <x v="14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4"/>
    <x v="30"/>
    <x v="34"/>
    <x v="0"/>
    <x v="18"/>
    <x v="24"/>
    <x v="24"/>
    <x v="23"/>
    <x v="2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4"/>
    <x v="32"/>
    <x v="36"/>
    <x v="0"/>
    <x v="20"/>
    <x v="25"/>
    <x v="25"/>
    <x v="24"/>
    <x v="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14"/>
    <x v="29"/>
    <x v="37"/>
    <x v="0"/>
    <x v="13"/>
    <x v="26"/>
    <x v="26"/>
    <x v="25"/>
    <x v="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5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5"/>
    <x v="0"/>
    <x v="10"/>
    <x v="1"/>
    <x v="0"/>
    <x v="7"/>
    <x v="7"/>
    <x v="6"/>
    <x v="6"/>
    <x v="0"/>
    <x v="127"/>
    <x v="131"/>
    <x v="121"/>
    <x v="123"/>
    <x v="47"/>
    <x v="122"/>
    <x v="20"/>
    <x v="1"/>
    <x v="3"/>
    <x v="5"/>
    <x v="1"/>
    <x v="90"/>
    <x v="108"/>
    <x v="0"/>
    <x v="0"/>
    <x v="0"/>
    <x v="3"/>
    <x v="0"/>
    <x v="0"/>
    <x v="0"/>
    <x v="0"/>
    <x v="0"/>
  </r>
  <r>
    <x v="15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5"/>
    <x v="1"/>
    <x v="0"/>
    <x v="1"/>
    <x v="0"/>
    <x v="1"/>
  </r>
  <r>
    <x v="15"/>
    <x v="21"/>
    <x v="22"/>
    <x v="0"/>
    <x v="14"/>
    <x v="19"/>
    <x v="19"/>
    <x v="18"/>
    <x v="18"/>
    <x v="0"/>
    <x v="128"/>
    <x v="132"/>
    <x v="122"/>
    <x v="124"/>
    <x v="48"/>
    <x v="123"/>
    <x v="73"/>
    <x v="19"/>
    <x v="62"/>
    <x v="28"/>
    <x v="19"/>
    <x v="91"/>
    <x v="109"/>
    <x v="2"/>
    <x v="0"/>
    <x v="21"/>
    <x v="2"/>
    <x v="14"/>
    <x v="2"/>
    <x v="7"/>
    <x v="3"/>
    <x v="14"/>
  </r>
  <r>
    <x v="15"/>
    <x v="24"/>
    <x v="25"/>
    <x v="0"/>
    <x v="15"/>
    <x v="20"/>
    <x v="20"/>
    <x v="19"/>
    <x v="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5"/>
    <x v="1"/>
    <x v="2"/>
    <x v="1"/>
    <x v="15"/>
  </r>
  <r>
    <x v="15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5"/>
    <x v="26"/>
    <x v="30"/>
    <x v="1"/>
    <x v="17"/>
    <x v="22"/>
    <x v="22"/>
    <x v="21"/>
    <x v="21"/>
    <x v="0"/>
    <x v="129"/>
    <x v="133"/>
    <x v="123"/>
    <x v="125"/>
    <x v="49"/>
    <x v="124"/>
    <x v="74"/>
    <x v="2"/>
    <x v="40"/>
    <x v="13"/>
    <x v="0"/>
    <x v="92"/>
    <x v="110"/>
    <x v="0"/>
    <x v="0"/>
    <x v="11"/>
    <x v="3"/>
    <x v="17"/>
    <x v="0"/>
    <x v="0"/>
    <x v="0"/>
    <x v="17"/>
  </r>
  <r>
    <x v="15"/>
    <x v="28"/>
    <x v="31"/>
    <x v="1"/>
    <x v="9"/>
    <x v="15"/>
    <x v="15"/>
    <x v="14"/>
    <x v="14"/>
    <x v="0"/>
    <x v="130"/>
    <x v="134"/>
    <x v="124"/>
    <x v="126"/>
    <x v="19"/>
    <x v="125"/>
    <x v="41"/>
    <x v="2"/>
    <x v="24"/>
    <x v="3"/>
    <x v="3"/>
    <x v="93"/>
    <x v="111"/>
    <x v="0"/>
    <x v="0"/>
    <x v="2"/>
    <x v="2"/>
    <x v="9"/>
    <x v="1"/>
    <x v="3"/>
    <x v="2"/>
    <x v="9"/>
  </r>
  <r>
    <x v="15"/>
    <x v="26"/>
    <x v="38"/>
    <x v="0"/>
    <x v="17"/>
    <x v="27"/>
    <x v="27"/>
    <x v="26"/>
    <x v="26"/>
    <x v="0"/>
    <x v="131"/>
    <x v="135"/>
    <x v="125"/>
    <x v="127"/>
    <x v="0"/>
    <x v="126"/>
    <x v="75"/>
    <x v="20"/>
    <x v="47"/>
    <x v="29"/>
    <x v="20"/>
    <x v="94"/>
    <x v="112"/>
    <x v="0"/>
    <x v="0"/>
    <x v="22"/>
    <x v="27"/>
    <x v="17"/>
    <x v="0"/>
    <x v="0"/>
    <x v="0"/>
    <x v="17"/>
  </r>
  <r>
    <x v="15"/>
    <x v="22"/>
    <x v="39"/>
    <x v="0"/>
    <x v="13"/>
    <x v="28"/>
    <x v="28"/>
    <x v="27"/>
    <x v="27"/>
    <x v="0"/>
    <x v="132"/>
    <x v="136"/>
    <x v="126"/>
    <x v="128"/>
    <x v="13"/>
    <x v="127"/>
    <x v="76"/>
    <x v="11"/>
    <x v="17"/>
    <x v="12"/>
    <x v="2"/>
    <x v="95"/>
    <x v="113"/>
    <x v="0"/>
    <x v="0"/>
    <x v="10"/>
    <x v="28"/>
    <x v="13"/>
    <x v="2"/>
    <x v="7"/>
    <x v="3"/>
    <x v="13"/>
  </r>
  <r>
    <x v="15"/>
    <x v="32"/>
    <x v="40"/>
    <x v="0"/>
    <x v="20"/>
    <x v="29"/>
    <x v="29"/>
    <x v="28"/>
    <x v="28"/>
    <x v="0"/>
    <x v="133"/>
    <x v="137"/>
    <x v="127"/>
    <x v="89"/>
    <x v="6"/>
    <x v="128"/>
    <x v="77"/>
    <x v="5"/>
    <x v="7"/>
    <x v="9"/>
    <x v="6"/>
    <x v="96"/>
    <x v="114"/>
    <x v="0"/>
    <x v="0"/>
    <x v="23"/>
    <x v="23"/>
    <x v="20"/>
    <x v="1"/>
    <x v="2"/>
    <x v="1"/>
    <x v="20"/>
  </r>
  <r>
    <x v="15"/>
    <x v="33"/>
    <x v="41"/>
    <x v="0"/>
    <x v="18"/>
    <x v="30"/>
    <x v="30"/>
    <x v="29"/>
    <x v="29"/>
    <x v="0"/>
    <x v="134"/>
    <x v="138"/>
    <x v="128"/>
    <x v="129"/>
    <x v="5"/>
    <x v="129"/>
    <x v="78"/>
    <x v="12"/>
    <x v="63"/>
    <x v="30"/>
    <x v="13"/>
    <x v="97"/>
    <x v="115"/>
    <x v="0"/>
    <x v="0"/>
    <x v="6"/>
    <x v="29"/>
    <x v="18"/>
    <x v="0"/>
    <x v="6"/>
    <x v="0"/>
    <x v="18"/>
  </r>
  <r>
    <x v="16"/>
    <x v="21"/>
    <x v="22"/>
    <x v="0"/>
    <x v="14"/>
    <x v="19"/>
    <x v="19"/>
    <x v="18"/>
    <x v="18"/>
    <x v="0"/>
    <x v="135"/>
    <x v="139"/>
    <x v="129"/>
    <x v="130"/>
    <x v="3"/>
    <x v="130"/>
    <x v="79"/>
    <x v="6"/>
    <x v="64"/>
    <x v="31"/>
    <x v="21"/>
    <x v="98"/>
    <x v="116"/>
    <x v="0"/>
    <x v="0"/>
    <x v="3"/>
    <x v="2"/>
    <x v="14"/>
    <x v="2"/>
    <x v="7"/>
    <x v="3"/>
    <x v="14"/>
  </r>
  <r>
    <x v="1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6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6"/>
    <x v="32"/>
    <x v="36"/>
    <x v="0"/>
    <x v="20"/>
    <x v="25"/>
    <x v="25"/>
    <x v="24"/>
    <x v="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16"/>
    <x v="29"/>
    <x v="37"/>
    <x v="0"/>
    <x v="13"/>
    <x v="26"/>
    <x v="26"/>
    <x v="25"/>
    <x v="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6"/>
    <x v="26"/>
    <x v="38"/>
    <x v="0"/>
    <x v="17"/>
    <x v="27"/>
    <x v="27"/>
    <x v="26"/>
    <x v="26"/>
    <x v="0"/>
    <x v="136"/>
    <x v="140"/>
    <x v="130"/>
    <x v="131"/>
    <x v="1"/>
    <x v="131"/>
    <x v="22"/>
    <x v="2"/>
    <x v="24"/>
    <x v="3"/>
    <x v="3"/>
    <x v="31"/>
    <x v="117"/>
    <x v="0"/>
    <x v="0"/>
    <x v="5"/>
    <x v="2"/>
    <x v="17"/>
    <x v="0"/>
    <x v="0"/>
    <x v="0"/>
    <x v="17"/>
  </r>
  <r>
    <x v="16"/>
    <x v="22"/>
    <x v="39"/>
    <x v="0"/>
    <x v="13"/>
    <x v="28"/>
    <x v="28"/>
    <x v="27"/>
    <x v="27"/>
    <x v="0"/>
    <x v="137"/>
    <x v="141"/>
    <x v="113"/>
    <x v="132"/>
    <x v="2"/>
    <x v="132"/>
    <x v="15"/>
    <x v="2"/>
    <x v="14"/>
    <x v="3"/>
    <x v="3"/>
    <x v="15"/>
    <x v="15"/>
    <x v="0"/>
    <x v="0"/>
    <x v="5"/>
    <x v="2"/>
    <x v="13"/>
    <x v="2"/>
    <x v="7"/>
    <x v="3"/>
    <x v="13"/>
  </r>
  <r>
    <x v="16"/>
    <x v="32"/>
    <x v="40"/>
    <x v="0"/>
    <x v="20"/>
    <x v="29"/>
    <x v="29"/>
    <x v="28"/>
    <x v="28"/>
    <x v="0"/>
    <x v="138"/>
    <x v="142"/>
    <x v="131"/>
    <x v="41"/>
    <x v="11"/>
    <x v="133"/>
    <x v="15"/>
    <x v="2"/>
    <x v="14"/>
    <x v="3"/>
    <x v="3"/>
    <x v="15"/>
    <x v="15"/>
    <x v="0"/>
    <x v="0"/>
    <x v="5"/>
    <x v="2"/>
    <x v="20"/>
    <x v="1"/>
    <x v="2"/>
    <x v="1"/>
    <x v="20"/>
  </r>
  <r>
    <x v="16"/>
    <x v="33"/>
    <x v="41"/>
    <x v="0"/>
    <x v="18"/>
    <x v="30"/>
    <x v="30"/>
    <x v="29"/>
    <x v="29"/>
    <x v="0"/>
    <x v="139"/>
    <x v="143"/>
    <x v="132"/>
    <x v="133"/>
    <x v="11"/>
    <x v="134"/>
    <x v="15"/>
    <x v="2"/>
    <x v="14"/>
    <x v="3"/>
    <x v="3"/>
    <x v="15"/>
    <x v="15"/>
    <x v="0"/>
    <x v="0"/>
    <x v="5"/>
    <x v="2"/>
    <x v="18"/>
    <x v="0"/>
    <x v="6"/>
    <x v="0"/>
    <x v="18"/>
  </r>
  <r>
    <x v="16"/>
    <x v="34"/>
    <x v="42"/>
    <x v="0"/>
    <x v="19"/>
    <x v="31"/>
    <x v="31"/>
    <x v="30"/>
    <x v="30"/>
    <x v="0"/>
    <x v="140"/>
    <x v="144"/>
    <x v="133"/>
    <x v="134"/>
    <x v="2"/>
    <x v="135"/>
    <x v="80"/>
    <x v="3"/>
    <x v="2"/>
    <x v="5"/>
    <x v="2"/>
    <x v="1"/>
    <x v="118"/>
    <x v="0"/>
    <x v="0"/>
    <x v="2"/>
    <x v="2"/>
    <x v="19"/>
    <x v="1"/>
    <x v="2"/>
    <x v="1"/>
    <x v="19"/>
  </r>
  <r>
    <x v="16"/>
    <x v="33"/>
    <x v="43"/>
    <x v="0"/>
    <x v="18"/>
    <x v="32"/>
    <x v="32"/>
    <x v="31"/>
    <x v="31"/>
    <x v="0"/>
    <x v="141"/>
    <x v="145"/>
    <x v="134"/>
    <x v="105"/>
    <x v="5"/>
    <x v="136"/>
    <x v="70"/>
    <x v="3"/>
    <x v="45"/>
    <x v="32"/>
    <x v="5"/>
    <x v="99"/>
    <x v="119"/>
    <x v="0"/>
    <x v="0"/>
    <x v="10"/>
    <x v="27"/>
    <x v="18"/>
    <x v="0"/>
    <x v="6"/>
    <x v="0"/>
    <x v="18"/>
  </r>
  <r>
    <x v="16"/>
    <x v="35"/>
    <x v="44"/>
    <x v="1"/>
    <x v="17"/>
    <x v="33"/>
    <x v="33"/>
    <x v="32"/>
    <x v="32"/>
    <x v="0"/>
    <x v="142"/>
    <x v="146"/>
    <x v="135"/>
    <x v="118"/>
    <x v="14"/>
    <x v="137"/>
    <x v="81"/>
    <x v="0"/>
    <x v="65"/>
    <x v="0"/>
    <x v="1"/>
    <x v="100"/>
    <x v="120"/>
    <x v="0"/>
    <x v="0"/>
    <x v="5"/>
    <x v="26"/>
    <x v="17"/>
    <x v="0"/>
    <x v="0"/>
    <x v="0"/>
    <x v="17"/>
  </r>
  <r>
    <x v="16"/>
    <x v="36"/>
    <x v="45"/>
    <x v="1"/>
    <x v="0"/>
    <x v="34"/>
    <x v="34"/>
    <x v="33"/>
    <x v="33"/>
    <x v="0"/>
    <x v="143"/>
    <x v="147"/>
    <x v="136"/>
    <x v="135"/>
    <x v="50"/>
    <x v="138"/>
    <x v="36"/>
    <x v="2"/>
    <x v="45"/>
    <x v="3"/>
    <x v="3"/>
    <x v="101"/>
    <x v="121"/>
    <x v="0"/>
    <x v="0"/>
    <x v="4"/>
    <x v="12"/>
    <x v="0"/>
    <x v="0"/>
    <x v="0"/>
    <x v="0"/>
    <x v="0"/>
  </r>
  <r>
    <x v="16"/>
    <x v="37"/>
    <x v="46"/>
    <x v="0"/>
    <x v="21"/>
    <x v="35"/>
    <x v="35"/>
    <x v="34"/>
    <x v="34"/>
    <x v="0"/>
    <x v="144"/>
    <x v="148"/>
    <x v="137"/>
    <x v="136"/>
    <x v="30"/>
    <x v="139"/>
    <x v="24"/>
    <x v="10"/>
    <x v="53"/>
    <x v="4"/>
    <x v="5"/>
    <x v="102"/>
    <x v="122"/>
    <x v="0"/>
    <x v="0"/>
    <x v="21"/>
    <x v="0"/>
    <x v="21"/>
    <x v="1"/>
    <x v="4"/>
    <x v="2"/>
    <x v="21"/>
  </r>
  <r>
    <x v="16"/>
    <x v="38"/>
    <x v="47"/>
    <x v="1"/>
    <x v="9"/>
    <x v="36"/>
    <x v="36"/>
    <x v="35"/>
    <x v="35"/>
    <x v="0"/>
    <x v="145"/>
    <x v="149"/>
    <x v="138"/>
    <x v="137"/>
    <x v="44"/>
    <x v="140"/>
    <x v="41"/>
    <x v="2"/>
    <x v="24"/>
    <x v="5"/>
    <x v="3"/>
    <x v="31"/>
    <x v="123"/>
    <x v="0"/>
    <x v="0"/>
    <x v="5"/>
    <x v="2"/>
    <x v="9"/>
    <x v="1"/>
    <x v="3"/>
    <x v="2"/>
    <x v="9"/>
  </r>
  <r>
    <x v="16"/>
    <x v="39"/>
    <x v="48"/>
    <x v="0"/>
    <x v="9"/>
    <x v="37"/>
    <x v="37"/>
    <x v="36"/>
    <x v="36"/>
    <x v="0"/>
    <x v="146"/>
    <x v="150"/>
    <x v="139"/>
    <x v="138"/>
    <x v="0"/>
    <x v="141"/>
    <x v="82"/>
    <x v="0"/>
    <x v="0"/>
    <x v="2"/>
    <x v="1"/>
    <x v="103"/>
    <x v="56"/>
    <x v="0"/>
    <x v="0"/>
    <x v="24"/>
    <x v="1"/>
    <x v="9"/>
    <x v="1"/>
    <x v="3"/>
    <x v="2"/>
    <x v="9"/>
  </r>
  <r>
    <x v="17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  <x v="1"/>
  </r>
  <r>
    <x v="17"/>
    <x v="21"/>
    <x v="22"/>
    <x v="0"/>
    <x v="14"/>
    <x v="19"/>
    <x v="19"/>
    <x v="18"/>
    <x v="18"/>
    <x v="0"/>
    <x v="147"/>
    <x v="151"/>
    <x v="140"/>
    <x v="139"/>
    <x v="51"/>
    <x v="142"/>
    <x v="26"/>
    <x v="2"/>
    <x v="20"/>
    <x v="5"/>
    <x v="3"/>
    <x v="68"/>
    <x v="124"/>
    <x v="0"/>
    <x v="0"/>
    <x v="5"/>
    <x v="2"/>
    <x v="14"/>
    <x v="2"/>
    <x v="7"/>
    <x v="3"/>
    <x v="14"/>
  </r>
  <r>
    <x v="17"/>
    <x v="23"/>
    <x v="24"/>
    <x v="0"/>
    <x v="6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1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7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7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7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7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17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7"/>
    <x v="34"/>
    <x v="42"/>
    <x v="0"/>
    <x v="19"/>
    <x v="31"/>
    <x v="31"/>
    <x v="30"/>
    <x v="30"/>
    <x v="0"/>
    <x v="148"/>
    <x v="152"/>
    <x v="94"/>
    <x v="140"/>
    <x v="37"/>
    <x v="143"/>
    <x v="18"/>
    <x v="2"/>
    <x v="14"/>
    <x v="3"/>
    <x v="3"/>
    <x v="20"/>
    <x v="125"/>
    <x v="0"/>
    <x v="0"/>
    <x v="5"/>
    <x v="2"/>
    <x v="19"/>
    <x v="1"/>
    <x v="2"/>
    <x v="1"/>
    <x v="19"/>
  </r>
  <r>
    <x v="17"/>
    <x v="33"/>
    <x v="43"/>
    <x v="0"/>
    <x v="18"/>
    <x v="32"/>
    <x v="32"/>
    <x v="31"/>
    <x v="31"/>
    <x v="0"/>
    <x v="149"/>
    <x v="153"/>
    <x v="141"/>
    <x v="141"/>
    <x v="1"/>
    <x v="144"/>
    <x v="33"/>
    <x v="1"/>
    <x v="23"/>
    <x v="18"/>
    <x v="8"/>
    <x v="104"/>
    <x v="42"/>
    <x v="0"/>
    <x v="0"/>
    <x v="1"/>
    <x v="9"/>
    <x v="18"/>
    <x v="0"/>
    <x v="6"/>
    <x v="0"/>
    <x v="18"/>
  </r>
  <r>
    <x v="17"/>
    <x v="35"/>
    <x v="44"/>
    <x v="1"/>
    <x v="17"/>
    <x v="33"/>
    <x v="33"/>
    <x v="32"/>
    <x v="32"/>
    <x v="0"/>
    <x v="150"/>
    <x v="154"/>
    <x v="142"/>
    <x v="142"/>
    <x v="25"/>
    <x v="145"/>
    <x v="18"/>
    <x v="2"/>
    <x v="14"/>
    <x v="3"/>
    <x v="3"/>
    <x v="20"/>
    <x v="126"/>
    <x v="0"/>
    <x v="0"/>
    <x v="5"/>
    <x v="2"/>
    <x v="17"/>
    <x v="0"/>
    <x v="0"/>
    <x v="0"/>
    <x v="17"/>
  </r>
  <r>
    <x v="17"/>
    <x v="36"/>
    <x v="45"/>
    <x v="1"/>
    <x v="0"/>
    <x v="34"/>
    <x v="34"/>
    <x v="33"/>
    <x v="3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0"/>
    <x v="0"/>
    <x v="0"/>
    <x v="0"/>
    <x v="0"/>
  </r>
  <r>
    <x v="17"/>
    <x v="37"/>
    <x v="46"/>
    <x v="0"/>
    <x v="21"/>
    <x v="35"/>
    <x v="35"/>
    <x v="34"/>
    <x v="34"/>
    <x v="0"/>
    <x v="151"/>
    <x v="155"/>
    <x v="143"/>
    <x v="143"/>
    <x v="37"/>
    <x v="146"/>
    <x v="83"/>
    <x v="0"/>
    <x v="28"/>
    <x v="5"/>
    <x v="8"/>
    <x v="105"/>
    <x v="127"/>
    <x v="0"/>
    <x v="0"/>
    <x v="8"/>
    <x v="30"/>
    <x v="21"/>
    <x v="1"/>
    <x v="4"/>
    <x v="2"/>
    <x v="21"/>
  </r>
  <r>
    <x v="17"/>
    <x v="38"/>
    <x v="47"/>
    <x v="1"/>
    <x v="9"/>
    <x v="36"/>
    <x v="36"/>
    <x v="35"/>
    <x v="35"/>
    <x v="0"/>
    <x v="30"/>
    <x v="156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7"/>
    <x v="39"/>
    <x v="48"/>
    <x v="0"/>
    <x v="9"/>
    <x v="37"/>
    <x v="37"/>
    <x v="36"/>
    <x v="36"/>
    <x v="0"/>
    <x v="152"/>
    <x v="157"/>
    <x v="144"/>
    <x v="144"/>
    <x v="4"/>
    <x v="147"/>
    <x v="84"/>
    <x v="6"/>
    <x v="53"/>
    <x v="2"/>
    <x v="4"/>
    <x v="106"/>
    <x v="128"/>
    <x v="0"/>
    <x v="0"/>
    <x v="3"/>
    <x v="10"/>
    <x v="9"/>
    <x v="1"/>
    <x v="3"/>
    <x v="2"/>
    <x v="9"/>
  </r>
  <r>
    <x v="17"/>
    <x v="26"/>
    <x v="49"/>
    <x v="0"/>
    <x v="17"/>
    <x v="38"/>
    <x v="38"/>
    <x v="37"/>
    <x v="37"/>
    <x v="0"/>
    <x v="153"/>
    <x v="158"/>
    <x v="145"/>
    <x v="125"/>
    <x v="30"/>
    <x v="148"/>
    <x v="85"/>
    <x v="21"/>
    <x v="66"/>
    <x v="33"/>
    <x v="22"/>
    <x v="107"/>
    <x v="129"/>
    <x v="0"/>
    <x v="0"/>
    <x v="3"/>
    <x v="13"/>
    <x v="17"/>
    <x v="0"/>
    <x v="0"/>
    <x v="0"/>
    <x v="17"/>
  </r>
  <r>
    <x v="17"/>
    <x v="40"/>
    <x v="50"/>
    <x v="0"/>
    <x v="22"/>
    <x v="39"/>
    <x v="39"/>
    <x v="38"/>
    <x v="38"/>
    <x v="0"/>
    <x v="154"/>
    <x v="159"/>
    <x v="146"/>
    <x v="145"/>
    <x v="0"/>
    <x v="149"/>
    <x v="86"/>
    <x v="4"/>
    <x v="23"/>
    <x v="1"/>
    <x v="2"/>
    <x v="95"/>
    <x v="130"/>
    <x v="0"/>
    <x v="0"/>
    <x v="4"/>
    <x v="12"/>
    <x v="22"/>
    <x v="0"/>
    <x v="6"/>
    <x v="0"/>
    <x v="22"/>
  </r>
  <r>
    <x v="17"/>
    <x v="41"/>
    <x v="51"/>
    <x v="0"/>
    <x v="23"/>
    <x v="40"/>
    <x v="40"/>
    <x v="39"/>
    <x v="39"/>
    <x v="0"/>
    <x v="155"/>
    <x v="160"/>
    <x v="147"/>
    <x v="146"/>
    <x v="5"/>
    <x v="150"/>
    <x v="62"/>
    <x v="3"/>
    <x v="49"/>
    <x v="1"/>
    <x v="2"/>
    <x v="64"/>
    <x v="131"/>
    <x v="0"/>
    <x v="0"/>
    <x v="2"/>
    <x v="3"/>
    <x v="23"/>
    <x v="1"/>
    <x v="2"/>
    <x v="1"/>
    <x v="23"/>
  </r>
  <r>
    <x v="17"/>
    <x v="42"/>
    <x v="52"/>
    <x v="0"/>
    <x v="24"/>
    <x v="41"/>
    <x v="41"/>
    <x v="40"/>
    <x v="40"/>
    <x v="0"/>
    <x v="156"/>
    <x v="161"/>
    <x v="148"/>
    <x v="147"/>
    <x v="4"/>
    <x v="151"/>
    <x v="87"/>
    <x v="10"/>
    <x v="67"/>
    <x v="34"/>
    <x v="6"/>
    <x v="108"/>
    <x v="132"/>
    <x v="0"/>
    <x v="0"/>
    <x v="9"/>
    <x v="12"/>
    <x v="24"/>
    <x v="2"/>
    <x v="7"/>
    <x v="3"/>
    <x v="24"/>
  </r>
  <r>
    <x v="17"/>
    <x v="43"/>
    <x v="53"/>
    <x v="0"/>
    <x v="25"/>
    <x v="42"/>
    <x v="42"/>
    <x v="41"/>
    <x v="41"/>
    <x v="0"/>
    <x v="157"/>
    <x v="162"/>
    <x v="149"/>
    <x v="148"/>
    <x v="5"/>
    <x v="152"/>
    <x v="62"/>
    <x v="3"/>
    <x v="10"/>
    <x v="7"/>
    <x v="23"/>
    <x v="109"/>
    <x v="133"/>
    <x v="0"/>
    <x v="0"/>
    <x v="12"/>
    <x v="12"/>
    <x v="25"/>
    <x v="2"/>
    <x v="7"/>
    <x v="3"/>
    <x v="25"/>
  </r>
  <r>
    <x v="18"/>
    <x v="14"/>
    <x v="15"/>
    <x v="0"/>
    <x v="9"/>
    <x v="12"/>
    <x v="12"/>
    <x v="11"/>
    <x v="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8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  <x v="1"/>
  </r>
  <r>
    <x v="18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18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18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8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8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18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18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8"/>
    <x v="33"/>
    <x v="43"/>
    <x v="0"/>
    <x v="18"/>
    <x v="32"/>
    <x v="32"/>
    <x v="31"/>
    <x v="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8"/>
    <x v="37"/>
    <x v="46"/>
    <x v="0"/>
    <x v="21"/>
    <x v="35"/>
    <x v="35"/>
    <x v="34"/>
    <x v="34"/>
    <x v="0"/>
    <x v="158"/>
    <x v="163"/>
    <x v="54"/>
    <x v="149"/>
    <x v="30"/>
    <x v="153"/>
    <x v="88"/>
    <x v="3"/>
    <x v="68"/>
    <x v="4"/>
    <x v="7"/>
    <x v="110"/>
    <x v="134"/>
    <x v="0"/>
    <x v="0"/>
    <x v="25"/>
    <x v="31"/>
    <x v="21"/>
    <x v="1"/>
    <x v="4"/>
    <x v="2"/>
    <x v="21"/>
  </r>
  <r>
    <x v="18"/>
    <x v="39"/>
    <x v="48"/>
    <x v="0"/>
    <x v="9"/>
    <x v="37"/>
    <x v="37"/>
    <x v="36"/>
    <x v="36"/>
    <x v="0"/>
    <x v="159"/>
    <x v="164"/>
    <x v="150"/>
    <x v="150"/>
    <x v="37"/>
    <x v="154"/>
    <x v="89"/>
    <x v="3"/>
    <x v="12"/>
    <x v="35"/>
    <x v="1"/>
    <x v="111"/>
    <x v="135"/>
    <x v="0"/>
    <x v="0"/>
    <x v="11"/>
    <x v="9"/>
    <x v="9"/>
    <x v="1"/>
    <x v="3"/>
    <x v="2"/>
    <x v="9"/>
  </r>
  <r>
    <x v="18"/>
    <x v="26"/>
    <x v="49"/>
    <x v="0"/>
    <x v="17"/>
    <x v="38"/>
    <x v="38"/>
    <x v="37"/>
    <x v="37"/>
    <x v="0"/>
    <x v="160"/>
    <x v="165"/>
    <x v="151"/>
    <x v="151"/>
    <x v="4"/>
    <x v="155"/>
    <x v="90"/>
    <x v="11"/>
    <x v="69"/>
    <x v="16"/>
    <x v="12"/>
    <x v="112"/>
    <x v="136"/>
    <x v="0"/>
    <x v="0"/>
    <x v="3"/>
    <x v="6"/>
    <x v="17"/>
    <x v="0"/>
    <x v="0"/>
    <x v="0"/>
    <x v="17"/>
  </r>
  <r>
    <x v="18"/>
    <x v="40"/>
    <x v="50"/>
    <x v="0"/>
    <x v="22"/>
    <x v="39"/>
    <x v="39"/>
    <x v="38"/>
    <x v="38"/>
    <x v="0"/>
    <x v="161"/>
    <x v="166"/>
    <x v="152"/>
    <x v="152"/>
    <x v="32"/>
    <x v="156"/>
    <x v="91"/>
    <x v="22"/>
    <x v="12"/>
    <x v="16"/>
    <x v="24"/>
    <x v="113"/>
    <x v="7"/>
    <x v="2"/>
    <x v="3"/>
    <x v="8"/>
    <x v="2"/>
    <x v="22"/>
    <x v="0"/>
    <x v="6"/>
    <x v="0"/>
    <x v="22"/>
  </r>
  <r>
    <x v="18"/>
    <x v="41"/>
    <x v="51"/>
    <x v="0"/>
    <x v="23"/>
    <x v="40"/>
    <x v="40"/>
    <x v="39"/>
    <x v="39"/>
    <x v="0"/>
    <x v="162"/>
    <x v="167"/>
    <x v="153"/>
    <x v="153"/>
    <x v="9"/>
    <x v="157"/>
    <x v="92"/>
    <x v="7"/>
    <x v="2"/>
    <x v="12"/>
    <x v="2"/>
    <x v="114"/>
    <x v="137"/>
    <x v="0"/>
    <x v="0"/>
    <x v="11"/>
    <x v="10"/>
    <x v="23"/>
    <x v="1"/>
    <x v="2"/>
    <x v="1"/>
    <x v="23"/>
  </r>
  <r>
    <x v="18"/>
    <x v="42"/>
    <x v="52"/>
    <x v="0"/>
    <x v="24"/>
    <x v="41"/>
    <x v="41"/>
    <x v="40"/>
    <x v="40"/>
    <x v="0"/>
    <x v="163"/>
    <x v="168"/>
    <x v="154"/>
    <x v="65"/>
    <x v="42"/>
    <x v="143"/>
    <x v="93"/>
    <x v="23"/>
    <x v="70"/>
    <x v="36"/>
    <x v="25"/>
    <x v="115"/>
    <x v="138"/>
    <x v="2"/>
    <x v="2"/>
    <x v="21"/>
    <x v="13"/>
    <x v="24"/>
    <x v="2"/>
    <x v="7"/>
    <x v="3"/>
    <x v="24"/>
  </r>
  <r>
    <x v="18"/>
    <x v="43"/>
    <x v="53"/>
    <x v="0"/>
    <x v="25"/>
    <x v="42"/>
    <x v="42"/>
    <x v="41"/>
    <x v="41"/>
    <x v="0"/>
    <x v="164"/>
    <x v="169"/>
    <x v="27"/>
    <x v="140"/>
    <x v="13"/>
    <x v="158"/>
    <x v="15"/>
    <x v="2"/>
    <x v="14"/>
    <x v="3"/>
    <x v="3"/>
    <x v="15"/>
    <x v="15"/>
    <x v="0"/>
    <x v="0"/>
    <x v="5"/>
    <x v="2"/>
    <x v="25"/>
    <x v="2"/>
    <x v="7"/>
    <x v="3"/>
    <x v="25"/>
  </r>
  <r>
    <x v="18"/>
    <x v="44"/>
    <x v="54"/>
    <x v="0"/>
    <x v="26"/>
    <x v="43"/>
    <x v="43"/>
    <x v="42"/>
    <x v="42"/>
    <x v="0"/>
    <x v="165"/>
    <x v="170"/>
    <x v="155"/>
    <x v="154"/>
    <x v="51"/>
    <x v="159"/>
    <x v="94"/>
    <x v="3"/>
    <x v="71"/>
    <x v="13"/>
    <x v="3"/>
    <x v="25"/>
    <x v="68"/>
    <x v="0"/>
    <x v="0"/>
    <x v="1"/>
    <x v="5"/>
    <x v="26"/>
    <x v="2"/>
    <x v="7"/>
    <x v="3"/>
    <x v="26"/>
  </r>
  <r>
    <x v="19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19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9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19"/>
    <x v="35"/>
    <x v="44"/>
    <x v="1"/>
    <x v="17"/>
    <x v="33"/>
    <x v="33"/>
    <x v="32"/>
    <x v="32"/>
    <x v="0"/>
    <x v="166"/>
    <x v="171"/>
    <x v="156"/>
    <x v="144"/>
    <x v="43"/>
    <x v="160"/>
    <x v="26"/>
    <x v="2"/>
    <x v="49"/>
    <x v="3"/>
    <x v="3"/>
    <x v="26"/>
    <x v="139"/>
    <x v="0"/>
    <x v="0"/>
    <x v="5"/>
    <x v="2"/>
    <x v="17"/>
    <x v="0"/>
    <x v="0"/>
    <x v="0"/>
    <x v="17"/>
  </r>
  <r>
    <x v="19"/>
    <x v="37"/>
    <x v="46"/>
    <x v="0"/>
    <x v="21"/>
    <x v="35"/>
    <x v="35"/>
    <x v="34"/>
    <x v="34"/>
    <x v="0"/>
    <x v="167"/>
    <x v="172"/>
    <x v="157"/>
    <x v="155"/>
    <x v="37"/>
    <x v="161"/>
    <x v="95"/>
    <x v="1"/>
    <x v="5"/>
    <x v="11"/>
    <x v="0"/>
    <x v="116"/>
    <x v="140"/>
    <x v="0"/>
    <x v="0"/>
    <x v="3"/>
    <x v="1"/>
    <x v="21"/>
    <x v="1"/>
    <x v="4"/>
    <x v="2"/>
    <x v="21"/>
  </r>
  <r>
    <x v="19"/>
    <x v="39"/>
    <x v="48"/>
    <x v="0"/>
    <x v="9"/>
    <x v="37"/>
    <x v="37"/>
    <x v="36"/>
    <x v="36"/>
    <x v="0"/>
    <x v="168"/>
    <x v="173"/>
    <x v="158"/>
    <x v="156"/>
    <x v="4"/>
    <x v="162"/>
    <x v="96"/>
    <x v="7"/>
    <x v="38"/>
    <x v="4"/>
    <x v="2"/>
    <x v="117"/>
    <x v="141"/>
    <x v="0"/>
    <x v="0"/>
    <x v="1"/>
    <x v="11"/>
    <x v="9"/>
    <x v="1"/>
    <x v="3"/>
    <x v="2"/>
    <x v="9"/>
  </r>
  <r>
    <x v="19"/>
    <x v="26"/>
    <x v="49"/>
    <x v="0"/>
    <x v="17"/>
    <x v="38"/>
    <x v="38"/>
    <x v="37"/>
    <x v="37"/>
    <x v="0"/>
    <x v="169"/>
    <x v="174"/>
    <x v="159"/>
    <x v="157"/>
    <x v="4"/>
    <x v="163"/>
    <x v="97"/>
    <x v="7"/>
    <x v="72"/>
    <x v="32"/>
    <x v="7"/>
    <x v="118"/>
    <x v="142"/>
    <x v="0"/>
    <x v="0"/>
    <x v="1"/>
    <x v="6"/>
    <x v="17"/>
    <x v="0"/>
    <x v="0"/>
    <x v="0"/>
    <x v="17"/>
  </r>
  <r>
    <x v="19"/>
    <x v="40"/>
    <x v="50"/>
    <x v="0"/>
    <x v="22"/>
    <x v="39"/>
    <x v="39"/>
    <x v="38"/>
    <x v="38"/>
    <x v="0"/>
    <x v="170"/>
    <x v="175"/>
    <x v="160"/>
    <x v="124"/>
    <x v="2"/>
    <x v="164"/>
    <x v="98"/>
    <x v="3"/>
    <x v="73"/>
    <x v="6"/>
    <x v="4"/>
    <x v="119"/>
    <x v="143"/>
    <x v="0"/>
    <x v="0"/>
    <x v="4"/>
    <x v="5"/>
    <x v="22"/>
    <x v="0"/>
    <x v="6"/>
    <x v="0"/>
    <x v="22"/>
  </r>
  <r>
    <x v="19"/>
    <x v="41"/>
    <x v="51"/>
    <x v="0"/>
    <x v="23"/>
    <x v="40"/>
    <x v="40"/>
    <x v="39"/>
    <x v="39"/>
    <x v="0"/>
    <x v="171"/>
    <x v="176"/>
    <x v="161"/>
    <x v="158"/>
    <x v="13"/>
    <x v="165"/>
    <x v="15"/>
    <x v="2"/>
    <x v="14"/>
    <x v="3"/>
    <x v="3"/>
    <x v="15"/>
    <x v="15"/>
    <x v="0"/>
    <x v="0"/>
    <x v="5"/>
    <x v="2"/>
    <x v="23"/>
    <x v="1"/>
    <x v="2"/>
    <x v="1"/>
    <x v="23"/>
  </r>
  <r>
    <x v="19"/>
    <x v="42"/>
    <x v="52"/>
    <x v="0"/>
    <x v="24"/>
    <x v="41"/>
    <x v="41"/>
    <x v="40"/>
    <x v="40"/>
    <x v="0"/>
    <x v="172"/>
    <x v="177"/>
    <x v="162"/>
    <x v="159"/>
    <x v="2"/>
    <x v="166"/>
    <x v="99"/>
    <x v="15"/>
    <x v="63"/>
    <x v="37"/>
    <x v="23"/>
    <x v="120"/>
    <x v="144"/>
    <x v="0"/>
    <x v="0"/>
    <x v="3"/>
    <x v="5"/>
    <x v="24"/>
    <x v="2"/>
    <x v="7"/>
    <x v="3"/>
    <x v="24"/>
  </r>
  <r>
    <x v="19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  <x v="25"/>
  </r>
  <r>
    <x v="19"/>
    <x v="44"/>
    <x v="54"/>
    <x v="0"/>
    <x v="26"/>
    <x v="43"/>
    <x v="43"/>
    <x v="42"/>
    <x v="42"/>
    <x v="0"/>
    <x v="173"/>
    <x v="178"/>
    <x v="163"/>
    <x v="160"/>
    <x v="32"/>
    <x v="90"/>
    <x v="92"/>
    <x v="3"/>
    <x v="33"/>
    <x v="0"/>
    <x v="2"/>
    <x v="41"/>
    <x v="85"/>
    <x v="0"/>
    <x v="0"/>
    <x v="4"/>
    <x v="2"/>
    <x v="26"/>
    <x v="2"/>
    <x v="7"/>
    <x v="3"/>
    <x v="26"/>
  </r>
  <r>
    <x v="20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0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0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0"/>
    <x v="33"/>
    <x v="41"/>
    <x v="0"/>
    <x v="18"/>
    <x v="30"/>
    <x v="30"/>
    <x v="29"/>
    <x v="2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20"/>
    <x v="35"/>
    <x v="44"/>
    <x v="1"/>
    <x v="17"/>
    <x v="33"/>
    <x v="33"/>
    <x v="32"/>
    <x v="32"/>
    <x v="0"/>
    <x v="174"/>
    <x v="179"/>
    <x v="113"/>
    <x v="161"/>
    <x v="52"/>
    <x v="167"/>
    <x v="15"/>
    <x v="2"/>
    <x v="14"/>
    <x v="3"/>
    <x v="3"/>
    <x v="15"/>
    <x v="15"/>
    <x v="0"/>
    <x v="0"/>
    <x v="5"/>
    <x v="2"/>
    <x v="17"/>
    <x v="0"/>
    <x v="0"/>
    <x v="0"/>
    <x v="17"/>
  </r>
  <r>
    <x v="20"/>
    <x v="37"/>
    <x v="46"/>
    <x v="0"/>
    <x v="21"/>
    <x v="35"/>
    <x v="35"/>
    <x v="34"/>
    <x v="34"/>
    <x v="0"/>
    <x v="175"/>
    <x v="180"/>
    <x v="164"/>
    <x v="148"/>
    <x v="37"/>
    <x v="168"/>
    <x v="34"/>
    <x v="7"/>
    <x v="13"/>
    <x v="11"/>
    <x v="23"/>
    <x v="121"/>
    <x v="145"/>
    <x v="0"/>
    <x v="0"/>
    <x v="2"/>
    <x v="13"/>
    <x v="21"/>
    <x v="1"/>
    <x v="4"/>
    <x v="2"/>
    <x v="21"/>
  </r>
  <r>
    <x v="20"/>
    <x v="39"/>
    <x v="48"/>
    <x v="0"/>
    <x v="9"/>
    <x v="37"/>
    <x v="37"/>
    <x v="36"/>
    <x v="36"/>
    <x v="0"/>
    <x v="176"/>
    <x v="181"/>
    <x v="165"/>
    <x v="162"/>
    <x v="37"/>
    <x v="169"/>
    <x v="100"/>
    <x v="0"/>
    <x v="30"/>
    <x v="4"/>
    <x v="2"/>
    <x v="122"/>
    <x v="146"/>
    <x v="0"/>
    <x v="0"/>
    <x v="10"/>
    <x v="12"/>
    <x v="9"/>
    <x v="1"/>
    <x v="3"/>
    <x v="2"/>
    <x v="9"/>
  </r>
  <r>
    <x v="20"/>
    <x v="26"/>
    <x v="49"/>
    <x v="0"/>
    <x v="17"/>
    <x v="38"/>
    <x v="38"/>
    <x v="37"/>
    <x v="37"/>
    <x v="0"/>
    <x v="177"/>
    <x v="182"/>
    <x v="166"/>
    <x v="163"/>
    <x v="30"/>
    <x v="170"/>
    <x v="101"/>
    <x v="2"/>
    <x v="74"/>
    <x v="12"/>
    <x v="13"/>
    <x v="123"/>
    <x v="147"/>
    <x v="0"/>
    <x v="0"/>
    <x v="10"/>
    <x v="13"/>
    <x v="17"/>
    <x v="0"/>
    <x v="0"/>
    <x v="0"/>
    <x v="17"/>
  </r>
  <r>
    <x v="20"/>
    <x v="40"/>
    <x v="50"/>
    <x v="0"/>
    <x v="22"/>
    <x v="39"/>
    <x v="39"/>
    <x v="38"/>
    <x v="38"/>
    <x v="0"/>
    <x v="178"/>
    <x v="183"/>
    <x v="167"/>
    <x v="164"/>
    <x v="13"/>
    <x v="171"/>
    <x v="18"/>
    <x v="2"/>
    <x v="14"/>
    <x v="3"/>
    <x v="3"/>
    <x v="20"/>
    <x v="148"/>
    <x v="0"/>
    <x v="0"/>
    <x v="5"/>
    <x v="2"/>
    <x v="22"/>
    <x v="0"/>
    <x v="6"/>
    <x v="0"/>
    <x v="22"/>
  </r>
  <r>
    <x v="20"/>
    <x v="42"/>
    <x v="52"/>
    <x v="0"/>
    <x v="24"/>
    <x v="41"/>
    <x v="41"/>
    <x v="40"/>
    <x v="40"/>
    <x v="0"/>
    <x v="179"/>
    <x v="184"/>
    <x v="168"/>
    <x v="165"/>
    <x v="30"/>
    <x v="172"/>
    <x v="102"/>
    <x v="4"/>
    <x v="25"/>
    <x v="31"/>
    <x v="0"/>
    <x v="124"/>
    <x v="149"/>
    <x v="0"/>
    <x v="0"/>
    <x v="1"/>
    <x v="5"/>
    <x v="24"/>
    <x v="2"/>
    <x v="7"/>
    <x v="3"/>
    <x v="24"/>
  </r>
  <r>
    <x v="20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  <x v="25"/>
  </r>
  <r>
    <x v="20"/>
    <x v="44"/>
    <x v="54"/>
    <x v="0"/>
    <x v="26"/>
    <x v="43"/>
    <x v="43"/>
    <x v="42"/>
    <x v="42"/>
    <x v="0"/>
    <x v="180"/>
    <x v="185"/>
    <x v="169"/>
    <x v="166"/>
    <x v="51"/>
    <x v="173"/>
    <x v="21"/>
    <x v="2"/>
    <x v="8"/>
    <x v="5"/>
    <x v="3"/>
    <x v="22"/>
    <x v="150"/>
    <x v="0"/>
    <x v="0"/>
    <x v="5"/>
    <x v="2"/>
    <x v="26"/>
    <x v="2"/>
    <x v="7"/>
    <x v="3"/>
    <x v="26"/>
  </r>
  <r>
    <x v="21"/>
    <x v="6"/>
    <x v="6"/>
    <x v="0"/>
    <x v="6"/>
    <x v="3"/>
    <x v="3"/>
    <x v="3"/>
    <x v="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21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1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1"/>
    <x v="26"/>
    <x v="33"/>
    <x v="0"/>
    <x v="17"/>
    <x v="23"/>
    <x v="23"/>
    <x v="22"/>
    <x v="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1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1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21"/>
    <x v="37"/>
    <x v="46"/>
    <x v="0"/>
    <x v="21"/>
    <x v="35"/>
    <x v="35"/>
    <x v="34"/>
    <x v="34"/>
    <x v="0"/>
    <x v="119"/>
    <x v="186"/>
    <x v="72"/>
    <x v="167"/>
    <x v="4"/>
    <x v="174"/>
    <x v="15"/>
    <x v="2"/>
    <x v="14"/>
    <x v="3"/>
    <x v="3"/>
    <x v="15"/>
    <x v="15"/>
    <x v="0"/>
    <x v="0"/>
    <x v="5"/>
    <x v="2"/>
    <x v="21"/>
    <x v="1"/>
    <x v="4"/>
    <x v="2"/>
    <x v="21"/>
  </r>
  <r>
    <x v="21"/>
    <x v="39"/>
    <x v="48"/>
    <x v="0"/>
    <x v="9"/>
    <x v="37"/>
    <x v="37"/>
    <x v="36"/>
    <x v="36"/>
    <x v="0"/>
    <x v="181"/>
    <x v="187"/>
    <x v="170"/>
    <x v="168"/>
    <x v="30"/>
    <x v="175"/>
    <x v="39"/>
    <x v="3"/>
    <x v="55"/>
    <x v="1"/>
    <x v="2"/>
    <x v="125"/>
    <x v="151"/>
    <x v="0"/>
    <x v="0"/>
    <x v="5"/>
    <x v="5"/>
    <x v="9"/>
    <x v="1"/>
    <x v="3"/>
    <x v="2"/>
    <x v="9"/>
  </r>
  <r>
    <x v="21"/>
    <x v="26"/>
    <x v="49"/>
    <x v="0"/>
    <x v="17"/>
    <x v="38"/>
    <x v="38"/>
    <x v="37"/>
    <x v="37"/>
    <x v="0"/>
    <x v="182"/>
    <x v="188"/>
    <x v="171"/>
    <x v="169"/>
    <x v="2"/>
    <x v="176"/>
    <x v="89"/>
    <x v="10"/>
    <x v="69"/>
    <x v="22"/>
    <x v="5"/>
    <x v="126"/>
    <x v="152"/>
    <x v="0"/>
    <x v="0"/>
    <x v="7"/>
    <x v="13"/>
    <x v="17"/>
    <x v="0"/>
    <x v="0"/>
    <x v="0"/>
    <x v="17"/>
  </r>
  <r>
    <x v="21"/>
    <x v="40"/>
    <x v="50"/>
    <x v="0"/>
    <x v="22"/>
    <x v="39"/>
    <x v="39"/>
    <x v="38"/>
    <x v="3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2"/>
    <x v="0"/>
    <x v="6"/>
    <x v="0"/>
    <x v="22"/>
  </r>
  <r>
    <x v="21"/>
    <x v="42"/>
    <x v="52"/>
    <x v="0"/>
    <x v="24"/>
    <x v="41"/>
    <x v="41"/>
    <x v="40"/>
    <x v="40"/>
    <x v="0"/>
    <x v="183"/>
    <x v="189"/>
    <x v="172"/>
    <x v="170"/>
    <x v="12"/>
    <x v="177"/>
    <x v="103"/>
    <x v="6"/>
    <x v="75"/>
    <x v="38"/>
    <x v="4"/>
    <x v="63"/>
    <x v="153"/>
    <x v="0"/>
    <x v="0"/>
    <x v="24"/>
    <x v="13"/>
    <x v="24"/>
    <x v="2"/>
    <x v="7"/>
    <x v="3"/>
    <x v="24"/>
  </r>
  <r>
    <x v="21"/>
    <x v="44"/>
    <x v="54"/>
    <x v="0"/>
    <x v="26"/>
    <x v="43"/>
    <x v="43"/>
    <x v="42"/>
    <x v="42"/>
    <x v="0"/>
    <x v="184"/>
    <x v="190"/>
    <x v="20"/>
    <x v="171"/>
    <x v="53"/>
    <x v="178"/>
    <x v="15"/>
    <x v="2"/>
    <x v="14"/>
    <x v="3"/>
    <x v="3"/>
    <x v="15"/>
    <x v="15"/>
    <x v="0"/>
    <x v="0"/>
    <x v="5"/>
    <x v="2"/>
    <x v="26"/>
    <x v="2"/>
    <x v="7"/>
    <x v="3"/>
    <x v="26"/>
  </r>
  <r>
    <x v="22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4"/>
    <x v="2"/>
    <x v="17"/>
    <x v="0"/>
    <x v="0"/>
    <x v="0"/>
    <x v="17"/>
  </r>
  <r>
    <x v="22"/>
    <x v="22"/>
    <x v="39"/>
    <x v="0"/>
    <x v="13"/>
    <x v="28"/>
    <x v="28"/>
    <x v="27"/>
    <x v="2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3"/>
    <x v="2"/>
    <x v="7"/>
    <x v="3"/>
    <x v="13"/>
  </r>
  <r>
    <x v="22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22"/>
    <x v="39"/>
    <x v="48"/>
    <x v="0"/>
    <x v="9"/>
    <x v="37"/>
    <x v="37"/>
    <x v="36"/>
    <x v="36"/>
    <x v="0"/>
    <x v="185"/>
    <x v="191"/>
    <x v="173"/>
    <x v="172"/>
    <x v="0"/>
    <x v="179"/>
    <x v="77"/>
    <x v="10"/>
    <x v="29"/>
    <x v="12"/>
    <x v="1"/>
    <x v="127"/>
    <x v="154"/>
    <x v="0"/>
    <x v="0"/>
    <x v="4"/>
    <x v="5"/>
    <x v="9"/>
    <x v="1"/>
    <x v="3"/>
    <x v="2"/>
    <x v="9"/>
  </r>
  <r>
    <x v="22"/>
    <x v="26"/>
    <x v="49"/>
    <x v="0"/>
    <x v="17"/>
    <x v="38"/>
    <x v="38"/>
    <x v="37"/>
    <x v="37"/>
    <x v="0"/>
    <x v="186"/>
    <x v="192"/>
    <x v="174"/>
    <x v="118"/>
    <x v="2"/>
    <x v="131"/>
    <x v="104"/>
    <x v="7"/>
    <x v="76"/>
    <x v="17"/>
    <x v="24"/>
    <x v="128"/>
    <x v="155"/>
    <x v="0"/>
    <x v="0"/>
    <x v="7"/>
    <x v="12"/>
    <x v="17"/>
    <x v="0"/>
    <x v="0"/>
    <x v="0"/>
    <x v="17"/>
  </r>
  <r>
    <x v="22"/>
    <x v="40"/>
    <x v="50"/>
    <x v="0"/>
    <x v="22"/>
    <x v="39"/>
    <x v="39"/>
    <x v="38"/>
    <x v="3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2"/>
    <x v="0"/>
    <x v="6"/>
    <x v="0"/>
    <x v="22"/>
  </r>
  <r>
    <x v="22"/>
    <x v="42"/>
    <x v="52"/>
    <x v="0"/>
    <x v="24"/>
    <x v="41"/>
    <x v="41"/>
    <x v="40"/>
    <x v="40"/>
    <x v="0"/>
    <x v="187"/>
    <x v="193"/>
    <x v="175"/>
    <x v="173"/>
    <x v="12"/>
    <x v="180"/>
    <x v="105"/>
    <x v="15"/>
    <x v="77"/>
    <x v="30"/>
    <x v="26"/>
    <x v="129"/>
    <x v="156"/>
    <x v="0"/>
    <x v="0"/>
    <x v="26"/>
    <x v="3"/>
    <x v="24"/>
    <x v="2"/>
    <x v="7"/>
    <x v="3"/>
    <x v="24"/>
  </r>
  <r>
    <x v="22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  <x v="25"/>
  </r>
  <r>
    <x v="23"/>
    <x v="15"/>
    <x v="16"/>
    <x v="0"/>
    <x v="1"/>
    <x v="13"/>
    <x v="13"/>
    <x v="12"/>
    <x v="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"/>
    <x v="0"/>
    <x v="1"/>
    <x v="0"/>
    <x v="1"/>
  </r>
  <r>
    <x v="23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3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3"/>
    <x v="33"/>
    <x v="43"/>
    <x v="0"/>
    <x v="18"/>
    <x v="32"/>
    <x v="32"/>
    <x v="31"/>
    <x v="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8"/>
    <x v="0"/>
    <x v="6"/>
    <x v="0"/>
    <x v="18"/>
  </r>
  <r>
    <x v="23"/>
    <x v="37"/>
    <x v="46"/>
    <x v="0"/>
    <x v="21"/>
    <x v="35"/>
    <x v="35"/>
    <x v="34"/>
    <x v="34"/>
    <x v="0"/>
    <x v="188"/>
    <x v="194"/>
    <x v="176"/>
    <x v="173"/>
    <x v="42"/>
    <x v="181"/>
    <x v="106"/>
    <x v="0"/>
    <x v="28"/>
    <x v="1"/>
    <x v="24"/>
    <x v="130"/>
    <x v="119"/>
    <x v="0"/>
    <x v="0"/>
    <x v="14"/>
    <x v="1"/>
    <x v="21"/>
    <x v="1"/>
    <x v="4"/>
    <x v="2"/>
    <x v="21"/>
  </r>
  <r>
    <x v="23"/>
    <x v="39"/>
    <x v="48"/>
    <x v="0"/>
    <x v="9"/>
    <x v="37"/>
    <x v="37"/>
    <x v="36"/>
    <x v="36"/>
    <x v="0"/>
    <x v="189"/>
    <x v="195"/>
    <x v="177"/>
    <x v="174"/>
    <x v="42"/>
    <x v="182"/>
    <x v="107"/>
    <x v="1"/>
    <x v="17"/>
    <x v="13"/>
    <x v="2"/>
    <x v="131"/>
    <x v="157"/>
    <x v="0"/>
    <x v="0"/>
    <x v="4"/>
    <x v="12"/>
    <x v="9"/>
    <x v="1"/>
    <x v="3"/>
    <x v="2"/>
    <x v="9"/>
  </r>
  <r>
    <x v="23"/>
    <x v="26"/>
    <x v="49"/>
    <x v="0"/>
    <x v="17"/>
    <x v="38"/>
    <x v="38"/>
    <x v="37"/>
    <x v="37"/>
    <x v="0"/>
    <x v="190"/>
    <x v="196"/>
    <x v="178"/>
    <x v="175"/>
    <x v="0"/>
    <x v="183"/>
    <x v="108"/>
    <x v="2"/>
    <x v="78"/>
    <x v="14"/>
    <x v="27"/>
    <x v="132"/>
    <x v="158"/>
    <x v="0"/>
    <x v="0"/>
    <x v="4"/>
    <x v="6"/>
    <x v="17"/>
    <x v="0"/>
    <x v="0"/>
    <x v="0"/>
    <x v="17"/>
  </r>
  <r>
    <x v="23"/>
    <x v="42"/>
    <x v="52"/>
    <x v="0"/>
    <x v="24"/>
    <x v="41"/>
    <x v="41"/>
    <x v="40"/>
    <x v="40"/>
    <x v="0"/>
    <x v="191"/>
    <x v="197"/>
    <x v="179"/>
    <x v="176"/>
    <x v="37"/>
    <x v="184"/>
    <x v="34"/>
    <x v="2"/>
    <x v="37"/>
    <x v="39"/>
    <x v="0"/>
    <x v="133"/>
    <x v="31"/>
    <x v="0"/>
    <x v="0"/>
    <x v="10"/>
    <x v="12"/>
    <x v="24"/>
    <x v="2"/>
    <x v="7"/>
    <x v="3"/>
    <x v="24"/>
  </r>
  <r>
    <x v="23"/>
    <x v="44"/>
    <x v="54"/>
    <x v="0"/>
    <x v="26"/>
    <x v="43"/>
    <x v="43"/>
    <x v="42"/>
    <x v="42"/>
    <x v="0"/>
    <x v="192"/>
    <x v="198"/>
    <x v="180"/>
    <x v="177"/>
    <x v="42"/>
    <x v="185"/>
    <x v="15"/>
    <x v="2"/>
    <x v="42"/>
    <x v="5"/>
    <x v="3"/>
    <x v="83"/>
    <x v="159"/>
    <x v="0"/>
    <x v="0"/>
    <x v="5"/>
    <x v="2"/>
    <x v="26"/>
    <x v="2"/>
    <x v="7"/>
    <x v="3"/>
    <x v="26"/>
  </r>
  <r>
    <x v="24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4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4"/>
    <x v="37"/>
    <x v="46"/>
    <x v="0"/>
    <x v="21"/>
    <x v="35"/>
    <x v="35"/>
    <x v="34"/>
    <x v="34"/>
    <x v="0"/>
    <x v="193"/>
    <x v="199"/>
    <x v="181"/>
    <x v="178"/>
    <x v="37"/>
    <x v="186"/>
    <x v="109"/>
    <x v="10"/>
    <x v="12"/>
    <x v="13"/>
    <x v="5"/>
    <x v="134"/>
    <x v="160"/>
    <x v="0"/>
    <x v="0"/>
    <x v="27"/>
    <x v="18"/>
    <x v="21"/>
    <x v="1"/>
    <x v="4"/>
    <x v="2"/>
    <x v="21"/>
  </r>
  <r>
    <x v="24"/>
    <x v="38"/>
    <x v="47"/>
    <x v="1"/>
    <x v="9"/>
    <x v="36"/>
    <x v="36"/>
    <x v="35"/>
    <x v="35"/>
    <x v="0"/>
    <x v="194"/>
    <x v="200"/>
    <x v="182"/>
    <x v="179"/>
    <x v="46"/>
    <x v="187"/>
    <x v="26"/>
    <x v="2"/>
    <x v="24"/>
    <x v="3"/>
    <x v="3"/>
    <x v="83"/>
    <x v="161"/>
    <x v="0"/>
    <x v="0"/>
    <x v="8"/>
    <x v="5"/>
    <x v="9"/>
    <x v="1"/>
    <x v="3"/>
    <x v="2"/>
    <x v="9"/>
  </r>
  <r>
    <x v="24"/>
    <x v="39"/>
    <x v="48"/>
    <x v="0"/>
    <x v="9"/>
    <x v="37"/>
    <x v="37"/>
    <x v="36"/>
    <x v="36"/>
    <x v="0"/>
    <x v="195"/>
    <x v="201"/>
    <x v="183"/>
    <x v="180"/>
    <x v="30"/>
    <x v="188"/>
    <x v="39"/>
    <x v="10"/>
    <x v="79"/>
    <x v="13"/>
    <x v="1"/>
    <x v="125"/>
    <x v="162"/>
    <x v="0"/>
    <x v="0"/>
    <x v="7"/>
    <x v="13"/>
    <x v="9"/>
    <x v="1"/>
    <x v="3"/>
    <x v="2"/>
    <x v="9"/>
  </r>
  <r>
    <x v="24"/>
    <x v="26"/>
    <x v="49"/>
    <x v="0"/>
    <x v="17"/>
    <x v="38"/>
    <x v="38"/>
    <x v="37"/>
    <x v="37"/>
    <x v="0"/>
    <x v="196"/>
    <x v="202"/>
    <x v="184"/>
    <x v="148"/>
    <x v="37"/>
    <x v="189"/>
    <x v="110"/>
    <x v="1"/>
    <x v="80"/>
    <x v="40"/>
    <x v="9"/>
    <x v="135"/>
    <x v="163"/>
    <x v="0"/>
    <x v="0"/>
    <x v="0"/>
    <x v="13"/>
    <x v="17"/>
    <x v="0"/>
    <x v="0"/>
    <x v="0"/>
    <x v="17"/>
  </r>
  <r>
    <x v="24"/>
    <x v="42"/>
    <x v="52"/>
    <x v="0"/>
    <x v="24"/>
    <x v="41"/>
    <x v="41"/>
    <x v="40"/>
    <x v="40"/>
    <x v="0"/>
    <x v="197"/>
    <x v="203"/>
    <x v="185"/>
    <x v="181"/>
    <x v="30"/>
    <x v="190"/>
    <x v="111"/>
    <x v="0"/>
    <x v="81"/>
    <x v="41"/>
    <x v="8"/>
    <x v="136"/>
    <x v="156"/>
    <x v="0"/>
    <x v="0"/>
    <x v="28"/>
    <x v="6"/>
    <x v="24"/>
    <x v="2"/>
    <x v="7"/>
    <x v="3"/>
    <x v="24"/>
  </r>
  <r>
    <x v="24"/>
    <x v="43"/>
    <x v="53"/>
    <x v="0"/>
    <x v="25"/>
    <x v="42"/>
    <x v="42"/>
    <x v="41"/>
    <x v="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5"/>
    <x v="2"/>
    <x v="7"/>
    <x v="3"/>
    <x v="25"/>
  </r>
  <r>
    <x v="24"/>
    <x v="44"/>
    <x v="54"/>
    <x v="0"/>
    <x v="26"/>
    <x v="43"/>
    <x v="43"/>
    <x v="42"/>
    <x v="42"/>
    <x v="0"/>
    <x v="198"/>
    <x v="204"/>
    <x v="186"/>
    <x v="60"/>
    <x v="12"/>
    <x v="191"/>
    <x v="23"/>
    <x v="0"/>
    <x v="24"/>
    <x v="11"/>
    <x v="3"/>
    <x v="68"/>
    <x v="164"/>
    <x v="0"/>
    <x v="0"/>
    <x v="5"/>
    <x v="2"/>
    <x v="26"/>
    <x v="2"/>
    <x v="7"/>
    <x v="3"/>
    <x v="26"/>
  </r>
  <r>
    <x v="24"/>
    <x v="45"/>
    <x v="55"/>
    <x v="0"/>
    <x v="27"/>
    <x v="44"/>
    <x v="44"/>
    <x v="43"/>
    <x v="43"/>
    <x v="0"/>
    <x v="199"/>
    <x v="205"/>
    <x v="187"/>
    <x v="127"/>
    <x v="28"/>
    <x v="74"/>
    <x v="44"/>
    <x v="4"/>
    <x v="82"/>
    <x v="8"/>
    <x v="8"/>
    <x v="137"/>
    <x v="165"/>
    <x v="0"/>
    <x v="0"/>
    <x v="29"/>
    <x v="32"/>
    <x v="27"/>
    <x v="1"/>
    <x v="4"/>
    <x v="2"/>
    <x v="27"/>
  </r>
  <r>
    <x v="24"/>
    <x v="46"/>
    <x v="56"/>
    <x v="0"/>
    <x v="28"/>
    <x v="45"/>
    <x v="45"/>
    <x v="44"/>
    <x v="44"/>
    <x v="0"/>
    <x v="200"/>
    <x v="206"/>
    <x v="188"/>
    <x v="182"/>
    <x v="1"/>
    <x v="192"/>
    <x v="112"/>
    <x v="7"/>
    <x v="1"/>
    <x v="0"/>
    <x v="8"/>
    <x v="138"/>
    <x v="166"/>
    <x v="0"/>
    <x v="0"/>
    <x v="4"/>
    <x v="11"/>
    <x v="28"/>
    <x v="0"/>
    <x v="6"/>
    <x v="0"/>
    <x v="28"/>
  </r>
  <r>
    <x v="24"/>
    <x v="47"/>
    <x v="57"/>
    <x v="0"/>
    <x v="29"/>
    <x v="46"/>
    <x v="46"/>
    <x v="45"/>
    <x v="45"/>
    <x v="0"/>
    <x v="201"/>
    <x v="207"/>
    <x v="189"/>
    <x v="183"/>
    <x v="42"/>
    <x v="193"/>
    <x v="38"/>
    <x v="1"/>
    <x v="79"/>
    <x v="2"/>
    <x v="7"/>
    <x v="39"/>
    <x v="167"/>
    <x v="0"/>
    <x v="0"/>
    <x v="10"/>
    <x v="11"/>
    <x v="29"/>
    <x v="0"/>
    <x v="0"/>
    <x v="0"/>
    <x v="29"/>
  </r>
  <r>
    <x v="24"/>
    <x v="48"/>
    <x v="58"/>
    <x v="0"/>
    <x v="30"/>
    <x v="47"/>
    <x v="47"/>
    <x v="46"/>
    <x v="46"/>
    <x v="0"/>
    <x v="202"/>
    <x v="208"/>
    <x v="190"/>
    <x v="184"/>
    <x v="28"/>
    <x v="194"/>
    <x v="30"/>
    <x v="1"/>
    <x v="8"/>
    <x v="11"/>
    <x v="1"/>
    <x v="52"/>
    <x v="168"/>
    <x v="0"/>
    <x v="0"/>
    <x v="7"/>
    <x v="6"/>
    <x v="30"/>
    <x v="1"/>
    <x v="2"/>
    <x v="1"/>
    <x v="30"/>
  </r>
  <r>
    <x v="24"/>
    <x v="49"/>
    <x v="59"/>
    <x v="1"/>
    <x v="22"/>
    <x v="48"/>
    <x v="48"/>
    <x v="47"/>
    <x v="47"/>
    <x v="0"/>
    <x v="203"/>
    <x v="209"/>
    <x v="191"/>
    <x v="8"/>
    <x v="25"/>
    <x v="195"/>
    <x v="14"/>
    <x v="2"/>
    <x v="20"/>
    <x v="5"/>
    <x v="3"/>
    <x v="139"/>
    <x v="169"/>
    <x v="0"/>
    <x v="0"/>
    <x v="5"/>
    <x v="2"/>
    <x v="22"/>
    <x v="0"/>
    <x v="6"/>
    <x v="0"/>
    <x v="22"/>
  </r>
  <r>
    <x v="25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5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25"/>
    <x v="37"/>
    <x v="46"/>
    <x v="0"/>
    <x v="21"/>
    <x v="35"/>
    <x v="35"/>
    <x v="34"/>
    <x v="34"/>
    <x v="0"/>
    <x v="204"/>
    <x v="210"/>
    <x v="192"/>
    <x v="185"/>
    <x v="30"/>
    <x v="196"/>
    <x v="16"/>
    <x v="7"/>
    <x v="36"/>
    <x v="3"/>
    <x v="13"/>
    <x v="45"/>
    <x v="170"/>
    <x v="0"/>
    <x v="0"/>
    <x v="28"/>
    <x v="9"/>
    <x v="21"/>
    <x v="1"/>
    <x v="4"/>
    <x v="2"/>
    <x v="21"/>
  </r>
  <r>
    <x v="25"/>
    <x v="38"/>
    <x v="47"/>
    <x v="1"/>
    <x v="9"/>
    <x v="36"/>
    <x v="36"/>
    <x v="35"/>
    <x v="35"/>
    <x v="0"/>
    <x v="205"/>
    <x v="211"/>
    <x v="193"/>
    <x v="186"/>
    <x v="18"/>
    <x v="197"/>
    <x v="21"/>
    <x v="2"/>
    <x v="24"/>
    <x v="5"/>
    <x v="3"/>
    <x v="68"/>
    <x v="171"/>
    <x v="0"/>
    <x v="0"/>
    <x v="25"/>
    <x v="2"/>
    <x v="9"/>
    <x v="1"/>
    <x v="3"/>
    <x v="2"/>
    <x v="9"/>
  </r>
  <r>
    <x v="25"/>
    <x v="39"/>
    <x v="48"/>
    <x v="0"/>
    <x v="9"/>
    <x v="37"/>
    <x v="37"/>
    <x v="36"/>
    <x v="36"/>
    <x v="0"/>
    <x v="206"/>
    <x v="212"/>
    <x v="194"/>
    <x v="187"/>
    <x v="10"/>
    <x v="198"/>
    <x v="113"/>
    <x v="5"/>
    <x v="53"/>
    <x v="13"/>
    <x v="1"/>
    <x v="140"/>
    <x v="172"/>
    <x v="0"/>
    <x v="0"/>
    <x v="10"/>
    <x v="13"/>
    <x v="9"/>
    <x v="1"/>
    <x v="3"/>
    <x v="2"/>
    <x v="9"/>
  </r>
  <r>
    <x v="25"/>
    <x v="26"/>
    <x v="49"/>
    <x v="0"/>
    <x v="17"/>
    <x v="38"/>
    <x v="38"/>
    <x v="37"/>
    <x v="37"/>
    <x v="0"/>
    <x v="207"/>
    <x v="213"/>
    <x v="195"/>
    <x v="156"/>
    <x v="41"/>
    <x v="199"/>
    <x v="101"/>
    <x v="0"/>
    <x v="83"/>
    <x v="10"/>
    <x v="8"/>
    <x v="141"/>
    <x v="173"/>
    <x v="0"/>
    <x v="0"/>
    <x v="4"/>
    <x v="6"/>
    <x v="17"/>
    <x v="0"/>
    <x v="0"/>
    <x v="0"/>
    <x v="17"/>
  </r>
  <r>
    <x v="25"/>
    <x v="42"/>
    <x v="52"/>
    <x v="0"/>
    <x v="24"/>
    <x v="41"/>
    <x v="41"/>
    <x v="40"/>
    <x v="40"/>
    <x v="0"/>
    <x v="208"/>
    <x v="214"/>
    <x v="113"/>
    <x v="188"/>
    <x v="1"/>
    <x v="200"/>
    <x v="15"/>
    <x v="2"/>
    <x v="14"/>
    <x v="3"/>
    <x v="3"/>
    <x v="15"/>
    <x v="15"/>
    <x v="0"/>
    <x v="0"/>
    <x v="5"/>
    <x v="2"/>
    <x v="24"/>
    <x v="2"/>
    <x v="7"/>
    <x v="3"/>
    <x v="24"/>
  </r>
  <r>
    <x v="25"/>
    <x v="44"/>
    <x v="54"/>
    <x v="0"/>
    <x v="26"/>
    <x v="43"/>
    <x v="43"/>
    <x v="42"/>
    <x v="4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6"/>
    <x v="2"/>
    <x v="7"/>
    <x v="3"/>
    <x v="26"/>
  </r>
  <r>
    <x v="25"/>
    <x v="45"/>
    <x v="55"/>
    <x v="0"/>
    <x v="27"/>
    <x v="44"/>
    <x v="44"/>
    <x v="43"/>
    <x v="43"/>
    <x v="0"/>
    <x v="209"/>
    <x v="215"/>
    <x v="196"/>
    <x v="67"/>
    <x v="28"/>
    <x v="201"/>
    <x v="88"/>
    <x v="0"/>
    <x v="71"/>
    <x v="13"/>
    <x v="4"/>
    <x v="89"/>
    <x v="174"/>
    <x v="0"/>
    <x v="0"/>
    <x v="27"/>
    <x v="33"/>
    <x v="27"/>
    <x v="1"/>
    <x v="4"/>
    <x v="2"/>
    <x v="27"/>
  </r>
  <r>
    <x v="25"/>
    <x v="46"/>
    <x v="56"/>
    <x v="0"/>
    <x v="28"/>
    <x v="45"/>
    <x v="45"/>
    <x v="44"/>
    <x v="44"/>
    <x v="0"/>
    <x v="210"/>
    <x v="216"/>
    <x v="197"/>
    <x v="189"/>
    <x v="1"/>
    <x v="202"/>
    <x v="114"/>
    <x v="6"/>
    <x v="84"/>
    <x v="1"/>
    <x v="1"/>
    <x v="28"/>
    <x v="175"/>
    <x v="0"/>
    <x v="0"/>
    <x v="1"/>
    <x v="12"/>
    <x v="28"/>
    <x v="0"/>
    <x v="6"/>
    <x v="0"/>
    <x v="28"/>
  </r>
  <r>
    <x v="25"/>
    <x v="47"/>
    <x v="57"/>
    <x v="0"/>
    <x v="29"/>
    <x v="46"/>
    <x v="46"/>
    <x v="45"/>
    <x v="45"/>
    <x v="0"/>
    <x v="211"/>
    <x v="217"/>
    <x v="198"/>
    <x v="190"/>
    <x v="4"/>
    <x v="203"/>
    <x v="49"/>
    <x v="10"/>
    <x v="85"/>
    <x v="42"/>
    <x v="0"/>
    <x v="142"/>
    <x v="176"/>
    <x v="0"/>
    <x v="0"/>
    <x v="1"/>
    <x v="11"/>
    <x v="29"/>
    <x v="0"/>
    <x v="0"/>
    <x v="0"/>
    <x v="29"/>
  </r>
  <r>
    <x v="25"/>
    <x v="48"/>
    <x v="58"/>
    <x v="0"/>
    <x v="30"/>
    <x v="47"/>
    <x v="47"/>
    <x v="46"/>
    <x v="46"/>
    <x v="0"/>
    <x v="212"/>
    <x v="218"/>
    <x v="199"/>
    <x v="191"/>
    <x v="1"/>
    <x v="204"/>
    <x v="15"/>
    <x v="2"/>
    <x v="14"/>
    <x v="3"/>
    <x v="3"/>
    <x v="15"/>
    <x v="15"/>
    <x v="0"/>
    <x v="0"/>
    <x v="5"/>
    <x v="2"/>
    <x v="30"/>
    <x v="1"/>
    <x v="2"/>
    <x v="1"/>
    <x v="30"/>
  </r>
  <r>
    <x v="25"/>
    <x v="49"/>
    <x v="59"/>
    <x v="1"/>
    <x v="22"/>
    <x v="48"/>
    <x v="48"/>
    <x v="47"/>
    <x v="47"/>
    <x v="0"/>
    <x v="213"/>
    <x v="219"/>
    <x v="200"/>
    <x v="192"/>
    <x v="54"/>
    <x v="205"/>
    <x v="54"/>
    <x v="1"/>
    <x v="7"/>
    <x v="3"/>
    <x v="2"/>
    <x v="85"/>
    <x v="177"/>
    <x v="0"/>
    <x v="0"/>
    <x v="1"/>
    <x v="2"/>
    <x v="22"/>
    <x v="0"/>
    <x v="6"/>
    <x v="0"/>
    <x v="22"/>
  </r>
  <r>
    <x v="25"/>
    <x v="50"/>
    <x v="60"/>
    <x v="1"/>
    <x v="24"/>
    <x v="49"/>
    <x v="49"/>
    <x v="48"/>
    <x v="48"/>
    <x v="0"/>
    <x v="214"/>
    <x v="220"/>
    <x v="201"/>
    <x v="193"/>
    <x v="27"/>
    <x v="206"/>
    <x v="94"/>
    <x v="2"/>
    <x v="53"/>
    <x v="43"/>
    <x v="4"/>
    <x v="143"/>
    <x v="178"/>
    <x v="0"/>
    <x v="0"/>
    <x v="0"/>
    <x v="10"/>
    <x v="24"/>
    <x v="2"/>
    <x v="7"/>
    <x v="3"/>
    <x v="24"/>
  </r>
  <r>
    <x v="25"/>
    <x v="51"/>
    <x v="61"/>
    <x v="1"/>
    <x v="27"/>
    <x v="50"/>
    <x v="50"/>
    <x v="49"/>
    <x v="49"/>
    <x v="0"/>
    <x v="215"/>
    <x v="221"/>
    <x v="202"/>
    <x v="194"/>
    <x v="14"/>
    <x v="207"/>
    <x v="22"/>
    <x v="2"/>
    <x v="42"/>
    <x v="3"/>
    <x v="3"/>
    <x v="68"/>
    <x v="179"/>
    <x v="0"/>
    <x v="0"/>
    <x v="2"/>
    <x v="12"/>
    <x v="27"/>
    <x v="1"/>
    <x v="4"/>
    <x v="2"/>
    <x v="27"/>
  </r>
  <r>
    <x v="25"/>
    <x v="52"/>
    <x v="62"/>
    <x v="0"/>
    <x v="31"/>
    <x v="51"/>
    <x v="51"/>
    <x v="50"/>
    <x v="50"/>
    <x v="0"/>
    <x v="216"/>
    <x v="222"/>
    <x v="203"/>
    <x v="195"/>
    <x v="2"/>
    <x v="208"/>
    <x v="115"/>
    <x v="0"/>
    <x v="86"/>
    <x v="44"/>
    <x v="24"/>
    <x v="72"/>
    <x v="180"/>
    <x v="0"/>
    <x v="0"/>
    <x v="30"/>
    <x v="2"/>
    <x v="31"/>
    <x v="1"/>
    <x v="8"/>
    <x v="2"/>
    <x v="31"/>
  </r>
  <r>
    <x v="25"/>
    <x v="53"/>
    <x v="63"/>
    <x v="1"/>
    <x v="29"/>
    <x v="52"/>
    <x v="52"/>
    <x v="51"/>
    <x v="51"/>
    <x v="0"/>
    <x v="217"/>
    <x v="223"/>
    <x v="51"/>
    <x v="196"/>
    <x v="19"/>
    <x v="209"/>
    <x v="36"/>
    <x v="1"/>
    <x v="2"/>
    <x v="5"/>
    <x v="2"/>
    <x v="101"/>
    <x v="181"/>
    <x v="0"/>
    <x v="0"/>
    <x v="5"/>
    <x v="5"/>
    <x v="29"/>
    <x v="0"/>
    <x v="0"/>
    <x v="0"/>
    <x v="29"/>
  </r>
  <r>
    <x v="25"/>
    <x v="54"/>
    <x v="64"/>
    <x v="1"/>
    <x v="7"/>
    <x v="53"/>
    <x v="53"/>
    <x v="52"/>
    <x v="52"/>
    <x v="0"/>
    <x v="218"/>
    <x v="224"/>
    <x v="204"/>
    <x v="10"/>
    <x v="31"/>
    <x v="210"/>
    <x v="34"/>
    <x v="2"/>
    <x v="84"/>
    <x v="1"/>
    <x v="3"/>
    <x v="90"/>
    <x v="182"/>
    <x v="0"/>
    <x v="0"/>
    <x v="1"/>
    <x v="11"/>
    <x v="7"/>
    <x v="0"/>
    <x v="6"/>
    <x v="0"/>
    <x v="7"/>
  </r>
  <r>
    <x v="25"/>
    <x v="55"/>
    <x v="65"/>
    <x v="1"/>
    <x v="6"/>
    <x v="54"/>
    <x v="54"/>
    <x v="53"/>
    <x v="53"/>
    <x v="0"/>
    <x v="219"/>
    <x v="225"/>
    <x v="205"/>
    <x v="143"/>
    <x v="55"/>
    <x v="211"/>
    <x v="39"/>
    <x v="1"/>
    <x v="0"/>
    <x v="12"/>
    <x v="4"/>
    <x v="144"/>
    <x v="183"/>
    <x v="0"/>
    <x v="0"/>
    <x v="4"/>
    <x v="2"/>
    <x v="6"/>
    <x v="2"/>
    <x v="5"/>
    <x v="3"/>
    <x v="6"/>
  </r>
  <r>
    <x v="26"/>
    <x v="5"/>
    <x v="5"/>
    <x v="0"/>
    <x v="5"/>
    <x v="2"/>
    <x v="2"/>
    <x v="2"/>
    <x v="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"/>
    <x v="1"/>
    <x v="4"/>
    <x v="2"/>
    <x v="5"/>
  </r>
  <r>
    <x v="26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6"/>
    <x v="37"/>
    <x v="46"/>
    <x v="0"/>
    <x v="21"/>
    <x v="35"/>
    <x v="35"/>
    <x v="34"/>
    <x v="34"/>
    <x v="0"/>
    <x v="220"/>
    <x v="226"/>
    <x v="72"/>
    <x v="197"/>
    <x v="36"/>
    <x v="212"/>
    <x v="15"/>
    <x v="2"/>
    <x v="14"/>
    <x v="3"/>
    <x v="3"/>
    <x v="15"/>
    <x v="15"/>
    <x v="0"/>
    <x v="0"/>
    <x v="5"/>
    <x v="2"/>
    <x v="21"/>
    <x v="1"/>
    <x v="4"/>
    <x v="2"/>
    <x v="21"/>
  </r>
  <r>
    <x v="26"/>
    <x v="38"/>
    <x v="47"/>
    <x v="1"/>
    <x v="9"/>
    <x v="36"/>
    <x v="36"/>
    <x v="35"/>
    <x v="35"/>
    <x v="0"/>
    <x v="221"/>
    <x v="227"/>
    <x v="206"/>
    <x v="198"/>
    <x v="34"/>
    <x v="213"/>
    <x v="13"/>
    <x v="1"/>
    <x v="19"/>
    <x v="3"/>
    <x v="3"/>
    <x v="50"/>
    <x v="184"/>
    <x v="0"/>
    <x v="0"/>
    <x v="14"/>
    <x v="2"/>
    <x v="9"/>
    <x v="1"/>
    <x v="3"/>
    <x v="2"/>
    <x v="9"/>
  </r>
  <r>
    <x v="26"/>
    <x v="39"/>
    <x v="48"/>
    <x v="0"/>
    <x v="9"/>
    <x v="37"/>
    <x v="37"/>
    <x v="36"/>
    <x v="36"/>
    <x v="0"/>
    <x v="222"/>
    <x v="228"/>
    <x v="207"/>
    <x v="199"/>
    <x v="12"/>
    <x v="214"/>
    <x v="11"/>
    <x v="10"/>
    <x v="87"/>
    <x v="1"/>
    <x v="3"/>
    <x v="145"/>
    <x v="185"/>
    <x v="0"/>
    <x v="0"/>
    <x v="1"/>
    <x v="5"/>
    <x v="9"/>
    <x v="1"/>
    <x v="3"/>
    <x v="2"/>
    <x v="9"/>
  </r>
  <r>
    <x v="26"/>
    <x v="26"/>
    <x v="49"/>
    <x v="0"/>
    <x v="17"/>
    <x v="38"/>
    <x v="38"/>
    <x v="37"/>
    <x v="37"/>
    <x v="0"/>
    <x v="223"/>
    <x v="229"/>
    <x v="208"/>
    <x v="150"/>
    <x v="12"/>
    <x v="215"/>
    <x v="116"/>
    <x v="10"/>
    <x v="88"/>
    <x v="18"/>
    <x v="27"/>
    <x v="146"/>
    <x v="186"/>
    <x v="0"/>
    <x v="0"/>
    <x v="7"/>
    <x v="12"/>
    <x v="17"/>
    <x v="0"/>
    <x v="0"/>
    <x v="0"/>
    <x v="17"/>
  </r>
  <r>
    <x v="26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24"/>
    <x v="2"/>
    <x v="7"/>
    <x v="3"/>
    <x v="24"/>
  </r>
  <r>
    <x v="26"/>
    <x v="45"/>
    <x v="55"/>
    <x v="0"/>
    <x v="27"/>
    <x v="44"/>
    <x v="44"/>
    <x v="43"/>
    <x v="43"/>
    <x v="0"/>
    <x v="224"/>
    <x v="230"/>
    <x v="209"/>
    <x v="200"/>
    <x v="4"/>
    <x v="216"/>
    <x v="117"/>
    <x v="15"/>
    <x v="78"/>
    <x v="35"/>
    <x v="23"/>
    <x v="147"/>
    <x v="187"/>
    <x v="0"/>
    <x v="0"/>
    <x v="31"/>
    <x v="34"/>
    <x v="27"/>
    <x v="1"/>
    <x v="4"/>
    <x v="2"/>
    <x v="27"/>
  </r>
  <r>
    <x v="26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  <x v="0"/>
    <x v="6"/>
    <x v="0"/>
    <x v="28"/>
  </r>
  <r>
    <x v="26"/>
    <x v="47"/>
    <x v="57"/>
    <x v="0"/>
    <x v="29"/>
    <x v="46"/>
    <x v="46"/>
    <x v="45"/>
    <x v="45"/>
    <x v="0"/>
    <x v="225"/>
    <x v="231"/>
    <x v="210"/>
    <x v="201"/>
    <x v="30"/>
    <x v="217"/>
    <x v="118"/>
    <x v="7"/>
    <x v="89"/>
    <x v="8"/>
    <x v="4"/>
    <x v="104"/>
    <x v="188"/>
    <x v="0"/>
    <x v="0"/>
    <x v="2"/>
    <x v="2"/>
    <x v="29"/>
    <x v="0"/>
    <x v="0"/>
    <x v="0"/>
    <x v="29"/>
  </r>
  <r>
    <x v="26"/>
    <x v="49"/>
    <x v="59"/>
    <x v="1"/>
    <x v="22"/>
    <x v="48"/>
    <x v="48"/>
    <x v="47"/>
    <x v="47"/>
    <x v="0"/>
    <x v="226"/>
    <x v="232"/>
    <x v="211"/>
    <x v="202"/>
    <x v="56"/>
    <x v="218"/>
    <x v="54"/>
    <x v="2"/>
    <x v="90"/>
    <x v="11"/>
    <x v="1"/>
    <x v="148"/>
    <x v="189"/>
    <x v="0"/>
    <x v="0"/>
    <x v="4"/>
    <x v="2"/>
    <x v="22"/>
    <x v="0"/>
    <x v="6"/>
    <x v="0"/>
    <x v="22"/>
  </r>
  <r>
    <x v="26"/>
    <x v="50"/>
    <x v="60"/>
    <x v="1"/>
    <x v="24"/>
    <x v="49"/>
    <x v="49"/>
    <x v="48"/>
    <x v="48"/>
    <x v="0"/>
    <x v="30"/>
    <x v="97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26"/>
    <x v="51"/>
    <x v="61"/>
    <x v="1"/>
    <x v="27"/>
    <x v="50"/>
    <x v="50"/>
    <x v="49"/>
    <x v="49"/>
    <x v="0"/>
    <x v="227"/>
    <x v="233"/>
    <x v="212"/>
    <x v="203"/>
    <x v="27"/>
    <x v="219"/>
    <x v="63"/>
    <x v="2"/>
    <x v="91"/>
    <x v="11"/>
    <x v="0"/>
    <x v="149"/>
    <x v="190"/>
    <x v="0"/>
    <x v="0"/>
    <x v="3"/>
    <x v="26"/>
    <x v="27"/>
    <x v="1"/>
    <x v="4"/>
    <x v="2"/>
    <x v="27"/>
  </r>
  <r>
    <x v="26"/>
    <x v="52"/>
    <x v="62"/>
    <x v="0"/>
    <x v="31"/>
    <x v="51"/>
    <x v="51"/>
    <x v="50"/>
    <x v="50"/>
    <x v="0"/>
    <x v="228"/>
    <x v="234"/>
    <x v="113"/>
    <x v="25"/>
    <x v="9"/>
    <x v="220"/>
    <x v="18"/>
    <x v="2"/>
    <x v="14"/>
    <x v="3"/>
    <x v="3"/>
    <x v="20"/>
    <x v="191"/>
    <x v="0"/>
    <x v="0"/>
    <x v="5"/>
    <x v="2"/>
    <x v="31"/>
    <x v="1"/>
    <x v="8"/>
    <x v="2"/>
    <x v="31"/>
  </r>
  <r>
    <x v="26"/>
    <x v="53"/>
    <x v="63"/>
    <x v="1"/>
    <x v="29"/>
    <x v="52"/>
    <x v="52"/>
    <x v="51"/>
    <x v="51"/>
    <x v="0"/>
    <x v="229"/>
    <x v="235"/>
    <x v="213"/>
    <x v="204"/>
    <x v="34"/>
    <x v="221"/>
    <x v="43"/>
    <x v="0"/>
    <x v="45"/>
    <x v="11"/>
    <x v="3"/>
    <x v="87"/>
    <x v="192"/>
    <x v="0"/>
    <x v="0"/>
    <x v="2"/>
    <x v="11"/>
    <x v="29"/>
    <x v="0"/>
    <x v="0"/>
    <x v="0"/>
    <x v="29"/>
  </r>
  <r>
    <x v="26"/>
    <x v="54"/>
    <x v="64"/>
    <x v="1"/>
    <x v="7"/>
    <x v="53"/>
    <x v="53"/>
    <x v="52"/>
    <x v="52"/>
    <x v="0"/>
    <x v="230"/>
    <x v="236"/>
    <x v="214"/>
    <x v="205"/>
    <x v="57"/>
    <x v="222"/>
    <x v="40"/>
    <x v="1"/>
    <x v="92"/>
    <x v="3"/>
    <x v="0"/>
    <x v="150"/>
    <x v="193"/>
    <x v="0"/>
    <x v="0"/>
    <x v="1"/>
    <x v="11"/>
    <x v="7"/>
    <x v="0"/>
    <x v="6"/>
    <x v="0"/>
    <x v="7"/>
  </r>
  <r>
    <x v="26"/>
    <x v="55"/>
    <x v="65"/>
    <x v="1"/>
    <x v="6"/>
    <x v="54"/>
    <x v="54"/>
    <x v="53"/>
    <x v="53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6"/>
    <x v="2"/>
    <x v="5"/>
    <x v="3"/>
    <x v="6"/>
  </r>
  <r>
    <x v="26"/>
    <x v="56"/>
    <x v="66"/>
    <x v="1"/>
    <x v="31"/>
    <x v="55"/>
    <x v="55"/>
    <x v="54"/>
    <x v="54"/>
    <x v="0"/>
    <x v="231"/>
    <x v="238"/>
    <x v="215"/>
    <x v="206"/>
    <x v="36"/>
    <x v="223"/>
    <x v="119"/>
    <x v="1"/>
    <x v="0"/>
    <x v="44"/>
    <x v="13"/>
    <x v="92"/>
    <x v="194"/>
    <x v="0"/>
    <x v="0"/>
    <x v="32"/>
    <x v="2"/>
    <x v="31"/>
    <x v="1"/>
    <x v="8"/>
    <x v="2"/>
    <x v="31"/>
  </r>
  <r>
    <x v="26"/>
    <x v="57"/>
    <x v="67"/>
    <x v="0"/>
    <x v="32"/>
    <x v="56"/>
    <x v="56"/>
    <x v="55"/>
    <x v="55"/>
    <x v="0"/>
    <x v="232"/>
    <x v="239"/>
    <x v="216"/>
    <x v="207"/>
    <x v="1"/>
    <x v="224"/>
    <x v="39"/>
    <x v="0"/>
    <x v="9"/>
    <x v="45"/>
    <x v="1"/>
    <x v="151"/>
    <x v="158"/>
    <x v="0"/>
    <x v="0"/>
    <x v="1"/>
    <x v="10"/>
    <x v="32"/>
    <x v="1"/>
    <x v="9"/>
    <x v="2"/>
    <x v="32"/>
  </r>
  <r>
    <x v="26"/>
    <x v="58"/>
    <x v="68"/>
    <x v="0"/>
    <x v="33"/>
    <x v="57"/>
    <x v="57"/>
    <x v="56"/>
    <x v="56"/>
    <x v="0"/>
    <x v="233"/>
    <x v="240"/>
    <x v="217"/>
    <x v="208"/>
    <x v="37"/>
    <x v="26"/>
    <x v="120"/>
    <x v="7"/>
    <x v="52"/>
    <x v="1"/>
    <x v="23"/>
    <x v="152"/>
    <x v="16"/>
    <x v="0"/>
    <x v="0"/>
    <x v="2"/>
    <x v="2"/>
    <x v="33"/>
    <x v="0"/>
    <x v="6"/>
    <x v="0"/>
    <x v="33"/>
  </r>
  <r>
    <x v="26"/>
    <x v="59"/>
    <x v="69"/>
    <x v="0"/>
    <x v="34"/>
    <x v="58"/>
    <x v="58"/>
    <x v="57"/>
    <x v="57"/>
    <x v="0"/>
    <x v="234"/>
    <x v="241"/>
    <x v="218"/>
    <x v="209"/>
    <x v="12"/>
    <x v="225"/>
    <x v="121"/>
    <x v="3"/>
    <x v="71"/>
    <x v="32"/>
    <x v="0"/>
    <x v="153"/>
    <x v="195"/>
    <x v="1"/>
    <x v="1"/>
    <x v="23"/>
    <x v="11"/>
    <x v="34"/>
    <x v="0"/>
    <x v="6"/>
    <x v="0"/>
    <x v="34"/>
  </r>
  <r>
    <x v="26"/>
    <x v="60"/>
    <x v="70"/>
    <x v="0"/>
    <x v="35"/>
    <x v="59"/>
    <x v="59"/>
    <x v="58"/>
    <x v="58"/>
    <x v="0"/>
    <x v="235"/>
    <x v="242"/>
    <x v="219"/>
    <x v="210"/>
    <x v="58"/>
    <x v="226"/>
    <x v="56"/>
    <x v="2"/>
    <x v="2"/>
    <x v="3"/>
    <x v="1"/>
    <x v="154"/>
    <x v="196"/>
    <x v="0"/>
    <x v="0"/>
    <x v="2"/>
    <x v="6"/>
    <x v="35"/>
    <x v="0"/>
    <x v="6"/>
    <x v="0"/>
    <x v="35"/>
  </r>
  <r>
    <x v="26"/>
    <x v="61"/>
    <x v="71"/>
    <x v="0"/>
    <x v="36"/>
    <x v="60"/>
    <x v="60"/>
    <x v="59"/>
    <x v="59"/>
    <x v="0"/>
    <x v="236"/>
    <x v="243"/>
    <x v="220"/>
    <x v="211"/>
    <x v="37"/>
    <x v="227"/>
    <x v="122"/>
    <x v="1"/>
    <x v="93"/>
    <x v="12"/>
    <x v="22"/>
    <x v="155"/>
    <x v="197"/>
    <x v="0"/>
    <x v="0"/>
    <x v="1"/>
    <x v="23"/>
    <x v="36"/>
    <x v="0"/>
    <x v="10"/>
    <x v="0"/>
    <x v="36"/>
  </r>
  <r>
    <x v="27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7"/>
    <x v="37"/>
    <x v="46"/>
    <x v="0"/>
    <x v="21"/>
    <x v="35"/>
    <x v="35"/>
    <x v="34"/>
    <x v="3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1"/>
    <x v="1"/>
    <x v="4"/>
    <x v="2"/>
    <x v="21"/>
  </r>
  <r>
    <x v="27"/>
    <x v="38"/>
    <x v="47"/>
    <x v="1"/>
    <x v="9"/>
    <x v="36"/>
    <x v="36"/>
    <x v="35"/>
    <x v="35"/>
    <x v="0"/>
    <x v="237"/>
    <x v="244"/>
    <x v="221"/>
    <x v="212"/>
    <x v="59"/>
    <x v="228"/>
    <x v="2"/>
    <x v="2"/>
    <x v="20"/>
    <x v="3"/>
    <x v="2"/>
    <x v="78"/>
    <x v="198"/>
    <x v="0"/>
    <x v="0"/>
    <x v="1"/>
    <x v="5"/>
    <x v="9"/>
    <x v="1"/>
    <x v="3"/>
    <x v="2"/>
    <x v="9"/>
  </r>
  <r>
    <x v="27"/>
    <x v="39"/>
    <x v="48"/>
    <x v="0"/>
    <x v="9"/>
    <x v="37"/>
    <x v="37"/>
    <x v="36"/>
    <x v="36"/>
    <x v="0"/>
    <x v="238"/>
    <x v="245"/>
    <x v="222"/>
    <x v="213"/>
    <x v="12"/>
    <x v="202"/>
    <x v="3"/>
    <x v="2"/>
    <x v="7"/>
    <x v="13"/>
    <x v="3"/>
    <x v="156"/>
    <x v="199"/>
    <x v="0"/>
    <x v="0"/>
    <x v="4"/>
    <x v="2"/>
    <x v="9"/>
    <x v="1"/>
    <x v="3"/>
    <x v="2"/>
    <x v="9"/>
  </r>
  <r>
    <x v="27"/>
    <x v="26"/>
    <x v="49"/>
    <x v="0"/>
    <x v="17"/>
    <x v="38"/>
    <x v="38"/>
    <x v="37"/>
    <x v="37"/>
    <x v="0"/>
    <x v="239"/>
    <x v="246"/>
    <x v="223"/>
    <x v="214"/>
    <x v="42"/>
    <x v="229"/>
    <x v="8"/>
    <x v="2"/>
    <x v="24"/>
    <x v="3"/>
    <x v="3"/>
    <x v="70"/>
    <x v="200"/>
    <x v="0"/>
    <x v="0"/>
    <x v="5"/>
    <x v="2"/>
    <x v="17"/>
    <x v="0"/>
    <x v="0"/>
    <x v="0"/>
    <x v="17"/>
  </r>
  <r>
    <x v="27"/>
    <x v="45"/>
    <x v="55"/>
    <x v="0"/>
    <x v="27"/>
    <x v="44"/>
    <x v="44"/>
    <x v="43"/>
    <x v="43"/>
    <x v="0"/>
    <x v="240"/>
    <x v="247"/>
    <x v="224"/>
    <x v="215"/>
    <x v="42"/>
    <x v="230"/>
    <x v="123"/>
    <x v="3"/>
    <x v="94"/>
    <x v="14"/>
    <x v="24"/>
    <x v="157"/>
    <x v="100"/>
    <x v="0"/>
    <x v="0"/>
    <x v="33"/>
    <x v="35"/>
    <x v="27"/>
    <x v="1"/>
    <x v="4"/>
    <x v="2"/>
    <x v="27"/>
  </r>
  <r>
    <x v="27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  <x v="0"/>
    <x v="6"/>
    <x v="0"/>
    <x v="28"/>
  </r>
  <r>
    <x v="27"/>
    <x v="47"/>
    <x v="57"/>
    <x v="0"/>
    <x v="29"/>
    <x v="46"/>
    <x v="46"/>
    <x v="45"/>
    <x v="45"/>
    <x v="0"/>
    <x v="241"/>
    <x v="248"/>
    <x v="225"/>
    <x v="6"/>
    <x v="0"/>
    <x v="231"/>
    <x v="124"/>
    <x v="10"/>
    <x v="95"/>
    <x v="46"/>
    <x v="28"/>
    <x v="158"/>
    <x v="201"/>
    <x v="0"/>
    <x v="0"/>
    <x v="5"/>
    <x v="12"/>
    <x v="29"/>
    <x v="0"/>
    <x v="0"/>
    <x v="0"/>
    <x v="29"/>
  </r>
  <r>
    <x v="27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  <x v="1"/>
    <x v="2"/>
    <x v="1"/>
    <x v="30"/>
  </r>
  <r>
    <x v="27"/>
    <x v="49"/>
    <x v="59"/>
    <x v="1"/>
    <x v="22"/>
    <x v="48"/>
    <x v="48"/>
    <x v="47"/>
    <x v="47"/>
    <x v="0"/>
    <x v="242"/>
    <x v="249"/>
    <x v="226"/>
    <x v="216"/>
    <x v="38"/>
    <x v="232"/>
    <x v="64"/>
    <x v="0"/>
    <x v="20"/>
    <x v="0"/>
    <x v="2"/>
    <x v="154"/>
    <x v="202"/>
    <x v="0"/>
    <x v="0"/>
    <x v="4"/>
    <x v="2"/>
    <x v="22"/>
    <x v="0"/>
    <x v="6"/>
    <x v="0"/>
    <x v="22"/>
  </r>
  <r>
    <x v="27"/>
    <x v="51"/>
    <x v="61"/>
    <x v="1"/>
    <x v="27"/>
    <x v="50"/>
    <x v="50"/>
    <x v="49"/>
    <x v="49"/>
    <x v="0"/>
    <x v="243"/>
    <x v="250"/>
    <x v="227"/>
    <x v="217"/>
    <x v="26"/>
    <x v="233"/>
    <x v="125"/>
    <x v="2"/>
    <x v="50"/>
    <x v="5"/>
    <x v="3"/>
    <x v="26"/>
    <x v="203"/>
    <x v="0"/>
    <x v="0"/>
    <x v="1"/>
    <x v="11"/>
    <x v="27"/>
    <x v="1"/>
    <x v="4"/>
    <x v="2"/>
    <x v="27"/>
  </r>
  <r>
    <x v="27"/>
    <x v="53"/>
    <x v="63"/>
    <x v="1"/>
    <x v="29"/>
    <x v="52"/>
    <x v="52"/>
    <x v="51"/>
    <x v="51"/>
    <x v="0"/>
    <x v="244"/>
    <x v="251"/>
    <x v="228"/>
    <x v="218"/>
    <x v="60"/>
    <x v="234"/>
    <x v="126"/>
    <x v="2"/>
    <x v="13"/>
    <x v="1"/>
    <x v="1"/>
    <x v="79"/>
    <x v="204"/>
    <x v="0"/>
    <x v="0"/>
    <x v="5"/>
    <x v="11"/>
    <x v="29"/>
    <x v="0"/>
    <x v="0"/>
    <x v="0"/>
    <x v="29"/>
  </r>
  <r>
    <x v="27"/>
    <x v="54"/>
    <x v="64"/>
    <x v="1"/>
    <x v="7"/>
    <x v="53"/>
    <x v="53"/>
    <x v="52"/>
    <x v="52"/>
    <x v="0"/>
    <x v="245"/>
    <x v="252"/>
    <x v="229"/>
    <x v="219"/>
    <x v="61"/>
    <x v="235"/>
    <x v="71"/>
    <x v="2"/>
    <x v="91"/>
    <x v="5"/>
    <x v="2"/>
    <x v="18"/>
    <x v="205"/>
    <x v="0"/>
    <x v="0"/>
    <x v="5"/>
    <x v="12"/>
    <x v="7"/>
    <x v="0"/>
    <x v="6"/>
    <x v="0"/>
    <x v="7"/>
  </r>
  <r>
    <x v="27"/>
    <x v="56"/>
    <x v="66"/>
    <x v="1"/>
    <x v="31"/>
    <x v="55"/>
    <x v="55"/>
    <x v="54"/>
    <x v="54"/>
    <x v="0"/>
    <x v="246"/>
    <x v="253"/>
    <x v="230"/>
    <x v="220"/>
    <x v="36"/>
    <x v="236"/>
    <x v="127"/>
    <x v="1"/>
    <x v="95"/>
    <x v="22"/>
    <x v="13"/>
    <x v="159"/>
    <x v="206"/>
    <x v="2"/>
    <x v="4"/>
    <x v="32"/>
    <x v="2"/>
    <x v="31"/>
    <x v="1"/>
    <x v="8"/>
    <x v="2"/>
    <x v="31"/>
  </r>
  <r>
    <x v="27"/>
    <x v="57"/>
    <x v="67"/>
    <x v="0"/>
    <x v="32"/>
    <x v="56"/>
    <x v="56"/>
    <x v="55"/>
    <x v="55"/>
    <x v="0"/>
    <x v="247"/>
    <x v="254"/>
    <x v="231"/>
    <x v="221"/>
    <x v="5"/>
    <x v="237"/>
    <x v="99"/>
    <x v="3"/>
    <x v="3"/>
    <x v="47"/>
    <x v="23"/>
    <x v="127"/>
    <x v="207"/>
    <x v="0"/>
    <x v="0"/>
    <x v="12"/>
    <x v="10"/>
    <x v="32"/>
    <x v="1"/>
    <x v="9"/>
    <x v="2"/>
    <x v="32"/>
  </r>
  <r>
    <x v="27"/>
    <x v="58"/>
    <x v="68"/>
    <x v="0"/>
    <x v="33"/>
    <x v="57"/>
    <x v="57"/>
    <x v="56"/>
    <x v="56"/>
    <x v="0"/>
    <x v="248"/>
    <x v="255"/>
    <x v="232"/>
    <x v="222"/>
    <x v="42"/>
    <x v="238"/>
    <x v="39"/>
    <x v="2"/>
    <x v="96"/>
    <x v="0"/>
    <x v="0"/>
    <x v="106"/>
    <x v="208"/>
    <x v="0"/>
    <x v="0"/>
    <x v="4"/>
    <x v="2"/>
    <x v="33"/>
    <x v="0"/>
    <x v="6"/>
    <x v="0"/>
    <x v="33"/>
  </r>
  <r>
    <x v="27"/>
    <x v="59"/>
    <x v="69"/>
    <x v="0"/>
    <x v="34"/>
    <x v="58"/>
    <x v="58"/>
    <x v="57"/>
    <x v="57"/>
    <x v="0"/>
    <x v="249"/>
    <x v="256"/>
    <x v="233"/>
    <x v="223"/>
    <x v="3"/>
    <x v="239"/>
    <x v="128"/>
    <x v="0"/>
    <x v="46"/>
    <x v="2"/>
    <x v="1"/>
    <x v="160"/>
    <x v="209"/>
    <x v="0"/>
    <x v="0"/>
    <x v="11"/>
    <x v="2"/>
    <x v="34"/>
    <x v="0"/>
    <x v="6"/>
    <x v="0"/>
    <x v="34"/>
  </r>
  <r>
    <x v="27"/>
    <x v="60"/>
    <x v="70"/>
    <x v="0"/>
    <x v="35"/>
    <x v="59"/>
    <x v="59"/>
    <x v="58"/>
    <x v="58"/>
    <x v="0"/>
    <x v="250"/>
    <x v="257"/>
    <x v="70"/>
    <x v="224"/>
    <x v="35"/>
    <x v="240"/>
    <x v="15"/>
    <x v="2"/>
    <x v="24"/>
    <x v="3"/>
    <x v="3"/>
    <x v="20"/>
    <x v="210"/>
    <x v="0"/>
    <x v="0"/>
    <x v="5"/>
    <x v="2"/>
    <x v="35"/>
    <x v="0"/>
    <x v="6"/>
    <x v="0"/>
    <x v="35"/>
  </r>
  <r>
    <x v="27"/>
    <x v="61"/>
    <x v="71"/>
    <x v="0"/>
    <x v="36"/>
    <x v="60"/>
    <x v="60"/>
    <x v="59"/>
    <x v="59"/>
    <x v="0"/>
    <x v="251"/>
    <x v="258"/>
    <x v="234"/>
    <x v="225"/>
    <x v="8"/>
    <x v="241"/>
    <x v="129"/>
    <x v="0"/>
    <x v="97"/>
    <x v="6"/>
    <x v="24"/>
    <x v="161"/>
    <x v="211"/>
    <x v="0"/>
    <x v="0"/>
    <x v="2"/>
    <x v="9"/>
    <x v="36"/>
    <x v="0"/>
    <x v="10"/>
    <x v="0"/>
    <x v="36"/>
  </r>
  <r>
    <x v="27"/>
    <x v="62"/>
    <x v="72"/>
    <x v="0"/>
    <x v="37"/>
    <x v="61"/>
    <x v="61"/>
    <x v="60"/>
    <x v="60"/>
    <x v="0"/>
    <x v="252"/>
    <x v="259"/>
    <x v="235"/>
    <x v="226"/>
    <x v="41"/>
    <x v="242"/>
    <x v="130"/>
    <x v="2"/>
    <x v="98"/>
    <x v="40"/>
    <x v="29"/>
    <x v="162"/>
    <x v="212"/>
    <x v="0"/>
    <x v="0"/>
    <x v="4"/>
    <x v="2"/>
    <x v="37"/>
    <x v="1"/>
    <x v="3"/>
    <x v="2"/>
    <x v="37"/>
  </r>
  <r>
    <x v="27"/>
    <x v="63"/>
    <x v="73"/>
    <x v="0"/>
    <x v="38"/>
    <x v="62"/>
    <x v="62"/>
    <x v="61"/>
    <x v="61"/>
    <x v="0"/>
    <x v="253"/>
    <x v="260"/>
    <x v="236"/>
    <x v="227"/>
    <x v="30"/>
    <x v="243"/>
    <x v="131"/>
    <x v="0"/>
    <x v="41"/>
    <x v="21"/>
    <x v="23"/>
    <x v="163"/>
    <x v="213"/>
    <x v="0"/>
    <x v="0"/>
    <x v="12"/>
    <x v="2"/>
    <x v="38"/>
    <x v="0"/>
    <x v="0"/>
    <x v="0"/>
    <x v="38"/>
  </r>
  <r>
    <x v="27"/>
    <x v="64"/>
    <x v="74"/>
    <x v="0"/>
    <x v="39"/>
    <x v="63"/>
    <x v="63"/>
    <x v="62"/>
    <x v="62"/>
    <x v="0"/>
    <x v="254"/>
    <x v="261"/>
    <x v="237"/>
    <x v="228"/>
    <x v="0"/>
    <x v="244"/>
    <x v="112"/>
    <x v="5"/>
    <x v="31"/>
    <x v="3"/>
    <x v="26"/>
    <x v="164"/>
    <x v="214"/>
    <x v="0"/>
    <x v="0"/>
    <x v="12"/>
    <x v="12"/>
    <x v="39"/>
    <x v="0"/>
    <x v="6"/>
    <x v="0"/>
    <x v="39"/>
  </r>
  <r>
    <x v="28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28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8"/>
    <x v="37"/>
    <x v="46"/>
    <x v="0"/>
    <x v="21"/>
    <x v="35"/>
    <x v="35"/>
    <x v="34"/>
    <x v="3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1"/>
    <x v="1"/>
    <x v="4"/>
    <x v="2"/>
    <x v="21"/>
  </r>
  <r>
    <x v="28"/>
    <x v="38"/>
    <x v="47"/>
    <x v="1"/>
    <x v="9"/>
    <x v="36"/>
    <x v="36"/>
    <x v="35"/>
    <x v="35"/>
    <x v="0"/>
    <x v="255"/>
    <x v="262"/>
    <x v="238"/>
    <x v="229"/>
    <x v="62"/>
    <x v="245"/>
    <x v="21"/>
    <x v="0"/>
    <x v="42"/>
    <x v="3"/>
    <x v="3"/>
    <x v="26"/>
    <x v="215"/>
    <x v="0"/>
    <x v="0"/>
    <x v="4"/>
    <x v="3"/>
    <x v="9"/>
    <x v="1"/>
    <x v="3"/>
    <x v="2"/>
    <x v="9"/>
  </r>
  <r>
    <x v="28"/>
    <x v="39"/>
    <x v="48"/>
    <x v="0"/>
    <x v="9"/>
    <x v="37"/>
    <x v="37"/>
    <x v="36"/>
    <x v="36"/>
    <x v="0"/>
    <x v="256"/>
    <x v="263"/>
    <x v="239"/>
    <x v="55"/>
    <x v="8"/>
    <x v="246"/>
    <x v="18"/>
    <x v="2"/>
    <x v="24"/>
    <x v="3"/>
    <x v="3"/>
    <x v="27"/>
    <x v="216"/>
    <x v="0"/>
    <x v="0"/>
    <x v="5"/>
    <x v="2"/>
    <x v="9"/>
    <x v="1"/>
    <x v="3"/>
    <x v="2"/>
    <x v="9"/>
  </r>
  <r>
    <x v="28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28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28"/>
    <x v="45"/>
    <x v="55"/>
    <x v="0"/>
    <x v="27"/>
    <x v="44"/>
    <x v="44"/>
    <x v="43"/>
    <x v="43"/>
    <x v="0"/>
    <x v="257"/>
    <x v="264"/>
    <x v="240"/>
    <x v="230"/>
    <x v="28"/>
    <x v="247"/>
    <x v="15"/>
    <x v="2"/>
    <x v="24"/>
    <x v="3"/>
    <x v="3"/>
    <x v="20"/>
    <x v="217"/>
    <x v="0"/>
    <x v="0"/>
    <x v="5"/>
    <x v="2"/>
    <x v="27"/>
    <x v="1"/>
    <x v="4"/>
    <x v="2"/>
    <x v="27"/>
  </r>
  <r>
    <x v="28"/>
    <x v="47"/>
    <x v="57"/>
    <x v="0"/>
    <x v="29"/>
    <x v="46"/>
    <x v="46"/>
    <x v="45"/>
    <x v="45"/>
    <x v="0"/>
    <x v="258"/>
    <x v="265"/>
    <x v="241"/>
    <x v="231"/>
    <x v="9"/>
    <x v="248"/>
    <x v="8"/>
    <x v="2"/>
    <x v="24"/>
    <x v="5"/>
    <x v="3"/>
    <x v="83"/>
    <x v="165"/>
    <x v="0"/>
    <x v="0"/>
    <x v="5"/>
    <x v="2"/>
    <x v="29"/>
    <x v="0"/>
    <x v="0"/>
    <x v="0"/>
    <x v="29"/>
  </r>
  <r>
    <x v="28"/>
    <x v="49"/>
    <x v="59"/>
    <x v="1"/>
    <x v="22"/>
    <x v="48"/>
    <x v="48"/>
    <x v="47"/>
    <x v="47"/>
    <x v="0"/>
    <x v="259"/>
    <x v="266"/>
    <x v="242"/>
    <x v="232"/>
    <x v="63"/>
    <x v="249"/>
    <x v="56"/>
    <x v="2"/>
    <x v="49"/>
    <x v="11"/>
    <x v="2"/>
    <x v="154"/>
    <x v="218"/>
    <x v="0"/>
    <x v="0"/>
    <x v="7"/>
    <x v="5"/>
    <x v="22"/>
    <x v="0"/>
    <x v="6"/>
    <x v="0"/>
    <x v="22"/>
  </r>
  <r>
    <x v="28"/>
    <x v="51"/>
    <x v="61"/>
    <x v="1"/>
    <x v="27"/>
    <x v="50"/>
    <x v="50"/>
    <x v="49"/>
    <x v="49"/>
    <x v="0"/>
    <x v="260"/>
    <x v="267"/>
    <x v="243"/>
    <x v="5"/>
    <x v="15"/>
    <x v="250"/>
    <x v="14"/>
    <x v="2"/>
    <x v="2"/>
    <x v="5"/>
    <x v="3"/>
    <x v="165"/>
    <x v="219"/>
    <x v="0"/>
    <x v="0"/>
    <x v="10"/>
    <x v="12"/>
    <x v="27"/>
    <x v="1"/>
    <x v="4"/>
    <x v="2"/>
    <x v="27"/>
  </r>
  <r>
    <x v="28"/>
    <x v="53"/>
    <x v="63"/>
    <x v="1"/>
    <x v="29"/>
    <x v="52"/>
    <x v="52"/>
    <x v="51"/>
    <x v="51"/>
    <x v="0"/>
    <x v="261"/>
    <x v="268"/>
    <x v="244"/>
    <x v="233"/>
    <x v="64"/>
    <x v="251"/>
    <x v="38"/>
    <x v="1"/>
    <x v="55"/>
    <x v="6"/>
    <x v="4"/>
    <x v="59"/>
    <x v="220"/>
    <x v="0"/>
    <x v="0"/>
    <x v="7"/>
    <x v="10"/>
    <x v="29"/>
    <x v="0"/>
    <x v="0"/>
    <x v="0"/>
    <x v="29"/>
  </r>
  <r>
    <x v="28"/>
    <x v="54"/>
    <x v="64"/>
    <x v="1"/>
    <x v="7"/>
    <x v="53"/>
    <x v="53"/>
    <x v="52"/>
    <x v="52"/>
    <x v="0"/>
    <x v="262"/>
    <x v="269"/>
    <x v="245"/>
    <x v="234"/>
    <x v="65"/>
    <x v="252"/>
    <x v="112"/>
    <x v="1"/>
    <x v="89"/>
    <x v="3"/>
    <x v="1"/>
    <x v="166"/>
    <x v="221"/>
    <x v="0"/>
    <x v="0"/>
    <x v="7"/>
    <x v="2"/>
    <x v="7"/>
    <x v="0"/>
    <x v="6"/>
    <x v="0"/>
    <x v="7"/>
  </r>
  <r>
    <x v="28"/>
    <x v="56"/>
    <x v="66"/>
    <x v="1"/>
    <x v="31"/>
    <x v="55"/>
    <x v="55"/>
    <x v="54"/>
    <x v="54"/>
    <x v="0"/>
    <x v="263"/>
    <x v="270"/>
    <x v="246"/>
    <x v="235"/>
    <x v="21"/>
    <x v="253"/>
    <x v="132"/>
    <x v="1"/>
    <x v="99"/>
    <x v="48"/>
    <x v="8"/>
    <x v="167"/>
    <x v="222"/>
    <x v="0"/>
    <x v="0"/>
    <x v="34"/>
    <x v="2"/>
    <x v="31"/>
    <x v="1"/>
    <x v="8"/>
    <x v="2"/>
    <x v="31"/>
  </r>
  <r>
    <x v="28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28"/>
    <x v="58"/>
    <x v="68"/>
    <x v="0"/>
    <x v="33"/>
    <x v="57"/>
    <x v="57"/>
    <x v="56"/>
    <x v="56"/>
    <x v="0"/>
    <x v="264"/>
    <x v="271"/>
    <x v="247"/>
    <x v="184"/>
    <x v="2"/>
    <x v="254"/>
    <x v="8"/>
    <x v="2"/>
    <x v="42"/>
    <x v="3"/>
    <x v="3"/>
    <x v="75"/>
    <x v="223"/>
    <x v="0"/>
    <x v="0"/>
    <x v="5"/>
    <x v="2"/>
    <x v="33"/>
    <x v="0"/>
    <x v="6"/>
    <x v="0"/>
    <x v="33"/>
  </r>
  <r>
    <x v="28"/>
    <x v="59"/>
    <x v="69"/>
    <x v="0"/>
    <x v="34"/>
    <x v="58"/>
    <x v="58"/>
    <x v="57"/>
    <x v="57"/>
    <x v="0"/>
    <x v="265"/>
    <x v="272"/>
    <x v="248"/>
    <x v="236"/>
    <x v="8"/>
    <x v="255"/>
    <x v="15"/>
    <x v="2"/>
    <x v="24"/>
    <x v="5"/>
    <x v="3"/>
    <x v="27"/>
    <x v="224"/>
    <x v="0"/>
    <x v="0"/>
    <x v="5"/>
    <x v="2"/>
    <x v="34"/>
    <x v="0"/>
    <x v="6"/>
    <x v="0"/>
    <x v="34"/>
  </r>
  <r>
    <x v="28"/>
    <x v="60"/>
    <x v="70"/>
    <x v="0"/>
    <x v="35"/>
    <x v="59"/>
    <x v="59"/>
    <x v="58"/>
    <x v="5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5"/>
    <x v="0"/>
    <x v="6"/>
    <x v="0"/>
    <x v="35"/>
  </r>
  <r>
    <x v="28"/>
    <x v="61"/>
    <x v="71"/>
    <x v="0"/>
    <x v="36"/>
    <x v="60"/>
    <x v="60"/>
    <x v="59"/>
    <x v="59"/>
    <x v="0"/>
    <x v="266"/>
    <x v="273"/>
    <x v="249"/>
    <x v="237"/>
    <x v="9"/>
    <x v="87"/>
    <x v="8"/>
    <x v="2"/>
    <x v="42"/>
    <x v="3"/>
    <x v="3"/>
    <x v="75"/>
    <x v="225"/>
    <x v="0"/>
    <x v="0"/>
    <x v="5"/>
    <x v="2"/>
    <x v="36"/>
    <x v="0"/>
    <x v="10"/>
    <x v="0"/>
    <x v="36"/>
  </r>
  <r>
    <x v="28"/>
    <x v="62"/>
    <x v="72"/>
    <x v="0"/>
    <x v="37"/>
    <x v="61"/>
    <x v="61"/>
    <x v="60"/>
    <x v="60"/>
    <x v="0"/>
    <x v="267"/>
    <x v="274"/>
    <x v="70"/>
    <x v="238"/>
    <x v="4"/>
    <x v="256"/>
    <x v="15"/>
    <x v="2"/>
    <x v="14"/>
    <x v="3"/>
    <x v="3"/>
    <x v="15"/>
    <x v="15"/>
    <x v="0"/>
    <x v="0"/>
    <x v="5"/>
    <x v="2"/>
    <x v="37"/>
    <x v="1"/>
    <x v="3"/>
    <x v="2"/>
    <x v="37"/>
  </r>
  <r>
    <x v="28"/>
    <x v="63"/>
    <x v="73"/>
    <x v="0"/>
    <x v="38"/>
    <x v="62"/>
    <x v="62"/>
    <x v="61"/>
    <x v="61"/>
    <x v="0"/>
    <x v="39"/>
    <x v="275"/>
    <x v="70"/>
    <x v="239"/>
    <x v="12"/>
    <x v="257"/>
    <x v="18"/>
    <x v="2"/>
    <x v="14"/>
    <x v="3"/>
    <x v="3"/>
    <x v="20"/>
    <x v="226"/>
    <x v="0"/>
    <x v="0"/>
    <x v="5"/>
    <x v="2"/>
    <x v="38"/>
    <x v="0"/>
    <x v="0"/>
    <x v="0"/>
    <x v="38"/>
  </r>
  <r>
    <x v="28"/>
    <x v="64"/>
    <x v="74"/>
    <x v="0"/>
    <x v="39"/>
    <x v="63"/>
    <x v="63"/>
    <x v="62"/>
    <x v="62"/>
    <x v="0"/>
    <x v="220"/>
    <x v="276"/>
    <x v="73"/>
    <x v="240"/>
    <x v="1"/>
    <x v="158"/>
    <x v="15"/>
    <x v="2"/>
    <x v="14"/>
    <x v="3"/>
    <x v="3"/>
    <x v="15"/>
    <x v="15"/>
    <x v="0"/>
    <x v="0"/>
    <x v="5"/>
    <x v="2"/>
    <x v="39"/>
    <x v="0"/>
    <x v="6"/>
    <x v="0"/>
    <x v="39"/>
  </r>
  <r>
    <x v="29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29"/>
    <x v="32"/>
    <x v="40"/>
    <x v="0"/>
    <x v="20"/>
    <x v="29"/>
    <x v="29"/>
    <x v="28"/>
    <x v="2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0"/>
    <x v="1"/>
    <x v="2"/>
    <x v="1"/>
    <x v="20"/>
  </r>
  <r>
    <x v="29"/>
    <x v="38"/>
    <x v="47"/>
    <x v="1"/>
    <x v="9"/>
    <x v="36"/>
    <x v="36"/>
    <x v="35"/>
    <x v="35"/>
    <x v="0"/>
    <x v="268"/>
    <x v="277"/>
    <x v="250"/>
    <x v="241"/>
    <x v="34"/>
    <x v="258"/>
    <x v="23"/>
    <x v="2"/>
    <x v="19"/>
    <x v="3"/>
    <x v="3"/>
    <x v="8"/>
    <x v="227"/>
    <x v="0"/>
    <x v="0"/>
    <x v="2"/>
    <x v="11"/>
    <x v="9"/>
    <x v="1"/>
    <x v="3"/>
    <x v="2"/>
    <x v="9"/>
  </r>
  <r>
    <x v="29"/>
    <x v="39"/>
    <x v="48"/>
    <x v="0"/>
    <x v="9"/>
    <x v="37"/>
    <x v="37"/>
    <x v="36"/>
    <x v="36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9"/>
    <x v="1"/>
    <x v="3"/>
    <x v="2"/>
    <x v="9"/>
  </r>
  <r>
    <x v="29"/>
    <x v="26"/>
    <x v="49"/>
    <x v="0"/>
    <x v="17"/>
    <x v="38"/>
    <x v="38"/>
    <x v="37"/>
    <x v="37"/>
    <x v="0"/>
    <x v="269"/>
    <x v="278"/>
    <x v="251"/>
    <x v="163"/>
    <x v="4"/>
    <x v="80"/>
    <x v="55"/>
    <x v="1"/>
    <x v="34"/>
    <x v="1"/>
    <x v="8"/>
    <x v="168"/>
    <x v="228"/>
    <x v="1"/>
    <x v="4"/>
    <x v="7"/>
    <x v="11"/>
    <x v="17"/>
    <x v="0"/>
    <x v="0"/>
    <x v="0"/>
    <x v="17"/>
  </r>
  <r>
    <x v="29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29"/>
    <x v="47"/>
    <x v="57"/>
    <x v="0"/>
    <x v="29"/>
    <x v="46"/>
    <x v="46"/>
    <x v="45"/>
    <x v="45"/>
    <x v="0"/>
    <x v="270"/>
    <x v="279"/>
    <x v="252"/>
    <x v="242"/>
    <x v="1"/>
    <x v="259"/>
    <x v="133"/>
    <x v="10"/>
    <x v="61"/>
    <x v="34"/>
    <x v="30"/>
    <x v="169"/>
    <x v="229"/>
    <x v="0"/>
    <x v="0"/>
    <x v="12"/>
    <x v="5"/>
    <x v="29"/>
    <x v="0"/>
    <x v="0"/>
    <x v="0"/>
    <x v="29"/>
  </r>
  <r>
    <x v="29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  <x v="1"/>
    <x v="2"/>
    <x v="1"/>
    <x v="30"/>
  </r>
  <r>
    <x v="29"/>
    <x v="49"/>
    <x v="59"/>
    <x v="1"/>
    <x v="22"/>
    <x v="48"/>
    <x v="48"/>
    <x v="47"/>
    <x v="47"/>
    <x v="0"/>
    <x v="271"/>
    <x v="280"/>
    <x v="253"/>
    <x v="243"/>
    <x v="56"/>
    <x v="260"/>
    <x v="54"/>
    <x v="2"/>
    <x v="22"/>
    <x v="3"/>
    <x v="3"/>
    <x v="7"/>
    <x v="230"/>
    <x v="2"/>
    <x v="1"/>
    <x v="1"/>
    <x v="2"/>
    <x v="22"/>
    <x v="0"/>
    <x v="6"/>
    <x v="0"/>
    <x v="22"/>
  </r>
  <r>
    <x v="29"/>
    <x v="51"/>
    <x v="61"/>
    <x v="1"/>
    <x v="27"/>
    <x v="50"/>
    <x v="50"/>
    <x v="49"/>
    <x v="49"/>
    <x v="0"/>
    <x v="272"/>
    <x v="281"/>
    <x v="254"/>
    <x v="244"/>
    <x v="15"/>
    <x v="261"/>
    <x v="9"/>
    <x v="2"/>
    <x v="31"/>
    <x v="3"/>
    <x v="4"/>
    <x v="52"/>
    <x v="231"/>
    <x v="0"/>
    <x v="0"/>
    <x v="10"/>
    <x v="9"/>
    <x v="27"/>
    <x v="1"/>
    <x v="4"/>
    <x v="2"/>
    <x v="27"/>
  </r>
  <r>
    <x v="29"/>
    <x v="52"/>
    <x v="62"/>
    <x v="0"/>
    <x v="31"/>
    <x v="51"/>
    <x v="51"/>
    <x v="50"/>
    <x v="5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1"/>
    <x v="8"/>
    <x v="2"/>
    <x v="31"/>
  </r>
  <r>
    <x v="29"/>
    <x v="53"/>
    <x v="63"/>
    <x v="1"/>
    <x v="29"/>
    <x v="52"/>
    <x v="52"/>
    <x v="51"/>
    <x v="51"/>
    <x v="0"/>
    <x v="273"/>
    <x v="282"/>
    <x v="255"/>
    <x v="245"/>
    <x v="66"/>
    <x v="262"/>
    <x v="43"/>
    <x v="1"/>
    <x v="90"/>
    <x v="5"/>
    <x v="3"/>
    <x v="170"/>
    <x v="232"/>
    <x v="3"/>
    <x v="5"/>
    <x v="2"/>
    <x v="2"/>
    <x v="29"/>
    <x v="0"/>
    <x v="0"/>
    <x v="0"/>
    <x v="29"/>
  </r>
  <r>
    <x v="29"/>
    <x v="54"/>
    <x v="64"/>
    <x v="1"/>
    <x v="7"/>
    <x v="53"/>
    <x v="53"/>
    <x v="52"/>
    <x v="52"/>
    <x v="0"/>
    <x v="274"/>
    <x v="283"/>
    <x v="256"/>
    <x v="208"/>
    <x v="67"/>
    <x v="263"/>
    <x v="95"/>
    <x v="2"/>
    <x v="28"/>
    <x v="11"/>
    <x v="4"/>
    <x v="171"/>
    <x v="233"/>
    <x v="2"/>
    <x v="6"/>
    <x v="1"/>
    <x v="11"/>
    <x v="7"/>
    <x v="0"/>
    <x v="6"/>
    <x v="0"/>
    <x v="7"/>
  </r>
  <r>
    <x v="29"/>
    <x v="56"/>
    <x v="66"/>
    <x v="1"/>
    <x v="31"/>
    <x v="55"/>
    <x v="55"/>
    <x v="54"/>
    <x v="54"/>
    <x v="0"/>
    <x v="219"/>
    <x v="284"/>
    <x v="257"/>
    <x v="246"/>
    <x v="36"/>
    <x v="264"/>
    <x v="25"/>
    <x v="2"/>
    <x v="65"/>
    <x v="44"/>
    <x v="13"/>
    <x v="172"/>
    <x v="234"/>
    <x v="0"/>
    <x v="0"/>
    <x v="35"/>
    <x v="2"/>
    <x v="31"/>
    <x v="1"/>
    <x v="8"/>
    <x v="2"/>
    <x v="31"/>
  </r>
  <r>
    <x v="29"/>
    <x v="57"/>
    <x v="67"/>
    <x v="0"/>
    <x v="32"/>
    <x v="56"/>
    <x v="56"/>
    <x v="55"/>
    <x v="55"/>
    <x v="0"/>
    <x v="275"/>
    <x v="285"/>
    <x v="258"/>
    <x v="247"/>
    <x v="11"/>
    <x v="265"/>
    <x v="134"/>
    <x v="6"/>
    <x v="100"/>
    <x v="49"/>
    <x v="22"/>
    <x v="173"/>
    <x v="235"/>
    <x v="0"/>
    <x v="0"/>
    <x v="36"/>
    <x v="8"/>
    <x v="32"/>
    <x v="1"/>
    <x v="9"/>
    <x v="2"/>
    <x v="32"/>
  </r>
  <r>
    <x v="29"/>
    <x v="61"/>
    <x v="71"/>
    <x v="0"/>
    <x v="36"/>
    <x v="60"/>
    <x v="60"/>
    <x v="59"/>
    <x v="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6"/>
    <x v="0"/>
    <x v="10"/>
    <x v="0"/>
    <x v="36"/>
  </r>
  <r>
    <x v="29"/>
    <x v="62"/>
    <x v="72"/>
    <x v="0"/>
    <x v="37"/>
    <x v="61"/>
    <x v="61"/>
    <x v="60"/>
    <x v="60"/>
    <x v="0"/>
    <x v="276"/>
    <x v="286"/>
    <x v="259"/>
    <x v="248"/>
    <x v="30"/>
    <x v="266"/>
    <x v="135"/>
    <x v="3"/>
    <x v="101"/>
    <x v="47"/>
    <x v="15"/>
    <x v="174"/>
    <x v="236"/>
    <x v="0"/>
    <x v="0"/>
    <x v="0"/>
    <x v="2"/>
    <x v="37"/>
    <x v="1"/>
    <x v="3"/>
    <x v="2"/>
    <x v="37"/>
  </r>
  <r>
    <x v="29"/>
    <x v="63"/>
    <x v="73"/>
    <x v="0"/>
    <x v="38"/>
    <x v="62"/>
    <x v="62"/>
    <x v="61"/>
    <x v="6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8"/>
    <x v="0"/>
    <x v="0"/>
    <x v="0"/>
    <x v="38"/>
  </r>
  <r>
    <x v="29"/>
    <x v="64"/>
    <x v="74"/>
    <x v="0"/>
    <x v="39"/>
    <x v="63"/>
    <x v="63"/>
    <x v="62"/>
    <x v="62"/>
    <x v="0"/>
    <x v="277"/>
    <x v="287"/>
    <x v="260"/>
    <x v="127"/>
    <x v="28"/>
    <x v="267"/>
    <x v="33"/>
    <x v="3"/>
    <x v="23"/>
    <x v="5"/>
    <x v="13"/>
    <x v="16"/>
    <x v="237"/>
    <x v="0"/>
    <x v="0"/>
    <x v="0"/>
    <x v="6"/>
    <x v="39"/>
    <x v="0"/>
    <x v="6"/>
    <x v="0"/>
    <x v="39"/>
  </r>
  <r>
    <x v="30"/>
    <x v="38"/>
    <x v="47"/>
    <x v="1"/>
    <x v="9"/>
    <x v="36"/>
    <x v="36"/>
    <x v="35"/>
    <x v="35"/>
    <x v="0"/>
    <x v="278"/>
    <x v="288"/>
    <x v="261"/>
    <x v="249"/>
    <x v="68"/>
    <x v="268"/>
    <x v="46"/>
    <x v="2"/>
    <x v="50"/>
    <x v="3"/>
    <x v="1"/>
    <x v="56"/>
    <x v="238"/>
    <x v="0"/>
    <x v="0"/>
    <x v="37"/>
    <x v="23"/>
    <x v="9"/>
    <x v="1"/>
    <x v="3"/>
    <x v="2"/>
    <x v="9"/>
  </r>
  <r>
    <x v="30"/>
    <x v="39"/>
    <x v="48"/>
    <x v="0"/>
    <x v="9"/>
    <x v="37"/>
    <x v="37"/>
    <x v="36"/>
    <x v="36"/>
    <x v="0"/>
    <x v="279"/>
    <x v="289"/>
    <x v="262"/>
    <x v="250"/>
    <x v="37"/>
    <x v="269"/>
    <x v="87"/>
    <x v="3"/>
    <x v="29"/>
    <x v="4"/>
    <x v="3"/>
    <x v="175"/>
    <x v="239"/>
    <x v="0"/>
    <x v="0"/>
    <x v="23"/>
    <x v="5"/>
    <x v="9"/>
    <x v="1"/>
    <x v="3"/>
    <x v="2"/>
    <x v="9"/>
  </r>
  <r>
    <x v="30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30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0"/>
    <x v="45"/>
    <x v="55"/>
    <x v="0"/>
    <x v="27"/>
    <x v="44"/>
    <x v="44"/>
    <x v="43"/>
    <x v="43"/>
    <x v="0"/>
    <x v="280"/>
    <x v="290"/>
    <x v="263"/>
    <x v="251"/>
    <x v="2"/>
    <x v="270"/>
    <x v="136"/>
    <x v="19"/>
    <x v="97"/>
    <x v="20"/>
    <x v="6"/>
    <x v="176"/>
    <x v="240"/>
    <x v="0"/>
    <x v="0"/>
    <x v="38"/>
    <x v="36"/>
    <x v="27"/>
    <x v="1"/>
    <x v="4"/>
    <x v="2"/>
    <x v="27"/>
  </r>
  <r>
    <x v="30"/>
    <x v="47"/>
    <x v="57"/>
    <x v="0"/>
    <x v="29"/>
    <x v="46"/>
    <x v="46"/>
    <x v="45"/>
    <x v="45"/>
    <x v="0"/>
    <x v="281"/>
    <x v="291"/>
    <x v="264"/>
    <x v="214"/>
    <x v="2"/>
    <x v="271"/>
    <x v="137"/>
    <x v="22"/>
    <x v="94"/>
    <x v="30"/>
    <x v="31"/>
    <x v="177"/>
    <x v="241"/>
    <x v="0"/>
    <x v="0"/>
    <x v="33"/>
    <x v="23"/>
    <x v="29"/>
    <x v="0"/>
    <x v="0"/>
    <x v="0"/>
    <x v="29"/>
  </r>
  <r>
    <x v="30"/>
    <x v="49"/>
    <x v="59"/>
    <x v="1"/>
    <x v="22"/>
    <x v="48"/>
    <x v="48"/>
    <x v="47"/>
    <x v="47"/>
    <x v="0"/>
    <x v="282"/>
    <x v="292"/>
    <x v="265"/>
    <x v="252"/>
    <x v="69"/>
    <x v="272"/>
    <x v="2"/>
    <x v="2"/>
    <x v="42"/>
    <x v="11"/>
    <x v="2"/>
    <x v="78"/>
    <x v="242"/>
    <x v="0"/>
    <x v="0"/>
    <x v="2"/>
    <x v="5"/>
    <x v="22"/>
    <x v="0"/>
    <x v="6"/>
    <x v="0"/>
    <x v="22"/>
  </r>
  <r>
    <x v="30"/>
    <x v="51"/>
    <x v="61"/>
    <x v="1"/>
    <x v="27"/>
    <x v="50"/>
    <x v="50"/>
    <x v="49"/>
    <x v="49"/>
    <x v="0"/>
    <x v="283"/>
    <x v="293"/>
    <x v="266"/>
    <x v="253"/>
    <x v="44"/>
    <x v="273"/>
    <x v="7"/>
    <x v="1"/>
    <x v="45"/>
    <x v="3"/>
    <x v="3"/>
    <x v="2"/>
    <x v="243"/>
    <x v="0"/>
    <x v="0"/>
    <x v="11"/>
    <x v="1"/>
    <x v="27"/>
    <x v="1"/>
    <x v="4"/>
    <x v="2"/>
    <x v="27"/>
  </r>
  <r>
    <x v="30"/>
    <x v="53"/>
    <x v="63"/>
    <x v="1"/>
    <x v="29"/>
    <x v="52"/>
    <x v="52"/>
    <x v="51"/>
    <x v="51"/>
    <x v="0"/>
    <x v="284"/>
    <x v="294"/>
    <x v="267"/>
    <x v="162"/>
    <x v="34"/>
    <x v="274"/>
    <x v="80"/>
    <x v="2"/>
    <x v="10"/>
    <x v="1"/>
    <x v="2"/>
    <x v="178"/>
    <x v="244"/>
    <x v="0"/>
    <x v="0"/>
    <x v="1"/>
    <x v="2"/>
    <x v="29"/>
    <x v="0"/>
    <x v="0"/>
    <x v="0"/>
    <x v="29"/>
  </r>
  <r>
    <x v="30"/>
    <x v="54"/>
    <x v="64"/>
    <x v="1"/>
    <x v="7"/>
    <x v="53"/>
    <x v="53"/>
    <x v="52"/>
    <x v="52"/>
    <x v="0"/>
    <x v="285"/>
    <x v="295"/>
    <x v="268"/>
    <x v="254"/>
    <x v="70"/>
    <x v="275"/>
    <x v="118"/>
    <x v="2"/>
    <x v="21"/>
    <x v="11"/>
    <x v="1"/>
    <x v="179"/>
    <x v="245"/>
    <x v="0"/>
    <x v="0"/>
    <x v="9"/>
    <x v="6"/>
    <x v="7"/>
    <x v="0"/>
    <x v="6"/>
    <x v="0"/>
    <x v="7"/>
  </r>
  <r>
    <x v="30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0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  <x v="0"/>
    <x v="6"/>
    <x v="0"/>
    <x v="33"/>
  </r>
  <r>
    <x v="30"/>
    <x v="59"/>
    <x v="69"/>
    <x v="0"/>
    <x v="34"/>
    <x v="58"/>
    <x v="58"/>
    <x v="57"/>
    <x v="57"/>
    <x v="0"/>
    <x v="286"/>
    <x v="296"/>
    <x v="269"/>
    <x v="255"/>
    <x v="32"/>
    <x v="276"/>
    <x v="87"/>
    <x v="7"/>
    <x v="35"/>
    <x v="17"/>
    <x v="0"/>
    <x v="180"/>
    <x v="246"/>
    <x v="0"/>
    <x v="0"/>
    <x v="14"/>
    <x v="2"/>
    <x v="34"/>
    <x v="0"/>
    <x v="6"/>
    <x v="0"/>
    <x v="34"/>
  </r>
  <r>
    <x v="30"/>
    <x v="62"/>
    <x v="72"/>
    <x v="0"/>
    <x v="37"/>
    <x v="61"/>
    <x v="61"/>
    <x v="60"/>
    <x v="60"/>
    <x v="0"/>
    <x v="287"/>
    <x v="297"/>
    <x v="270"/>
    <x v="256"/>
    <x v="12"/>
    <x v="277"/>
    <x v="138"/>
    <x v="0"/>
    <x v="102"/>
    <x v="50"/>
    <x v="32"/>
    <x v="181"/>
    <x v="247"/>
    <x v="0"/>
    <x v="0"/>
    <x v="8"/>
    <x v="2"/>
    <x v="37"/>
    <x v="1"/>
    <x v="3"/>
    <x v="2"/>
    <x v="37"/>
  </r>
  <r>
    <x v="30"/>
    <x v="64"/>
    <x v="74"/>
    <x v="0"/>
    <x v="39"/>
    <x v="63"/>
    <x v="63"/>
    <x v="62"/>
    <x v="62"/>
    <x v="0"/>
    <x v="288"/>
    <x v="298"/>
    <x v="271"/>
    <x v="121"/>
    <x v="28"/>
    <x v="72"/>
    <x v="139"/>
    <x v="7"/>
    <x v="38"/>
    <x v="3"/>
    <x v="26"/>
    <x v="182"/>
    <x v="248"/>
    <x v="0"/>
    <x v="0"/>
    <x v="11"/>
    <x v="3"/>
    <x v="39"/>
    <x v="0"/>
    <x v="6"/>
    <x v="0"/>
    <x v="39"/>
  </r>
  <r>
    <x v="30"/>
    <x v="65"/>
    <x v="75"/>
    <x v="0"/>
    <x v="40"/>
    <x v="64"/>
    <x v="64"/>
    <x v="63"/>
    <x v="63"/>
    <x v="0"/>
    <x v="289"/>
    <x v="299"/>
    <x v="272"/>
    <x v="257"/>
    <x v="35"/>
    <x v="278"/>
    <x v="17"/>
    <x v="2"/>
    <x v="49"/>
    <x v="3"/>
    <x v="2"/>
    <x v="2"/>
    <x v="249"/>
    <x v="0"/>
    <x v="0"/>
    <x v="5"/>
    <x v="5"/>
    <x v="40"/>
    <x v="0"/>
    <x v="6"/>
    <x v="0"/>
    <x v="40"/>
  </r>
  <r>
    <x v="31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31"/>
    <x v="38"/>
    <x v="47"/>
    <x v="1"/>
    <x v="9"/>
    <x v="36"/>
    <x v="36"/>
    <x v="35"/>
    <x v="35"/>
    <x v="0"/>
    <x v="290"/>
    <x v="75"/>
    <x v="70"/>
    <x v="36"/>
    <x v="71"/>
    <x v="279"/>
    <x v="15"/>
    <x v="2"/>
    <x v="14"/>
    <x v="3"/>
    <x v="3"/>
    <x v="15"/>
    <x v="15"/>
    <x v="0"/>
    <x v="0"/>
    <x v="5"/>
    <x v="2"/>
    <x v="9"/>
    <x v="1"/>
    <x v="3"/>
    <x v="2"/>
    <x v="9"/>
  </r>
  <r>
    <x v="31"/>
    <x v="39"/>
    <x v="48"/>
    <x v="0"/>
    <x v="9"/>
    <x v="37"/>
    <x v="37"/>
    <x v="36"/>
    <x v="36"/>
    <x v="0"/>
    <x v="291"/>
    <x v="300"/>
    <x v="273"/>
    <x v="194"/>
    <x v="0"/>
    <x v="42"/>
    <x v="8"/>
    <x v="2"/>
    <x v="24"/>
    <x v="5"/>
    <x v="3"/>
    <x v="83"/>
    <x v="83"/>
    <x v="0"/>
    <x v="0"/>
    <x v="5"/>
    <x v="2"/>
    <x v="9"/>
    <x v="1"/>
    <x v="3"/>
    <x v="2"/>
    <x v="9"/>
  </r>
  <r>
    <x v="31"/>
    <x v="45"/>
    <x v="55"/>
    <x v="0"/>
    <x v="27"/>
    <x v="44"/>
    <x v="44"/>
    <x v="43"/>
    <x v="43"/>
    <x v="0"/>
    <x v="292"/>
    <x v="301"/>
    <x v="274"/>
    <x v="258"/>
    <x v="1"/>
    <x v="280"/>
    <x v="125"/>
    <x v="2"/>
    <x v="19"/>
    <x v="11"/>
    <x v="3"/>
    <x v="47"/>
    <x v="250"/>
    <x v="0"/>
    <x v="0"/>
    <x v="5"/>
    <x v="2"/>
    <x v="27"/>
    <x v="1"/>
    <x v="4"/>
    <x v="2"/>
    <x v="27"/>
  </r>
  <r>
    <x v="31"/>
    <x v="47"/>
    <x v="57"/>
    <x v="0"/>
    <x v="29"/>
    <x v="46"/>
    <x v="46"/>
    <x v="45"/>
    <x v="45"/>
    <x v="0"/>
    <x v="293"/>
    <x v="302"/>
    <x v="275"/>
    <x v="259"/>
    <x v="1"/>
    <x v="281"/>
    <x v="46"/>
    <x v="1"/>
    <x v="20"/>
    <x v="11"/>
    <x v="2"/>
    <x v="51"/>
    <x v="143"/>
    <x v="0"/>
    <x v="0"/>
    <x v="5"/>
    <x v="2"/>
    <x v="29"/>
    <x v="0"/>
    <x v="0"/>
    <x v="0"/>
    <x v="29"/>
  </r>
  <r>
    <x v="31"/>
    <x v="49"/>
    <x v="59"/>
    <x v="1"/>
    <x v="22"/>
    <x v="48"/>
    <x v="48"/>
    <x v="47"/>
    <x v="47"/>
    <x v="0"/>
    <x v="294"/>
    <x v="303"/>
    <x v="276"/>
    <x v="96"/>
    <x v="72"/>
    <x v="282"/>
    <x v="15"/>
    <x v="2"/>
    <x v="14"/>
    <x v="3"/>
    <x v="3"/>
    <x v="15"/>
    <x v="15"/>
    <x v="0"/>
    <x v="0"/>
    <x v="5"/>
    <x v="2"/>
    <x v="22"/>
    <x v="0"/>
    <x v="6"/>
    <x v="0"/>
    <x v="22"/>
  </r>
  <r>
    <x v="31"/>
    <x v="51"/>
    <x v="61"/>
    <x v="1"/>
    <x v="27"/>
    <x v="50"/>
    <x v="50"/>
    <x v="49"/>
    <x v="49"/>
    <x v="0"/>
    <x v="30"/>
    <x v="234"/>
    <x v="29"/>
    <x v="30"/>
    <x v="16"/>
    <x v="29"/>
    <x v="15"/>
    <x v="2"/>
    <x v="14"/>
    <x v="3"/>
    <x v="3"/>
    <x v="15"/>
    <x v="15"/>
    <x v="0"/>
    <x v="0"/>
    <x v="5"/>
    <x v="2"/>
    <x v="27"/>
    <x v="1"/>
    <x v="4"/>
    <x v="2"/>
    <x v="27"/>
  </r>
  <r>
    <x v="31"/>
    <x v="53"/>
    <x v="63"/>
    <x v="1"/>
    <x v="29"/>
    <x v="52"/>
    <x v="52"/>
    <x v="51"/>
    <x v="51"/>
    <x v="0"/>
    <x v="295"/>
    <x v="304"/>
    <x v="72"/>
    <x v="260"/>
    <x v="57"/>
    <x v="283"/>
    <x v="15"/>
    <x v="2"/>
    <x v="14"/>
    <x v="3"/>
    <x v="3"/>
    <x v="15"/>
    <x v="15"/>
    <x v="0"/>
    <x v="0"/>
    <x v="5"/>
    <x v="2"/>
    <x v="29"/>
    <x v="0"/>
    <x v="0"/>
    <x v="0"/>
    <x v="29"/>
  </r>
  <r>
    <x v="31"/>
    <x v="54"/>
    <x v="64"/>
    <x v="1"/>
    <x v="7"/>
    <x v="53"/>
    <x v="53"/>
    <x v="52"/>
    <x v="5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  <x v="7"/>
  </r>
  <r>
    <x v="31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1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  <x v="0"/>
    <x v="6"/>
    <x v="0"/>
    <x v="33"/>
  </r>
  <r>
    <x v="31"/>
    <x v="59"/>
    <x v="69"/>
    <x v="0"/>
    <x v="34"/>
    <x v="58"/>
    <x v="58"/>
    <x v="57"/>
    <x v="57"/>
    <x v="0"/>
    <x v="296"/>
    <x v="305"/>
    <x v="277"/>
    <x v="261"/>
    <x v="30"/>
    <x v="284"/>
    <x v="15"/>
    <x v="2"/>
    <x v="103"/>
    <x v="5"/>
    <x v="3"/>
    <x v="15"/>
    <x v="15"/>
    <x v="0"/>
    <x v="0"/>
    <x v="5"/>
    <x v="2"/>
    <x v="34"/>
    <x v="0"/>
    <x v="6"/>
    <x v="0"/>
    <x v="34"/>
  </r>
  <r>
    <x v="31"/>
    <x v="62"/>
    <x v="72"/>
    <x v="0"/>
    <x v="37"/>
    <x v="61"/>
    <x v="61"/>
    <x v="60"/>
    <x v="60"/>
    <x v="0"/>
    <x v="297"/>
    <x v="306"/>
    <x v="278"/>
    <x v="194"/>
    <x v="37"/>
    <x v="285"/>
    <x v="41"/>
    <x v="1"/>
    <x v="2"/>
    <x v="3"/>
    <x v="3"/>
    <x v="13"/>
    <x v="251"/>
    <x v="0"/>
    <x v="0"/>
    <x v="2"/>
    <x v="2"/>
    <x v="37"/>
    <x v="1"/>
    <x v="3"/>
    <x v="2"/>
    <x v="37"/>
  </r>
  <r>
    <x v="31"/>
    <x v="64"/>
    <x v="74"/>
    <x v="0"/>
    <x v="39"/>
    <x v="63"/>
    <x v="63"/>
    <x v="62"/>
    <x v="6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9"/>
    <x v="0"/>
    <x v="6"/>
    <x v="0"/>
    <x v="39"/>
  </r>
  <r>
    <x v="31"/>
    <x v="65"/>
    <x v="75"/>
    <x v="0"/>
    <x v="40"/>
    <x v="64"/>
    <x v="64"/>
    <x v="63"/>
    <x v="63"/>
    <x v="0"/>
    <x v="298"/>
    <x v="307"/>
    <x v="131"/>
    <x v="34"/>
    <x v="52"/>
    <x v="286"/>
    <x v="15"/>
    <x v="1"/>
    <x v="24"/>
    <x v="3"/>
    <x v="3"/>
    <x v="27"/>
    <x v="252"/>
    <x v="0"/>
    <x v="0"/>
    <x v="5"/>
    <x v="2"/>
    <x v="40"/>
    <x v="0"/>
    <x v="6"/>
    <x v="0"/>
    <x v="40"/>
  </r>
  <r>
    <x v="32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32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32"/>
    <x v="45"/>
    <x v="55"/>
    <x v="0"/>
    <x v="27"/>
    <x v="44"/>
    <x v="44"/>
    <x v="43"/>
    <x v="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7"/>
    <x v="1"/>
    <x v="4"/>
    <x v="2"/>
    <x v="27"/>
  </r>
  <r>
    <x v="32"/>
    <x v="46"/>
    <x v="56"/>
    <x v="0"/>
    <x v="28"/>
    <x v="45"/>
    <x v="45"/>
    <x v="44"/>
    <x v="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8"/>
    <x v="0"/>
    <x v="6"/>
    <x v="0"/>
    <x v="28"/>
  </r>
  <r>
    <x v="3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2"/>
    <x v="53"/>
    <x v="63"/>
    <x v="1"/>
    <x v="29"/>
    <x v="52"/>
    <x v="52"/>
    <x v="51"/>
    <x v="5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2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2"/>
    <x v="59"/>
    <x v="69"/>
    <x v="0"/>
    <x v="34"/>
    <x v="58"/>
    <x v="58"/>
    <x v="57"/>
    <x v="5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4"/>
    <x v="0"/>
    <x v="6"/>
    <x v="0"/>
    <x v="34"/>
  </r>
  <r>
    <x v="32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  <x v="37"/>
  </r>
  <r>
    <x v="33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33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33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3"/>
    <x v="48"/>
    <x v="58"/>
    <x v="0"/>
    <x v="30"/>
    <x v="47"/>
    <x v="47"/>
    <x v="46"/>
    <x v="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0"/>
    <x v="1"/>
    <x v="2"/>
    <x v="1"/>
    <x v="30"/>
  </r>
  <r>
    <x v="33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3"/>
    <x v="58"/>
    <x v="68"/>
    <x v="0"/>
    <x v="33"/>
    <x v="57"/>
    <x v="57"/>
    <x v="56"/>
    <x v="5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3"/>
    <x v="0"/>
    <x v="6"/>
    <x v="0"/>
    <x v="33"/>
  </r>
  <r>
    <x v="34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4"/>
    <x v="45"/>
    <x v="55"/>
    <x v="0"/>
    <x v="27"/>
    <x v="44"/>
    <x v="44"/>
    <x v="43"/>
    <x v="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7"/>
    <x v="1"/>
    <x v="4"/>
    <x v="2"/>
    <x v="27"/>
  </r>
  <r>
    <x v="34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4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35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5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5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  <x v="37"/>
  </r>
  <r>
    <x v="36"/>
    <x v="59"/>
    <x v="69"/>
    <x v="0"/>
    <x v="34"/>
    <x v="58"/>
    <x v="58"/>
    <x v="57"/>
    <x v="5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4"/>
    <x v="0"/>
    <x v="6"/>
    <x v="0"/>
    <x v="34"/>
  </r>
  <r>
    <x v="36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  <x v="37"/>
  </r>
  <r>
    <x v="37"/>
    <x v="38"/>
    <x v="47"/>
    <x v="1"/>
    <x v="9"/>
    <x v="36"/>
    <x v="36"/>
    <x v="35"/>
    <x v="35"/>
    <x v="0"/>
    <x v="299"/>
    <x v="308"/>
    <x v="279"/>
    <x v="262"/>
    <x v="34"/>
    <x v="287"/>
    <x v="18"/>
    <x v="2"/>
    <x v="14"/>
    <x v="3"/>
    <x v="3"/>
    <x v="20"/>
    <x v="253"/>
    <x v="0"/>
    <x v="0"/>
    <x v="5"/>
    <x v="11"/>
    <x v="9"/>
    <x v="1"/>
    <x v="3"/>
    <x v="2"/>
    <x v="9"/>
  </r>
  <r>
    <x v="37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7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37"/>
    <x v="54"/>
    <x v="64"/>
    <x v="1"/>
    <x v="7"/>
    <x v="53"/>
    <x v="53"/>
    <x v="52"/>
    <x v="52"/>
    <x v="0"/>
    <x v="300"/>
    <x v="309"/>
    <x v="199"/>
    <x v="20"/>
    <x v="40"/>
    <x v="288"/>
    <x v="15"/>
    <x v="2"/>
    <x v="24"/>
    <x v="3"/>
    <x v="3"/>
    <x v="20"/>
    <x v="249"/>
    <x v="0"/>
    <x v="0"/>
    <x v="5"/>
    <x v="2"/>
    <x v="7"/>
    <x v="0"/>
    <x v="6"/>
    <x v="0"/>
    <x v="7"/>
  </r>
  <r>
    <x v="37"/>
    <x v="61"/>
    <x v="71"/>
    <x v="0"/>
    <x v="36"/>
    <x v="60"/>
    <x v="60"/>
    <x v="59"/>
    <x v="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6"/>
    <x v="0"/>
    <x v="10"/>
    <x v="0"/>
    <x v="36"/>
  </r>
  <r>
    <x v="37"/>
    <x v="62"/>
    <x v="72"/>
    <x v="0"/>
    <x v="37"/>
    <x v="61"/>
    <x v="61"/>
    <x v="60"/>
    <x v="6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7"/>
    <x v="1"/>
    <x v="3"/>
    <x v="2"/>
    <x v="37"/>
  </r>
  <r>
    <x v="38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9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39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40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41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41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4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43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44"/>
    <x v="21"/>
    <x v="22"/>
    <x v="0"/>
    <x v="14"/>
    <x v="19"/>
    <x v="19"/>
    <x v="18"/>
    <x v="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4"/>
    <x v="2"/>
    <x v="7"/>
    <x v="3"/>
    <x v="14"/>
  </r>
  <r>
    <x v="44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45"/>
    <x v="26"/>
    <x v="38"/>
    <x v="0"/>
    <x v="17"/>
    <x v="27"/>
    <x v="27"/>
    <x v="26"/>
    <x v="2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45"/>
    <x v="38"/>
    <x v="47"/>
    <x v="1"/>
    <x v="9"/>
    <x v="36"/>
    <x v="36"/>
    <x v="35"/>
    <x v="3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46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46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47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48"/>
    <x v="66"/>
    <x v="76"/>
    <x v="0"/>
    <x v="41"/>
    <x v="65"/>
    <x v="65"/>
    <x v="64"/>
    <x v="64"/>
    <x v="0"/>
    <x v="301"/>
    <x v="310"/>
    <x v="280"/>
    <x v="263"/>
    <x v="52"/>
    <x v="289"/>
    <x v="63"/>
    <x v="2"/>
    <x v="19"/>
    <x v="3"/>
    <x v="3"/>
    <x v="78"/>
    <x v="157"/>
    <x v="0"/>
    <x v="0"/>
    <x v="5"/>
    <x v="2"/>
    <x v="41"/>
    <x v="0"/>
    <x v="6"/>
    <x v="0"/>
    <x v="41"/>
  </r>
  <r>
    <x v="49"/>
    <x v="27"/>
    <x v="29"/>
    <x v="0"/>
    <x v="11"/>
    <x v="21"/>
    <x v="21"/>
    <x v="20"/>
    <x v="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"/>
    <x v="2"/>
    <x v="4"/>
    <x v="2"/>
    <x v="11"/>
  </r>
  <r>
    <x v="49"/>
    <x v="66"/>
    <x v="76"/>
    <x v="0"/>
    <x v="41"/>
    <x v="65"/>
    <x v="65"/>
    <x v="64"/>
    <x v="64"/>
    <x v="0"/>
    <x v="302"/>
    <x v="311"/>
    <x v="281"/>
    <x v="264"/>
    <x v="25"/>
    <x v="128"/>
    <x v="4"/>
    <x v="2"/>
    <x v="90"/>
    <x v="0"/>
    <x v="2"/>
    <x v="57"/>
    <x v="254"/>
    <x v="0"/>
    <x v="0"/>
    <x v="1"/>
    <x v="5"/>
    <x v="41"/>
    <x v="0"/>
    <x v="6"/>
    <x v="0"/>
    <x v="41"/>
  </r>
  <r>
    <x v="50"/>
    <x v="66"/>
    <x v="76"/>
    <x v="0"/>
    <x v="41"/>
    <x v="65"/>
    <x v="65"/>
    <x v="64"/>
    <x v="64"/>
    <x v="0"/>
    <x v="303"/>
    <x v="312"/>
    <x v="282"/>
    <x v="265"/>
    <x v="46"/>
    <x v="290"/>
    <x v="125"/>
    <x v="2"/>
    <x v="24"/>
    <x v="1"/>
    <x v="2"/>
    <x v="47"/>
    <x v="255"/>
    <x v="0"/>
    <x v="0"/>
    <x v="5"/>
    <x v="2"/>
    <x v="41"/>
    <x v="0"/>
    <x v="6"/>
    <x v="0"/>
    <x v="41"/>
  </r>
  <r>
    <x v="51"/>
    <x v="66"/>
    <x v="76"/>
    <x v="0"/>
    <x v="41"/>
    <x v="65"/>
    <x v="65"/>
    <x v="64"/>
    <x v="64"/>
    <x v="0"/>
    <x v="304"/>
    <x v="313"/>
    <x v="283"/>
    <x v="266"/>
    <x v="22"/>
    <x v="291"/>
    <x v="64"/>
    <x v="2"/>
    <x v="8"/>
    <x v="4"/>
    <x v="3"/>
    <x v="154"/>
    <x v="256"/>
    <x v="0"/>
    <x v="0"/>
    <x v="2"/>
    <x v="5"/>
    <x v="41"/>
    <x v="0"/>
    <x v="6"/>
    <x v="0"/>
    <x v="41"/>
  </r>
  <r>
    <x v="52"/>
    <x v="57"/>
    <x v="67"/>
    <x v="0"/>
    <x v="32"/>
    <x v="56"/>
    <x v="56"/>
    <x v="55"/>
    <x v="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2"/>
    <x v="1"/>
    <x v="9"/>
    <x v="2"/>
    <x v="32"/>
  </r>
  <r>
    <x v="52"/>
    <x v="66"/>
    <x v="76"/>
    <x v="0"/>
    <x v="41"/>
    <x v="65"/>
    <x v="65"/>
    <x v="64"/>
    <x v="64"/>
    <x v="0"/>
    <x v="305"/>
    <x v="314"/>
    <x v="284"/>
    <x v="267"/>
    <x v="17"/>
    <x v="292"/>
    <x v="14"/>
    <x v="2"/>
    <x v="19"/>
    <x v="51"/>
    <x v="1"/>
    <x v="149"/>
    <x v="257"/>
    <x v="0"/>
    <x v="0"/>
    <x v="5"/>
    <x v="12"/>
    <x v="41"/>
    <x v="0"/>
    <x v="6"/>
    <x v="0"/>
    <x v="41"/>
  </r>
  <r>
    <x v="53"/>
    <x v="39"/>
    <x v="48"/>
    <x v="0"/>
    <x v="9"/>
    <x v="37"/>
    <x v="37"/>
    <x v="36"/>
    <x v="3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53"/>
    <x v="42"/>
    <x v="52"/>
    <x v="0"/>
    <x v="24"/>
    <x v="41"/>
    <x v="41"/>
    <x v="40"/>
    <x v="4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4"/>
    <x v="2"/>
    <x v="7"/>
    <x v="3"/>
    <x v="24"/>
  </r>
  <r>
    <x v="53"/>
    <x v="66"/>
    <x v="76"/>
    <x v="0"/>
    <x v="41"/>
    <x v="65"/>
    <x v="65"/>
    <x v="64"/>
    <x v="64"/>
    <x v="0"/>
    <x v="306"/>
    <x v="315"/>
    <x v="279"/>
    <x v="268"/>
    <x v="73"/>
    <x v="293"/>
    <x v="21"/>
    <x v="2"/>
    <x v="24"/>
    <x v="0"/>
    <x v="3"/>
    <x v="30"/>
    <x v="258"/>
    <x v="0"/>
    <x v="0"/>
    <x v="5"/>
    <x v="2"/>
    <x v="41"/>
    <x v="0"/>
    <x v="6"/>
    <x v="0"/>
    <x v="41"/>
  </r>
  <r>
    <x v="54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  <x v="0"/>
    <x v="6"/>
    <x v="0"/>
    <x v="41"/>
  </r>
  <r>
    <x v="54"/>
    <x v="67"/>
    <x v="77"/>
    <x v="0"/>
    <x v="42"/>
    <x v="66"/>
    <x v="66"/>
    <x v="65"/>
    <x v="65"/>
    <x v="0"/>
    <x v="307"/>
    <x v="316"/>
    <x v="285"/>
    <x v="211"/>
    <x v="0"/>
    <x v="60"/>
    <x v="121"/>
    <x v="3"/>
    <x v="27"/>
    <x v="6"/>
    <x v="2"/>
    <x v="11"/>
    <x v="259"/>
    <x v="0"/>
    <x v="0"/>
    <x v="7"/>
    <x v="13"/>
    <x v="42"/>
    <x v="0"/>
    <x v="11"/>
    <x v="4"/>
    <x v="42"/>
  </r>
  <r>
    <x v="54"/>
    <x v="67"/>
    <x v="78"/>
    <x v="0"/>
    <x v="43"/>
    <x v="66"/>
    <x v="66"/>
    <x v="65"/>
    <x v="65"/>
    <x v="0"/>
    <x v="164"/>
    <x v="317"/>
    <x v="286"/>
    <x v="269"/>
    <x v="1"/>
    <x v="294"/>
    <x v="15"/>
    <x v="2"/>
    <x v="14"/>
    <x v="3"/>
    <x v="3"/>
    <x v="15"/>
    <x v="15"/>
    <x v="0"/>
    <x v="0"/>
    <x v="5"/>
    <x v="2"/>
    <x v="43"/>
    <x v="0"/>
    <x v="12"/>
    <x v="4"/>
    <x v="43"/>
  </r>
  <r>
    <x v="55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  <x v="0"/>
    <x v="6"/>
    <x v="0"/>
    <x v="41"/>
  </r>
  <r>
    <x v="55"/>
    <x v="67"/>
    <x v="77"/>
    <x v="0"/>
    <x v="42"/>
    <x v="66"/>
    <x v="66"/>
    <x v="65"/>
    <x v="65"/>
    <x v="0"/>
    <x v="308"/>
    <x v="318"/>
    <x v="287"/>
    <x v="143"/>
    <x v="37"/>
    <x v="295"/>
    <x v="140"/>
    <x v="10"/>
    <x v="104"/>
    <x v="17"/>
    <x v="7"/>
    <x v="183"/>
    <x v="82"/>
    <x v="0"/>
    <x v="0"/>
    <x v="2"/>
    <x v="31"/>
    <x v="42"/>
    <x v="0"/>
    <x v="11"/>
    <x v="4"/>
    <x v="42"/>
  </r>
  <r>
    <x v="55"/>
    <x v="67"/>
    <x v="78"/>
    <x v="0"/>
    <x v="43"/>
    <x v="66"/>
    <x v="66"/>
    <x v="65"/>
    <x v="65"/>
    <x v="0"/>
    <x v="309"/>
    <x v="319"/>
    <x v="288"/>
    <x v="270"/>
    <x v="9"/>
    <x v="296"/>
    <x v="18"/>
    <x v="2"/>
    <x v="14"/>
    <x v="3"/>
    <x v="3"/>
    <x v="20"/>
    <x v="260"/>
    <x v="0"/>
    <x v="0"/>
    <x v="5"/>
    <x v="5"/>
    <x v="43"/>
    <x v="0"/>
    <x v="12"/>
    <x v="4"/>
    <x v="43"/>
  </r>
  <r>
    <x v="56"/>
    <x v="67"/>
    <x v="77"/>
    <x v="0"/>
    <x v="42"/>
    <x v="66"/>
    <x v="66"/>
    <x v="65"/>
    <x v="65"/>
    <x v="0"/>
    <x v="310"/>
    <x v="320"/>
    <x v="289"/>
    <x v="271"/>
    <x v="12"/>
    <x v="297"/>
    <x v="141"/>
    <x v="11"/>
    <x v="105"/>
    <x v="52"/>
    <x v="30"/>
    <x v="184"/>
    <x v="6"/>
    <x v="0"/>
    <x v="0"/>
    <x v="3"/>
    <x v="4"/>
    <x v="42"/>
    <x v="0"/>
    <x v="11"/>
    <x v="4"/>
    <x v="42"/>
  </r>
  <r>
    <x v="56"/>
    <x v="67"/>
    <x v="78"/>
    <x v="0"/>
    <x v="43"/>
    <x v="66"/>
    <x v="66"/>
    <x v="65"/>
    <x v="65"/>
    <x v="0"/>
    <x v="311"/>
    <x v="321"/>
    <x v="132"/>
    <x v="272"/>
    <x v="9"/>
    <x v="298"/>
    <x v="18"/>
    <x v="2"/>
    <x v="14"/>
    <x v="3"/>
    <x v="3"/>
    <x v="20"/>
    <x v="261"/>
    <x v="0"/>
    <x v="0"/>
    <x v="5"/>
    <x v="2"/>
    <x v="43"/>
    <x v="0"/>
    <x v="12"/>
    <x v="4"/>
    <x v="43"/>
  </r>
  <r>
    <x v="56"/>
    <x v="68"/>
    <x v="79"/>
    <x v="0"/>
    <x v="43"/>
    <x v="67"/>
    <x v="67"/>
    <x v="66"/>
    <x v="66"/>
    <x v="0"/>
    <x v="312"/>
    <x v="322"/>
    <x v="290"/>
    <x v="137"/>
    <x v="52"/>
    <x v="184"/>
    <x v="7"/>
    <x v="1"/>
    <x v="42"/>
    <x v="3"/>
    <x v="3"/>
    <x v="13"/>
    <x v="262"/>
    <x v="0"/>
    <x v="0"/>
    <x v="5"/>
    <x v="2"/>
    <x v="43"/>
    <x v="0"/>
    <x v="12"/>
    <x v="4"/>
    <x v="43"/>
  </r>
  <r>
    <x v="57"/>
    <x v="67"/>
    <x v="77"/>
    <x v="0"/>
    <x v="42"/>
    <x v="66"/>
    <x v="66"/>
    <x v="65"/>
    <x v="65"/>
    <x v="0"/>
    <x v="313"/>
    <x v="323"/>
    <x v="291"/>
    <x v="273"/>
    <x v="42"/>
    <x v="299"/>
    <x v="142"/>
    <x v="2"/>
    <x v="106"/>
    <x v="42"/>
    <x v="23"/>
    <x v="185"/>
    <x v="263"/>
    <x v="0"/>
    <x v="0"/>
    <x v="3"/>
    <x v="16"/>
    <x v="42"/>
    <x v="0"/>
    <x v="11"/>
    <x v="4"/>
    <x v="42"/>
  </r>
  <r>
    <x v="57"/>
    <x v="68"/>
    <x v="79"/>
    <x v="0"/>
    <x v="43"/>
    <x v="67"/>
    <x v="67"/>
    <x v="66"/>
    <x v="66"/>
    <x v="0"/>
    <x v="314"/>
    <x v="324"/>
    <x v="292"/>
    <x v="274"/>
    <x v="48"/>
    <x v="300"/>
    <x v="63"/>
    <x v="2"/>
    <x v="50"/>
    <x v="3"/>
    <x v="2"/>
    <x v="13"/>
    <x v="264"/>
    <x v="0"/>
    <x v="0"/>
    <x v="5"/>
    <x v="2"/>
    <x v="43"/>
    <x v="0"/>
    <x v="12"/>
    <x v="4"/>
    <x v="43"/>
  </r>
  <r>
    <x v="57"/>
    <x v="69"/>
    <x v="80"/>
    <x v="0"/>
    <x v="44"/>
    <x v="68"/>
    <x v="68"/>
    <x v="67"/>
    <x v="67"/>
    <x v="0"/>
    <x v="315"/>
    <x v="325"/>
    <x v="293"/>
    <x v="275"/>
    <x v="9"/>
    <x v="301"/>
    <x v="143"/>
    <x v="0"/>
    <x v="30"/>
    <x v="35"/>
    <x v="2"/>
    <x v="186"/>
    <x v="265"/>
    <x v="0"/>
    <x v="0"/>
    <x v="10"/>
    <x v="2"/>
    <x v="44"/>
    <x v="0"/>
    <x v="13"/>
    <x v="4"/>
    <x v="44"/>
  </r>
  <r>
    <x v="58"/>
    <x v="67"/>
    <x v="77"/>
    <x v="0"/>
    <x v="42"/>
    <x v="66"/>
    <x v="66"/>
    <x v="65"/>
    <x v="65"/>
    <x v="0"/>
    <x v="316"/>
    <x v="326"/>
    <x v="294"/>
    <x v="276"/>
    <x v="4"/>
    <x v="302"/>
    <x v="144"/>
    <x v="7"/>
    <x v="107"/>
    <x v="6"/>
    <x v="23"/>
    <x v="187"/>
    <x v="24"/>
    <x v="0"/>
    <x v="0"/>
    <x v="11"/>
    <x v="37"/>
    <x v="42"/>
    <x v="0"/>
    <x v="11"/>
    <x v="4"/>
    <x v="42"/>
  </r>
  <r>
    <x v="58"/>
    <x v="68"/>
    <x v="79"/>
    <x v="0"/>
    <x v="43"/>
    <x v="67"/>
    <x v="67"/>
    <x v="66"/>
    <x v="66"/>
    <x v="0"/>
    <x v="317"/>
    <x v="327"/>
    <x v="295"/>
    <x v="277"/>
    <x v="74"/>
    <x v="303"/>
    <x v="23"/>
    <x v="2"/>
    <x v="14"/>
    <x v="3"/>
    <x v="2"/>
    <x v="75"/>
    <x v="266"/>
    <x v="0"/>
    <x v="0"/>
    <x v="5"/>
    <x v="2"/>
    <x v="43"/>
    <x v="0"/>
    <x v="12"/>
    <x v="4"/>
    <x v="43"/>
  </r>
  <r>
    <x v="58"/>
    <x v="69"/>
    <x v="80"/>
    <x v="0"/>
    <x v="44"/>
    <x v="68"/>
    <x v="68"/>
    <x v="67"/>
    <x v="67"/>
    <x v="0"/>
    <x v="318"/>
    <x v="328"/>
    <x v="296"/>
    <x v="278"/>
    <x v="9"/>
    <x v="304"/>
    <x v="32"/>
    <x v="7"/>
    <x v="3"/>
    <x v="9"/>
    <x v="0"/>
    <x v="188"/>
    <x v="267"/>
    <x v="0"/>
    <x v="0"/>
    <x v="4"/>
    <x v="2"/>
    <x v="44"/>
    <x v="0"/>
    <x v="13"/>
    <x v="4"/>
    <x v="44"/>
  </r>
  <r>
    <x v="58"/>
    <x v="70"/>
    <x v="81"/>
    <x v="0"/>
    <x v="45"/>
    <x v="69"/>
    <x v="69"/>
    <x v="68"/>
    <x v="68"/>
    <x v="0"/>
    <x v="319"/>
    <x v="329"/>
    <x v="297"/>
    <x v="147"/>
    <x v="1"/>
    <x v="305"/>
    <x v="145"/>
    <x v="10"/>
    <x v="108"/>
    <x v="7"/>
    <x v="6"/>
    <x v="189"/>
    <x v="117"/>
    <x v="0"/>
    <x v="0"/>
    <x v="12"/>
    <x v="12"/>
    <x v="45"/>
    <x v="0"/>
    <x v="13"/>
    <x v="4"/>
    <x v="45"/>
  </r>
  <r>
    <x v="59"/>
    <x v="67"/>
    <x v="77"/>
    <x v="0"/>
    <x v="42"/>
    <x v="66"/>
    <x v="66"/>
    <x v="65"/>
    <x v="65"/>
    <x v="0"/>
    <x v="320"/>
    <x v="330"/>
    <x v="298"/>
    <x v="141"/>
    <x v="42"/>
    <x v="306"/>
    <x v="146"/>
    <x v="0"/>
    <x v="63"/>
    <x v="51"/>
    <x v="1"/>
    <x v="190"/>
    <x v="268"/>
    <x v="0"/>
    <x v="0"/>
    <x v="11"/>
    <x v="10"/>
    <x v="42"/>
    <x v="0"/>
    <x v="11"/>
    <x v="4"/>
    <x v="42"/>
  </r>
  <r>
    <x v="59"/>
    <x v="69"/>
    <x v="80"/>
    <x v="0"/>
    <x v="44"/>
    <x v="68"/>
    <x v="68"/>
    <x v="67"/>
    <x v="67"/>
    <x v="0"/>
    <x v="321"/>
    <x v="331"/>
    <x v="299"/>
    <x v="5"/>
    <x v="28"/>
    <x v="307"/>
    <x v="86"/>
    <x v="2"/>
    <x v="79"/>
    <x v="51"/>
    <x v="2"/>
    <x v="171"/>
    <x v="19"/>
    <x v="0"/>
    <x v="0"/>
    <x v="4"/>
    <x v="2"/>
    <x v="44"/>
    <x v="0"/>
    <x v="13"/>
    <x v="4"/>
    <x v="44"/>
  </r>
  <r>
    <x v="59"/>
    <x v="70"/>
    <x v="81"/>
    <x v="0"/>
    <x v="45"/>
    <x v="69"/>
    <x v="69"/>
    <x v="68"/>
    <x v="68"/>
    <x v="0"/>
    <x v="322"/>
    <x v="332"/>
    <x v="300"/>
    <x v="279"/>
    <x v="28"/>
    <x v="308"/>
    <x v="127"/>
    <x v="2"/>
    <x v="18"/>
    <x v="17"/>
    <x v="23"/>
    <x v="143"/>
    <x v="269"/>
    <x v="0"/>
    <x v="0"/>
    <x v="12"/>
    <x v="5"/>
    <x v="45"/>
    <x v="0"/>
    <x v="13"/>
    <x v="4"/>
    <x v="45"/>
  </r>
  <r>
    <x v="60"/>
    <x v="67"/>
    <x v="77"/>
    <x v="0"/>
    <x v="42"/>
    <x v="66"/>
    <x v="66"/>
    <x v="65"/>
    <x v="65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4"/>
    <x v="42"/>
  </r>
  <r>
    <x v="60"/>
    <x v="68"/>
    <x v="79"/>
    <x v="0"/>
    <x v="43"/>
    <x v="67"/>
    <x v="67"/>
    <x v="66"/>
    <x v="66"/>
    <x v="0"/>
    <x v="323"/>
    <x v="334"/>
    <x v="301"/>
    <x v="280"/>
    <x v="22"/>
    <x v="309"/>
    <x v="15"/>
    <x v="2"/>
    <x v="14"/>
    <x v="3"/>
    <x v="3"/>
    <x v="15"/>
    <x v="15"/>
    <x v="0"/>
    <x v="0"/>
    <x v="5"/>
    <x v="2"/>
    <x v="43"/>
    <x v="0"/>
    <x v="12"/>
    <x v="4"/>
    <x v="43"/>
  </r>
  <r>
    <x v="60"/>
    <x v="69"/>
    <x v="80"/>
    <x v="0"/>
    <x v="44"/>
    <x v="68"/>
    <x v="68"/>
    <x v="67"/>
    <x v="67"/>
    <x v="0"/>
    <x v="324"/>
    <x v="335"/>
    <x v="302"/>
    <x v="118"/>
    <x v="0"/>
    <x v="310"/>
    <x v="147"/>
    <x v="2"/>
    <x v="23"/>
    <x v="1"/>
    <x v="4"/>
    <x v="114"/>
    <x v="270"/>
    <x v="0"/>
    <x v="0"/>
    <x v="2"/>
    <x v="2"/>
    <x v="44"/>
    <x v="0"/>
    <x v="13"/>
    <x v="4"/>
    <x v="44"/>
  </r>
  <r>
    <x v="60"/>
    <x v="70"/>
    <x v="81"/>
    <x v="0"/>
    <x v="45"/>
    <x v="69"/>
    <x v="69"/>
    <x v="68"/>
    <x v="68"/>
    <x v="0"/>
    <x v="325"/>
    <x v="336"/>
    <x v="303"/>
    <x v="67"/>
    <x v="1"/>
    <x v="311"/>
    <x v="148"/>
    <x v="2"/>
    <x v="87"/>
    <x v="1"/>
    <x v="3"/>
    <x v="191"/>
    <x v="14"/>
    <x v="0"/>
    <x v="0"/>
    <x v="5"/>
    <x v="5"/>
    <x v="45"/>
    <x v="0"/>
    <x v="13"/>
    <x v="4"/>
    <x v="45"/>
  </r>
  <r>
    <x v="60"/>
    <x v="71"/>
    <x v="82"/>
    <x v="1"/>
    <x v="7"/>
    <x v="70"/>
    <x v="70"/>
    <x v="69"/>
    <x v="69"/>
    <x v="0"/>
    <x v="30"/>
    <x v="337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  <x v="7"/>
  </r>
  <r>
    <x v="60"/>
    <x v="71"/>
    <x v="83"/>
    <x v="1"/>
    <x v="29"/>
    <x v="71"/>
    <x v="71"/>
    <x v="70"/>
    <x v="70"/>
    <x v="0"/>
    <x v="326"/>
    <x v="338"/>
    <x v="304"/>
    <x v="281"/>
    <x v="44"/>
    <x v="312"/>
    <x v="8"/>
    <x v="2"/>
    <x v="14"/>
    <x v="3"/>
    <x v="3"/>
    <x v="27"/>
    <x v="120"/>
    <x v="0"/>
    <x v="0"/>
    <x v="5"/>
    <x v="2"/>
    <x v="29"/>
    <x v="0"/>
    <x v="0"/>
    <x v="0"/>
    <x v="29"/>
  </r>
  <r>
    <x v="60"/>
    <x v="72"/>
    <x v="84"/>
    <x v="1"/>
    <x v="7"/>
    <x v="72"/>
    <x v="72"/>
    <x v="71"/>
    <x v="71"/>
    <x v="0"/>
    <x v="327"/>
    <x v="339"/>
    <x v="277"/>
    <x v="282"/>
    <x v="75"/>
    <x v="313"/>
    <x v="18"/>
    <x v="2"/>
    <x v="14"/>
    <x v="3"/>
    <x v="3"/>
    <x v="20"/>
    <x v="271"/>
    <x v="0"/>
    <x v="0"/>
    <x v="5"/>
    <x v="2"/>
    <x v="7"/>
    <x v="0"/>
    <x v="6"/>
    <x v="0"/>
    <x v="7"/>
  </r>
  <r>
    <x v="60"/>
    <x v="73"/>
    <x v="85"/>
    <x v="1"/>
    <x v="29"/>
    <x v="73"/>
    <x v="73"/>
    <x v="72"/>
    <x v="72"/>
    <x v="0"/>
    <x v="328"/>
    <x v="340"/>
    <x v="305"/>
    <x v="283"/>
    <x v="49"/>
    <x v="314"/>
    <x v="17"/>
    <x v="2"/>
    <x v="90"/>
    <x v="5"/>
    <x v="3"/>
    <x v="165"/>
    <x v="272"/>
    <x v="0"/>
    <x v="0"/>
    <x v="7"/>
    <x v="2"/>
    <x v="29"/>
    <x v="0"/>
    <x v="0"/>
    <x v="0"/>
    <x v="29"/>
  </r>
  <r>
    <x v="60"/>
    <x v="74"/>
    <x v="86"/>
    <x v="1"/>
    <x v="29"/>
    <x v="74"/>
    <x v="74"/>
    <x v="73"/>
    <x v="73"/>
    <x v="0"/>
    <x v="329"/>
    <x v="341"/>
    <x v="306"/>
    <x v="284"/>
    <x v="15"/>
    <x v="315"/>
    <x v="15"/>
    <x v="2"/>
    <x v="14"/>
    <x v="3"/>
    <x v="3"/>
    <x v="15"/>
    <x v="15"/>
    <x v="0"/>
    <x v="0"/>
    <x v="5"/>
    <x v="2"/>
    <x v="29"/>
    <x v="0"/>
    <x v="0"/>
    <x v="0"/>
    <x v="29"/>
  </r>
  <r>
    <x v="60"/>
    <x v="71"/>
    <x v="87"/>
    <x v="1"/>
    <x v="9"/>
    <x v="75"/>
    <x v="75"/>
    <x v="74"/>
    <x v="74"/>
    <x v="0"/>
    <x v="330"/>
    <x v="342"/>
    <x v="276"/>
    <x v="285"/>
    <x v="47"/>
    <x v="316"/>
    <x v="15"/>
    <x v="2"/>
    <x v="14"/>
    <x v="3"/>
    <x v="3"/>
    <x v="15"/>
    <x v="15"/>
    <x v="0"/>
    <x v="0"/>
    <x v="5"/>
    <x v="2"/>
    <x v="9"/>
    <x v="1"/>
    <x v="3"/>
    <x v="2"/>
    <x v="9"/>
  </r>
  <r>
    <x v="60"/>
    <x v="75"/>
    <x v="88"/>
    <x v="1"/>
    <x v="9"/>
    <x v="76"/>
    <x v="76"/>
    <x v="75"/>
    <x v="75"/>
    <x v="0"/>
    <x v="331"/>
    <x v="343"/>
    <x v="307"/>
    <x v="217"/>
    <x v="73"/>
    <x v="317"/>
    <x v="8"/>
    <x v="2"/>
    <x v="14"/>
    <x v="3"/>
    <x v="3"/>
    <x v="27"/>
    <x v="273"/>
    <x v="0"/>
    <x v="0"/>
    <x v="5"/>
    <x v="2"/>
    <x v="9"/>
    <x v="1"/>
    <x v="3"/>
    <x v="2"/>
    <x v="9"/>
  </r>
  <r>
    <x v="60"/>
    <x v="76"/>
    <x v="89"/>
    <x v="1"/>
    <x v="9"/>
    <x v="77"/>
    <x v="77"/>
    <x v="76"/>
    <x v="76"/>
    <x v="0"/>
    <x v="332"/>
    <x v="344"/>
    <x v="308"/>
    <x v="286"/>
    <x v="76"/>
    <x v="318"/>
    <x v="15"/>
    <x v="2"/>
    <x v="14"/>
    <x v="3"/>
    <x v="3"/>
    <x v="15"/>
    <x v="15"/>
    <x v="0"/>
    <x v="0"/>
    <x v="5"/>
    <x v="2"/>
    <x v="9"/>
    <x v="1"/>
    <x v="3"/>
    <x v="2"/>
    <x v="9"/>
  </r>
  <r>
    <x v="61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4"/>
    <x v="42"/>
  </r>
  <r>
    <x v="61"/>
    <x v="68"/>
    <x v="79"/>
    <x v="0"/>
    <x v="43"/>
    <x v="67"/>
    <x v="67"/>
    <x v="66"/>
    <x v="66"/>
    <x v="0"/>
    <x v="333"/>
    <x v="345"/>
    <x v="309"/>
    <x v="76"/>
    <x v="77"/>
    <x v="319"/>
    <x v="23"/>
    <x v="2"/>
    <x v="14"/>
    <x v="3"/>
    <x v="3"/>
    <x v="83"/>
    <x v="274"/>
    <x v="0"/>
    <x v="0"/>
    <x v="5"/>
    <x v="2"/>
    <x v="43"/>
    <x v="0"/>
    <x v="12"/>
    <x v="4"/>
    <x v="43"/>
  </r>
  <r>
    <x v="61"/>
    <x v="69"/>
    <x v="80"/>
    <x v="0"/>
    <x v="44"/>
    <x v="68"/>
    <x v="68"/>
    <x v="67"/>
    <x v="67"/>
    <x v="0"/>
    <x v="334"/>
    <x v="346"/>
    <x v="310"/>
    <x v="287"/>
    <x v="0"/>
    <x v="320"/>
    <x v="40"/>
    <x v="1"/>
    <x v="13"/>
    <x v="6"/>
    <x v="23"/>
    <x v="121"/>
    <x v="20"/>
    <x v="0"/>
    <x v="0"/>
    <x v="2"/>
    <x v="2"/>
    <x v="44"/>
    <x v="0"/>
    <x v="13"/>
    <x v="4"/>
    <x v="44"/>
  </r>
  <r>
    <x v="61"/>
    <x v="70"/>
    <x v="81"/>
    <x v="0"/>
    <x v="45"/>
    <x v="69"/>
    <x v="69"/>
    <x v="68"/>
    <x v="68"/>
    <x v="0"/>
    <x v="335"/>
    <x v="347"/>
    <x v="311"/>
    <x v="248"/>
    <x v="28"/>
    <x v="201"/>
    <x v="28"/>
    <x v="0"/>
    <x v="38"/>
    <x v="10"/>
    <x v="4"/>
    <x v="117"/>
    <x v="16"/>
    <x v="0"/>
    <x v="0"/>
    <x v="4"/>
    <x v="5"/>
    <x v="45"/>
    <x v="0"/>
    <x v="13"/>
    <x v="4"/>
    <x v="45"/>
  </r>
  <r>
    <x v="61"/>
    <x v="71"/>
    <x v="83"/>
    <x v="1"/>
    <x v="29"/>
    <x v="71"/>
    <x v="71"/>
    <x v="70"/>
    <x v="70"/>
    <x v="0"/>
    <x v="336"/>
    <x v="348"/>
    <x v="312"/>
    <x v="288"/>
    <x v="68"/>
    <x v="321"/>
    <x v="18"/>
    <x v="2"/>
    <x v="24"/>
    <x v="3"/>
    <x v="3"/>
    <x v="27"/>
    <x v="275"/>
    <x v="0"/>
    <x v="0"/>
    <x v="1"/>
    <x v="2"/>
    <x v="29"/>
    <x v="0"/>
    <x v="0"/>
    <x v="0"/>
    <x v="29"/>
  </r>
  <r>
    <x v="61"/>
    <x v="73"/>
    <x v="85"/>
    <x v="1"/>
    <x v="29"/>
    <x v="73"/>
    <x v="73"/>
    <x v="72"/>
    <x v="72"/>
    <x v="0"/>
    <x v="337"/>
    <x v="349"/>
    <x v="313"/>
    <x v="289"/>
    <x v="78"/>
    <x v="322"/>
    <x v="71"/>
    <x v="2"/>
    <x v="2"/>
    <x v="0"/>
    <x v="3"/>
    <x v="69"/>
    <x v="276"/>
    <x v="0"/>
    <x v="0"/>
    <x v="4"/>
    <x v="2"/>
    <x v="29"/>
    <x v="0"/>
    <x v="0"/>
    <x v="0"/>
    <x v="29"/>
  </r>
  <r>
    <x v="61"/>
    <x v="74"/>
    <x v="86"/>
    <x v="1"/>
    <x v="29"/>
    <x v="74"/>
    <x v="74"/>
    <x v="73"/>
    <x v="73"/>
    <x v="0"/>
    <x v="338"/>
    <x v="350"/>
    <x v="314"/>
    <x v="290"/>
    <x v="46"/>
    <x v="323"/>
    <x v="8"/>
    <x v="2"/>
    <x v="14"/>
    <x v="3"/>
    <x v="3"/>
    <x v="27"/>
    <x v="277"/>
    <x v="0"/>
    <x v="0"/>
    <x v="5"/>
    <x v="2"/>
    <x v="29"/>
    <x v="0"/>
    <x v="0"/>
    <x v="0"/>
    <x v="29"/>
  </r>
  <r>
    <x v="61"/>
    <x v="71"/>
    <x v="87"/>
    <x v="1"/>
    <x v="9"/>
    <x v="75"/>
    <x v="75"/>
    <x v="74"/>
    <x v="74"/>
    <x v="0"/>
    <x v="339"/>
    <x v="351"/>
    <x v="315"/>
    <x v="291"/>
    <x v="56"/>
    <x v="324"/>
    <x v="15"/>
    <x v="2"/>
    <x v="14"/>
    <x v="3"/>
    <x v="3"/>
    <x v="15"/>
    <x v="15"/>
    <x v="0"/>
    <x v="0"/>
    <x v="5"/>
    <x v="2"/>
    <x v="9"/>
    <x v="1"/>
    <x v="3"/>
    <x v="2"/>
    <x v="9"/>
  </r>
  <r>
    <x v="61"/>
    <x v="75"/>
    <x v="88"/>
    <x v="1"/>
    <x v="9"/>
    <x v="76"/>
    <x v="76"/>
    <x v="75"/>
    <x v="75"/>
    <x v="0"/>
    <x v="340"/>
    <x v="352"/>
    <x v="316"/>
    <x v="268"/>
    <x v="60"/>
    <x v="325"/>
    <x v="18"/>
    <x v="2"/>
    <x v="24"/>
    <x v="3"/>
    <x v="2"/>
    <x v="70"/>
    <x v="278"/>
    <x v="0"/>
    <x v="0"/>
    <x v="2"/>
    <x v="5"/>
    <x v="9"/>
    <x v="1"/>
    <x v="3"/>
    <x v="2"/>
    <x v="9"/>
  </r>
  <r>
    <x v="61"/>
    <x v="76"/>
    <x v="89"/>
    <x v="1"/>
    <x v="9"/>
    <x v="77"/>
    <x v="77"/>
    <x v="76"/>
    <x v="76"/>
    <x v="0"/>
    <x v="341"/>
    <x v="353"/>
    <x v="131"/>
    <x v="292"/>
    <x v="64"/>
    <x v="326"/>
    <x v="15"/>
    <x v="2"/>
    <x v="14"/>
    <x v="3"/>
    <x v="3"/>
    <x v="15"/>
    <x v="15"/>
    <x v="0"/>
    <x v="0"/>
    <x v="5"/>
    <x v="2"/>
    <x v="9"/>
    <x v="1"/>
    <x v="3"/>
    <x v="2"/>
    <x v="9"/>
  </r>
  <r>
    <x v="61"/>
    <x v="77"/>
    <x v="90"/>
    <x v="0"/>
    <x v="46"/>
    <x v="78"/>
    <x v="78"/>
    <x v="77"/>
    <x v="77"/>
    <x v="0"/>
    <x v="342"/>
    <x v="354"/>
    <x v="317"/>
    <x v="187"/>
    <x v="8"/>
    <x v="327"/>
    <x v="43"/>
    <x v="1"/>
    <x v="90"/>
    <x v="3"/>
    <x v="1"/>
    <x v="148"/>
    <x v="279"/>
    <x v="5"/>
    <x v="7"/>
    <x v="4"/>
    <x v="2"/>
    <x v="46"/>
    <x v="0"/>
    <x v="14"/>
    <x v="4"/>
    <x v="46"/>
  </r>
  <r>
    <x v="62"/>
    <x v="26"/>
    <x v="49"/>
    <x v="0"/>
    <x v="17"/>
    <x v="38"/>
    <x v="38"/>
    <x v="37"/>
    <x v="3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62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62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4"/>
    <x v="42"/>
  </r>
  <r>
    <x v="62"/>
    <x v="69"/>
    <x v="80"/>
    <x v="0"/>
    <x v="44"/>
    <x v="68"/>
    <x v="68"/>
    <x v="67"/>
    <x v="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4"/>
    <x v="0"/>
    <x v="13"/>
    <x v="4"/>
    <x v="44"/>
  </r>
  <r>
    <x v="62"/>
    <x v="70"/>
    <x v="81"/>
    <x v="0"/>
    <x v="45"/>
    <x v="69"/>
    <x v="69"/>
    <x v="68"/>
    <x v="6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5"/>
    <x v="0"/>
    <x v="13"/>
    <x v="4"/>
    <x v="45"/>
  </r>
  <r>
    <x v="62"/>
    <x v="71"/>
    <x v="83"/>
    <x v="1"/>
    <x v="29"/>
    <x v="71"/>
    <x v="71"/>
    <x v="70"/>
    <x v="70"/>
    <x v="0"/>
    <x v="343"/>
    <x v="355"/>
    <x v="318"/>
    <x v="51"/>
    <x v="79"/>
    <x v="328"/>
    <x v="18"/>
    <x v="2"/>
    <x v="14"/>
    <x v="3"/>
    <x v="3"/>
    <x v="20"/>
    <x v="280"/>
    <x v="0"/>
    <x v="0"/>
    <x v="2"/>
    <x v="2"/>
    <x v="29"/>
    <x v="0"/>
    <x v="0"/>
    <x v="0"/>
    <x v="29"/>
  </r>
  <r>
    <x v="62"/>
    <x v="73"/>
    <x v="85"/>
    <x v="1"/>
    <x v="29"/>
    <x v="73"/>
    <x v="73"/>
    <x v="72"/>
    <x v="72"/>
    <x v="0"/>
    <x v="344"/>
    <x v="356"/>
    <x v="319"/>
    <x v="187"/>
    <x v="80"/>
    <x v="329"/>
    <x v="13"/>
    <x v="2"/>
    <x v="14"/>
    <x v="3"/>
    <x v="2"/>
    <x v="68"/>
    <x v="281"/>
    <x v="0"/>
    <x v="0"/>
    <x v="5"/>
    <x v="2"/>
    <x v="29"/>
    <x v="0"/>
    <x v="0"/>
    <x v="0"/>
    <x v="29"/>
  </r>
  <r>
    <x v="62"/>
    <x v="74"/>
    <x v="86"/>
    <x v="1"/>
    <x v="29"/>
    <x v="74"/>
    <x v="74"/>
    <x v="73"/>
    <x v="73"/>
    <x v="0"/>
    <x v="345"/>
    <x v="357"/>
    <x v="320"/>
    <x v="293"/>
    <x v="45"/>
    <x v="330"/>
    <x v="26"/>
    <x v="2"/>
    <x v="24"/>
    <x v="3"/>
    <x v="3"/>
    <x v="83"/>
    <x v="282"/>
    <x v="0"/>
    <x v="0"/>
    <x v="2"/>
    <x v="2"/>
    <x v="29"/>
    <x v="0"/>
    <x v="0"/>
    <x v="0"/>
    <x v="29"/>
  </r>
  <r>
    <x v="62"/>
    <x v="75"/>
    <x v="88"/>
    <x v="1"/>
    <x v="9"/>
    <x v="76"/>
    <x v="76"/>
    <x v="75"/>
    <x v="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62"/>
    <x v="77"/>
    <x v="90"/>
    <x v="0"/>
    <x v="46"/>
    <x v="78"/>
    <x v="78"/>
    <x v="77"/>
    <x v="77"/>
    <x v="0"/>
    <x v="346"/>
    <x v="358"/>
    <x v="321"/>
    <x v="294"/>
    <x v="8"/>
    <x v="331"/>
    <x v="149"/>
    <x v="3"/>
    <x v="84"/>
    <x v="3"/>
    <x v="8"/>
    <x v="192"/>
    <x v="0"/>
    <x v="6"/>
    <x v="8"/>
    <x v="13"/>
    <x v="12"/>
    <x v="46"/>
    <x v="0"/>
    <x v="14"/>
    <x v="4"/>
    <x v="46"/>
  </r>
  <r>
    <x v="63"/>
    <x v="77"/>
    <x v="90"/>
    <x v="0"/>
    <x v="46"/>
    <x v="78"/>
    <x v="78"/>
    <x v="77"/>
    <x v="77"/>
    <x v="0"/>
    <x v="347"/>
    <x v="359"/>
    <x v="322"/>
    <x v="295"/>
    <x v="8"/>
    <x v="332"/>
    <x v="39"/>
    <x v="1"/>
    <x v="53"/>
    <x v="5"/>
    <x v="6"/>
    <x v="193"/>
    <x v="183"/>
    <x v="7"/>
    <x v="9"/>
    <x v="10"/>
    <x v="12"/>
    <x v="46"/>
    <x v="0"/>
    <x v="14"/>
    <x v="4"/>
    <x v="46"/>
  </r>
  <r>
    <x v="63"/>
    <x v="78"/>
    <x v="91"/>
    <x v="0"/>
    <x v="47"/>
    <x v="79"/>
    <x v="79"/>
    <x v="78"/>
    <x v="78"/>
    <x v="0"/>
    <x v="348"/>
    <x v="360"/>
    <x v="323"/>
    <x v="294"/>
    <x v="2"/>
    <x v="333"/>
    <x v="57"/>
    <x v="2"/>
    <x v="109"/>
    <x v="7"/>
    <x v="6"/>
    <x v="194"/>
    <x v="283"/>
    <x v="0"/>
    <x v="0"/>
    <x v="1"/>
    <x v="1"/>
    <x v="31"/>
    <x v="0"/>
    <x v="14"/>
    <x v="4"/>
    <x v="47"/>
  </r>
  <r>
    <x v="64"/>
    <x v="77"/>
    <x v="90"/>
    <x v="0"/>
    <x v="46"/>
    <x v="78"/>
    <x v="78"/>
    <x v="77"/>
    <x v="77"/>
    <x v="0"/>
    <x v="349"/>
    <x v="361"/>
    <x v="324"/>
    <x v="180"/>
    <x v="8"/>
    <x v="334"/>
    <x v="19"/>
    <x v="1"/>
    <x v="29"/>
    <x v="3"/>
    <x v="0"/>
    <x v="195"/>
    <x v="284"/>
    <x v="8"/>
    <x v="10"/>
    <x v="1"/>
    <x v="5"/>
    <x v="46"/>
    <x v="0"/>
    <x v="14"/>
    <x v="4"/>
    <x v="46"/>
  </r>
  <r>
    <x v="64"/>
    <x v="78"/>
    <x v="91"/>
    <x v="0"/>
    <x v="47"/>
    <x v="79"/>
    <x v="79"/>
    <x v="78"/>
    <x v="78"/>
    <x v="0"/>
    <x v="350"/>
    <x v="362"/>
    <x v="325"/>
    <x v="296"/>
    <x v="42"/>
    <x v="259"/>
    <x v="137"/>
    <x v="2"/>
    <x v="110"/>
    <x v="15"/>
    <x v="7"/>
    <x v="196"/>
    <x v="12"/>
    <x v="0"/>
    <x v="0"/>
    <x v="10"/>
    <x v="26"/>
    <x v="31"/>
    <x v="0"/>
    <x v="14"/>
    <x v="4"/>
    <x v="47"/>
  </r>
  <r>
    <x v="64"/>
    <x v="79"/>
    <x v="92"/>
    <x v="0"/>
    <x v="48"/>
    <x v="80"/>
    <x v="80"/>
    <x v="79"/>
    <x v="79"/>
    <x v="0"/>
    <x v="351"/>
    <x v="363"/>
    <x v="326"/>
    <x v="297"/>
    <x v="37"/>
    <x v="335"/>
    <x v="28"/>
    <x v="11"/>
    <x v="85"/>
    <x v="9"/>
    <x v="12"/>
    <x v="197"/>
    <x v="285"/>
    <x v="0"/>
    <x v="0"/>
    <x v="7"/>
    <x v="5"/>
    <x v="47"/>
    <x v="0"/>
    <x v="14"/>
    <x v="4"/>
    <x v="48"/>
  </r>
  <r>
    <x v="65"/>
    <x v="77"/>
    <x v="90"/>
    <x v="0"/>
    <x v="46"/>
    <x v="78"/>
    <x v="78"/>
    <x v="77"/>
    <x v="77"/>
    <x v="0"/>
    <x v="352"/>
    <x v="364"/>
    <x v="327"/>
    <x v="154"/>
    <x v="12"/>
    <x v="336"/>
    <x v="150"/>
    <x v="7"/>
    <x v="36"/>
    <x v="5"/>
    <x v="23"/>
    <x v="16"/>
    <x v="286"/>
    <x v="9"/>
    <x v="11"/>
    <x v="4"/>
    <x v="5"/>
    <x v="46"/>
    <x v="0"/>
    <x v="14"/>
    <x v="4"/>
    <x v="46"/>
  </r>
  <r>
    <x v="65"/>
    <x v="78"/>
    <x v="91"/>
    <x v="0"/>
    <x v="47"/>
    <x v="79"/>
    <x v="79"/>
    <x v="78"/>
    <x v="78"/>
    <x v="0"/>
    <x v="353"/>
    <x v="365"/>
    <x v="328"/>
    <x v="298"/>
    <x v="58"/>
    <x v="337"/>
    <x v="151"/>
    <x v="7"/>
    <x v="111"/>
    <x v="43"/>
    <x v="6"/>
    <x v="198"/>
    <x v="287"/>
    <x v="0"/>
    <x v="0"/>
    <x v="1"/>
    <x v="12"/>
    <x v="31"/>
    <x v="0"/>
    <x v="14"/>
    <x v="4"/>
    <x v="47"/>
  </r>
  <r>
    <x v="65"/>
    <x v="79"/>
    <x v="92"/>
    <x v="0"/>
    <x v="48"/>
    <x v="80"/>
    <x v="80"/>
    <x v="79"/>
    <x v="79"/>
    <x v="0"/>
    <x v="354"/>
    <x v="366"/>
    <x v="329"/>
    <x v="53"/>
    <x v="8"/>
    <x v="338"/>
    <x v="106"/>
    <x v="0"/>
    <x v="23"/>
    <x v="10"/>
    <x v="4"/>
    <x v="131"/>
    <x v="45"/>
    <x v="0"/>
    <x v="0"/>
    <x v="5"/>
    <x v="2"/>
    <x v="47"/>
    <x v="0"/>
    <x v="14"/>
    <x v="4"/>
    <x v="48"/>
  </r>
  <r>
    <x v="66"/>
    <x v="77"/>
    <x v="90"/>
    <x v="0"/>
    <x v="46"/>
    <x v="78"/>
    <x v="78"/>
    <x v="77"/>
    <x v="77"/>
    <x v="0"/>
    <x v="355"/>
    <x v="367"/>
    <x v="330"/>
    <x v="299"/>
    <x v="32"/>
    <x v="339"/>
    <x v="152"/>
    <x v="0"/>
    <x v="85"/>
    <x v="11"/>
    <x v="0"/>
    <x v="105"/>
    <x v="288"/>
    <x v="10"/>
    <x v="12"/>
    <x v="7"/>
    <x v="6"/>
    <x v="46"/>
    <x v="0"/>
    <x v="14"/>
    <x v="4"/>
    <x v="46"/>
  </r>
  <r>
    <x v="66"/>
    <x v="78"/>
    <x v="91"/>
    <x v="0"/>
    <x v="47"/>
    <x v="79"/>
    <x v="79"/>
    <x v="78"/>
    <x v="78"/>
    <x v="0"/>
    <x v="356"/>
    <x v="368"/>
    <x v="331"/>
    <x v="300"/>
    <x v="8"/>
    <x v="340"/>
    <x v="153"/>
    <x v="0"/>
    <x v="112"/>
    <x v="45"/>
    <x v="24"/>
    <x v="199"/>
    <x v="11"/>
    <x v="0"/>
    <x v="0"/>
    <x v="3"/>
    <x v="12"/>
    <x v="31"/>
    <x v="0"/>
    <x v="14"/>
    <x v="4"/>
    <x v="47"/>
  </r>
  <r>
    <x v="66"/>
    <x v="79"/>
    <x v="92"/>
    <x v="0"/>
    <x v="48"/>
    <x v="80"/>
    <x v="80"/>
    <x v="79"/>
    <x v="79"/>
    <x v="0"/>
    <x v="357"/>
    <x v="369"/>
    <x v="234"/>
    <x v="301"/>
    <x v="12"/>
    <x v="341"/>
    <x v="100"/>
    <x v="7"/>
    <x v="1"/>
    <x v="8"/>
    <x v="0"/>
    <x v="200"/>
    <x v="289"/>
    <x v="0"/>
    <x v="0"/>
    <x v="4"/>
    <x v="6"/>
    <x v="47"/>
    <x v="0"/>
    <x v="14"/>
    <x v="4"/>
    <x v="48"/>
  </r>
  <r>
    <x v="67"/>
    <x v="77"/>
    <x v="90"/>
    <x v="0"/>
    <x v="46"/>
    <x v="78"/>
    <x v="78"/>
    <x v="77"/>
    <x v="77"/>
    <x v="0"/>
    <x v="358"/>
    <x v="370"/>
    <x v="332"/>
    <x v="302"/>
    <x v="8"/>
    <x v="342"/>
    <x v="152"/>
    <x v="0"/>
    <x v="5"/>
    <x v="5"/>
    <x v="0"/>
    <x v="201"/>
    <x v="76"/>
    <x v="11"/>
    <x v="13"/>
    <x v="12"/>
    <x v="37"/>
    <x v="46"/>
    <x v="0"/>
    <x v="14"/>
    <x v="4"/>
    <x v="46"/>
  </r>
  <r>
    <x v="67"/>
    <x v="78"/>
    <x v="91"/>
    <x v="0"/>
    <x v="47"/>
    <x v="79"/>
    <x v="79"/>
    <x v="78"/>
    <x v="78"/>
    <x v="0"/>
    <x v="359"/>
    <x v="371"/>
    <x v="333"/>
    <x v="303"/>
    <x v="7"/>
    <x v="343"/>
    <x v="154"/>
    <x v="7"/>
    <x v="66"/>
    <x v="53"/>
    <x v="9"/>
    <x v="202"/>
    <x v="290"/>
    <x v="0"/>
    <x v="0"/>
    <x v="10"/>
    <x v="13"/>
    <x v="31"/>
    <x v="0"/>
    <x v="14"/>
    <x v="4"/>
    <x v="47"/>
  </r>
  <r>
    <x v="67"/>
    <x v="79"/>
    <x v="92"/>
    <x v="0"/>
    <x v="48"/>
    <x v="80"/>
    <x v="80"/>
    <x v="79"/>
    <x v="79"/>
    <x v="0"/>
    <x v="360"/>
    <x v="372"/>
    <x v="334"/>
    <x v="304"/>
    <x v="12"/>
    <x v="344"/>
    <x v="139"/>
    <x v="3"/>
    <x v="10"/>
    <x v="51"/>
    <x v="7"/>
    <x v="3"/>
    <x v="291"/>
    <x v="0"/>
    <x v="0"/>
    <x v="2"/>
    <x v="5"/>
    <x v="47"/>
    <x v="0"/>
    <x v="14"/>
    <x v="4"/>
    <x v="48"/>
  </r>
  <r>
    <x v="68"/>
    <x v="77"/>
    <x v="90"/>
    <x v="0"/>
    <x v="46"/>
    <x v="78"/>
    <x v="78"/>
    <x v="77"/>
    <x v="77"/>
    <x v="0"/>
    <x v="361"/>
    <x v="373"/>
    <x v="335"/>
    <x v="267"/>
    <x v="7"/>
    <x v="345"/>
    <x v="33"/>
    <x v="0"/>
    <x v="84"/>
    <x v="3"/>
    <x v="0"/>
    <x v="203"/>
    <x v="292"/>
    <x v="11"/>
    <x v="14"/>
    <x v="2"/>
    <x v="10"/>
    <x v="46"/>
    <x v="0"/>
    <x v="14"/>
    <x v="4"/>
    <x v="46"/>
  </r>
  <r>
    <x v="68"/>
    <x v="78"/>
    <x v="91"/>
    <x v="0"/>
    <x v="47"/>
    <x v="79"/>
    <x v="79"/>
    <x v="78"/>
    <x v="78"/>
    <x v="0"/>
    <x v="362"/>
    <x v="374"/>
    <x v="336"/>
    <x v="305"/>
    <x v="53"/>
    <x v="240"/>
    <x v="155"/>
    <x v="3"/>
    <x v="113"/>
    <x v="29"/>
    <x v="7"/>
    <x v="204"/>
    <x v="69"/>
    <x v="0"/>
    <x v="0"/>
    <x v="0"/>
    <x v="25"/>
    <x v="31"/>
    <x v="0"/>
    <x v="14"/>
    <x v="4"/>
    <x v="47"/>
  </r>
  <r>
    <x v="68"/>
    <x v="79"/>
    <x v="92"/>
    <x v="0"/>
    <x v="48"/>
    <x v="80"/>
    <x v="80"/>
    <x v="79"/>
    <x v="79"/>
    <x v="0"/>
    <x v="363"/>
    <x v="375"/>
    <x v="140"/>
    <x v="306"/>
    <x v="0"/>
    <x v="346"/>
    <x v="15"/>
    <x v="2"/>
    <x v="14"/>
    <x v="3"/>
    <x v="3"/>
    <x v="15"/>
    <x v="15"/>
    <x v="0"/>
    <x v="0"/>
    <x v="5"/>
    <x v="2"/>
    <x v="47"/>
    <x v="0"/>
    <x v="14"/>
    <x v="4"/>
    <x v="48"/>
  </r>
  <r>
    <x v="68"/>
    <x v="80"/>
    <x v="93"/>
    <x v="0"/>
    <x v="49"/>
    <x v="81"/>
    <x v="81"/>
    <x v="80"/>
    <x v="80"/>
    <x v="0"/>
    <x v="364"/>
    <x v="376"/>
    <x v="337"/>
    <x v="307"/>
    <x v="0"/>
    <x v="347"/>
    <x v="32"/>
    <x v="3"/>
    <x v="21"/>
    <x v="11"/>
    <x v="4"/>
    <x v="74"/>
    <x v="293"/>
    <x v="0"/>
    <x v="0"/>
    <x v="12"/>
    <x v="11"/>
    <x v="6"/>
    <x v="0"/>
    <x v="13"/>
    <x v="4"/>
    <x v="49"/>
  </r>
  <r>
    <x v="69"/>
    <x v="70"/>
    <x v="81"/>
    <x v="0"/>
    <x v="45"/>
    <x v="69"/>
    <x v="69"/>
    <x v="68"/>
    <x v="6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5"/>
    <x v="0"/>
    <x v="13"/>
    <x v="4"/>
    <x v="45"/>
  </r>
  <r>
    <x v="69"/>
    <x v="77"/>
    <x v="90"/>
    <x v="0"/>
    <x v="46"/>
    <x v="78"/>
    <x v="78"/>
    <x v="77"/>
    <x v="77"/>
    <x v="0"/>
    <x v="365"/>
    <x v="377"/>
    <x v="94"/>
    <x v="308"/>
    <x v="41"/>
    <x v="348"/>
    <x v="15"/>
    <x v="2"/>
    <x v="24"/>
    <x v="3"/>
    <x v="3"/>
    <x v="20"/>
    <x v="294"/>
    <x v="2"/>
    <x v="15"/>
    <x v="5"/>
    <x v="2"/>
    <x v="46"/>
    <x v="0"/>
    <x v="14"/>
    <x v="4"/>
    <x v="46"/>
  </r>
  <r>
    <x v="69"/>
    <x v="78"/>
    <x v="91"/>
    <x v="0"/>
    <x v="47"/>
    <x v="79"/>
    <x v="79"/>
    <x v="78"/>
    <x v="78"/>
    <x v="0"/>
    <x v="366"/>
    <x v="378"/>
    <x v="100"/>
    <x v="176"/>
    <x v="37"/>
    <x v="349"/>
    <x v="7"/>
    <x v="2"/>
    <x v="8"/>
    <x v="5"/>
    <x v="3"/>
    <x v="56"/>
    <x v="295"/>
    <x v="0"/>
    <x v="0"/>
    <x v="5"/>
    <x v="2"/>
    <x v="31"/>
    <x v="0"/>
    <x v="14"/>
    <x v="4"/>
    <x v="47"/>
  </r>
  <r>
    <x v="69"/>
    <x v="79"/>
    <x v="92"/>
    <x v="0"/>
    <x v="48"/>
    <x v="80"/>
    <x v="80"/>
    <x v="79"/>
    <x v="79"/>
    <x v="0"/>
    <x v="367"/>
    <x v="379"/>
    <x v="338"/>
    <x v="309"/>
    <x v="35"/>
    <x v="350"/>
    <x v="87"/>
    <x v="3"/>
    <x v="39"/>
    <x v="8"/>
    <x v="1"/>
    <x v="65"/>
    <x v="296"/>
    <x v="0"/>
    <x v="0"/>
    <x v="2"/>
    <x v="11"/>
    <x v="47"/>
    <x v="0"/>
    <x v="14"/>
    <x v="4"/>
    <x v="48"/>
  </r>
  <r>
    <x v="69"/>
    <x v="80"/>
    <x v="93"/>
    <x v="0"/>
    <x v="49"/>
    <x v="81"/>
    <x v="81"/>
    <x v="80"/>
    <x v="80"/>
    <x v="0"/>
    <x v="368"/>
    <x v="380"/>
    <x v="339"/>
    <x v="310"/>
    <x v="2"/>
    <x v="351"/>
    <x v="120"/>
    <x v="0"/>
    <x v="37"/>
    <x v="12"/>
    <x v="0"/>
    <x v="49"/>
    <x v="195"/>
    <x v="0"/>
    <x v="0"/>
    <x v="11"/>
    <x v="11"/>
    <x v="6"/>
    <x v="0"/>
    <x v="13"/>
    <x v="4"/>
    <x v="49"/>
  </r>
  <r>
    <x v="69"/>
    <x v="81"/>
    <x v="94"/>
    <x v="0"/>
    <x v="50"/>
    <x v="82"/>
    <x v="82"/>
    <x v="81"/>
    <x v="81"/>
    <x v="0"/>
    <x v="369"/>
    <x v="381"/>
    <x v="340"/>
    <x v="311"/>
    <x v="50"/>
    <x v="352"/>
    <x v="112"/>
    <x v="1"/>
    <x v="87"/>
    <x v="5"/>
    <x v="1"/>
    <x v="64"/>
    <x v="297"/>
    <x v="12"/>
    <x v="16"/>
    <x v="1"/>
    <x v="12"/>
    <x v="48"/>
    <x v="0"/>
    <x v="14"/>
    <x v="4"/>
    <x v="50"/>
  </r>
  <r>
    <x v="70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70"/>
    <x v="78"/>
    <x v="91"/>
    <x v="0"/>
    <x v="47"/>
    <x v="79"/>
    <x v="79"/>
    <x v="78"/>
    <x v="78"/>
    <x v="0"/>
    <x v="370"/>
    <x v="382"/>
    <x v="341"/>
    <x v="296"/>
    <x v="7"/>
    <x v="340"/>
    <x v="156"/>
    <x v="7"/>
    <x v="114"/>
    <x v="54"/>
    <x v="0"/>
    <x v="73"/>
    <x v="298"/>
    <x v="0"/>
    <x v="0"/>
    <x v="7"/>
    <x v="11"/>
    <x v="31"/>
    <x v="0"/>
    <x v="14"/>
    <x v="4"/>
    <x v="47"/>
  </r>
  <r>
    <x v="70"/>
    <x v="79"/>
    <x v="92"/>
    <x v="0"/>
    <x v="48"/>
    <x v="80"/>
    <x v="80"/>
    <x v="79"/>
    <x v="79"/>
    <x v="0"/>
    <x v="371"/>
    <x v="383"/>
    <x v="342"/>
    <x v="312"/>
    <x v="3"/>
    <x v="353"/>
    <x v="18"/>
    <x v="2"/>
    <x v="14"/>
    <x v="5"/>
    <x v="3"/>
    <x v="27"/>
    <x v="297"/>
    <x v="0"/>
    <x v="0"/>
    <x v="5"/>
    <x v="2"/>
    <x v="47"/>
    <x v="0"/>
    <x v="14"/>
    <x v="4"/>
    <x v="48"/>
  </r>
  <r>
    <x v="70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4"/>
    <x v="49"/>
  </r>
  <r>
    <x v="70"/>
    <x v="81"/>
    <x v="94"/>
    <x v="0"/>
    <x v="50"/>
    <x v="82"/>
    <x v="82"/>
    <x v="81"/>
    <x v="81"/>
    <x v="0"/>
    <x v="372"/>
    <x v="384"/>
    <x v="304"/>
    <x v="313"/>
    <x v="10"/>
    <x v="354"/>
    <x v="23"/>
    <x v="2"/>
    <x v="24"/>
    <x v="3"/>
    <x v="3"/>
    <x v="75"/>
    <x v="11"/>
    <x v="13"/>
    <x v="17"/>
    <x v="5"/>
    <x v="2"/>
    <x v="48"/>
    <x v="0"/>
    <x v="14"/>
    <x v="4"/>
    <x v="50"/>
  </r>
  <r>
    <x v="70"/>
    <x v="82"/>
    <x v="95"/>
    <x v="0"/>
    <x v="51"/>
    <x v="83"/>
    <x v="83"/>
    <x v="82"/>
    <x v="82"/>
    <x v="0"/>
    <x v="373"/>
    <x v="385"/>
    <x v="343"/>
    <x v="314"/>
    <x v="81"/>
    <x v="60"/>
    <x v="46"/>
    <x v="7"/>
    <x v="7"/>
    <x v="3"/>
    <x v="1"/>
    <x v="149"/>
    <x v="299"/>
    <x v="8"/>
    <x v="18"/>
    <x v="7"/>
    <x v="13"/>
    <x v="49"/>
    <x v="0"/>
    <x v="14"/>
    <x v="4"/>
    <x v="51"/>
  </r>
  <r>
    <x v="70"/>
    <x v="82"/>
    <x v="96"/>
    <x v="1"/>
    <x v="46"/>
    <x v="84"/>
    <x v="84"/>
    <x v="83"/>
    <x v="83"/>
    <x v="0"/>
    <x v="374"/>
    <x v="386"/>
    <x v="344"/>
    <x v="227"/>
    <x v="29"/>
    <x v="355"/>
    <x v="17"/>
    <x v="2"/>
    <x v="8"/>
    <x v="11"/>
    <x v="3"/>
    <x v="51"/>
    <x v="300"/>
    <x v="14"/>
    <x v="19"/>
    <x v="7"/>
    <x v="5"/>
    <x v="46"/>
    <x v="0"/>
    <x v="14"/>
    <x v="4"/>
    <x v="46"/>
  </r>
  <r>
    <x v="71"/>
    <x v="66"/>
    <x v="76"/>
    <x v="0"/>
    <x v="41"/>
    <x v="65"/>
    <x v="65"/>
    <x v="64"/>
    <x v="6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1"/>
    <x v="0"/>
    <x v="6"/>
    <x v="0"/>
    <x v="41"/>
  </r>
  <r>
    <x v="71"/>
    <x v="69"/>
    <x v="80"/>
    <x v="0"/>
    <x v="44"/>
    <x v="68"/>
    <x v="68"/>
    <x v="67"/>
    <x v="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4"/>
    <x v="0"/>
    <x v="13"/>
    <x v="4"/>
    <x v="44"/>
  </r>
  <r>
    <x v="71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71"/>
    <x v="78"/>
    <x v="91"/>
    <x v="0"/>
    <x v="47"/>
    <x v="79"/>
    <x v="79"/>
    <x v="78"/>
    <x v="78"/>
    <x v="0"/>
    <x v="375"/>
    <x v="387"/>
    <x v="345"/>
    <x v="315"/>
    <x v="81"/>
    <x v="290"/>
    <x v="157"/>
    <x v="7"/>
    <x v="115"/>
    <x v="55"/>
    <x v="1"/>
    <x v="205"/>
    <x v="125"/>
    <x v="0"/>
    <x v="0"/>
    <x v="4"/>
    <x v="3"/>
    <x v="31"/>
    <x v="0"/>
    <x v="14"/>
    <x v="4"/>
    <x v="47"/>
  </r>
  <r>
    <x v="71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71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4"/>
    <x v="49"/>
  </r>
  <r>
    <x v="71"/>
    <x v="82"/>
    <x v="95"/>
    <x v="0"/>
    <x v="51"/>
    <x v="83"/>
    <x v="83"/>
    <x v="82"/>
    <x v="82"/>
    <x v="0"/>
    <x v="376"/>
    <x v="388"/>
    <x v="248"/>
    <x v="316"/>
    <x v="52"/>
    <x v="356"/>
    <x v="18"/>
    <x v="2"/>
    <x v="14"/>
    <x v="3"/>
    <x v="3"/>
    <x v="20"/>
    <x v="166"/>
    <x v="2"/>
    <x v="20"/>
    <x v="5"/>
    <x v="2"/>
    <x v="49"/>
    <x v="0"/>
    <x v="14"/>
    <x v="4"/>
    <x v="51"/>
  </r>
  <r>
    <x v="71"/>
    <x v="82"/>
    <x v="96"/>
    <x v="1"/>
    <x v="46"/>
    <x v="84"/>
    <x v="84"/>
    <x v="83"/>
    <x v="8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71"/>
    <x v="83"/>
    <x v="97"/>
    <x v="0"/>
    <x v="52"/>
    <x v="85"/>
    <x v="85"/>
    <x v="84"/>
    <x v="84"/>
    <x v="0"/>
    <x v="377"/>
    <x v="389"/>
    <x v="346"/>
    <x v="317"/>
    <x v="55"/>
    <x v="357"/>
    <x v="112"/>
    <x v="7"/>
    <x v="45"/>
    <x v="5"/>
    <x v="4"/>
    <x v="36"/>
    <x v="301"/>
    <x v="15"/>
    <x v="21"/>
    <x v="5"/>
    <x v="5"/>
    <x v="50"/>
    <x v="0"/>
    <x v="14"/>
    <x v="4"/>
    <x v="52"/>
  </r>
  <r>
    <x v="72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72"/>
    <x v="78"/>
    <x v="91"/>
    <x v="0"/>
    <x v="47"/>
    <x v="79"/>
    <x v="79"/>
    <x v="78"/>
    <x v="78"/>
    <x v="0"/>
    <x v="378"/>
    <x v="390"/>
    <x v="347"/>
    <x v="158"/>
    <x v="30"/>
    <x v="358"/>
    <x v="158"/>
    <x v="0"/>
    <x v="116"/>
    <x v="2"/>
    <x v="0"/>
    <x v="206"/>
    <x v="302"/>
    <x v="0"/>
    <x v="0"/>
    <x v="4"/>
    <x v="2"/>
    <x v="31"/>
    <x v="0"/>
    <x v="14"/>
    <x v="4"/>
    <x v="47"/>
  </r>
  <r>
    <x v="72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72"/>
    <x v="81"/>
    <x v="94"/>
    <x v="0"/>
    <x v="50"/>
    <x v="82"/>
    <x v="82"/>
    <x v="81"/>
    <x v="8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8"/>
    <x v="0"/>
    <x v="14"/>
    <x v="4"/>
    <x v="50"/>
  </r>
  <r>
    <x v="72"/>
    <x v="83"/>
    <x v="97"/>
    <x v="0"/>
    <x v="52"/>
    <x v="85"/>
    <x v="85"/>
    <x v="84"/>
    <x v="84"/>
    <x v="0"/>
    <x v="379"/>
    <x v="391"/>
    <x v="348"/>
    <x v="318"/>
    <x v="26"/>
    <x v="359"/>
    <x v="62"/>
    <x v="1"/>
    <x v="91"/>
    <x v="3"/>
    <x v="0"/>
    <x v="36"/>
    <x v="303"/>
    <x v="16"/>
    <x v="22"/>
    <x v="5"/>
    <x v="12"/>
    <x v="50"/>
    <x v="0"/>
    <x v="14"/>
    <x v="4"/>
    <x v="52"/>
  </r>
  <r>
    <x v="72"/>
    <x v="84"/>
    <x v="98"/>
    <x v="0"/>
    <x v="51"/>
    <x v="86"/>
    <x v="86"/>
    <x v="85"/>
    <x v="85"/>
    <x v="0"/>
    <x v="380"/>
    <x v="392"/>
    <x v="349"/>
    <x v="319"/>
    <x v="37"/>
    <x v="214"/>
    <x v="15"/>
    <x v="2"/>
    <x v="14"/>
    <x v="3"/>
    <x v="3"/>
    <x v="15"/>
    <x v="15"/>
    <x v="0"/>
    <x v="0"/>
    <x v="2"/>
    <x v="2"/>
    <x v="49"/>
    <x v="0"/>
    <x v="14"/>
    <x v="4"/>
    <x v="51"/>
  </r>
  <r>
    <x v="73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73"/>
    <x v="78"/>
    <x v="91"/>
    <x v="0"/>
    <x v="47"/>
    <x v="79"/>
    <x v="79"/>
    <x v="78"/>
    <x v="78"/>
    <x v="0"/>
    <x v="381"/>
    <x v="393"/>
    <x v="350"/>
    <x v="320"/>
    <x v="32"/>
    <x v="360"/>
    <x v="44"/>
    <x v="0"/>
    <x v="107"/>
    <x v="17"/>
    <x v="23"/>
    <x v="207"/>
    <x v="302"/>
    <x v="0"/>
    <x v="0"/>
    <x v="5"/>
    <x v="6"/>
    <x v="31"/>
    <x v="0"/>
    <x v="14"/>
    <x v="4"/>
    <x v="47"/>
  </r>
  <r>
    <x v="73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73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4"/>
    <x v="49"/>
  </r>
  <r>
    <x v="73"/>
    <x v="83"/>
    <x v="97"/>
    <x v="0"/>
    <x v="52"/>
    <x v="85"/>
    <x v="85"/>
    <x v="84"/>
    <x v="84"/>
    <x v="0"/>
    <x v="382"/>
    <x v="394"/>
    <x v="351"/>
    <x v="10"/>
    <x v="55"/>
    <x v="361"/>
    <x v="159"/>
    <x v="2"/>
    <x v="55"/>
    <x v="5"/>
    <x v="4"/>
    <x v="179"/>
    <x v="304"/>
    <x v="17"/>
    <x v="23"/>
    <x v="1"/>
    <x v="5"/>
    <x v="50"/>
    <x v="0"/>
    <x v="14"/>
    <x v="4"/>
    <x v="52"/>
  </r>
  <r>
    <x v="73"/>
    <x v="84"/>
    <x v="98"/>
    <x v="0"/>
    <x v="51"/>
    <x v="86"/>
    <x v="86"/>
    <x v="85"/>
    <x v="85"/>
    <x v="0"/>
    <x v="383"/>
    <x v="395"/>
    <x v="352"/>
    <x v="321"/>
    <x v="82"/>
    <x v="362"/>
    <x v="7"/>
    <x v="2"/>
    <x v="19"/>
    <x v="5"/>
    <x v="1"/>
    <x v="56"/>
    <x v="305"/>
    <x v="13"/>
    <x v="24"/>
    <x v="2"/>
    <x v="2"/>
    <x v="49"/>
    <x v="0"/>
    <x v="14"/>
    <x v="4"/>
    <x v="51"/>
  </r>
  <r>
    <x v="74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74"/>
    <x v="78"/>
    <x v="91"/>
    <x v="0"/>
    <x v="47"/>
    <x v="79"/>
    <x v="79"/>
    <x v="78"/>
    <x v="78"/>
    <x v="0"/>
    <x v="384"/>
    <x v="396"/>
    <x v="353"/>
    <x v="322"/>
    <x v="8"/>
    <x v="239"/>
    <x v="160"/>
    <x v="10"/>
    <x v="117"/>
    <x v="10"/>
    <x v="2"/>
    <x v="152"/>
    <x v="306"/>
    <x v="0"/>
    <x v="0"/>
    <x v="2"/>
    <x v="5"/>
    <x v="31"/>
    <x v="0"/>
    <x v="14"/>
    <x v="4"/>
    <x v="47"/>
  </r>
  <r>
    <x v="74"/>
    <x v="80"/>
    <x v="93"/>
    <x v="0"/>
    <x v="49"/>
    <x v="81"/>
    <x v="81"/>
    <x v="80"/>
    <x v="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"/>
    <x v="0"/>
    <x v="13"/>
    <x v="4"/>
    <x v="49"/>
  </r>
  <r>
    <x v="74"/>
    <x v="83"/>
    <x v="97"/>
    <x v="0"/>
    <x v="52"/>
    <x v="85"/>
    <x v="85"/>
    <x v="84"/>
    <x v="84"/>
    <x v="0"/>
    <x v="385"/>
    <x v="397"/>
    <x v="354"/>
    <x v="35"/>
    <x v="32"/>
    <x v="363"/>
    <x v="18"/>
    <x v="2"/>
    <x v="14"/>
    <x v="3"/>
    <x v="3"/>
    <x v="20"/>
    <x v="307"/>
    <x v="0"/>
    <x v="0"/>
    <x v="5"/>
    <x v="2"/>
    <x v="50"/>
    <x v="0"/>
    <x v="14"/>
    <x v="4"/>
    <x v="52"/>
  </r>
  <r>
    <x v="74"/>
    <x v="84"/>
    <x v="98"/>
    <x v="0"/>
    <x v="51"/>
    <x v="86"/>
    <x v="86"/>
    <x v="85"/>
    <x v="85"/>
    <x v="0"/>
    <x v="386"/>
    <x v="398"/>
    <x v="355"/>
    <x v="41"/>
    <x v="74"/>
    <x v="364"/>
    <x v="15"/>
    <x v="2"/>
    <x v="24"/>
    <x v="3"/>
    <x v="3"/>
    <x v="20"/>
    <x v="308"/>
    <x v="0"/>
    <x v="0"/>
    <x v="5"/>
    <x v="2"/>
    <x v="49"/>
    <x v="0"/>
    <x v="14"/>
    <x v="4"/>
    <x v="51"/>
  </r>
  <r>
    <x v="74"/>
    <x v="85"/>
    <x v="99"/>
    <x v="0"/>
    <x v="53"/>
    <x v="87"/>
    <x v="87"/>
    <x v="86"/>
    <x v="86"/>
    <x v="0"/>
    <x v="387"/>
    <x v="399"/>
    <x v="356"/>
    <x v="323"/>
    <x v="3"/>
    <x v="183"/>
    <x v="161"/>
    <x v="1"/>
    <x v="7"/>
    <x v="5"/>
    <x v="2"/>
    <x v="208"/>
    <x v="309"/>
    <x v="14"/>
    <x v="25"/>
    <x v="4"/>
    <x v="6"/>
    <x v="51"/>
    <x v="0"/>
    <x v="14"/>
    <x v="4"/>
    <x v="53"/>
  </r>
  <r>
    <x v="74"/>
    <x v="85"/>
    <x v="100"/>
    <x v="0"/>
    <x v="54"/>
    <x v="88"/>
    <x v="88"/>
    <x v="87"/>
    <x v="87"/>
    <x v="0"/>
    <x v="388"/>
    <x v="400"/>
    <x v="357"/>
    <x v="222"/>
    <x v="81"/>
    <x v="285"/>
    <x v="162"/>
    <x v="2"/>
    <x v="0"/>
    <x v="3"/>
    <x v="29"/>
    <x v="209"/>
    <x v="7"/>
    <x v="16"/>
    <x v="26"/>
    <x v="23"/>
    <x v="23"/>
    <x v="52"/>
    <x v="0"/>
    <x v="15"/>
    <x v="4"/>
    <x v="54"/>
  </r>
  <r>
    <x v="75"/>
    <x v="78"/>
    <x v="91"/>
    <x v="0"/>
    <x v="47"/>
    <x v="79"/>
    <x v="79"/>
    <x v="78"/>
    <x v="78"/>
    <x v="0"/>
    <x v="389"/>
    <x v="401"/>
    <x v="358"/>
    <x v="82"/>
    <x v="81"/>
    <x v="365"/>
    <x v="163"/>
    <x v="10"/>
    <x v="118"/>
    <x v="20"/>
    <x v="27"/>
    <x v="210"/>
    <x v="267"/>
    <x v="0"/>
    <x v="0"/>
    <x v="1"/>
    <x v="11"/>
    <x v="31"/>
    <x v="0"/>
    <x v="14"/>
    <x v="4"/>
    <x v="47"/>
  </r>
  <r>
    <x v="75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75"/>
    <x v="83"/>
    <x v="97"/>
    <x v="0"/>
    <x v="52"/>
    <x v="85"/>
    <x v="85"/>
    <x v="84"/>
    <x v="8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0"/>
    <x v="0"/>
    <x v="14"/>
    <x v="4"/>
    <x v="52"/>
  </r>
  <r>
    <x v="75"/>
    <x v="84"/>
    <x v="98"/>
    <x v="0"/>
    <x v="51"/>
    <x v="86"/>
    <x v="86"/>
    <x v="85"/>
    <x v="8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9"/>
    <x v="0"/>
    <x v="14"/>
    <x v="4"/>
    <x v="51"/>
  </r>
  <r>
    <x v="75"/>
    <x v="85"/>
    <x v="99"/>
    <x v="0"/>
    <x v="53"/>
    <x v="87"/>
    <x v="87"/>
    <x v="86"/>
    <x v="86"/>
    <x v="0"/>
    <x v="390"/>
    <x v="402"/>
    <x v="359"/>
    <x v="82"/>
    <x v="51"/>
    <x v="366"/>
    <x v="18"/>
    <x v="2"/>
    <x v="50"/>
    <x v="3"/>
    <x v="2"/>
    <x v="83"/>
    <x v="34"/>
    <x v="0"/>
    <x v="0"/>
    <x v="5"/>
    <x v="2"/>
    <x v="51"/>
    <x v="0"/>
    <x v="14"/>
    <x v="4"/>
    <x v="53"/>
  </r>
  <r>
    <x v="75"/>
    <x v="85"/>
    <x v="100"/>
    <x v="0"/>
    <x v="54"/>
    <x v="88"/>
    <x v="88"/>
    <x v="87"/>
    <x v="87"/>
    <x v="0"/>
    <x v="391"/>
    <x v="403"/>
    <x v="257"/>
    <x v="324"/>
    <x v="3"/>
    <x v="320"/>
    <x v="146"/>
    <x v="1"/>
    <x v="61"/>
    <x v="5"/>
    <x v="33"/>
    <x v="211"/>
    <x v="216"/>
    <x v="15"/>
    <x v="19"/>
    <x v="10"/>
    <x v="38"/>
    <x v="52"/>
    <x v="0"/>
    <x v="15"/>
    <x v="4"/>
    <x v="54"/>
  </r>
  <r>
    <x v="75"/>
    <x v="86"/>
    <x v="101"/>
    <x v="0"/>
    <x v="55"/>
    <x v="89"/>
    <x v="89"/>
    <x v="88"/>
    <x v="88"/>
    <x v="0"/>
    <x v="392"/>
    <x v="404"/>
    <x v="360"/>
    <x v="325"/>
    <x v="48"/>
    <x v="367"/>
    <x v="54"/>
    <x v="0"/>
    <x v="19"/>
    <x v="3"/>
    <x v="1"/>
    <x v="154"/>
    <x v="310"/>
    <x v="16"/>
    <x v="27"/>
    <x v="2"/>
    <x v="2"/>
    <x v="53"/>
    <x v="0"/>
    <x v="14"/>
    <x v="4"/>
    <x v="55"/>
  </r>
  <r>
    <x v="75"/>
    <x v="86"/>
    <x v="102"/>
    <x v="0"/>
    <x v="56"/>
    <x v="90"/>
    <x v="90"/>
    <x v="89"/>
    <x v="89"/>
    <x v="0"/>
    <x v="393"/>
    <x v="405"/>
    <x v="361"/>
    <x v="326"/>
    <x v="2"/>
    <x v="368"/>
    <x v="109"/>
    <x v="2"/>
    <x v="119"/>
    <x v="4"/>
    <x v="23"/>
    <x v="212"/>
    <x v="155"/>
    <x v="0"/>
    <x v="0"/>
    <x v="2"/>
    <x v="12"/>
    <x v="54"/>
    <x v="0"/>
    <x v="14"/>
    <x v="4"/>
    <x v="56"/>
  </r>
  <r>
    <x v="76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76"/>
    <x v="78"/>
    <x v="91"/>
    <x v="0"/>
    <x v="47"/>
    <x v="79"/>
    <x v="79"/>
    <x v="78"/>
    <x v="78"/>
    <x v="0"/>
    <x v="394"/>
    <x v="406"/>
    <x v="362"/>
    <x v="327"/>
    <x v="58"/>
    <x v="369"/>
    <x v="164"/>
    <x v="2"/>
    <x v="120"/>
    <x v="14"/>
    <x v="2"/>
    <x v="213"/>
    <x v="132"/>
    <x v="0"/>
    <x v="0"/>
    <x v="5"/>
    <x v="11"/>
    <x v="31"/>
    <x v="0"/>
    <x v="14"/>
    <x v="4"/>
    <x v="47"/>
  </r>
  <r>
    <x v="76"/>
    <x v="85"/>
    <x v="100"/>
    <x v="0"/>
    <x v="54"/>
    <x v="88"/>
    <x v="88"/>
    <x v="87"/>
    <x v="87"/>
    <x v="0"/>
    <x v="395"/>
    <x v="407"/>
    <x v="363"/>
    <x v="79"/>
    <x v="8"/>
    <x v="370"/>
    <x v="165"/>
    <x v="1"/>
    <x v="121"/>
    <x v="3"/>
    <x v="28"/>
    <x v="167"/>
    <x v="222"/>
    <x v="8"/>
    <x v="28"/>
    <x v="7"/>
    <x v="8"/>
    <x v="52"/>
    <x v="0"/>
    <x v="15"/>
    <x v="4"/>
    <x v="54"/>
  </r>
  <r>
    <x v="76"/>
    <x v="86"/>
    <x v="101"/>
    <x v="0"/>
    <x v="55"/>
    <x v="89"/>
    <x v="89"/>
    <x v="88"/>
    <x v="88"/>
    <x v="0"/>
    <x v="396"/>
    <x v="408"/>
    <x v="92"/>
    <x v="328"/>
    <x v="83"/>
    <x v="371"/>
    <x v="41"/>
    <x v="2"/>
    <x v="42"/>
    <x v="3"/>
    <x v="3"/>
    <x v="8"/>
    <x v="311"/>
    <x v="18"/>
    <x v="29"/>
    <x v="4"/>
    <x v="5"/>
    <x v="53"/>
    <x v="0"/>
    <x v="14"/>
    <x v="4"/>
    <x v="55"/>
  </r>
  <r>
    <x v="76"/>
    <x v="86"/>
    <x v="102"/>
    <x v="0"/>
    <x v="56"/>
    <x v="90"/>
    <x v="90"/>
    <x v="89"/>
    <x v="89"/>
    <x v="0"/>
    <x v="397"/>
    <x v="409"/>
    <x v="364"/>
    <x v="329"/>
    <x v="0"/>
    <x v="372"/>
    <x v="74"/>
    <x v="7"/>
    <x v="122"/>
    <x v="11"/>
    <x v="4"/>
    <x v="214"/>
    <x v="312"/>
    <x v="0"/>
    <x v="0"/>
    <x v="2"/>
    <x v="12"/>
    <x v="54"/>
    <x v="0"/>
    <x v="14"/>
    <x v="4"/>
    <x v="56"/>
  </r>
  <r>
    <x v="77"/>
    <x v="78"/>
    <x v="91"/>
    <x v="0"/>
    <x v="47"/>
    <x v="79"/>
    <x v="79"/>
    <x v="78"/>
    <x v="78"/>
    <x v="0"/>
    <x v="398"/>
    <x v="410"/>
    <x v="365"/>
    <x v="281"/>
    <x v="58"/>
    <x v="373"/>
    <x v="166"/>
    <x v="0"/>
    <x v="86"/>
    <x v="42"/>
    <x v="6"/>
    <x v="215"/>
    <x v="313"/>
    <x v="0"/>
    <x v="0"/>
    <x v="5"/>
    <x v="5"/>
    <x v="31"/>
    <x v="0"/>
    <x v="14"/>
    <x v="4"/>
    <x v="47"/>
  </r>
  <r>
    <x v="77"/>
    <x v="85"/>
    <x v="100"/>
    <x v="0"/>
    <x v="54"/>
    <x v="88"/>
    <x v="88"/>
    <x v="87"/>
    <x v="87"/>
    <x v="0"/>
    <x v="399"/>
    <x v="411"/>
    <x v="366"/>
    <x v="330"/>
    <x v="42"/>
    <x v="374"/>
    <x v="167"/>
    <x v="0"/>
    <x v="64"/>
    <x v="3"/>
    <x v="34"/>
    <x v="216"/>
    <x v="143"/>
    <x v="19"/>
    <x v="30"/>
    <x v="21"/>
    <x v="39"/>
    <x v="52"/>
    <x v="0"/>
    <x v="15"/>
    <x v="4"/>
    <x v="54"/>
  </r>
  <r>
    <x v="77"/>
    <x v="86"/>
    <x v="101"/>
    <x v="0"/>
    <x v="55"/>
    <x v="89"/>
    <x v="89"/>
    <x v="88"/>
    <x v="88"/>
    <x v="0"/>
    <x v="400"/>
    <x v="412"/>
    <x v="286"/>
    <x v="331"/>
    <x v="34"/>
    <x v="375"/>
    <x v="18"/>
    <x v="2"/>
    <x v="14"/>
    <x v="3"/>
    <x v="3"/>
    <x v="20"/>
    <x v="314"/>
    <x v="2"/>
    <x v="31"/>
    <x v="5"/>
    <x v="2"/>
    <x v="53"/>
    <x v="0"/>
    <x v="14"/>
    <x v="4"/>
    <x v="55"/>
  </r>
  <r>
    <x v="77"/>
    <x v="86"/>
    <x v="102"/>
    <x v="0"/>
    <x v="56"/>
    <x v="90"/>
    <x v="90"/>
    <x v="89"/>
    <x v="89"/>
    <x v="0"/>
    <x v="401"/>
    <x v="413"/>
    <x v="355"/>
    <x v="332"/>
    <x v="2"/>
    <x v="376"/>
    <x v="15"/>
    <x v="2"/>
    <x v="24"/>
    <x v="3"/>
    <x v="3"/>
    <x v="20"/>
    <x v="298"/>
    <x v="0"/>
    <x v="0"/>
    <x v="5"/>
    <x v="2"/>
    <x v="54"/>
    <x v="0"/>
    <x v="14"/>
    <x v="4"/>
    <x v="56"/>
  </r>
  <r>
    <x v="78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78"/>
    <x v="78"/>
    <x v="91"/>
    <x v="0"/>
    <x v="47"/>
    <x v="79"/>
    <x v="79"/>
    <x v="78"/>
    <x v="78"/>
    <x v="0"/>
    <x v="402"/>
    <x v="414"/>
    <x v="367"/>
    <x v="333"/>
    <x v="10"/>
    <x v="377"/>
    <x v="158"/>
    <x v="7"/>
    <x v="123"/>
    <x v="8"/>
    <x v="1"/>
    <x v="217"/>
    <x v="315"/>
    <x v="0"/>
    <x v="0"/>
    <x v="2"/>
    <x v="2"/>
    <x v="31"/>
    <x v="0"/>
    <x v="14"/>
    <x v="4"/>
    <x v="47"/>
  </r>
  <r>
    <x v="78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78"/>
    <x v="85"/>
    <x v="100"/>
    <x v="0"/>
    <x v="54"/>
    <x v="88"/>
    <x v="88"/>
    <x v="87"/>
    <x v="87"/>
    <x v="0"/>
    <x v="403"/>
    <x v="415"/>
    <x v="368"/>
    <x v="267"/>
    <x v="2"/>
    <x v="378"/>
    <x v="79"/>
    <x v="0"/>
    <x v="122"/>
    <x v="5"/>
    <x v="35"/>
    <x v="218"/>
    <x v="84"/>
    <x v="20"/>
    <x v="32"/>
    <x v="8"/>
    <x v="40"/>
    <x v="52"/>
    <x v="0"/>
    <x v="15"/>
    <x v="4"/>
    <x v="54"/>
  </r>
  <r>
    <x v="78"/>
    <x v="86"/>
    <x v="102"/>
    <x v="0"/>
    <x v="56"/>
    <x v="90"/>
    <x v="90"/>
    <x v="89"/>
    <x v="89"/>
    <x v="0"/>
    <x v="404"/>
    <x v="416"/>
    <x v="369"/>
    <x v="245"/>
    <x v="10"/>
    <x v="193"/>
    <x v="168"/>
    <x v="0"/>
    <x v="64"/>
    <x v="10"/>
    <x v="24"/>
    <x v="219"/>
    <x v="316"/>
    <x v="0"/>
    <x v="0"/>
    <x v="12"/>
    <x v="11"/>
    <x v="54"/>
    <x v="0"/>
    <x v="14"/>
    <x v="4"/>
    <x v="56"/>
  </r>
  <r>
    <x v="79"/>
    <x v="78"/>
    <x v="91"/>
    <x v="0"/>
    <x v="47"/>
    <x v="79"/>
    <x v="79"/>
    <x v="78"/>
    <x v="78"/>
    <x v="0"/>
    <x v="405"/>
    <x v="417"/>
    <x v="370"/>
    <x v="334"/>
    <x v="12"/>
    <x v="379"/>
    <x v="164"/>
    <x v="2"/>
    <x v="124"/>
    <x v="32"/>
    <x v="4"/>
    <x v="220"/>
    <x v="180"/>
    <x v="0"/>
    <x v="0"/>
    <x v="2"/>
    <x v="12"/>
    <x v="31"/>
    <x v="0"/>
    <x v="14"/>
    <x v="4"/>
    <x v="47"/>
  </r>
  <r>
    <x v="79"/>
    <x v="85"/>
    <x v="100"/>
    <x v="0"/>
    <x v="54"/>
    <x v="88"/>
    <x v="88"/>
    <x v="87"/>
    <x v="87"/>
    <x v="0"/>
    <x v="406"/>
    <x v="418"/>
    <x v="371"/>
    <x v="335"/>
    <x v="4"/>
    <x v="380"/>
    <x v="169"/>
    <x v="1"/>
    <x v="125"/>
    <x v="5"/>
    <x v="36"/>
    <x v="221"/>
    <x v="317"/>
    <x v="11"/>
    <x v="33"/>
    <x v="39"/>
    <x v="25"/>
    <x v="52"/>
    <x v="0"/>
    <x v="15"/>
    <x v="4"/>
    <x v="54"/>
  </r>
  <r>
    <x v="79"/>
    <x v="86"/>
    <x v="102"/>
    <x v="0"/>
    <x v="56"/>
    <x v="90"/>
    <x v="90"/>
    <x v="89"/>
    <x v="89"/>
    <x v="0"/>
    <x v="407"/>
    <x v="419"/>
    <x v="372"/>
    <x v="336"/>
    <x v="58"/>
    <x v="381"/>
    <x v="74"/>
    <x v="2"/>
    <x v="126"/>
    <x v="4"/>
    <x v="7"/>
    <x v="92"/>
    <x v="318"/>
    <x v="0"/>
    <x v="0"/>
    <x v="2"/>
    <x v="11"/>
    <x v="54"/>
    <x v="0"/>
    <x v="14"/>
    <x v="4"/>
    <x v="56"/>
  </r>
  <r>
    <x v="80"/>
    <x v="78"/>
    <x v="91"/>
    <x v="0"/>
    <x v="47"/>
    <x v="79"/>
    <x v="79"/>
    <x v="78"/>
    <x v="78"/>
    <x v="0"/>
    <x v="408"/>
    <x v="420"/>
    <x v="373"/>
    <x v="337"/>
    <x v="8"/>
    <x v="382"/>
    <x v="84"/>
    <x v="0"/>
    <x v="127"/>
    <x v="40"/>
    <x v="4"/>
    <x v="222"/>
    <x v="6"/>
    <x v="0"/>
    <x v="0"/>
    <x v="1"/>
    <x v="11"/>
    <x v="31"/>
    <x v="0"/>
    <x v="14"/>
    <x v="4"/>
    <x v="47"/>
  </r>
  <r>
    <x v="80"/>
    <x v="85"/>
    <x v="100"/>
    <x v="0"/>
    <x v="54"/>
    <x v="88"/>
    <x v="88"/>
    <x v="87"/>
    <x v="87"/>
    <x v="0"/>
    <x v="409"/>
    <x v="421"/>
    <x v="374"/>
    <x v="337"/>
    <x v="2"/>
    <x v="383"/>
    <x v="8"/>
    <x v="2"/>
    <x v="14"/>
    <x v="3"/>
    <x v="3"/>
    <x v="27"/>
    <x v="319"/>
    <x v="0"/>
    <x v="0"/>
    <x v="5"/>
    <x v="5"/>
    <x v="52"/>
    <x v="0"/>
    <x v="15"/>
    <x v="4"/>
    <x v="54"/>
  </r>
  <r>
    <x v="80"/>
    <x v="86"/>
    <x v="102"/>
    <x v="0"/>
    <x v="56"/>
    <x v="90"/>
    <x v="90"/>
    <x v="89"/>
    <x v="89"/>
    <x v="0"/>
    <x v="410"/>
    <x v="422"/>
    <x v="375"/>
    <x v="172"/>
    <x v="58"/>
    <x v="384"/>
    <x v="170"/>
    <x v="7"/>
    <x v="128"/>
    <x v="13"/>
    <x v="6"/>
    <x v="223"/>
    <x v="320"/>
    <x v="0"/>
    <x v="0"/>
    <x v="2"/>
    <x v="10"/>
    <x v="54"/>
    <x v="0"/>
    <x v="14"/>
    <x v="4"/>
    <x v="56"/>
  </r>
  <r>
    <x v="81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81"/>
    <x v="78"/>
    <x v="91"/>
    <x v="0"/>
    <x v="47"/>
    <x v="79"/>
    <x v="79"/>
    <x v="78"/>
    <x v="78"/>
    <x v="0"/>
    <x v="411"/>
    <x v="423"/>
    <x v="376"/>
    <x v="338"/>
    <x v="58"/>
    <x v="142"/>
    <x v="109"/>
    <x v="7"/>
    <x v="120"/>
    <x v="51"/>
    <x v="8"/>
    <x v="224"/>
    <x v="11"/>
    <x v="0"/>
    <x v="0"/>
    <x v="2"/>
    <x v="6"/>
    <x v="31"/>
    <x v="0"/>
    <x v="14"/>
    <x v="4"/>
    <x v="47"/>
  </r>
  <r>
    <x v="81"/>
    <x v="85"/>
    <x v="100"/>
    <x v="0"/>
    <x v="54"/>
    <x v="88"/>
    <x v="88"/>
    <x v="87"/>
    <x v="87"/>
    <x v="0"/>
    <x v="412"/>
    <x v="424"/>
    <x v="377"/>
    <x v="339"/>
    <x v="30"/>
    <x v="385"/>
    <x v="51"/>
    <x v="7"/>
    <x v="127"/>
    <x v="3"/>
    <x v="37"/>
    <x v="225"/>
    <x v="116"/>
    <x v="21"/>
    <x v="34"/>
    <x v="28"/>
    <x v="17"/>
    <x v="52"/>
    <x v="0"/>
    <x v="15"/>
    <x v="4"/>
    <x v="54"/>
  </r>
  <r>
    <x v="81"/>
    <x v="86"/>
    <x v="101"/>
    <x v="0"/>
    <x v="55"/>
    <x v="89"/>
    <x v="89"/>
    <x v="88"/>
    <x v="8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3"/>
    <x v="0"/>
    <x v="14"/>
    <x v="4"/>
    <x v="55"/>
  </r>
  <r>
    <x v="81"/>
    <x v="86"/>
    <x v="102"/>
    <x v="0"/>
    <x v="56"/>
    <x v="90"/>
    <x v="90"/>
    <x v="89"/>
    <x v="89"/>
    <x v="0"/>
    <x v="413"/>
    <x v="425"/>
    <x v="378"/>
    <x v="340"/>
    <x v="7"/>
    <x v="76"/>
    <x v="171"/>
    <x v="1"/>
    <x v="46"/>
    <x v="12"/>
    <x v="8"/>
    <x v="226"/>
    <x v="321"/>
    <x v="0"/>
    <x v="0"/>
    <x v="10"/>
    <x v="5"/>
    <x v="54"/>
    <x v="0"/>
    <x v="14"/>
    <x v="4"/>
    <x v="56"/>
  </r>
  <r>
    <x v="81"/>
    <x v="87"/>
    <x v="103"/>
    <x v="0"/>
    <x v="57"/>
    <x v="91"/>
    <x v="91"/>
    <x v="90"/>
    <x v="90"/>
    <x v="0"/>
    <x v="414"/>
    <x v="426"/>
    <x v="379"/>
    <x v="333"/>
    <x v="51"/>
    <x v="181"/>
    <x v="172"/>
    <x v="7"/>
    <x v="91"/>
    <x v="4"/>
    <x v="7"/>
    <x v="227"/>
    <x v="322"/>
    <x v="0"/>
    <x v="0"/>
    <x v="4"/>
    <x v="11"/>
    <x v="55"/>
    <x v="0"/>
    <x v="14"/>
    <x v="4"/>
    <x v="57"/>
  </r>
  <r>
    <x v="82"/>
    <x v="78"/>
    <x v="91"/>
    <x v="0"/>
    <x v="47"/>
    <x v="79"/>
    <x v="79"/>
    <x v="78"/>
    <x v="78"/>
    <x v="0"/>
    <x v="415"/>
    <x v="427"/>
    <x v="380"/>
    <x v="9"/>
    <x v="12"/>
    <x v="379"/>
    <x v="26"/>
    <x v="2"/>
    <x v="50"/>
    <x v="11"/>
    <x v="3"/>
    <x v="31"/>
    <x v="295"/>
    <x v="0"/>
    <x v="0"/>
    <x v="5"/>
    <x v="2"/>
    <x v="31"/>
    <x v="0"/>
    <x v="14"/>
    <x v="4"/>
    <x v="47"/>
  </r>
  <r>
    <x v="82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82"/>
    <x v="82"/>
    <x v="95"/>
    <x v="0"/>
    <x v="51"/>
    <x v="83"/>
    <x v="83"/>
    <x v="82"/>
    <x v="8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9"/>
    <x v="0"/>
    <x v="14"/>
    <x v="4"/>
    <x v="51"/>
  </r>
  <r>
    <x v="82"/>
    <x v="85"/>
    <x v="99"/>
    <x v="0"/>
    <x v="53"/>
    <x v="87"/>
    <x v="87"/>
    <x v="86"/>
    <x v="8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1"/>
    <x v="0"/>
    <x v="14"/>
    <x v="4"/>
    <x v="53"/>
  </r>
  <r>
    <x v="82"/>
    <x v="85"/>
    <x v="100"/>
    <x v="0"/>
    <x v="54"/>
    <x v="88"/>
    <x v="88"/>
    <x v="87"/>
    <x v="87"/>
    <x v="0"/>
    <x v="416"/>
    <x v="428"/>
    <x v="381"/>
    <x v="341"/>
    <x v="12"/>
    <x v="244"/>
    <x v="173"/>
    <x v="5"/>
    <x v="129"/>
    <x v="11"/>
    <x v="38"/>
    <x v="228"/>
    <x v="68"/>
    <x v="22"/>
    <x v="35"/>
    <x v="37"/>
    <x v="41"/>
    <x v="52"/>
    <x v="0"/>
    <x v="15"/>
    <x v="4"/>
    <x v="54"/>
  </r>
  <r>
    <x v="82"/>
    <x v="86"/>
    <x v="102"/>
    <x v="0"/>
    <x v="56"/>
    <x v="90"/>
    <x v="90"/>
    <x v="89"/>
    <x v="89"/>
    <x v="0"/>
    <x v="417"/>
    <x v="429"/>
    <x v="382"/>
    <x v="342"/>
    <x v="30"/>
    <x v="386"/>
    <x v="41"/>
    <x v="2"/>
    <x v="42"/>
    <x v="3"/>
    <x v="3"/>
    <x v="8"/>
    <x v="323"/>
    <x v="0"/>
    <x v="0"/>
    <x v="5"/>
    <x v="2"/>
    <x v="54"/>
    <x v="0"/>
    <x v="14"/>
    <x v="4"/>
    <x v="56"/>
  </r>
  <r>
    <x v="82"/>
    <x v="87"/>
    <x v="103"/>
    <x v="0"/>
    <x v="57"/>
    <x v="91"/>
    <x v="91"/>
    <x v="90"/>
    <x v="90"/>
    <x v="0"/>
    <x v="418"/>
    <x v="430"/>
    <x v="199"/>
    <x v="343"/>
    <x v="3"/>
    <x v="387"/>
    <x v="18"/>
    <x v="2"/>
    <x v="14"/>
    <x v="3"/>
    <x v="3"/>
    <x v="20"/>
    <x v="295"/>
    <x v="0"/>
    <x v="0"/>
    <x v="5"/>
    <x v="2"/>
    <x v="55"/>
    <x v="0"/>
    <x v="14"/>
    <x v="4"/>
    <x v="57"/>
  </r>
  <r>
    <x v="83"/>
    <x v="47"/>
    <x v="57"/>
    <x v="0"/>
    <x v="29"/>
    <x v="46"/>
    <x v="46"/>
    <x v="45"/>
    <x v="4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29"/>
    <x v="0"/>
    <x v="0"/>
    <x v="0"/>
    <x v="29"/>
  </r>
  <r>
    <x v="83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83"/>
    <x v="85"/>
    <x v="100"/>
    <x v="0"/>
    <x v="54"/>
    <x v="88"/>
    <x v="88"/>
    <x v="87"/>
    <x v="87"/>
    <x v="0"/>
    <x v="419"/>
    <x v="431"/>
    <x v="383"/>
    <x v="344"/>
    <x v="7"/>
    <x v="358"/>
    <x v="18"/>
    <x v="2"/>
    <x v="42"/>
    <x v="3"/>
    <x v="3"/>
    <x v="83"/>
    <x v="324"/>
    <x v="0"/>
    <x v="0"/>
    <x v="5"/>
    <x v="5"/>
    <x v="52"/>
    <x v="0"/>
    <x v="15"/>
    <x v="4"/>
    <x v="54"/>
  </r>
  <r>
    <x v="83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83"/>
    <x v="87"/>
    <x v="103"/>
    <x v="0"/>
    <x v="57"/>
    <x v="91"/>
    <x v="91"/>
    <x v="90"/>
    <x v="90"/>
    <x v="0"/>
    <x v="420"/>
    <x v="432"/>
    <x v="384"/>
    <x v="345"/>
    <x v="32"/>
    <x v="388"/>
    <x v="55"/>
    <x v="0"/>
    <x v="45"/>
    <x v="32"/>
    <x v="4"/>
    <x v="21"/>
    <x v="325"/>
    <x v="0"/>
    <x v="0"/>
    <x v="5"/>
    <x v="5"/>
    <x v="55"/>
    <x v="0"/>
    <x v="14"/>
    <x v="4"/>
    <x v="57"/>
  </r>
  <r>
    <x v="83"/>
    <x v="88"/>
    <x v="104"/>
    <x v="0"/>
    <x v="58"/>
    <x v="92"/>
    <x v="92"/>
    <x v="91"/>
    <x v="91"/>
    <x v="0"/>
    <x v="421"/>
    <x v="433"/>
    <x v="385"/>
    <x v="346"/>
    <x v="74"/>
    <x v="389"/>
    <x v="65"/>
    <x v="0"/>
    <x v="20"/>
    <x v="3"/>
    <x v="2"/>
    <x v="148"/>
    <x v="326"/>
    <x v="15"/>
    <x v="36"/>
    <x v="7"/>
    <x v="2"/>
    <x v="56"/>
    <x v="0"/>
    <x v="14"/>
    <x v="4"/>
    <x v="58"/>
  </r>
  <r>
    <x v="83"/>
    <x v="88"/>
    <x v="105"/>
    <x v="0"/>
    <x v="48"/>
    <x v="93"/>
    <x v="93"/>
    <x v="92"/>
    <x v="92"/>
    <x v="0"/>
    <x v="422"/>
    <x v="434"/>
    <x v="386"/>
    <x v="347"/>
    <x v="74"/>
    <x v="390"/>
    <x v="83"/>
    <x v="1"/>
    <x v="36"/>
    <x v="10"/>
    <x v="4"/>
    <x v="65"/>
    <x v="327"/>
    <x v="0"/>
    <x v="0"/>
    <x v="1"/>
    <x v="6"/>
    <x v="47"/>
    <x v="0"/>
    <x v="14"/>
    <x v="4"/>
    <x v="48"/>
  </r>
  <r>
    <x v="83"/>
    <x v="88"/>
    <x v="106"/>
    <x v="0"/>
    <x v="17"/>
    <x v="94"/>
    <x v="94"/>
    <x v="93"/>
    <x v="93"/>
    <x v="0"/>
    <x v="423"/>
    <x v="435"/>
    <x v="387"/>
    <x v="204"/>
    <x v="42"/>
    <x v="105"/>
    <x v="174"/>
    <x v="7"/>
    <x v="130"/>
    <x v="7"/>
    <x v="27"/>
    <x v="229"/>
    <x v="328"/>
    <x v="0"/>
    <x v="0"/>
    <x v="9"/>
    <x v="26"/>
    <x v="17"/>
    <x v="0"/>
    <x v="0"/>
    <x v="0"/>
    <x v="17"/>
  </r>
  <r>
    <x v="83"/>
    <x v="88"/>
    <x v="107"/>
    <x v="1"/>
    <x v="48"/>
    <x v="95"/>
    <x v="95"/>
    <x v="94"/>
    <x v="94"/>
    <x v="0"/>
    <x v="424"/>
    <x v="436"/>
    <x v="388"/>
    <x v="109"/>
    <x v="84"/>
    <x v="391"/>
    <x v="22"/>
    <x v="2"/>
    <x v="22"/>
    <x v="1"/>
    <x v="2"/>
    <x v="23"/>
    <x v="329"/>
    <x v="0"/>
    <x v="0"/>
    <x v="5"/>
    <x v="2"/>
    <x v="47"/>
    <x v="0"/>
    <x v="14"/>
    <x v="4"/>
    <x v="48"/>
  </r>
  <r>
    <x v="83"/>
    <x v="89"/>
    <x v="108"/>
    <x v="1"/>
    <x v="48"/>
    <x v="96"/>
    <x v="96"/>
    <x v="95"/>
    <x v="95"/>
    <x v="0"/>
    <x v="425"/>
    <x v="337"/>
    <x v="113"/>
    <x v="348"/>
    <x v="85"/>
    <x v="392"/>
    <x v="15"/>
    <x v="2"/>
    <x v="14"/>
    <x v="3"/>
    <x v="3"/>
    <x v="15"/>
    <x v="15"/>
    <x v="0"/>
    <x v="0"/>
    <x v="5"/>
    <x v="2"/>
    <x v="47"/>
    <x v="0"/>
    <x v="14"/>
    <x v="4"/>
    <x v="48"/>
  </r>
  <r>
    <x v="83"/>
    <x v="88"/>
    <x v="109"/>
    <x v="1"/>
    <x v="17"/>
    <x v="96"/>
    <x v="96"/>
    <x v="95"/>
    <x v="95"/>
    <x v="0"/>
    <x v="426"/>
    <x v="437"/>
    <x v="389"/>
    <x v="349"/>
    <x v="79"/>
    <x v="393"/>
    <x v="71"/>
    <x v="1"/>
    <x v="28"/>
    <x v="1"/>
    <x v="1"/>
    <x v="64"/>
    <x v="330"/>
    <x v="0"/>
    <x v="0"/>
    <x v="2"/>
    <x v="11"/>
    <x v="17"/>
    <x v="0"/>
    <x v="0"/>
    <x v="0"/>
    <x v="17"/>
  </r>
  <r>
    <x v="8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84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84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84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84"/>
    <x v="87"/>
    <x v="103"/>
    <x v="0"/>
    <x v="57"/>
    <x v="91"/>
    <x v="91"/>
    <x v="90"/>
    <x v="90"/>
    <x v="0"/>
    <x v="427"/>
    <x v="438"/>
    <x v="286"/>
    <x v="350"/>
    <x v="42"/>
    <x v="90"/>
    <x v="15"/>
    <x v="2"/>
    <x v="14"/>
    <x v="3"/>
    <x v="3"/>
    <x v="15"/>
    <x v="15"/>
    <x v="0"/>
    <x v="0"/>
    <x v="5"/>
    <x v="2"/>
    <x v="55"/>
    <x v="0"/>
    <x v="14"/>
    <x v="4"/>
    <x v="57"/>
  </r>
  <r>
    <x v="84"/>
    <x v="88"/>
    <x v="104"/>
    <x v="0"/>
    <x v="58"/>
    <x v="92"/>
    <x v="92"/>
    <x v="91"/>
    <x v="91"/>
    <x v="0"/>
    <x v="428"/>
    <x v="439"/>
    <x v="35"/>
    <x v="351"/>
    <x v="3"/>
    <x v="394"/>
    <x v="8"/>
    <x v="2"/>
    <x v="24"/>
    <x v="3"/>
    <x v="3"/>
    <x v="70"/>
    <x v="331"/>
    <x v="2"/>
    <x v="37"/>
    <x v="2"/>
    <x v="2"/>
    <x v="56"/>
    <x v="0"/>
    <x v="14"/>
    <x v="4"/>
    <x v="58"/>
  </r>
  <r>
    <x v="84"/>
    <x v="88"/>
    <x v="105"/>
    <x v="0"/>
    <x v="48"/>
    <x v="93"/>
    <x v="93"/>
    <x v="92"/>
    <x v="92"/>
    <x v="0"/>
    <x v="429"/>
    <x v="440"/>
    <x v="390"/>
    <x v="352"/>
    <x v="35"/>
    <x v="395"/>
    <x v="55"/>
    <x v="1"/>
    <x v="1"/>
    <x v="35"/>
    <x v="1"/>
    <x v="99"/>
    <x v="332"/>
    <x v="0"/>
    <x v="0"/>
    <x v="2"/>
    <x v="11"/>
    <x v="47"/>
    <x v="0"/>
    <x v="14"/>
    <x v="4"/>
    <x v="48"/>
  </r>
  <r>
    <x v="84"/>
    <x v="88"/>
    <x v="106"/>
    <x v="0"/>
    <x v="17"/>
    <x v="94"/>
    <x v="94"/>
    <x v="93"/>
    <x v="93"/>
    <x v="0"/>
    <x v="430"/>
    <x v="441"/>
    <x v="391"/>
    <x v="151"/>
    <x v="42"/>
    <x v="396"/>
    <x v="175"/>
    <x v="0"/>
    <x v="131"/>
    <x v="17"/>
    <x v="29"/>
    <x v="225"/>
    <x v="183"/>
    <x v="0"/>
    <x v="0"/>
    <x v="10"/>
    <x v="6"/>
    <x v="17"/>
    <x v="0"/>
    <x v="0"/>
    <x v="0"/>
    <x v="17"/>
  </r>
  <r>
    <x v="84"/>
    <x v="88"/>
    <x v="107"/>
    <x v="1"/>
    <x v="48"/>
    <x v="95"/>
    <x v="95"/>
    <x v="94"/>
    <x v="94"/>
    <x v="0"/>
    <x v="431"/>
    <x v="442"/>
    <x v="131"/>
    <x v="353"/>
    <x v="86"/>
    <x v="397"/>
    <x v="15"/>
    <x v="2"/>
    <x v="14"/>
    <x v="3"/>
    <x v="3"/>
    <x v="15"/>
    <x v="15"/>
    <x v="0"/>
    <x v="0"/>
    <x v="5"/>
    <x v="2"/>
    <x v="47"/>
    <x v="0"/>
    <x v="14"/>
    <x v="4"/>
    <x v="48"/>
  </r>
  <r>
    <x v="84"/>
    <x v="88"/>
    <x v="109"/>
    <x v="1"/>
    <x v="17"/>
    <x v="96"/>
    <x v="96"/>
    <x v="95"/>
    <x v="95"/>
    <x v="0"/>
    <x v="432"/>
    <x v="443"/>
    <x v="392"/>
    <x v="354"/>
    <x v="87"/>
    <x v="398"/>
    <x v="21"/>
    <x v="2"/>
    <x v="20"/>
    <x v="3"/>
    <x v="2"/>
    <x v="50"/>
    <x v="333"/>
    <x v="0"/>
    <x v="0"/>
    <x v="5"/>
    <x v="11"/>
    <x v="17"/>
    <x v="0"/>
    <x v="0"/>
    <x v="0"/>
    <x v="17"/>
  </r>
  <r>
    <x v="84"/>
    <x v="90"/>
    <x v="110"/>
    <x v="0"/>
    <x v="59"/>
    <x v="97"/>
    <x v="97"/>
    <x v="96"/>
    <x v="96"/>
    <x v="0"/>
    <x v="433"/>
    <x v="444"/>
    <x v="393"/>
    <x v="355"/>
    <x v="41"/>
    <x v="399"/>
    <x v="40"/>
    <x v="2"/>
    <x v="4"/>
    <x v="10"/>
    <x v="3"/>
    <x v="9"/>
    <x v="334"/>
    <x v="0"/>
    <x v="0"/>
    <x v="11"/>
    <x v="5"/>
    <x v="57"/>
    <x v="0"/>
    <x v="14"/>
    <x v="4"/>
    <x v="59"/>
  </r>
  <r>
    <x v="84"/>
    <x v="90"/>
    <x v="111"/>
    <x v="0"/>
    <x v="60"/>
    <x v="98"/>
    <x v="98"/>
    <x v="97"/>
    <x v="97"/>
    <x v="0"/>
    <x v="434"/>
    <x v="445"/>
    <x v="394"/>
    <x v="160"/>
    <x v="53"/>
    <x v="400"/>
    <x v="150"/>
    <x v="7"/>
    <x v="36"/>
    <x v="0"/>
    <x v="2"/>
    <x v="182"/>
    <x v="335"/>
    <x v="0"/>
    <x v="0"/>
    <x v="5"/>
    <x v="11"/>
    <x v="58"/>
    <x v="0"/>
    <x v="14"/>
    <x v="4"/>
    <x v="60"/>
  </r>
  <r>
    <x v="84"/>
    <x v="90"/>
    <x v="112"/>
    <x v="1"/>
    <x v="46"/>
    <x v="99"/>
    <x v="99"/>
    <x v="98"/>
    <x v="98"/>
    <x v="0"/>
    <x v="435"/>
    <x v="446"/>
    <x v="395"/>
    <x v="222"/>
    <x v="88"/>
    <x v="401"/>
    <x v="41"/>
    <x v="2"/>
    <x v="8"/>
    <x v="3"/>
    <x v="3"/>
    <x v="30"/>
    <x v="336"/>
    <x v="23"/>
    <x v="38"/>
    <x v="4"/>
    <x v="5"/>
    <x v="46"/>
    <x v="0"/>
    <x v="14"/>
    <x v="4"/>
    <x v="46"/>
  </r>
  <r>
    <x v="8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8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85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85"/>
    <x v="87"/>
    <x v="103"/>
    <x v="0"/>
    <x v="57"/>
    <x v="91"/>
    <x v="91"/>
    <x v="90"/>
    <x v="9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5"/>
    <x v="0"/>
    <x v="14"/>
    <x v="4"/>
    <x v="57"/>
  </r>
  <r>
    <x v="85"/>
    <x v="88"/>
    <x v="105"/>
    <x v="0"/>
    <x v="48"/>
    <x v="93"/>
    <x v="93"/>
    <x v="92"/>
    <x v="92"/>
    <x v="0"/>
    <x v="436"/>
    <x v="447"/>
    <x v="396"/>
    <x v="356"/>
    <x v="32"/>
    <x v="402"/>
    <x v="15"/>
    <x v="2"/>
    <x v="24"/>
    <x v="3"/>
    <x v="3"/>
    <x v="20"/>
    <x v="337"/>
    <x v="0"/>
    <x v="0"/>
    <x v="5"/>
    <x v="2"/>
    <x v="47"/>
    <x v="0"/>
    <x v="14"/>
    <x v="4"/>
    <x v="48"/>
  </r>
  <r>
    <x v="85"/>
    <x v="88"/>
    <x v="106"/>
    <x v="0"/>
    <x v="17"/>
    <x v="94"/>
    <x v="94"/>
    <x v="93"/>
    <x v="93"/>
    <x v="0"/>
    <x v="437"/>
    <x v="448"/>
    <x v="27"/>
    <x v="338"/>
    <x v="2"/>
    <x v="403"/>
    <x v="15"/>
    <x v="2"/>
    <x v="14"/>
    <x v="3"/>
    <x v="3"/>
    <x v="15"/>
    <x v="15"/>
    <x v="0"/>
    <x v="0"/>
    <x v="5"/>
    <x v="2"/>
    <x v="17"/>
    <x v="0"/>
    <x v="0"/>
    <x v="0"/>
    <x v="17"/>
  </r>
  <r>
    <x v="85"/>
    <x v="88"/>
    <x v="107"/>
    <x v="1"/>
    <x v="48"/>
    <x v="95"/>
    <x v="95"/>
    <x v="94"/>
    <x v="9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85"/>
    <x v="90"/>
    <x v="110"/>
    <x v="0"/>
    <x v="59"/>
    <x v="97"/>
    <x v="97"/>
    <x v="96"/>
    <x v="96"/>
    <x v="0"/>
    <x v="438"/>
    <x v="412"/>
    <x v="24"/>
    <x v="357"/>
    <x v="52"/>
    <x v="404"/>
    <x v="15"/>
    <x v="2"/>
    <x v="14"/>
    <x v="3"/>
    <x v="3"/>
    <x v="15"/>
    <x v="15"/>
    <x v="0"/>
    <x v="0"/>
    <x v="5"/>
    <x v="2"/>
    <x v="57"/>
    <x v="0"/>
    <x v="14"/>
    <x v="4"/>
    <x v="59"/>
  </r>
  <r>
    <x v="85"/>
    <x v="90"/>
    <x v="111"/>
    <x v="0"/>
    <x v="60"/>
    <x v="98"/>
    <x v="98"/>
    <x v="97"/>
    <x v="97"/>
    <x v="0"/>
    <x v="439"/>
    <x v="275"/>
    <x v="27"/>
    <x v="199"/>
    <x v="32"/>
    <x v="405"/>
    <x v="15"/>
    <x v="2"/>
    <x v="14"/>
    <x v="3"/>
    <x v="3"/>
    <x v="15"/>
    <x v="15"/>
    <x v="0"/>
    <x v="0"/>
    <x v="5"/>
    <x v="2"/>
    <x v="58"/>
    <x v="0"/>
    <x v="14"/>
    <x v="4"/>
    <x v="60"/>
  </r>
  <r>
    <x v="85"/>
    <x v="90"/>
    <x v="112"/>
    <x v="1"/>
    <x v="46"/>
    <x v="99"/>
    <x v="99"/>
    <x v="98"/>
    <x v="98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85"/>
    <x v="91"/>
    <x v="113"/>
    <x v="0"/>
    <x v="61"/>
    <x v="100"/>
    <x v="100"/>
    <x v="99"/>
    <x v="99"/>
    <x v="0"/>
    <x v="440"/>
    <x v="449"/>
    <x v="397"/>
    <x v="358"/>
    <x v="76"/>
    <x v="188"/>
    <x v="8"/>
    <x v="2"/>
    <x v="42"/>
    <x v="5"/>
    <x v="3"/>
    <x v="93"/>
    <x v="338"/>
    <x v="13"/>
    <x v="39"/>
    <x v="5"/>
    <x v="5"/>
    <x v="59"/>
    <x v="0"/>
    <x v="14"/>
    <x v="4"/>
    <x v="61"/>
  </r>
  <r>
    <x v="85"/>
    <x v="91"/>
    <x v="114"/>
    <x v="0"/>
    <x v="62"/>
    <x v="101"/>
    <x v="101"/>
    <x v="100"/>
    <x v="100"/>
    <x v="0"/>
    <x v="441"/>
    <x v="450"/>
    <x v="398"/>
    <x v="359"/>
    <x v="21"/>
    <x v="406"/>
    <x v="1"/>
    <x v="0"/>
    <x v="90"/>
    <x v="5"/>
    <x v="2"/>
    <x v="170"/>
    <x v="339"/>
    <x v="18"/>
    <x v="40"/>
    <x v="10"/>
    <x v="11"/>
    <x v="60"/>
    <x v="0"/>
    <x v="16"/>
    <x v="4"/>
    <x v="62"/>
  </r>
  <r>
    <x v="85"/>
    <x v="91"/>
    <x v="115"/>
    <x v="1"/>
    <x v="47"/>
    <x v="102"/>
    <x v="102"/>
    <x v="101"/>
    <x v="101"/>
    <x v="0"/>
    <x v="442"/>
    <x v="451"/>
    <x v="4"/>
    <x v="88"/>
    <x v="34"/>
    <x v="407"/>
    <x v="50"/>
    <x v="2"/>
    <x v="38"/>
    <x v="10"/>
    <x v="0"/>
    <x v="95"/>
    <x v="340"/>
    <x v="0"/>
    <x v="0"/>
    <x v="5"/>
    <x v="2"/>
    <x v="31"/>
    <x v="0"/>
    <x v="14"/>
    <x v="4"/>
    <x v="47"/>
  </r>
  <r>
    <x v="8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86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86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86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86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8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86"/>
    <x v="91"/>
    <x v="113"/>
    <x v="0"/>
    <x v="61"/>
    <x v="100"/>
    <x v="100"/>
    <x v="99"/>
    <x v="99"/>
    <x v="0"/>
    <x v="443"/>
    <x v="452"/>
    <x v="399"/>
    <x v="360"/>
    <x v="82"/>
    <x v="408"/>
    <x v="16"/>
    <x v="1"/>
    <x v="31"/>
    <x v="3"/>
    <x v="3"/>
    <x v="79"/>
    <x v="341"/>
    <x v="8"/>
    <x v="41"/>
    <x v="2"/>
    <x v="11"/>
    <x v="59"/>
    <x v="0"/>
    <x v="14"/>
    <x v="4"/>
    <x v="61"/>
  </r>
  <r>
    <x v="86"/>
    <x v="91"/>
    <x v="114"/>
    <x v="0"/>
    <x v="62"/>
    <x v="101"/>
    <x v="101"/>
    <x v="100"/>
    <x v="100"/>
    <x v="0"/>
    <x v="444"/>
    <x v="453"/>
    <x v="400"/>
    <x v="361"/>
    <x v="10"/>
    <x v="409"/>
    <x v="158"/>
    <x v="3"/>
    <x v="26"/>
    <x v="3"/>
    <x v="13"/>
    <x v="230"/>
    <x v="342"/>
    <x v="17"/>
    <x v="42"/>
    <x v="12"/>
    <x v="6"/>
    <x v="60"/>
    <x v="0"/>
    <x v="16"/>
    <x v="4"/>
    <x v="62"/>
  </r>
  <r>
    <x v="86"/>
    <x v="91"/>
    <x v="115"/>
    <x v="1"/>
    <x v="47"/>
    <x v="102"/>
    <x v="102"/>
    <x v="101"/>
    <x v="101"/>
    <x v="0"/>
    <x v="445"/>
    <x v="454"/>
    <x v="401"/>
    <x v="222"/>
    <x v="89"/>
    <x v="410"/>
    <x v="17"/>
    <x v="1"/>
    <x v="1"/>
    <x v="5"/>
    <x v="2"/>
    <x v="85"/>
    <x v="343"/>
    <x v="0"/>
    <x v="0"/>
    <x v="5"/>
    <x v="2"/>
    <x v="31"/>
    <x v="0"/>
    <x v="14"/>
    <x v="4"/>
    <x v="47"/>
  </r>
  <r>
    <x v="8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87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2"/>
    <x v="2"/>
    <x v="52"/>
    <x v="0"/>
    <x v="15"/>
    <x v="4"/>
    <x v="54"/>
  </r>
  <r>
    <x v="87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87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87"/>
    <x v="90"/>
    <x v="110"/>
    <x v="0"/>
    <x v="59"/>
    <x v="97"/>
    <x v="97"/>
    <x v="96"/>
    <x v="9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7"/>
    <x v="0"/>
    <x v="14"/>
    <x v="4"/>
    <x v="59"/>
  </r>
  <r>
    <x v="87"/>
    <x v="91"/>
    <x v="113"/>
    <x v="0"/>
    <x v="61"/>
    <x v="100"/>
    <x v="100"/>
    <x v="99"/>
    <x v="99"/>
    <x v="0"/>
    <x v="446"/>
    <x v="455"/>
    <x v="402"/>
    <x v="362"/>
    <x v="73"/>
    <x v="411"/>
    <x v="48"/>
    <x v="1"/>
    <x v="1"/>
    <x v="3"/>
    <x v="4"/>
    <x v="4"/>
    <x v="344"/>
    <x v="18"/>
    <x v="12"/>
    <x v="4"/>
    <x v="2"/>
    <x v="59"/>
    <x v="0"/>
    <x v="14"/>
    <x v="4"/>
    <x v="61"/>
  </r>
  <r>
    <x v="87"/>
    <x v="91"/>
    <x v="114"/>
    <x v="0"/>
    <x v="62"/>
    <x v="101"/>
    <x v="101"/>
    <x v="100"/>
    <x v="100"/>
    <x v="0"/>
    <x v="447"/>
    <x v="456"/>
    <x v="403"/>
    <x v="363"/>
    <x v="43"/>
    <x v="412"/>
    <x v="102"/>
    <x v="6"/>
    <x v="79"/>
    <x v="3"/>
    <x v="4"/>
    <x v="200"/>
    <x v="345"/>
    <x v="16"/>
    <x v="43"/>
    <x v="4"/>
    <x v="13"/>
    <x v="60"/>
    <x v="0"/>
    <x v="16"/>
    <x v="4"/>
    <x v="62"/>
  </r>
  <r>
    <x v="87"/>
    <x v="91"/>
    <x v="115"/>
    <x v="1"/>
    <x v="47"/>
    <x v="102"/>
    <x v="102"/>
    <x v="101"/>
    <x v="101"/>
    <x v="0"/>
    <x v="448"/>
    <x v="457"/>
    <x v="404"/>
    <x v="268"/>
    <x v="44"/>
    <x v="413"/>
    <x v="1"/>
    <x v="1"/>
    <x v="33"/>
    <x v="12"/>
    <x v="2"/>
    <x v="4"/>
    <x v="346"/>
    <x v="0"/>
    <x v="0"/>
    <x v="2"/>
    <x v="11"/>
    <x v="31"/>
    <x v="0"/>
    <x v="14"/>
    <x v="4"/>
    <x v="47"/>
  </r>
  <r>
    <x v="88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88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88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88"/>
    <x v="88"/>
    <x v="104"/>
    <x v="0"/>
    <x v="58"/>
    <x v="92"/>
    <x v="92"/>
    <x v="91"/>
    <x v="9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6"/>
    <x v="0"/>
    <x v="14"/>
    <x v="4"/>
    <x v="58"/>
  </r>
  <r>
    <x v="88"/>
    <x v="90"/>
    <x v="112"/>
    <x v="1"/>
    <x v="46"/>
    <x v="99"/>
    <x v="99"/>
    <x v="98"/>
    <x v="98"/>
    <x v="0"/>
    <x v="449"/>
    <x v="458"/>
    <x v="405"/>
    <x v="364"/>
    <x v="31"/>
    <x v="414"/>
    <x v="21"/>
    <x v="2"/>
    <x v="24"/>
    <x v="3"/>
    <x v="3"/>
    <x v="8"/>
    <x v="347"/>
    <x v="14"/>
    <x v="44"/>
    <x v="2"/>
    <x v="5"/>
    <x v="46"/>
    <x v="0"/>
    <x v="14"/>
    <x v="4"/>
    <x v="46"/>
  </r>
  <r>
    <x v="88"/>
    <x v="91"/>
    <x v="113"/>
    <x v="0"/>
    <x v="61"/>
    <x v="100"/>
    <x v="100"/>
    <x v="99"/>
    <x v="99"/>
    <x v="0"/>
    <x v="450"/>
    <x v="459"/>
    <x v="406"/>
    <x v="268"/>
    <x v="24"/>
    <x v="415"/>
    <x v="18"/>
    <x v="2"/>
    <x v="14"/>
    <x v="3"/>
    <x v="3"/>
    <x v="20"/>
    <x v="348"/>
    <x v="0"/>
    <x v="0"/>
    <x v="5"/>
    <x v="2"/>
    <x v="59"/>
    <x v="0"/>
    <x v="14"/>
    <x v="4"/>
    <x v="61"/>
  </r>
  <r>
    <x v="88"/>
    <x v="91"/>
    <x v="114"/>
    <x v="0"/>
    <x v="62"/>
    <x v="101"/>
    <x v="101"/>
    <x v="100"/>
    <x v="100"/>
    <x v="0"/>
    <x v="451"/>
    <x v="460"/>
    <x v="20"/>
    <x v="62"/>
    <x v="81"/>
    <x v="416"/>
    <x v="18"/>
    <x v="2"/>
    <x v="24"/>
    <x v="3"/>
    <x v="3"/>
    <x v="27"/>
    <x v="349"/>
    <x v="0"/>
    <x v="0"/>
    <x v="5"/>
    <x v="2"/>
    <x v="60"/>
    <x v="0"/>
    <x v="16"/>
    <x v="4"/>
    <x v="62"/>
  </r>
  <r>
    <x v="88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88"/>
    <x v="92"/>
    <x v="116"/>
    <x v="1"/>
    <x v="46"/>
    <x v="103"/>
    <x v="103"/>
    <x v="102"/>
    <x v="102"/>
    <x v="0"/>
    <x v="452"/>
    <x v="461"/>
    <x v="73"/>
    <x v="167"/>
    <x v="27"/>
    <x v="417"/>
    <x v="15"/>
    <x v="2"/>
    <x v="14"/>
    <x v="3"/>
    <x v="3"/>
    <x v="15"/>
    <x v="15"/>
    <x v="0"/>
    <x v="0"/>
    <x v="5"/>
    <x v="2"/>
    <x v="46"/>
    <x v="0"/>
    <x v="14"/>
    <x v="4"/>
    <x v="46"/>
  </r>
  <r>
    <x v="89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89"/>
    <x v="91"/>
    <x v="114"/>
    <x v="0"/>
    <x v="62"/>
    <x v="101"/>
    <x v="101"/>
    <x v="100"/>
    <x v="100"/>
    <x v="0"/>
    <x v="453"/>
    <x v="462"/>
    <x v="407"/>
    <x v="365"/>
    <x v="47"/>
    <x v="108"/>
    <x v="176"/>
    <x v="0"/>
    <x v="73"/>
    <x v="3"/>
    <x v="3"/>
    <x v="150"/>
    <x v="350"/>
    <x v="1"/>
    <x v="45"/>
    <x v="1"/>
    <x v="6"/>
    <x v="60"/>
    <x v="0"/>
    <x v="16"/>
    <x v="4"/>
    <x v="62"/>
  </r>
  <r>
    <x v="89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89"/>
    <x v="93"/>
    <x v="117"/>
    <x v="1"/>
    <x v="62"/>
    <x v="103"/>
    <x v="103"/>
    <x v="102"/>
    <x v="102"/>
    <x v="0"/>
    <x v="454"/>
    <x v="463"/>
    <x v="408"/>
    <x v="162"/>
    <x v="90"/>
    <x v="418"/>
    <x v="26"/>
    <x v="2"/>
    <x v="14"/>
    <x v="3"/>
    <x v="2"/>
    <x v="83"/>
    <x v="351"/>
    <x v="0"/>
    <x v="0"/>
    <x v="5"/>
    <x v="2"/>
    <x v="60"/>
    <x v="0"/>
    <x v="16"/>
    <x v="4"/>
    <x v="62"/>
  </r>
  <r>
    <x v="89"/>
    <x v="94"/>
    <x v="118"/>
    <x v="0"/>
    <x v="63"/>
    <x v="104"/>
    <x v="104"/>
    <x v="103"/>
    <x v="103"/>
    <x v="0"/>
    <x v="455"/>
    <x v="464"/>
    <x v="409"/>
    <x v="366"/>
    <x v="0"/>
    <x v="238"/>
    <x v="20"/>
    <x v="2"/>
    <x v="17"/>
    <x v="6"/>
    <x v="4"/>
    <x v="164"/>
    <x v="352"/>
    <x v="0"/>
    <x v="0"/>
    <x v="2"/>
    <x v="11"/>
    <x v="61"/>
    <x v="0"/>
    <x v="14"/>
    <x v="4"/>
    <x v="63"/>
  </r>
  <r>
    <x v="90"/>
    <x v="67"/>
    <x v="77"/>
    <x v="0"/>
    <x v="42"/>
    <x v="66"/>
    <x v="66"/>
    <x v="65"/>
    <x v="6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2"/>
    <x v="0"/>
    <x v="11"/>
    <x v="4"/>
    <x v="42"/>
  </r>
  <r>
    <x v="90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90"/>
    <x v="86"/>
    <x v="101"/>
    <x v="0"/>
    <x v="55"/>
    <x v="89"/>
    <x v="89"/>
    <x v="88"/>
    <x v="8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3"/>
    <x v="0"/>
    <x v="14"/>
    <x v="4"/>
    <x v="55"/>
  </r>
  <r>
    <x v="90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90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90"/>
    <x v="91"/>
    <x v="114"/>
    <x v="0"/>
    <x v="62"/>
    <x v="101"/>
    <x v="101"/>
    <x v="100"/>
    <x v="100"/>
    <x v="0"/>
    <x v="456"/>
    <x v="465"/>
    <x v="410"/>
    <x v="367"/>
    <x v="17"/>
    <x v="419"/>
    <x v="27"/>
    <x v="0"/>
    <x v="3"/>
    <x v="3"/>
    <x v="0"/>
    <x v="231"/>
    <x v="353"/>
    <x v="1"/>
    <x v="46"/>
    <x v="4"/>
    <x v="10"/>
    <x v="60"/>
    <x v="0"/>
    <x v="16"/>
    <x v="4"/>
    <x v="62"/>
  </r>
  <r>
    <x v="90"/>
    <x v="93"/>
    <x v="117"/>
    <x v="1"/>
    <x v="62"/>
    <x v="103"/>
    <x v="103"/>
    <x v="102"/>
    <x v="102"/>
    <x v="0"/>
    <x v="457"/>
    <x v="466"/>
    <x v="411"/>
    <x v="368"/>
    <x v="70"/>
    <x v="420"/>
    <x v="21"/>
    <x v="2"/>
    <x v="14"/>
    <x v="3"/>
    <x v="2"/>
    <x v="8"/>
    <x v="354"/>
    <x v="13"/>
    <x v="47"/>
    <x v="5"/>
    <x v="5"/>
    <x v="60"/>
    <x v="0"/>
    <x v="16"/>
    <x v="4"/>
    <x v="62"/>
  </r>
  <r>
    <x v="90"/>
    <x v="94"/>
    <x v="118"/>
    <x v="0"/>
    <x v="63"/>
    <x v="104"/>
    <x v="104"/>
    <x v="103"/>
    <x v="103"/>
    <x v="0"/>
    <x v="458"/>
    <x v="461"/>
    <x v="113"/>
    <x v="369"/>
    <x v="37"/>
    <x v="421"/>
    <x v="15"/>
    <x v="2"/>
    <x v="14"/>
    <x v="3"/>
    <x v="3"/>
    <x v="15"/>
    <x v="15"/>
    <x v="0"/>
    <x v="0"/>
    <x v="5"/>
    <x v="2"/>
    <x v="61"/>
    <x v="0"/>
    <x v="14"/>
    <x v="4"/>
    <x v="63"/>
  </r>
  <r>
    <x v="90"/>
    <x v="95"/>
    <x v="119"/>
    <x v="1"/>
    <x v="62"/>
    <x v="105"/>
    <x v="105"/>
    <x v="104"/>
    <x v="104"/>
    <x v="0"/>
    <x v="459"/>
    <x v="467"/>
    <x v="70"/>
    <x v="168"/>
    <x v="27"/>
    <x v="422"/>
    <x v="15"/>
    <x v="2"/>
    <x v="14"/>
    <x v="3"/>
    <x v="3"/>
    <x v="15"/>
    <x v="15"/>
    <x v="0"/>
    <x v="0"/>
    <x v="5"/>
    <x v="2"/>
    <x v="60"/>
    <x v="0"/>
    <x v="16"/>
    <x v="4"/>
    <x v="62"/>
  </r>
  <r>
    <x v="90"/>
    <x v="96"/>
    <x v="120"/>
    <x v="1"/>
    <x v="61"/>
    <x v="105"/>
    <x v="105"/>
    <x v="104"/>
    <x v="104"/>
    <x v="0"/>
    <x v="460"/>
    <x v="468"/>
    <x v="412"/>
    <x v="370"/>
    <x v="91"/>
    <x v="423"/>
    <x v="177"/>
    <x v="2"/>
    <x v="50"/>
    <x v="3"/>
    <x v="3"/>
    <x v="26"/>
    <x v="355"/>
    <x v="1"/>
    <x v="34"/>
    <x v="5"/>
    <x v="5"/>
    <x v="59"/>
    <x v="0"/>
    <x v="14"/>
    <x v="4"/>
    <x v="61"/>
  </r>
  <r>
    <x v="91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91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91"/>
    <x v="90"/>
    <x v="111"/>
    <x v="0"/>
    <x v="60"/>
    <x v="98"/>
    <x v="98"/>
    <x v="97"/>
    <x v="97"/>
    <x v="0"/>
    <x v="461"/>
    <x v="469"/>
    <x v="413"/>
    <x v="371"/>
    <x v="10"/>
    <x v="424"/>
    <x v="178"/>
    <x v="7"/>
    <x v="126"/>
    <x v="51"/>
    <x v="8"/>
    <x v="141"/>
    <x v="356"/>
    <x v="0"/>
    <x v="0"/>
    <x v="12"/>
    <x v="11"/>
    <x v="58"/>
    <x v="0"/>
    <x v="14"/>
    <x v="4"/>
    <x v="60"/>
  </r>
  <r>
    <x v="91"/>
    <x v="91"/>
    <x v="114"/>
    <x v="0"/>
    <x v="62"/>
    <x v="101"/>
    <x v="101"/>
    <x v="100"/>
    <x v="100"/>
    <x v="0"/>
    <x v="462"/>
    <x v="470"/>
    <x v="277"/>
    <x v="372"/>
    <x v="26"/>
    <x v="425"/>
    <x v="26"/>
    <x v="1"/>
    <x v="24"/>
    <x v="3"/>
    <x v="3"/>
    <x v="75"/>
    <x v="129"/>
    <x v="0"/>
    <x v="0"/>
    <x v="5"/>
    <x v="2"/>
    <x v="60"/>
    <x v="0"/>
    <x v="16"/>
    <x v="4"/>
    <x v="62"/>
  </r>
  <r>
    <x v="91"/>
    <x v="91"/>
    <x v="115"/>
    <x v="1"/>
    <x v="47"/>
    <x v="102"/>
    <x v="102"/>
    <x v="101"/>
    <x v="101"/>
    <x v="0"/>
    <x v="463"/>
    <x v="471"/>
    <x v="414"/>
    <x v="223"/>
    <x v="71"/>
    <x v="426"/>
    <x v="71"/>
    <x v="2"/>
    <x v="23"/>
    <x v="1"/>
    <x v="4"/>
    <x v="191"/>
    <x v="357"/>
    <x v="0"/>
    <x v="0"/>
    <x v="5"/>
    <x v="12"/>
    <x v="31"/>
    <x v="0"/>
    <x v="14"/>
    <x v="4"/>
    <x v="47"/>
  </r>
  <r>
    <x v="91"/>
    <x v="93"/>
    <x v="117"/>
    <x v="1"/>
    <x v="62"/>
    <x v="103"/>
    <x v="103"/>
    <x v="102"/>
    <x v="102"/>
    <x v="0"/>
    <x v="464"/>
    <x v="77"/>
    <x v="72"/>
    <x v="17"/>
    <x v="40"/>
    <x v="427"/>
    <x v="15"/>
    <x v="2"/>
    <x v="14"/>
    <x v="3"/>
    <x v="3"/>
    <x v="15"/>
    <x v="15"/>
    <x v="0"/>
    <x v="0"/>
    <x v="5"/>
    <x v="2"/>
    <x v="60"/>
    <x v="0"/>
    <x v="16"/>
    <x v="4"/>
    <x v="62"/>
  </r>
  <r>
    <x v="91"/>
    <x v="94"/>
    <x v="118"/>
    <x v="0"/>
    <x v="63"/>
    <x v="104"/>
    <x v="104"/>
    <x v="103"/>
    <x v="103"/>
    <x v="0"/>
    <x v="465"/>
    <x v="472"/>
    <x v="415"/>
    <x v="373"/>
    <x v="37"/>
    <x v="112"/>
    <x v="5"/>
    <x v="0"/>
    <x v="17"/>
    <x v="32"/>
    <x v="1"/>
    <x v="17"/>
    <x v="109"/>
    <x v="0"/>
    <x v="0"/>
    <x v="24"/>
    <x v="11"/>
    <x v="61"/>
    <x v="0"/>
    <x v="14"/>
    <x v="4"/>
    <x v="63"/>
  </r>
  <r>
    <x v="91"/>
    <x v="96"/>
    <x v="120"/>
    <x v="1"/>
    <x v="61"/>
    <x v="105"/>
    <x v="105"/>
    <x v="104"/>
    <x v="104"/>
    <x v="0"/>
    <x v="30"/>
    <x v="473"/>
    <x v="29"/>
    <x v="30"/>
    <x v="16"/>
    <x v="29"/>
    <x v="15"/>
    <x v="2"/>
    <x v="14"/>
    <x v="3"/>
    <x v="3"/>
    <x v="15"/>
    <x v="15"/>
    <x v="0"/>
    <x v="0"/>
    <x v="5"/>
    <x v="2"/>
    <x v="59"/>
    <x v="0"/>
    <x v="14"/>
    <x v="4"/>
    <x v="61"/>
  </r>
  <r>
    <x v="91"/>
    <x v="97"/>
    <x v="121"/>
    <x v="0"/>
    <x v="64"/>
    <x v="106"/>
    <x v="106"/>
    <x v="105"/>
    <x v="105"/>
    <x v="0"/>
    <x v="466"/>
    <x v="474"/>
    <x v="416"/>
    <x v="370"/>
    <x v="51"/>
    <x v="428"/>
    <x v="139"/>
    <x v="7"/>
    <x v="19"/>
    <x v="11"/>
    <x v="23"/>
    <x v="232"/>
    <x v="157"/>
    <x v="0"/>
    <x v="0"/>
    <x v="2"/>
    <x v="10"/>
    <x v="62"/>
    <x v="0"/>
    <x v="14"/>
    <x v="4"/>
    <x v="64"/>
  </r>
  <r>
    <x v="92"/>
    <x v="90"/>
    <x v="111"/>
    <x v="0"/>
    <x v="60"/>
    <x v="98"/>
    <x v="98"/>
    <x v="97"/>
    <x v="97"/>
    <x v="0"/>
    <x v="467"/>
    <x v="475"/>
    <x v="417"/>
    <x v="100"/>
    <x v="3"/>
    <x v="429"/>
    <x v="179"/>
    <x v="0"/>
    <x v="68"/>
    <x v="42"/>
    <x v="23"/>
    <x v="233"/>
    <x v="358"/>
    <x v="0"/>
    <x v="0"/>
    <x v="4"/>
    <x v="6"/>
    <x v="58"/>
    <x v="0"/>
    <x v="14"/>
    <x v="4"/>
    <x v="60"/>
  </r>
  <r>
    <x v="92"/>
    <x v="91"/>
    <x v="114"/>
    <x v="0"/>
    <x v="62"/>
    <x v="101"/>
    <x v="101"/>
    <x v="100"/>
    <x v="100"/>
    <x v="0"/>
    <x v="468"/>
    <x v="476"/>
    <x v="418"/>
    <x v="374"/>
    <x v="52"/>
    <x v="430"/>
    <x v="49"/>
    <x v="1"/>
    <x v="13"/>
    <x v="3"/>
    <x v="4"/>
    <x v="99"/>
    <x v="359"/>
    <x v="15"/>
    <x v="48"/>
    <x v="7"/>
    <x v="5"/>
    <x v="60"/>
    <x v="0"/>
    <x v="16"/>
    <x v="4"/>
    <x v="62"/>
  </r>
  <r>
    <x v="92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92"/>
    <x v="93"/>
    <x v="117"/>
    <x v="1"/>
    <x v="62"/>
    <x v="103"/>
    <x v="103"/>
    <x v="102"/>
    <x v="10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92"/>
    <x v="94"/>
    <x v="118"/>
    <x v="0"/>
    <x v="63"/>
    <x v="104"/>
    <x v="104"/>
    <x v="103"/>
    <x v="103"/>
    <x v="0"/>
    <x v="469"/>
    <x v="477"/>
    <x v="419"/>
    <x v="375"/>
    <x v="37"/>
    <x v="431"/>
    <x v="83"/>
    <x v="2"/>
    <x v="4"/>
    <x v="7"/>
    <x v="2"/>
    <x v="234"/>
    <x v="360"/>
    <x v="0"/>
    <x v="0"/>
    <x v="1"/>
    <x v="5"/>
    <x v="61"/>
    <x v="0"/>
    <x v="14"/>
    <x v="4"/>
    <x v="63"/>
  </r>
  <r>
    <x v="92"/>
    <x v="97"/>
    <x v="121"/>
    <x v="0"/>
    <x v="64"/>
    <x v="106"/>
    <x v="106"/>
    <x v="105"/>
    <x v="105"/>
    <x v="0"/>
    <x v="470"/>
    <x v="308"/>
    <x v="314"/>
    <x v="376"/>
    <x v="12"/>
    <x v="432"/>
    <x v="26"/>
    <x v="2"/>
    <x v="14"/>
    <x v="3"/>
    <x v="3"/>
    <x v="70"/>
    <x v="361"/>
    <x v="0"/>
    <x v="0"/>
    <x v="5"/>
    <x v="2"/>
    <x v="62"/>
    <x v="0"/>
    <x v="14"/>
    <x v="4"/>
    <x v="64"/>
  </r>
  <r>
    <x v="92"/>
    <x v="98"/>
    <x v="122"/>
    <x v="1"/>
    <x v="52"/>
    <x v="107"/>
    <x v="107"/>
    <x v="106"/>
    <x v="106"/>
    <x v="0"/>
    <x v="471"/>
    <x v="478"/>
    <x v="420"/>
    <x v="377"/>
    <x v="92"/>
    <x v="433"/>
    <x v="22"/>
    <x v="2"/>
    <x v="50"/>
    <x v="5"/>
    <x v="3"/>
    <x v="68"/>
    <x v="362"/>
    <x v="2"/>
    <x v="49"/>
    <x v="5"/>
    <x v="2"/>
    <x v="50"/>
    <x v="0"/>
    <x v="14"/>
    <x v="4"/>
    <x v="52"/>
  </r>
  <r>
    <x v="92"/>
    <x v="98"/>
    <x v="123"/>
    <x v="0"/>
    <x v="65"/>
    <x v="108"/>
    <x v="108"/>
    <x v="107"/>
    <x v="107"/>
    <x v="0"/>
    <x v="472"/>
    <x v="479"/>
    <x v="421"/>
    <x v="378"/>
    <x v="52"/>
    <x v="434"/>
    <x v="86"/>
    <x v="2"/>
    <x v="42"/>
    <x v="5"/>
    <x v="3"/>
    <x v="36"/>
    <x v="363"/>
    <x v="0"/>
    <x v="0"/>
    <x v="7"/>
    <x v="10"/>
    <x v="63"/>
    <x v="0"/>
    <x v="14"/>
    <x v="4"/>
    <x v="65"/>
  </r>
  <r>
    <x v="93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93"/>
    <x v="90"/>
    <x v="111"/>
    <x v="0"/>
    <x v="60"/>
    <x v="98"/>
    <x v="98"/>
    <x v="97"/>
    <x v="97"/>
    <x v="0"/>
    <x v="473"/>
    <x v="480"/>
    <x v="422"/>
    <x v="379"/>
    <x v="53"/>
    <x v="435"/>
    <x v="180"/>
    <x v="7"/>
    <x v="132"/>
    <x v="7"/>
    <x v="3"/>
    <x v="235"/>
    <x v="364"/>
    <x v="0"/>
    <x v="0"/>
    <x v="5"/>
    <x v="6"/>
    <x v="58"/>
    <x v="0"/>
    <x v="14"/>
    <x v="4"/>
    <x v="60"/>
  </r>
  <r>
    <x v="93"/>
    <x v="90"/>
    <x v="112"/>
    <x v="1"/>
    <x v="46"/>
    <x v="99"/>
    <x v="99"/>
    <x v="98"/>
    <x v="98"/>
    <x v="0"/>
    <x v="474"/>
    <x v="481"/>
    <x v="423"/>
    <x v="380"/>
    <x v="50"/>
    <x v="436"/>
    <x v="64"/>
    <x v="1"/>
    <x v="7"/>
    <x v="5"/>
    <x v="1"/>
    <x v="148"/>
    <x v="365"/>
    <x v="24"/>
    <x v="50"/>
    <x v="4"/>
    <x v="5"/>
    <x v="46"/>
    <x v="0"/>
    <x v="14"/>
    <x v="4"/>
    <x v="46"/>
  </r>
  <r>
    <x v="93"/>
    <x v="91"/>
    <x v="114"/>
    <x v="0"/>
    <x v="62"/>
    <x v="101"/>
    <x v="101"/>
    <x v="100"/>
    <x v="100"/>
    <x v="0"/>
    <x v="475"/>
    <x v="482"/>
    <x v="424"/>
    <x v="381"/>
    <x v="73"/>
    <x v="437"/>
    <x v="106"/>
    <x v="2"/>
    <x v="89"/>
    <x v="3"/>
    <x v="2"/>
    <x v="45"/>
    <x v="366"/>
    <x v="3"/>
    <x v="48"/>
    <x v="4"/>
    <x v="11"/>
    <x v="60"/>
    <x v="0"/>
    <x v="16"/>
    <x v="4"/>
    <x v="62"/>
  </r>
  <r>
    <x v="93"/>
    <x v="94"/>
    <x v="118"/>
    <x v="0"/>
    <x v="63"/>
    <x v="104"/>
    <x v="104"/>
    <x v="103"/>
    <x v="103"/>
    <x v="0"/>
    <x v="476"/>
    <x v="483"/>
    <x v="425"/>
    <x v="116"/>
    <x v="42"/>
    <x v="438"/>
    <x v="181"/>
    <x v="6"/>
    <x v="133"/>
    <x v="15"/>
    <x v="13"/>
    <x v="236"/>
    <x v="286"/>
    <x v="0"/>
    <x v="0"/>
    <x v="4"/>
    <x v="13"/>
    <x v="61"/>
    <x v="0"/>
    <x v="14"/>
    <x v="4"/>
    <x v="63"/>
  </r>
  <r>
    <x v="93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  <x v="0"/>
    <x v="14"/>
    <x v="4"/>
    <x v="64"/>
  </r>
  <r>
    <x v="93"/>
    <x v="98"/>
    <x v="122"/>
    <x v="1"/>
    <x v="52"/>
    <x v="107"/>
    <x v="107"/>
    <x v="106"/>
    <x v="106"/>
    <x v="0"/>
    <x v="477"/>
    <x v="484"/>
    <x v="72"/>
    <x v="382"/>
    <x v="93"/>
    <x v="439"/>
    <x v="15"/>
    <x v="2"/>
    <x v="14"/>
    <x v="3"/>
    <x v="3"/>
    <x v="15"/>
    <x v="15"/>
    <x v="0"/>
    <x v="0"/>
    <x v="5"/>
    <x v="2"/>
    <x v="50"/>
    <x v="0"/>
    <x v="14"/>
    <x v="4"/>
    <x v="52"/>
  </r>
  <r>
    <x v="93"/>
    <x v="98"/>
    <x v="123"/>
    <x v="0"/>
    <x v="65"/>
    <x v="108"/>
    <x v="108"/>
    <x v="107"/>
    <x v="107"/>
    <x v="0"/>
    <x v="478"/>
    <x v="485"/>
    <x v="426"/>
    <x v="383"/>
    <x v="36"/>
    <x v="440"/>
    <x v="121"/>
    <x v="0"/>
    <x v="90"/>
    <x v="9"/>
    <x v="4"/>
    <x v="231"/>
    <x v="367"/>
    <x v="0"/>
    <x v="0"/>
    <x v="1"/>
    <x v="2"/>
    <x v="63"/>
    <x v="0"/>
    <x v="14"/>
    <x v="4"/>
    <x v="65"/>
  </r>
  <r>
    <x v="93"/>
    <x v="99"/>
    <x v="124"/>
    <x v="1"/>
    <x v="46"/>
    <x v="109"/>
    <x v="109"/>
    <x v="108"/>
    <x v="108"/>
    <x v="0"/>
    <x v="479"/>
    <x v="486"/>
    <x v="70"/>
    <x v="320"/>
    <x v="74"/>
    <x v="441"/>
    <x v="15"/>
    <x v="2"/>
    <x v="14"/>
    <x v="3"/>
    <x v="3"/>
    <x v="15"/>
    <x v="15"/>
    <x v="0"/>
    <x v="0"/>
    <x v="5"/>
    <x v="2"/>
    <x v="46"/>
    <x v="0"/>
    <x v="14"/>
    <x v="4"/>
    <x v="46"/>
  </r>
  <r>
    <x v="93"/>
    <x v="100"/>
    <x v="125"/>
    <x v="1"/>
    <x v="60"/>
    <x v="109"/>
    <x v="109"/>
    <x v="108"/>
    <x v="108"/>
    <x v="0"/>
    <x v="480"/>
    <x v="487"/>
    <x v="427"/>
    <x v="384"/>
    <x v="82"/>
    <x v="442"/>
    <x v="46"/>
    <x v="2"/>
    <x v="90"/>
    <x v="3"/>
    <x v="1"/>
    <x v="165"/>
    <x v="368"/>
    <x v="0"/>
    <x v="0"/>
    <x v="7"/>
    <x v="5"/>
    <x v="58"/>
    <x v="0"/>
    <x v="14"/>
    <x v="4"/>
    <x v="60"/>
  </r>
  <r>
    <x v="94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9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94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94"/>
    <x v="88"/>
    <x v="105"/>
    <x v="0"/>
    <x v="48"/>
    <x v="93"/>
    <x v="93"/>
    <x v="92"/>
    <x v="92"/>
    <x v="0"/>
    <x v="481"/>
    <x v="488"/>
    <x v="428"/>
    <x v="127"/>
    <x v="12"/>
    <x v="242"/>
    <x v="100"/>
    <x v="2"/>
    <x v="7"/>
    <x v="14"/>
    <x v="1"/>
    <x v="121"/>
    <x v="369"/>
    <x v="0"/>
    <x v="0"/>
    <x v="4"/>
    <x v="12"/>
    <x v="47"/>
    <x v="0"/>
    <x v="14"/>
    <x v="4"/>
    <x v="48"/>
  </r>
  <r>
    <x v="94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94"/>
    <x v="90"/>
    <x v="112"/>
    <x v="1"/>
    <x v="46"/>
    <x v="99"/>
    <x v="99"/>
    <x v="98"/>
    <x v="98"/>
    <x v="0"/>
    <x v="482"/>
    <x v="489"/>
    <x v="429"/>
    <x v="385"/>
    <x v="76"/>
    <x v="443"/>
    <x v="56"/>
    <x v="2"/>
    <x v="2"/>
    <x v="3"/>
    <x v="0"/>
    <x v="149"/>
    <x v="370"/>
    <x v="9"/>
    <x v="51"/>
    <x v="4"/>
    <x v="11"/>
    <x v="46"/>
    <x v="0"/>
    <x v="14"/>
    <x v="4"/>
    <x v="46"/>
  </r>
  <r>
    <x v="94"/>
    <x v="91"/>
    <x v="114"/>
    <x v="0"/>
    <x v="62"/>
    <x v="101"/>
    <x v="101"/>
    <x v="100"/>
    <x v="100"/>
    <x v="0"/>
    <x v="483"/>
    <x v="96"/>
    <x v="72"/>
    <x v="386"/>
    <x v="28"/>
    <x v="444"/>
    <x v="15"/>
    <x v="2"/>
    <x v="14"/>
    <x v="3"/>
    <x v="3"/>
    <x v="15"/>
    <x v="15"/>
    <x v="0"/>
    <x v="0"/>
    <x v="5"/>
    <x v="2"/>
    <x v="60"/>
    <x v="0"/>
    <x v="16"/>
    <x v="4"/>
    <x v="62"/>
  </r>
  <r>
    <x v="94"/>
    <x v="94"/>
    <x v="118"/>
    <x v="0"/>
    <x v="63"/>
    <x v="104"/>
    <x v="104"/>
    <x v="103"/>
    <x v="103"/>
    <x v="0"/>
    <x v="484"/>
    <x v="490"/>
    <x v="430"/>
    <x v="387"/>
    <x v="37"/>
    <x v="445"/>
    <x v="182"/>
    <x v="2"/>
    <x v="30"/>
    <x v="54"/>
    <x v="2"/>
    <x v="237"/>
    <x v="371"/>
    <x v="0"/>
    <x v="0"/>
    <x v="0"/>
    <x v="12"/>
    <x v="61"/>
    <x v="0"/>
    <x v="14"/>
    <x v="4"/>
    <x v="63"/>
  </r>
  <r>
    <x v="94"/>
    <x v="98"/>
    <x v="123"/>
    <x v="0"/>
    <x v="65"/>
    <x v="108"/>
    <x v="108"/>
    <x v="107"/>
    <x v="107"/>
    <x v="0"/>
    <x v="485"/>
    <x v="491"/>
    <x v="431"/>
    <x v="84"/>
    <x v="12"/>
    <x v="446"/>
    <x v="106"/>
    <x v="0"/>
    <x v="20"/>
    <x v="1"/>
    <x v="2"/>
    <x v="238"/>
    <x v="372"/>
    <x v="0"/>
    <x v="0"/>
    <x v="4"/>
    <x v="11"/>
    <x v="63"/>
    <x v="0"/>
    <x v="14"/>
    <x v="4"/>
    <x v="65"/>
  </r>
  <r>
    <x v="94"/>
    <x v="100"/>
    <x v="125"/>
    <x v="1"/>
    <x v="60"/>
    <x v="109"/>
    <x v="109"/>
    <x v="108"/>
    <x v="108"/>
    <x v="0"/>
    <x v="486"/>
    <x v="492"/>
    <x v="308"/>
    <x v="388"/>
    <x v="50"/>
    <x v="447"/>
    <x v="18"/>
    <x v="2"/>
    <x v="14"/>
    <x v="3"/>
    <x v="3"/>
    <x v="20"/>
    <x v="34"/>
    <x v="0"/>
    <x v="0"/>
    <x v="5"/>
    <x v="2"/>
    <x v="58"/>
    <x v="0"/>
    <x v="14"/>
    <x v="4"/>
    <x v="60"/>
  </r>
  <r>
    <x v="9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95"/>
    <x v="88"/>
    <x v="105"/>
    <x v="0"/>
    <x v="48"/>
    <x v="93"/>
    <x v="93"/>
    <x v="92"/>
    <x v="92"/>
    <x v="0"/>
    <x v="487"/>
    <x v="493"/>
    <x v="432"/>
    <x v="299"/>
    <x v="55"/>
    <x v="19"/>
    <x v="37"/>
    <x v="2"/>
    <x v="39"/>
    <x v="18"/>
    <x v="4"/>
    <x v="25"/>
    <x v="373"/>
    <x v="0"/>
    <x v="0"/>
    <x v="5"/>
    <x v="12"/>
    <x v="47"/>
    <x v="0"/>
    <x v="14"/>
    <x v="4"/>
    <x v="48"/>
  </r>
  <r>
    <x v="95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95"/>
    <x v="90"/>
    <x v="112"/>
    <x v="1"/>
    <x v="46"/>
    <x v="99"/>
    <x v="99"/>
    <x v="98"/>
    <x v="98"/>
    <x v="0"/>
    <x v="488"/>
    <x v="494"/>
    <x v="433"/>
    <x v="108"/>
    <x v="35"/>
    <x v="448"/>
    <x v="54"/>
    <x v="1"/>
    <x v="22"/>
    <x v="5"/>
    <x v="2"/>
    <x v="149"/>
    <x v="374"/>
    <x v="25"/>
    <x v="52"/>
    <x v="10"/>
    <x v="5"/>
    <x v="46"/>
    <x v="0"/>
    <x v="14"/>
    <x v="4"/>
    <x v="46"/>
  </r>
  <r>
    <x v="95"/>
    <x v="94"/>
    <x v="118"/>
    <x v="0"/>
    <x v="63"/>
    <x v="104"/>
    <x v="104"/>
    <x v="103"/>
    <x v="103"/>
    <x v="0"/>
    <x v="489"/>
    <x v="495"/>
    <x v="434"/>
    <x v="389"/>
    <x v="42"/>
    <x v="449"/>
    <x v="37"/>
    <x v="1"/>
    <x v="23"/>
    <x v="42"/>
    <x v="3"/>
    <x v="239"/>
    <x v="176"/>
    <x v="0"/>
    <x v="0"/>
    <x v="1"/>
    <x v="11"/>
    <x v="61"/>
    <x v="0"/>
    <x v="14"/>
    <x v="4"/>
    <x v="63"/>
  </r>
  <r>
    <x v="95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  <x v="0"/>
    <x v="14"/>
    <x v="4"/>
    <x v="64"/>
  </r>
  <r>
    <x v="95"/>
    <x v="98"/>
    <x v="123"/>
    <x v="0"/>
    <x v="65"/>
    <x v="108"/>
    <x v="108"/>
    <x v="107"/>
    <x v="107"/>
    <x v="0"/>
    <x v="490"/>
    <x v="496"/>
    <x v="435"/>
    <x v="297"/>
    <x v="8"/>
    <x v="72"/>
    <x v="106"/>
    <x v="3"/>
    <x v="8"/>
    <x v="6"/>
    <x v="3"/>
    <x v="166"/>
    <x v="375"/>
    <x v="0"/>
    <x v="0"/>
    <x v="10"/>
    <x v="5"/>
    <x v="63"/>
    <x v="0"/>
    <x v="14"/>
    <x v="4"/>
    <x v="65"/>
  </r>
  <r>
    <x v="9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96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96"/>
    <x v="88"/>
    <x v="105"/>
    <x v="0"/>
    <x v="48"/>
    <x v="93"/>
    <x v="93"/>
    <x v="92"/>
    <x v="92"/>
    <x v="0"/>
    <x v="491"/>
    <x v="497"/>
    <x v="436"/>
    <x v="188"/>
    <x v="36"/>
    <x v="450"/>
    <x v="128"/>
    <x v="7"/>
    <x v="87"/>
    <x v="10"/>
    <x v="23"/>
    <x v="240"/>
    <x v="376"/>
    <x v="0"/>
    <x v="0"/>
    <x v="5"/>
    <x v="5"/>
    <x v="47"/>
    <x v="0"/>
    <x v="14"/>
    <x v="4"/>
    <x v="48"/>
  </r>
  <r>
    <x v="96"/>
    <x v="90"/>
    <x v="111"/>
    <x v="0"/>
    <x v="60"/>
    <x v="98"/>
    <x v="98"/>
    <x v="97"/>
    <x v="97"/>
    <x v="0"/>
    <x v="492"/>
    <x v="498"/>
    <x v="437"/>
    <x v="86"/>
    <x v="53"/>
    <x v="451"/>
    <x v="42"/>
    <x v="0"/>
    <x v="9"/>
    <x v="12"/>
    <x v="2"/>
    <x v="180"/>
    <x v="377"/>
    <x v="0"/>
    <x v="0"/>
    <x v="5"/>
    <x v="6"/>
    <x v="58"/>
    <x v="0"/>
    <x v="14"/>
    <x v="4"/>
    <x v="60"/>
  </r>
  <r>
    <x v="96"/>
    <x v="90"/>
    <x v="112"/>
    <x v="1"/>
    <x v="46"/>
    <x v="99"/>
    <x v="99"/>
    <x v="98"/>
    <x v="98"/>
    <x v="0"/>
    <x v="493"/>
    <x v="499"/>
    <x v="438"/>
    <x v="390"/>
    <x v="35"/>
    <x v="452"/>
    <x v="30"/>
    <x v="2"/>
    <x v="4"/>
    <x v="3"/>
    <x v="2"/>
    <x v="241"/>
    <x v="378"/>
    <x v="26"/>
    <x v="53"/>
    <x v="3"/>
    <x v="12"/>
    <x v="46"/>
    <x v="0"/>
    <x v="14"/>
    <x v="4"/>
    <x v="46"/>
  </r>
  <r>
    <x v="96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96"/>
    <x v="94"/>
    <x v="118"/>
    <x v="0"/>
    <x v="63"/>
    <x v="104"/>
    <x v="104"/>
    <x v="103"/>
    <x v="103"/>
    <x v="0"/>
    <x v="494"/>
    <x v="500"/>
    <x v="439"/>
    <x v="253"/>
    <x v="42"/>
    <x v="453"/>
    <x v="183"/>
    <x v="1"/>
    <x v="17"/>
    <x v="17"/>
    <x v="4"/>
    <x v="117"/>
    <x v="379"/>
    <x v="0"/>
    <x v="0"/>
    <x v="5"/>
    <x v="11"/>
    <x v="61"/>
    <x v="0"/>
    <x v="14"/>
    <x v="4"/>
    <x v="63"/>
  </r>
  <r>
    <x v="96"/>
    <x v="97"/>
    <x v="121"/>
    <x v="0"/>
    <x v="64"/>
    <x v="106"/>
    <x v="106"/>
    <x v="105"/>
    <x v="10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2"/>
    <x v="0"/>
    <x v="14"/>
    <x v="4"/>
    <x v="64"/>
  </r>
  <r>
    <x v="96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4"/>
    <x v="65"/>
  </r>
  <r>
    <x v="96"/>
    <x v="100"/>
    <x v="125"/>
    <x v="1"/>
    <x v="60"/>
    <x v="109"/>
    <x v="109"/>
    <x v="108"/>
    <x v="108"/>
    <x v="0"/>
    <x v="30"/>
    <x v="179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97"/>
    <x v="77"/>
    <x v="90"/>
    <x v="0"/>
    <x v="46"/>
    <x v="78"/>
    <x v="78"/>
    <x v="77"/>
    <x v="7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9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97"/>
    <x v="85"/>
    <x v="99"/>
    <x v="0"/>
    <x v="53"/>
    <x v="87"/>
    <x v="87"/>
    <x v="86"/>
    <x v="8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1"/>
    <x v="0"/>
    <x v="14"/>
    <x v="4"/>
    <x v="53"/>
  </r>
  <r>
    <x v="97"/>
    <x v="88"/>
    <x v="105"/>
    <x v="0"/>
    <x v="48"/>
    <x v="93"/>
    <x v="93"/>
    <x v="92"/>
    <x v="92"/>
    <x v="0"/>
    <x v="495"/>
    <x v="501"/>
    <x v="440"/>
    <x v="391"/>
    <x v="12"/>
    <x v="454"/>
    <x v="26"/>
    <x v="2"/>
    <x v="14"/>
    <x v="3"/>
    <x v="3"/>
    <x v="70"/>
    <x v="380"/>
    <x v="0"/>
    <x v="0"/>
    <x v="5"/>
    <x v="2"/>
    <x v="47"/>
    <x v="0"/>
    <x v="14"/>
    <x v="4"/>
    <x v="48"/>
  </r>
  <r>
    <x v="97"/>
    <x v="90"/>
    <x v="111"/>
    <x v="0"/>
    <x v="60"/>
    <x v="98"/>
    <x v="98"/>
    <x v="97"/>
    <x v="97"/>
    <x v="0"/>
    <x v="496"/>
    <x v="502"/>
    <x v="441"/>
    <x v="392"/>
    <x v="58"/>
    <x v="455"/>
    <x v="176"/>
    <x v="1"/>
    <x v="38"/>
    <x v="1"/>
    <x v="4"/>
    <x v="99"/>
    <x v="381"/>
    <x v="0"/>
    <x v="0"/>
    <x v="5"/>
    <x v="5"/>
    <x v="58"/>
    <x v="0"/>
    <x v="14"/>
    <x v="4"/>
    <x v="60"/>
  </r>
  <r>
    <x v="97"/>
    <x v="90"/>
    <x v="112"/>
    <x v="1"/>
    <x v="46"/>
    <x v="99"/>
    <x v="99"/>
    <x v="98"/>
    <x v="98"/>
    <x v="0"/>
    <x v="497"/>
    <x v="503"/>
    <x v="442"/>
    <x v="390"/>
    <x v="48"/>
    <x v="437"/>
    <x v="31"/>
    <x v="1"/>
    <x v="4"/>
    <x v="3"/>
    <x v="1"/>
    <x v="52"/>
    <x v="382"/>
    <x v="19"/>
    <x v="54"/>
    <x v="7"/>
    <x v="12"/>
    <x v="46"/>
    <x v="0"/>
    <x v="14"/>
    <x v="4"/>
    <x v="46"/>
  </r>
  <r>
    <x v="97"/>
    <x v="91"/>
    <x v="114"/>
    <x v="0"/>
    <x v="62"/>
    <x v="101"/>
    <x v="101"/>
    <x v="100"/>
    <x v="100"/>
    <x v="0"/>
    <x v="498"/>
    <x v="504"/>
    <x v="443"/>
    <x v="393"/>
    <x v="35"/>
    <x v="456"/>
    <x v="34"/>
    <x v="1"/>
    <x v="23"/>
    <x v="3"/>
    <x v="2"/>
    <x v="41"/>
    <x v="383"/>
    <x v="27"/>
    <x v="23"/>
    <x v="12"/>
    <x v="11"/>
    <x v="60"/>
    <x v="0"/>
    <x v="16"/>
    <x v="4"/>
    <x v="62"/>
  </r>
  <r>
    <x v="97"/>
    <x v="94"/>
    <x v="118"/>
    <x v="0"/>
    <x v="63"/>
    <x v="104"/>
    <x v="104"/>
    <x v="103"/>
    <x v="103"/>
    <x v="0"/>
    <x v="499"/>
    <x v="505"/>
    <x v="293"/>
    <x v="194"/>
    <x v="42"/>
    <x v="457"/>
    <x v="28"/>
    <x v="1"/>
    <x v="10"/>
    <x v="26"/>
    <x v="2"/>
    <x v="16"/>
    <x v="319"/>
    <x v="0"/>
    <x v="0"/>
    <x v="23"/>
    <x v="11"/>
    <x v="61"/>
    <x v="0"/>
    <x v="14"/>
    <x v="4"/>
    <x v="63"/>
  </r>
  <r>
    <x v="97"/>
    <x v="96"/>
    <x v="120"/>
    <x v="1"/>
    <x v="61"/>
    <x v="105"/>
    <x v="105"/>
    <x v="104"/>
    <x v="104"/>
    <x v="0"/>
    <x v="500"/>
    <x v="506"/>
    <x v="313"/>
    <x v="394"/>
    <x v="43"/>
    <x v="458"/>
    <x v="23"/>
    <x v="2"/>
    <x v="50"/>
    <x v="3"/>
    <x v="1"/>
    <x v="8"/>
    <x v="384"/>
    <x v="1"/>
    <x v="55"/>
    <x v="5"/>
    <x v="12"/>
    <x v="59"/>
    <x v="0"/>
    <x v="14"/>
    <x v="4"/>
    <x v="61"/>
  </r>
  <r>
    <x v="97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4"/>
    <x v="65"/>
  </r>
  <r>
    <x v="97"/>
    <x v="101"/>
    <x v="126"/>
    <x v="0"/>
    <x v="66"/>
    <x v="110"/>
    <x v="110"/>
    <x v="109"/>
    <x v="109"/>
    <x v="0"/>
    <x v="501"/>
    <x v="507"/>
    <x v="444"/>
    <x v="395"/>
    <x v="30"/>
    <x v="459"/>
    <x v="184"/>
    <x v="6"/>
    <x v="17"/>
    <x v="51"/>
    <x v="6"/>
    <x v="242"/>
    <x v="385"/>
    <x v="0"/>
    <x v="0"/>
    <x v="39"/>
    <x v="11"/>
    <x v="64"/>
    <x v="0"/>
    <x v="14"/>
    <x v="4"/>
    <x v="66"/>
  </r>
  <r>
    <x v="97"/>
    <x v="101"/>
    <x v="127"/>
    <x v="0"/>
    <x v="67"/>
    <x v="111"/>
    <x v="111"/>
    <x v="110"/>
    <x v="110"/>
    <x v="0"/>
    <x v="502"/>
    <x v="508"/>
    <x v="445"/>
    <x v="308"/>
    <x v="37"/>
    <x v="460"/>
    <x v="66"/>
    <x v="2"/>
    <x v="20"/>
    <x v="6"/>
    <x v="3"/>
    <x v="191"/>
    <x v="386"/>
    <x v="0"/>
    <x v="0"/>
    <x v="5"/>
    <x v="2"/>
    <x v="65"/>
    <x v="0"/>
    <x v="14"/>
    <x v="4"/>
    <x v="67"/>
  </r>
  <r>
    <x v="98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98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98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98"/>
    <x v="90"/>
    <x v="111"/>
    <x v="0"/>
    <x v="60"/>
    <x v="98"/>
    <x v="98"/>
    <x v="97"/>
    <x v="97"/>
    <x v="0"/>
    <x v="503"/>
    <x v="509"/>
    <x v="446"/>
    <x v="396"/>
    <x v="3"/>
    <x v="461"/>
    <x v="128"/>
    <x v="1"/>
    <x v="36"/>
    <x v="51"/>
    <x v="2"/>
    <x v="240"/>
    <x v="387"/>
    <x v="0"/>
    <x v="0"/>
    <x v="2"/>
    <x v="2"/>
    <x v="58"/>
    <x v="0"/>
    <x v="14"/>
    <x v="4"/>
    <x v="60"/>
  </r>
  <r>
    <x v="98"/>
    <x v="90"/>
    <x v="112"/>
    <x v="1"/>
    <x v="46"/>
    <x v="99"/>
    <x v="99"/>
    <x v="98"/>
    <x v="98"/>
    <x v="0"/>
    <x v="504"/>
    <x v="510"/>
    <x v="447"/>
    <x v="252"/>
    <x v="48"/>
    <x v="462"/>
    <x v="185"/>
    <x v="1"/>
    <x v="45"/>
    <x v="3"/>
    <x v="3"/>
    <x v="243"/>
    <x v="388"/>
    <x v="28"/>
    <x v="56"/>
    <x v="11"/>
    <x v="5"/>
    <x v="46"/>
    <x v="0"/>
    <x v="14"/>
    <x v="4"/>
    <x v="46"/>
  </r>
  <r>
    <x v="98"/>
    <x v="91"/>
    <x v="114"/>
    <x v="0"/>
    <x v="62"/>
    <x v="101"/>
    <x v="101"/>
    <x v="100"/>
    <x v="100"/>
    <x v="0"/>
    <x v="505"/>
    <x v="511"/>
    <x v="448"/>
    <x v="291"/>
    <x v="71"/>
    <x v="463"/>
    <x v="114"/>
    <x v="1"/>
    <x v="55"/>
    <x v="5"/>
    <x v="3"/>
    <x v="104"/>
    <x v="389"/>
    <x v="15"/>
    <x v="57"/>
    <x v="39"/>
    <x v="10"/>
    <x v="60"/>
    <x v="0"/>
    <x v="16"/>
    <x v="4"/>
    <x v="62"/>
  </r>
  <r>
    <x v="98"/>
    <x v="94"/>
    <x v="118"/>
    <x v="0"/>
    <x v="63"/>
    <x v="104"/>
    <x v="104"/>
    <x v="103"/>
    <x v="103"/>
    <x v="0"/>
    <x v="506"/>
    <x v="512"/>
    <x v="449"/>
    <x v="397"/>
    <x v="32"/>
    <x v="464"/>
    <x v="38"/>
    <x v="2"/>
    <x v="85"/>
    <x v="33"/>
    <x v="2"/>
    <x v="105"/>
    <x v="288"/>
    <x v="0"/>
    <x v="0"/>
    <x v="4"/>
    <x v="12"/>
    <x v="61"/>
    <x v="0"/>
    <x v="14"/>
    <x v="4"/>
    <x v="63"/>
  </r>
  <r>
    <x v="98"/>
    <x v="96"/>
    <x v="120"/>
    <x v="1"/>
    <x v="61"/>
    <x v="105"/>
    <x v="105"/>
    <x v="104"/>
    <x v="104"/>
    <x v="0"/>
    <x v="507"/>
    <x v="513"/>
    <x v="286"/>
    <x v="89"/>
    <x v="74"/>
    <x v="465"/>
    <x v="15"/>
    <x v="2"/>
    <x v="14"/>
    <x v="3"/>
    <x v="3"/>
    <x v="15"/>
    <x v="15"/>
    <x v="0"/>
    <x v="0"/>
    <x v="5"/>
    <x v="2"/>
    <x v="59"/>
    <x v="0"/>
    <x v="14"/>
    <x v="4"/>
    <x v="61"/>
  </r>
  <r>
    <x v="98"/>
    <x v="98"/>
    <x v="122"/>
    <x v="1"/>
    <x v="52"/>
    <x v="107"/>
    <x v="107"/>
    <x v="106"/>
    <x v="10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0"/>
    <x v="0"/>
    <x v="14"/>
    <x v="4"/>
    <x v="52"/>
  </r>
  <r>
    <x v="98"/>
    <x v="101"/>
    <x v="126"/>
    <x v="0"/>
    <x v="66"/>
    <x v="110"/>
    <x v="110"/>
    <x v="109"/>
    <x v="109"/>
    <x v="0"/>
    <x v="508"/>
    <x v="514"/>
    <x v="450"/>
    <x v="398"/>
    <x v="36"/>
    <x v="466"/>
    <x v="176"/>
    <x v="2"/>
    <x v="90"/>
    <x v="6"/>
    <x v="7"/>
    <x v="121"/>
    <x v="390"/>
    <x v="0"/>
    <x v="0"/>
    <x v="4"/>
    <x v="5"/>
    <x v="64"/>
    <x v="0"/>
    <x v="14"/>
    <x v="4"/>
    <x v="66"/>
  </r>
  <r>
    <x v="98"/>
    <x v="101"/>
    <x v="127"/>
    <x v="0"/>
    <x v="67"/>
    <x v="111"/>
    <x v="111"/>
    <x v="110"/>
    <x v="110"/>
    <x v="0"/>
    <x v="30"/>
    <x v="51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4"/>
    <x v="67"/>
  </r>
  <r>
    <x v="99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99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99"/>
    <x v="90"/>
    <x v="111"/>
    <x v="0"/>
    <x v="60"/>
    <x v="98"/>
    <x v="98"/>
    <x v="97"/>
    <x v="97"/>
    <x v="0"/>
    <x v="509"/>
    <x v="516"/>
    <x v="94"/>
    <x v="399"/>
    <x v="32"/>
    <x v="19"/>
    <x v="18"/>
    <x v="2"/>
    <x v="14"/>
    <x v="3"/>
    <x v="3"/>
    <x v="20"/>
    <x v="391"/>
    <x v="0"/>
    <x v="0"/>
    <x v="5"/>
    <x v="2"/>
    <x v="58"/>
    <x v="0"/>
    <x v="14"/>
    <x v="4"/>
    <x v="60"/>
  </r>
  <r>
    <x v="99"/>
    <x v="90"/>
    <x v="112"/>
    <x v="1"/>
    <x v="46"/>
    <x v="99"/>
    <x v="99"/>
    <x v="98"/>
    <x v="98"/>
    <x v="0"/>
    <x v="510"/>
    <x v="517"/>
    <x v="451"/>
    <x v="335"/>
    <x v="35"/>
    <x v="467"/>
    <x v="112"/>
    <x v="0"/>
    <x v="91"/>
    <x v="0"/>
    <x v="1"/>
    <x v="77"/>
    <x v="392"/>
    <x v="29"/>
    <x v="58"/>
    <x v="0"/>
    <x v="3"/>
    <x v="46"/>
    <x v="0"/>
    <x v="14"/>
    <x v="4"/>
    <x v="46"/>
  </r>
  <r>
    <x v="99"/>
    <x v="91"/>
    <x v="114"/>
    <x v="0"/>
    <x v="62"/>
    <x v="101"/>
    <x v="101"/>
    <x v="100"/>
    <x v="100"/>
    <x v="0"/>
    <x v="511"/>
    <x v="518"/>
    <x v="452"/>
    <x v="277"/>
    <x v="27"/>
    <x v="468"/>
    <x v="40"/>
    <x v="0"/>
    <x v="4"/>
    <x v="3"/>
    <x v="4"/>
    <x v="79"/>
    <x v="393"/>
    <x v="3"/>
    <x v="27"/>
    <x v="2"/>
    <x v="13"/>
    <x v="60"/>
    <x v="0"/>
    <x v="16"/>
    <x v="4"/>
    <x v="62"/>
  </r>
  <r>
    <x v="99"/>
    <x v="94"/>
    <x v="118"/>
    <x v="0"/>
    <x v="63"/>
    <x v="104"/>
    <x v="104"/>
    <x v="103"/>
    <x v="103"/>
    <x v="0"/>
    <x v="512"/>
    <x v="519"/>
    <x v="453"/>
    <x v="400"/>
    <x v="4"/>
    <x v="214"/>
    <x v="15"/>
    <x v="2"/>
    <x v="14"/>
    <x v="3"/>
    <x v="3"/>
    <x v="15"/>
    <x v="15"/>
    <x v="0"/>
    <x v="0"/>
    <x v="5"/>
    <x v="2"/>
    <x v="61"/>
    <x v="0"/>
    <x v="14"/>
    <x v="4"/>
    <x v="63"/>
  </r>
  <r>
    <x v="99"/>
    <x v="101"/>
    <x v="126"/>
    <x v="0"/>
    <x v="66"/>
    <x v="110"/>
    <x v="110"/>
    <x v="109"/>
    <x v="109"/>
    <x v="0"/>
    <x v="513"/>
    <x v="520"/>
    <x v="454"/>
    <x v="191"/>
    <x v="82"/>
    <x v="469"/>
    <x v="87"/>
    <x v="7"/>
    <x v="91"/>
    <x v="51"/>
    <x v="4"/>
    <x v="16"/>
    <x v="394"/>
    <x v="0"/>
    <x v="0"/>
    <x v="10"/>
    <x v="2"/>
    <x v="64"/>
    <x v="0"/>
    <x v="14"/>
    <x v="4"/>
    <x v="66"/>
  </r>
  <r>
    <x v="99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4"/>
    <x v="67"/>
  </r>
  <r>
    <x v="99"/>
    <x v="102"/>
    <x v="128"/>
    <x v="0"/>
    <x v="68"/>
    <x v="112"/>
    <x v="112"/>
    <x v="111"/>
    <x v="111"/>
    <x v="0"/>
    <x v="514"/>
    <x v="521"/>
    <x v="455"/>
    <x v="232"/>
    <x v="36"/>
    <x v="266"/>
    <x v="19"/>
    <x v="1"/>
    <x v="49"/>
    <x v="11"/>
    <x v="0"/>
    <x v="244"/>
    <x v="395"/>
    <x v="0"/>
    <x v="0"/>
    <x v="5"/>
    <x v="2"/>
    <x v="66"/>
    <x v="0"/>
    <x v="14"/>
    <x v="4"/>
    <x v="68"/>
  </r>
  <r>
    <x v="100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100"/>
    <x v="88"/>
    <x v="105"/>
    <x v="0"/>
    <x v="48"/>
    <x v="93"/>
    <x v="93"/>
    <x v="92"/>
    <x v="92"/>
    <x v="0"/>
    <x v="515"/>
    <x v="522"/>
    <x v="456"/>
    <x v="208"/>
    <x v="21"/>
    <x v="470"/>
    <x v="18"/>
    <x v="2"/>
    <x v="14"/>
    <x v="3"/>
    <x v="3"/>
    <x v="20"/>
    <x v="396"/>
    <x v="0"/>
    <x v="0"/>
    <x v="5"/>
    <x v="2"/>
    <x v="47"/>
    <x v="0"/>
    <x v="14"/>
    <x v="4"/>
    <x v="48"/>
  </r>
  <r>
    <x v="100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00"/>
    <x v="90"/>
    <x v="112"/>
    <x v="1"/>
    <x v="46"/>
    <x v="99"/>
    <x v="99"/>
    <x v="98"/>
    <x v="98"/>
    <x v="0"/>
    <x v="516"/>
    <x v="523"/>
    <x v="85"/>
    <x v="401"/>
    <x v="48"/>
    <x v="471"/>
    <x v="15"/>
    <x v="2"/>
    <x v="14"/>
    <x v="3"/>
    <x v="3"/>
    <x v="15"/>
    <x v="15"/>
    <x v="0"/>
    <x v="0"/>
    <x v="5"/>
    <x v="2"/>
    <x v="46"/>
    <x v="0"/>
    <x v="14"/>
    <x v="4"/>
    <x v="46"/>
  </r>
  <r>
    <x v="100"/>
    <x v="91"/>
    <x v="114"/>
    <x v="0"/>
    <x v="62"/>
    <x v="101"/>
    <x v="101"/>
    <x v="100"/>
    <x v="100"/>
    <x v="0"/>
    <x v="517"/>
    <x v="338"/>
    <x v="306"/>
    <x v="402"/>
    <x v="58"/>
    <x v="472"/>
    <x v="15"/>
    <x v="2"/>
    <x v="14"/>
    <x v="3"/>
    <x v="3"/>
    <x v="15"/>
    <x v="15"/>
    <x v="0"/>
    <x v="0"/>
    <x v="5"/>
    <x v="2"/>
    <x v="60"/>
    <x v="0"/>
    <x v="16"/>
    <x v="4"/>
    <x v="62"/>
  </r>
  <r>
    <x v="100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4"/>
    <x v="63"/>
  </r>
  <r>
    <x v="100"/>
    <x v="96"/>
    <x v="120"/>
    <x v="1"/>
    <x v="61"/>
    <x v="105"/>
    <x v="105"/>
    <x v="104"/>
    <x v="10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9"/>
    <x v="0"/>
    <x v="14"/>
    <x v="4"/>
    <x v="61"/>
  </r>
  <r>
    <x v="100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4"/>
    <x v="65"/>
  </r>
  <r>
    <x v="100"/>
    <x v="101"/>
    <x v="126"/>
    <x v="0"/>
    <x v="66"/>
    <x v="110"/>
    <x v="110"/>
    <x v="109"/>
    <x v="109"/>
    <x v="0"/>
    <x v="518"/>
    <x v="524"/>
    <x v="304"/>
    <x v="403"/>
    <x v="35"/>
    <x v="473"/>
    <x v="26"/>
    <x v="2"/>
    <x v="24"/>
    <x v="3"/>
    <x v="3"/>
    <x v="83"/>
    <x v="397"/>
    <x v="0"/>
    <x v="0"/>
    <x v="5"/>
    <x v="2"/>
    <x v="64"/>
    <x v="0"/>
    <x v="14"/>
    <x v="4"/>
    <x v="66"/>
  </r>
  <r>
    <x v="100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4"/>
    <x v="67"/>
  </r>
  <r>
    <x v="100"/>
    <x v="102"/>
    <x v="128"/>
    <x v="0"/>
    <x v="68"/>
    <x v="112"/>
    <x v="112"/>
    <x v="111"/>
    <x v="111"/>
    <x v="0"/>
    <x v="519"/>
    <x v="525"/>
    <x v="457"/>
    <x v="233"/>
    <x v="12"/>
    <x v="474"/>
    <x v="18"/>
    <x v="2"/>
    <x v="14"/>
    <x v="3"/>
    <x v="3"/>
    <x v="20"/>
    <x v="398"/>
    <x v="0"/>
    <x v="0"/>
    <x v="5"/>
    <x v="2"/>
    <x v="66"/>
    <x v="0"/>
    <x v="14"/>
    <x v="4"/>
    <x v="68"/>
  </r>
  <r>
    <x v="100"/>
    <x v="103"/>
    <x v="129"/>
    <x v="0"/>
    <x v="48"/>
    <x v="113"/>
    <x v="113"/>
    <x v="112"/>
    <x v="112"/>
    <x v="0"/>
    <x v="520"/>
    <x v="526"/>
    <x v="458"/>
    <x v="213"/>
    <x v="74"/>
    <x v="475"/>
    <x v="84"/>
    <x v="2"/>
    <x v="28"/>
    <x v="39"/>
    <x v="0"/>
    <x v="218"/>
    <x v="399"/>
    <x v="0"/>
    <x v="0"/>
    <x v="4"/>
    <x v="12"/>
    <x v="47"/>
    <x v="0"/>
    <x v="14"/>
    <x v="4"/>
    <x v="48"/>
  </r>
  <r>
    <x v="101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01"/>
    <x v="88"/>
    <x v="105"/>
    <x v="0"/>
    <x v="48"/>
    <x v="93"/>
    <x v="93"/>
    <x v="92"/>
    <x v="92"/>
    <x v="0"/>
    <x v="521"/>
    <x v="527"/>
    <x v="308"/>
    <x v="165"/>
    <x v="26"/>
    <x v="476"/>
    <x v="15"/>
    <x v="2"/>
    <x v="14"/>
    <x v="3"/>
    <x v="3"/>
    <x v="15"/>
    <x v="15"/>
    <x v="0"/>
    <x v="0"/>
    <x v="5"/>
    <x v="2"/>
    <x v="47"/>
    <x v="0"/>
    <x v="14"/>
    <x v="4"/>
    <x v="48"/>
  </r>
  <r>
    <x v="10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01"/>
    <x v="90"/>
    <x v="112"/>
    <x v="1"/>
    <x v="46"/>
    <x v="99"/>
    <x v="99"/>
    <x v="98"/>
    <x v="98"/>
    <x v="0"/>
    <x v="522"/>
    <x v="528"/>
    <x v="459"/>
    <x v="404"/>
    <x v="52"/>
    <x v="477"/>
    <x v="43"/>
    <x v="2"/>
    <x v="22"/>
    <x v="5"/>
    <x v="2"/>
    <x v="149"/>
    <x v="400"/>
    <x v="30"/>
    <x v="59"/>
    <x v="1"/>
    <x v="6"/>
    <x v="46"/>
    <x v="0"/>
    <x v="14"/>
    <x v="4"/>
    <x v="46"/>
  </r>
  <r>
    <x v="101"/>
    <x v="91"/>
    <x v="114"/>
    <x v="0"/>
    <x v="62"/>
    <x v="101"/>
    <x v="101"/>
    <x v="100"/>
    <x v="100"/>
    <x v="0"/>
    <x v="523"/>
    <x v="529"/>
    <x v="460"/>
    <x v="405"/>
    <x v="36"/>
    <x v="478"/>
    <x v="60"/>
    <x v="2"/>
    <x v="28"/>
    <x v="3"/>
    <x v="4"/>
    <x v="203"/>
    <x v="401"/>
    <x v="23"/>
    <x v="42"/>
    <x v="3"/>
    <x v="6"/>
    <x v="60"/>
    <x v="0"/>
    <x v="16"/>
    <x v="4"/>
    <x v="62"/>
  </r>
  <r>
    <x v="101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4"/>
    <x v="63"/>
  </r>
  <r>
    <x v="101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4"/>
    <x v="65"/>
  </r>
  <r>
    <x v="101"/>
    <x v="101"/>
    <x v="126"/>
    <x v="0"/>
    <x v="66"/>
    <x v="110"/>
    <x v="110"/>
    <x v="109"/>
    <x v="109"/>
    <x v="0"/>
    <x v="524"/>
    <x v="530"/>
    <x v="461"/>
    <x v="228"/>
    <x v="76"/>
    <x v="479"/>
    <x v="114"/>
    <x v="7"/>
    <x v="2"/>
    <x v="14"/>
    <x v="23"/>
    <x v="234"/>
    <x v="402"/>
    <x v="0"/>
    <x v="0"/>
    <x v="5"/>
    <x v="2"/>
    <x v="64"/>
    <x v="0"/>
    <x v="14"/>
    <x v="4"/>
    <x v="66"/>
  </r>
  <r>
    <x v="101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4"/>
    <x v="67"/>
  </r>
  <r>
    <x v="101"/>
    <x v="102"/>
    <x v="130"/>
    <x v="0"/>
    <x v="69"/>
    <x v="114"/>
    <x v="114"/>
    <x v="113"/>
    <x v="113"/>
    <x v="0"/>
    <x v="525"/>
    <x v="531"/>
    <x v="462"/>
    <x v="140"/>
    <x v="82"/>
    <x v="480"/>
    <x v="60"/>
    <x v="0"/>
    <x v="38"/>
    <x v="3"/>
    <x v="4"/>
    <x v="203"/>
    <x v="403"/>
    <x v="0"/>
    <x v="0"/>
    <x v="3"/>
    <x v="11"/>
    <x v="67"/>
    <x v="0"/>
    <x v="14"/>
    <x v="4"/>
    <x v="69"/>
  </r>
  <r>
    <x v="101"/>
    <x v="102"/>
    <x v="128"/>
    <x v="0"/>
    <x v="68"/>
    <x v="112"/>
    <x v="112"/>
    <x v="111"/>
    <x v="1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6"/>
    <x v="0"/>
    <x v="14"/>
    <x v="4"/>
    <x v="68"/>
  </r>
  <r>
    <x v="101"/>
    <x v="103"/>
    <x v="129"/>
    <x v="0"/>
    <x v="48"/>
    <x v="113"/>
    <x v="113"/>
    <x v="112"/>
    <x v="112"/>
    <x v="0"/>
    <x v="526"/>
    <x v="532"/>
    <x v="118"/>
    <x v="270"/>
    <x v="10"/>
    <x v="481"/>
    <x v="8"/>
    <x v="2"/>
    <x v="50"/>
    <x v="11"/>
    <x v="3"/>
    <x v="93"/>
    <x v="404"/>
    <x v="0"/>
    <x v="0"/>
    <x v="5"/>
    <x v="2"/>
    <x v="47"/>
    <x v="0"/>
    <x v="14"/>
    <x v="4"/>
    <x v="48"/>
  </r>
  <r>
    <x v="10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02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10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02"/>
    <x v="90"/>
    <x v="112"/>
    <x v="1"/>
    <x v="46"/>
    <x v="99"/>
    <x v="99"/>
    <x v="98"/>
    <x v="98"/>
    <x v="0"/>
    <x v="527"/>
    <x v="533"/>
    <x v="463"/>
    <x v="357"/>
    <x v="48"/>
    <x v="482"/>
    <x v="10"/>
    <x v="2"/>
    <x v="2"/>
    <x v="3"/>
    <x v="3"/>
    <x v="154"/>
    <x v="405"/>
    <x v="31"/>
    <x v="60"/>
    <x v="7"/>
    <x v="10"/>
    <x v="46"/>
    <x v="0"/>
    <x v="14"/>
    <x v="4"/>
    <x v="46"/>
  </r>
  <r>
    <x v="102"/>
    <x v="91"/>
    <x v="114"/>
    <x v="0"/>
    <x v="62"/>
    <x v="101"/>
    <x v="101"/>
    <x v="100"/>
    <x v="100"/>
    <x v="0"/>
    <x v="528"/>
    <x v="534"/>
    <x v="464"/>
    <x v="406"/>
    <x v="14"/>
    <x v="161"/>
    <x v="118"/>
    <x v="2"/>
    <x v="89"/>
    <x v="5"/>
    <x v="0"/>
    <x v="245"/>
    <x v="406"/>
    <x v="4"/>
    <x v="61"/>
    <x v="1"/>
    <x v="3"/>
    <x v="60"/>
    <x v="0"/>
    <x v="16"/>
    <x v="4"/>
    <x v="62"/>
  </r>
  <r>
    <x v="102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4"/>
    <x v="63"/>
  </r>
  <r>
    <x v="102"/>
    <x v="101"/>
    <x v="126"/>
    <x v="0"/>
    <x v="66"/>
    <x v="110"/>
    <x v="110"/>
    <x v="109"/>
    <x v="109"/>
    <x v="0"/>
    <x v="529"/>
    <x v="535"/>
    <x v="465"/>
    <x v="390"/>
    <x v="52"/>
    <x v="464"/>
    <x v="111"/>
    <x v="6"/>
    <x v="17"/>
    <x v="51"/>
    <x v="26"/>
    <x v="124"/>
    <x v="1"/>
    <x v="0"/>
    <x v="0"/>
    <x v="5"/>
    <x v="2"/>
    <x v="64"/>
    <x v="0"/>
    <x v="14"/>
    <x v="4"/>
    <x v="66"/>
  </r>
  <r>
    <x v="102"/>
    <x v="102"/>
    <x v="130"/>
    <x v="0"/>
    <x v="69"/>
    <x v="114"/>
    <x v="114"/>
    <x v="113"/>
    <x v="113"/>
    <x v="0"/>
    <x v="530"/>
    <x v="536"/>
    <x v="466"/>
    <x v="407"/>
    <x v="83"/>
    <x v="78"/>
    <x v="144"/>
    <x v="3"/>
    <x v="81"/>
    <x v="3"/>
    <x v="23"/>
    <x v="246"/>
    <x v="407"/>
    <x v="0"/>
    <x v="0"/>
    <x v="40"/>
    <x v="3"/>
    <x v="67"/>
    <x v="0"/>
    <x v="14"/>
    <x v="4"/>
    <x v="69"/>
  </r>
  <r>
    <x v="102"/>
    <x v="102"/>
    <x v="128"/>
    <x v="0"/>
    <x v="68"/>
    <x v="112"/>
    <x v="112"/>
    <x v="111"/>
    <x v="1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6"/>
    <x v="0"/>
    <x v="14"/>
    <x v="4"/>
    <x v="68"/>
  </r>
  <r>
    <x v="102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02"/>
    <x v="104"/>
    <x v="131"/>
    <x v="0"/>
    <x v="70"/>
    <x v="115"/>
    <x v="115"/>
    <x v="114"/>
    <x v="114"/>
    <x v="0"/>
    <x v="531"/>
    <x v="537"/>
    <x v="467"/>
    <x v="408"/>
    <x v="81"/>
    <x v="304"/>
    <x v="118"/>
    <x v="2"/>
    <x v="16"/>
    <x v="5"/>
    <x v="8"/>
    <x v="247"/>
    <x v="408"/>
    <x v="0"/>
    <x v="0"/>
    <x v="39"/>
    <x v="10"/>
    <x v="68"/>
    <x v="0"/>
    <x v="14"/>
    <x v="4"/>
    <x v="70"/>
  </r>
  <r>
    <x v="102"/>
    <x v="104"/>
    <x v="132"/>
    <x v="0"/>
    <x v="71"/>
    <x v="116"/>
    <x v="116"/>
    <x v="115"/>
    <x v="115"/>
    <x v="0"/>
    <x v="141"/>
    <x v="538"/>
    <x v="468"/>
    <x v="364"/>
    <x v="30"/>
    <x v="483"/>
    <x v="54"/>
    <x v="1"/>
    <x v="24"/>
    <x v="5"/>
    <x v="0"/>
    <x v="7"/>
    <x v="192"/>
    <x v="0"/>
    <x v="0"/>
    <x v="0"/>
    <x v="42"/>
    <x v="69"/>
    <x v="0"/>
    <x v="16"/>
    <x v="4"/>
    <x v="71"/>
  </r>
  <r>
    <x v="103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03"/>
    <x v="90"/>
    <x v="112"/>
    <x v="1"/>
    <x v="46"/>
    <x v="99"/>
    <x v="99"/>
    <x v="98"/>
    <x v="98"/>
    <x v="0"/>
    <x v="532"/>
    <x v="539"/>
    <x v="469"/>
    <x v="130"/>
    <x v="35"/>
    <x v="484"/>
    <x v="107"/>
    <x v="0"/>
    <x v="87"/>
    <x v="11"/>
    <x v="4"/>
    <x v="164"/>
    <x v="409"/>
    <x v="30"/>
    <x v="62"/>
    <x v="3"/>
    <x v="2"/>
    <x v="46"/>
    <x v="0"/>
    <x v="14"/>
    <x v="4"/>
    <x v="46"/>
  </r>
  <r>
    <x v="103"/>
    <x v="91"/>
    <x v="114"/>
    <x v="0"/>
    <x v="62"/>
    <x v="101"/>
    <x v="101"/>
    <x v="100"/>
    <x v="100"/>
    <x v="0"/>
    <x v="533"/>
    <x v="540"/>
    <x v="247"/>
    <x v="140"/>
    <x v="53"/>
    <x v="485"/>
    <x v="18"/>
    <x v="2"/>
    <x v="14"/>
    <x v="3"/>
    <x v="3"/>
    <x v="20"/>
    <x v="410"/>
    <x v="0"/>
    <x v="0"/>
    <x v="5"/>
    <x v="2"/>
    <x v="60"/>
    <x v="0"/>
    <x v="16"/>
    <x v="4"/>
    <x v="62"/>
  </r>
  <r>
    <x v="103"/>
    <x v="101"/>
    <x v="126"/>
    <x v="0"/>
    <x v="66"/>
    <x v="110"/>
    <x v="110"/>
    <x v="109"/>
    <x v="109"/>
    <x v="0"/>
    <x v="534"/>
    <x v="541"/>
    <x v="470"/>
    <x v="210"/>
    <x v="82"/>
    <x v="486"/>
    <x v="37"/>
    <x v="7"/>
    <x v="73"/>
    <x v="6"/>
    <x v="26"/>
    <x v="124"/>
    <x v="411"/>
    <x v="0"/>
    <x v="0"/>
    <x v="2"/>
    <x v="2"/>
    <x v="64"/>
    <x v="0"/>
    <x v="14"/>
    <x v="4"/>
    <x v="66"/>
  </r>
  <r>
    <x v="103"/>
    <x v="102"/>
    <x v="130"/>
    <x v="0"/>
    <x v="69"/>
    <x v="114"/>
    <x v="114"/>
    <x v="113"/>
    <x v="113"/>
    <x v="0"/>
    <x v="535"/>
    <x v="542"/>
    <x v="471"/>
    <x v="222"/>
    <x v="94"/>
    <x v="487"/>
    <x v="100"/>
    <x v="2"/>
    <x v="30"/>
    <x v="3"/>
    <x v="1"/>
    <x v="182"/>
    <x v="412"/>
    <x v="0"/>
    <x v="0"/>
    <x v="5"/>
    <x v="2"/>
    <x v="67"/>
    <x v="0"/>
    <x v="14"/>
    <x v="4"/>
    <x v="69"/>
  </r>
  <r>
    <x v="103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03"/>
    <x v="104"/>
    <x v="131"/>
    <x v="0"/>
    <x v="70"/>
    <x v="115"/>
    <x v="115"/>
    <x v="114"/>
    <x v="114"/>
    <x v="0"/>
    <x v="536"/>
    <x v="543"/>
    <x v="354"/>
    <x v="409"/>
    <x v="41"/>
    <x v="378"/>
    <x v="26"/>
    <x v="1"/>
    <x v="14"/>
    <x v="3"/>
    <x v="3"/>
    <x v="83"/>
    <x v="360"/>
    <x v="0"/>
    <x v="0"/>
    <x v="5"/>
    <x v="2"/>
    <x v="68"/>
    <x v="0"/>
    <x v="14"/>
    <x v="4"/>
    <x v="70"/>
  </r>
  <r>
    <x v="103"/>
    <x v="104"/>
    <x v="132"/>
    <x v="0"/>
    <x v="71"/>
    <x v="116"/>
    <x v="116"/>
    <x v="115"/>
    <x v="115"/>
    <x v="0"/>
    <x v="537"/>
    <x v="544"/>
    <x v="472"/>
    <x v="224"/>
    <x v="42"/>
    <x v="488"/>
    <x v="40"/>
    <x v="0"/>
    <x v="8"/>
    <x v="6"/>
    <x v="0"/>
    <x v="232"/>
    <x v="408"/>
    <x v="0"/>
    <x v="0"/>
    <x v="7"/>
    <x v="40"/>
    <x v="69"/>
    <x v="0"/>
    <x v="16"/>
    <x v="4"/>
    <x v="71"/>
  </r>
  <r>
    <x v="104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104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04"/>
    <x v="90"/>
    <x v="112"/>
    <x v="1"/>
    <x v="46"/>
    <x v="99"/>
    <x v="99"/>
    <x v="98"/>
    <x v="98"/>
    <x v="0"/>
    <x v="538"/>
    <x v="545"/>
    <x v="473"/>
    <x v="130"/>
    <x v="35"/>
    <x v="489"/>
    <x v="62"/>
    <x v="2"/>
    <x v="2"/>
    <x v="5"/>
    <x v="1"/>
    <x v="14"/>
    <x v="413"/>
    <x v="12"/>
    <x v="63"/>
    <x v="1"/>
    <x v="11"/>
    <x v="46"/>
    <x v="0"/>
    <x v="14"/>
    <x v="4"/>
    <x v="46"/>
  </r>
  <r>
    <x v="104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104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4"/>
    <x v="63"/>
  </r>
  <r>
    <x v="104"/>
    <x v="101"/>
    <x v="126"/>
    <x v="0"/>
    <x v="66"/>
    <x v="110"/>
    <x v="110"/>
    <x v="109"/>
    <x v="109"/>
    <x v="0"/>
    <x v="539"/>
    <x v="546"/>
    <x v="474"/>
    <x v="79"/>
    <x v="25"/>
    <x v="490"/>
    <x v="107"/>
    <x v="0"/>
    <x v="91"/>
    <x v="6"/>
    <x v="1"/>
    <x v="45"/>
    <x v="414"/>
    <x v="0"/>
    <x v="0"/>
    <x v="5"/>
    <x v="2"/>
    <x v="64"/>
    <x v="0"/>
    <x v="14"/>
    <x v="4"/>
    <x v="66"/>
  </r>
  <r>
    <x v="104"/>
    <x v="102"/>
    <x v="130"/>
    <x v="0"/>
    <x v="69"/>
    <x v="114"/>
    <x v="114"/>
    <x v="113"/>
    <x v="113"/>
    <x v="0"/>
    <x v="540"/>
    <x v="547"/>
    <x v="475"/>
    <x v="410"/>
    <x v="83"/>
    <x v="236"/>
    <x v="149"/>
    <x v="1"/>
    <x v="36"/>
    <x v="3"/>
    <x v="1"/>
    <x v="248"/>
    <x v="415"/>
    <x v="0"/>
    <x v="0"/>
    <x v="10"/>
    <x v="6"/>
    <x v="67"/>
    <x v="0"/>
    <x v="14"/>
    <x v="4"/>
    <x v="69"/>
  </r>
  <r>
    <x v="104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04"/>
    <x v="104"/>
    <x v="131"/>
    <x v="0"/>
    <x v="70"/>
    <x v="115"/>
    <x v="115"/>
    <x v="114"/>
    <x v="114"/>
    <x v="0"/>
    <x v="541"/>
    <x v="548"/>
    <x v="476"/>
    <x v="213"/>
    <x v="81"/>
    <x v="491"/>
    <x v="71"/>
    <x v="1"/>
    <x v="10"/>
    <x v="0"/>
    <x v="8"/>
    <x v="4"/>
    <x v="416"/>
    <x v="0"/>
    <x v="0"/>
    <x v="39"/>
    <x v="11"/>
    <x v="68"/>
    <x v="0"/>
    <x v="14"/>
    <x v="4"/>
    <x v="70"/>
  </r>
  <r>
    <x v="104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  <x v="0"/>
    <x v="16"/>
    <x v="4"/>
    <x v="71"/>
  </r>
  <r>
    <x v="10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105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05"/>
    <x v="90"/>
    <x v="112"/>
    <x v="1"/>
    <x v="46"/>
    <x v="99"/>
    <x v="99"/>
    <x v="98"/>
    <x v="98"/>
    <x v="0"/>
    <x v="144"/>
    <x v="549"/>
    <x v="477"/>
    <x v="411"/>
    <x v="35"/>
    <x v="492"/>
    <x v="126"/>
    <x v="1"/>
    <x v="1"/>
    <x v="3"/>
    <x v="4"/>
    <x v="66"/>
    <x v="417"/>
    <x v="32"/>
    <x v="64"/>
    <x v="39"/>
    <x v="12"/>
    <x v="46"/>
    <x v="0"/>
    <x v="14"/>
    <x v="4"/>
    <x v="46"/>
  </r>
  <r>
    <x v="105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105"/>
    <x v="101"/>
    <x v="126"/>
    <x v="0"/>
    <x v="66"/>
    <x v="110"/>
    <x v="110"/>
    <x v="109"/>
    <x v="109"/>
    <x v="0"/>
    <x v="542"/>
    <x v="550"/>
    <x v="478"/>
    <x v="376"/>
    <x v="82"/>
    <x v="493"/>
    <x v="38"/>
    <x v="7"/>
    <x v="87"/>
    <x v="10"/>
    <x v="23"/>
    <x v="245"/>
    <x v="418"/>
    <x v="0"/>
    <x v="0"/>
    <x v="5"/>
    <x v="5"/>
    <x v="64"/>
    <x v="0"/>
    <x v="14"/>
    <x v="4"/>
    <x v="66"/>
  </r>
  <r>
    <x v="105"/>
    <x v="102"/>
    <x v="130"/>
    <x v="0"/>
    <x v="69"/>
    <x v="114"/>
    <x v="114"/>
    <x v="113"/>
    <x v="113"/>
    <x v="0"/>
    <x v="543"/>
    <x v="551"/>
    <x v="227"/>
    <x v="232"/>
    <x v="20"/>
    <x v="324"/>
    <x v="149"/>
    <x v="2"/>
    <x v="36"/>
    <x v="3"/>
    <x v="1"/>
    <x v="182"/>
    <x v="155"/>
    <x v="0"/>
    <x v="0"/>
    <x v="3"/>
    <x v="6"/>
    <x v="67"/>
    <x v="0"/>
    <x v="14"/>
    <x v="4"/>
    <x v="69"/>
  </r>
  <r>
    <x v="105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05"/>
    <x v="104"/>
    <x v="131"/>
    <x v="0"/>
    <x v="70"/>
    <x v="115"/>
    <x v="115"/>
    <x v="114"/>
    <x v="114"/>
    <x v="0"/>
    <x v="544"/>
    <x v="552"/>
    <x v="266"/>
    <x v="278"/>
    <x v="75"/>
    <x v="494"/>
    <x v="66"/>
    <x v="2"/>
    <x v="38"/>
    <x v="3"/>
    <x v="27"/>
    <x v="41"/>
    <x v="419"/>
    <x v="0"/>
    <x v="0"/>
    <x v="5"/>
    <x v="12"/>
    <x v="68"/>
    <x v="0"/>
    <x v="14"/>
    <x v="4"/>
    <x v="70"/>
  </r>
  <r>
    <x v="105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  <x v="0"/>
    <x v="16"/>
    <x v="4"/>
    <x v="71"/>
  </r>
  <r>
    <x v="105"/>
    <x v="105"/>
    <x v="133"/>
    <x v="0"/>
    <x v="46"/>
    <x v="117"/>
    <x v="117"/>
    <x v="116"/>
    <x v="116"/>
    <x v="0"/>
    <x v="545"/>
    <x v="553"/>
    <x v="479"/>
    <x v="384"/>
    <x v="8"/>
    <x v="446"/>
    <x v="186"/>
    <x v="0"/>
    <x v="10"/>
    <x v="3"/>
    <x v="3"/>
    <x v="249"/>
    <x v="46"/>
    <x v="33"/>
    <x v="65"/>
    <x v="7"/>
    <x v="10"/>
    <x v="46"/>
    <x v="0"/>
    <x v="14"/>
    <x v="4"/>
    <x v="46"/>
  </r>
  <r>
    <x v="10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06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0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06"/>
    <x v="90"/>
    <x v="112"/>
    <x v="1"/>
    <x v="46"/>
    <x v="99"/>
    <x v="99"/>
    <x v="98"/>
    <x v="98"/>
    <x v="0"/>
    <x v="507"/>
    <x v="554"/>
    <x v="276"/>
    <x v="412"/>
    <x v="81"/>
    <x v="495"/>
    <x v="15"/>
    <x v="2"/>
    <x v="14"/>
    <x v="3"/>
    <x v="3"/>
    <x v="15"/>
    <x v="15"/>
    <x v="0"/>
    <x v="0"/>
    <x v="2"/>
    <x v="2"/>
    <x v="46"/>
    <x v="0"/>
    <x v="14"/>
    <x v="4"/>
    <x v="46"/>
  </r>
  <r>
    <x v="106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106"/>
    <x v="91"/>
    <x v="115"/>
    <x v="1"/>
    <x v="47"/>
    <x v="102"/>
    <x v="102"/>
    <x v="101"/>
    <x v="10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06"/>
    <x v="101"/>
    <x v="126"/>
    <x v="0"/>
    <x v="66"/>
    <x v="110"/>
    <x v="110"/>
    <x v="109"/>
    <x v="109"/>
    <x v="0"/>
    <x v="546"/>
    <x v="555"/>
    <x v="480"/>
    <x v="104"/>
    <x v="41"/>
    <x v="496"/>
    <x v="8"/>
    <x v="2"/>
    <x v="14"/>
    <x v="3"/>
    <x v="3"/>
    <x v="27"/>
    <x v="385"/>
    <x v="0"/>
    <x v="0"/>
    <x v="5"/>
    <x v="2"/>
    <x v="64"/>
    <x v="0"/>
    <x v="14"/>
    <x v="4"/>
    <x v="66"/>
  </r>
  <r>
    <x v="106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4"/>
    <x v="67"/>
  </r>
  <r>
    <x v="106"/>
    <x v="102"/>
    <x v="130"/>
    <x v="0"/>
    <x v="69"/>
    <x v="114"/>
    <x v="114"/>
    <x v="113"/>
    <x v="113"/>
    <x v="0"/>
    <x v="547"/>
    <x v="556"/>
    <x v="3"/>
    <x v="413"/>
    <x v="24"/>
    <x v="497"/>
    <x v="187"/>
    <x v="7"/>
    <x v="79"/>
    <x v="3"/>
    <x v="3"/>
    <x v="250"/>
    <x v="241"/>
    <x v="0"/>
    <x v="0"/>
    <x v="3"/>
    <x v="6"/>
    <x v="67"/>
    <x v="0"/>
    <x v="14"/>
    <x v="4"/>
    <x v="69"/>
  </r>
  <r>
    <x v="106"/>
    <x v="104"/>
    <x v="131"/>
    <x v="0"/>
    <x v="70"/>
    <x v="115"/>
    <x v="115"/>
    <x v="114"/>
    <x v="114"/>
    <x v="0"/>
    <x v="548"/>
    <x v="557"/>
    <x v="437"/>
    <x v="414"/>
    <x v="17"/>
    <x v="498"/>
    <x v="165"/>
    <x v="7"/>
    <x v="134"/>
    <x v="5"/>
    <x v="22"/>
    <x v="221"/>
    <x v="109"/>
    <x v="0"/>
    <x v="0"/>
    <x v="11"/>
    <x v="30"/>
    <x v="68"/>
    <x v="0"/>
    <x v="14"/>
    <x v="4"/>
    <x v="70"/>
  </r>
  <r>
    <x v="106"/>
    <x v="105"/>
    <x v="133"/>
    <x v="0"/>
    <x v="46"/>
    <x v="117"/>
    <x v="117"/>
    <x v="116"/>
    <x v="116"/>
    <x v="0"/>
    <x v="549"/>
    <x v="558"/>
    <x v="113"/>
    <x v="367"/>
    <x v="42"/>
    <x v="24"/>
    <x v="15"/>
    <x v="2"/>
    <x v="14"/>
    <x v="3"/>
    <x v="3"/>
    <x v="15"/>
    <x v="15"/>
    <x v="0"/>
    <x v="0"/>
    <x v="5"/>
    <x v="2"/>
    <x v="46"/>
    <x v="0"/>
    <x v="14"/>
    <x v="4"/>
    <x v="46"/>
  </r>
  <r>
    <x v="106"/>
    <x v="106"/>
    <x v="134"/>
    <x v="0"/>
    <x v="72"/>
    <x v="118"/>
    <x v="118"/>
    <x v="117"/>
    <x v="117"/>
    <x v="0"/>
    <x v="550"/>
    <x v="559"/>
    <x v="481"/>
    <x v="415"/>
    <x v="95"/>
    <x v="499"/>
    <x v="150"/>
    <x v="2"/>
    <x v="85"/>
    <x v="11"/>
    <x v="3"/>
    <x v="182"/>
    <x v="420"/>
    <x v="0"/>
    <x v="0"/>
    <x v="1"/>
    <x v="2"/>
    <x v="70"/>
    <x v="0"/>
    <x v="14"/>
    <x v="4"/>
    <x v="72"/>
  </r>
  <r>
    <x v="106"/>
    <x v="106"/>
    <x v="135"/>
    <x v="0"/>
    <x v="73"/>
    <x v="119"/>
    <x v="119"/>
    <x v="118"/>
    <x v="118"/>
    <x v="0"/>
    <x v="551"/>
    <x v="560"/>
    <x v="482"/>
    <x v="416"/>
    <x v="96"/>
    <x v="500"/>
    <x v="164"/>
    <x v="2"/>
    <x v="9"/>
    <x v="3"/>
    <x v="2"/>
    <x v="251"/>
    <x v="421"/>
    <x v="0"/>
    <x v="0"/>
    <x v="4"/>
    <x v="2"/>
    <x v="71"/>
    <x v="0"/>
    <x v="14"/>
    <x v="4"/>
    <x v="73"/>
  </r>
  <r>
    <x v="107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07"/>
    <x v="88"/>
    <x v="105"/>
    <x v="0"/>
    <x v="48"/>
    <x v="93"/>
    <x v="93"/>
    <x v="92"/>
    <x v="9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07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07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107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107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4"/>
    <x v="65"/>
  </r>
  <r>
    <x v="107"/>
    <x v="101"/>
    <x v="126"/>
    <x v="0"/>
    <x v="66"/>
    <x v="110"/>
    <x v="110"/>
    <x v="109"/>
    <x v="10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4"/>
    <x v="0"/>
    <x v="14"/>
    <x v="4"/>
    <x v="66"/>
  </r>
  <r>
    <x v="107"/>
    <x v="102"/>
    <x v="130"/>
    <x v="0"/>
    <x v="69"/>
    <x v="114"/>
    <x v="114"/>
    <x v="113"/>
    <x v="113"/>
    <x v="0"/>
    <x v="552"/>
    <x v="561"/>
    <x v="483"/>
    <x v="326"/>
    <x v="47"/>
    <x v="501"/>
    <x v="188"/>
    <x v="1"/>
    <x v="26"/>
    <x v="5"/>
    <x v="0"/>
    <x v="153"/>
    <x v="422"/>
    <x v="0"/>
    <x v="0"/>
    <x v="39"/>
    <x v="11"/>
    <x v="67"/>
    <x v="0"/>
    <x v="14"/>
    <x v="4"/>
    <x v="69"/>
  </r>
  <r>
    <x v="107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07"/>
    <x v="104"/>
    <x v="131"/>
    <x v="0"/>
    <x v="70"/>
    <x v="115"/>
    <x v="115"/>
    <x v="114"/>
    <x v="114"/>
    <x v="0"/>
    <x v="553"/>
    <x v="562"/>
    <x v="484"/>
    <x v="417"/>
    <x v="41"/>
    <x v="402"/>
    <x v="114"/>
    <x v="0"/>
    <x v="9"/>
    <x v="3"/>
    <x v="12"/>
    <x v="252"/>
    <x v="423"/>
    <x v="0"/>
    <x v="0"/>
    <x v="11"/>
    <x v="26"/>
    <x v="68"/>
    <x v="0"/>
    <x v="14"/>
    <x v="4"/>
    <x v="70"/>
  </r>
  <r>
    <x v="107"/>
    <x v="105"/>
    <x v="133"/>
    <x v="0"/>
    <x v="46"/>
    <x v="117"/>
    <x v="117"/>
    <x v="116"/>
    <x v="11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107"/>
    <x v="106"/>
    <x v="134"/>
    <x v="0"/>
    <x v="72"/>
    <x v="118"/>
    <x v="118"/>
    <x v="117"/>
    <x v="117"/>
    <x v="0"/>
    <x v="554"/>
    <x v="563"/>
    <x v="485"/>
    <x v="195"/>
    <x v="72"/>
    <x v="502"/>
    <x v="161"/>
    <x v="2"/>
    <x v="2"/>
    <x v="3"/>
    <x v="3"/>
    <x v="85"/>
    <x v="424"/>
    <x v="0"/>
    <x v="0"/>
    <x v="2"/>
    <x v="2"/>
    <x v="70"/>
    <x v="0"/>
    <x v="14"/>
    <x v="4"/>
    <x v="72"/>
  </r>
  <r>
    <x v="107"/>
    <x v="106"/>
    <x v="135"/>
    <x v="0"/>
    <x v="73"/>
    <x v="119"/>
    <x v="119"/>
    <x v="118"/>
    <x v="118"/>
    <x v="0"/>
    <x v="555"/>
    <x v="564"/>
    <x v="486"/>
    <x v="326"/>
    <x v="97"/>
    <x v="503"/>
    <x v="139"/>
    <x v="1"/>
    <x v="33"/>
    <x v="5"/>
    <x v="3"/>
    <x v="86"/>
    <x v="152"/>
    <x v="0"/>
    <x v="0"/>
    <x v="2"/>
    <x v="2"/>
    <x v="71"/>
    <x v="0"/>
    <x v="14"/>
    <x v="4"/>
    <x v="73"/>
  </r>
  <r>
    <x v="107"/>
    <x v="107"/>
    <x v="136"/>
    <x v="0"/>
    <x v="72"/>
    <x v="120"/>
    <x v="120"/>
    <x v="119"/>
    <x v="119"/>
    <x v="0"/>
    <x v="556"/>
    <x v="565"/>
    <x v="487"/>
    <x v="418"/>
    <x v="8"/>
    <x v="248"/>
    <x v="92"/>
    <x v="2"/>
    <x v="10"/>
    <x v="3"/>
    <x v="2"/>
    <x v="244"/>
    <x v="379"/>
    <x v="0"/>
    <x v="0"/>
    <x v="1"/>
    <x v="2"/>
    <x v="70"/>
    <x v="0"/>
    <x v="14"/>
    <x v="4"/>
    <x v="72"/>
  </r>
  <r>
    <x v="107"/>
    <x v="107"/>
    <x v="137"/>
    <x v="0"/>
    <x v="73"/>
    <x v="121"/>
    <x v="121"/>
    <x v="120"/>
    <x v="120"/>
    <x v="0"/>
    <x v="557"/>
    <x v="566"/>
    <x v="488"/>
    <x v="419"/>
    <x v="3"/>
    <x v="504"/>
    <x v="172"/>
    <x v="0"/>
    <x v="13"/>
    <x v="5"/>
    <x v="3"/>
    <x v="227"/>
    <x v="358"/>
    <x v="0"/>
    <x v="0"/>
    <x v="4"/>
    <x v="10"/>
    <x v="71"/>
    <x v="0"/>
    <x v="14"/>
    <x v="4"/>
    <x v="73"/>
  </r>
  <r>
    <x v="108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108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08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4"/>
    <x v="63"/>
  </r>
  <r>
    <x v="108"/>
    <x v="101"/>
    <x v="126"/>
    <x v="0"/>
    <x v="66"/>
    <x v="110"/>
    <x v="110"/>
    <x v="109"/>
    <x v="10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4"/>
    <x v="0"/>
    <x v="14"/>
    <x v="4"/>
    <x v="66"/>
  </r>
  <r>
    <x v="108"/>
    <x v="102"/>
    <x v="130"/>
    <x v="0"/>
    <x v="69"/>
    <x v="114"/>
    <x v="114"/>
    <x v="113"/>
    <x v="113"/>
    <x v="0"/>
    <x v="558"/>
    <x v="567"/>
    <x v="489"/>
    <x v="420"/>
    <x v="83"/>
    <x v="505"/>
    <x v="189"/>
    <x v="2"/>
    <x v="84"/>
    <x v="3"/>
    <x v="3"/>
    <x v="253"/>
    <x v="425"/>
    <x v="0"/>
    <x v="0"/>
    <x v="14"/>
    <x v="11"/>
    <x v="67"/>
    <x v="0"/>
    <x v="14"/>
    <x v="4"/>
    <x v="69"/>
  </r>
  <r>
    <x v="10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08"/>
    <x v="104"/>
    <x v="131"/>
    <x v="0"/>
    <x v="70"/>
    <x v="115"/>
    <x v="115"/>
    <x v="114"/>
    <x v="114"/>
    <x v="0"/>
    <x v="559"/>
    <x v="568"/>
    <x v="490"/>
    <x v="421"/>
    <x v="76"/>
    <x v="506"/>
    <x v="190"/>
    <x v="7"/>
    <x v="135"/>
    <x v="11"/>
    <x v="27"/>
    <x v="254"/>
    <x v="426"/>
    <x v="0"/>
    <x v="0"/>
    <x v="24"/>
    <x v="8"/>
    <x v="68"/>
    <x v="0"/>
    <x v="14"/>
    <x v="4"/>
    <x v="70"/>
  </r>
  <r>
    <x v="108"/>
    <x v="105"/>
    <x v="133"/>
    <x v="0"/>
    <x v="46"/>
    <x v="117"/>
    <x v="117"/>
    <x v="116"/>
    <x v="11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108"/>
    <x v="106"/>
    <x v="135"/>
    <x v="0"/>
    <x v="73"/>
    <x v="119"/>
    <x v="119"/>
    <x v="118"/>
    <x v="1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08"/>
    <x v="107"/>
    <x v="136"/>
    <x v="0"/>
    <x v="72"/>
    <x v="120"/>
    <x v="120"/>
    <x v="119"/>
    <x v="119"/>
    <x v="0"/>
    <x v="560"/>
    <x v="569"/>
    <x v="491"/>
    <x v="278"/>
    <x v="30"/>
    <x v="507"/>
    <x v="94"/>
    <x v="1"/>
    <x v="84"/>
    <x v="11"/>
    <x v="23"/>
    <x v="248"/>
    <x v="427"/>
    <x v="0"/>
    <x v="0"/>
    <x v="12"/>
    <x v="5"/>
    <x v="70"/>
    <x v="0"/>
    <x v="14"/>
    <x v="4"/>
    <x v="72"/>
  </r>
  <r>
    <x v="108"/>
    <x v="107"/>
    <x v="137"/>
    <x v="0"/>
    <x v="73"/>
    <x v="121"/>
    <x v="121"/>
    <x v="120"/>
    <x v="120"/>
    <x v="0"/>
    <x v="561"/>
    <x v="570"/>
    <x v="492"/>
    <x v="266"/>
    <x v="53"/>
    <x v="508"/>
    <x v="109"/>
    <x v="0"/>
    <x v="25"/>
    <x v="5"/>
    <x v="1"/>
    <x v="133"/>
    <x v="428"/>
    <x v="0"/>
    <x v="0"/>
    <x v="3"/>
    <x v="5"/>
    <x v="71"/>
    <x v="0"/>
    <x v="14"/>
    <x v="4"/>
    <x v="73"/>
  </r>
  <r>
    <x v="109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09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109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09"/>
    <x v="102"/>
    <x v="130"/>
    <x v="0"/>
    <x v="69"/>
    <x v="114"/>
    <x v="114"/>
    <x v="113"/>
    <x v="113"/>
    <x v="0"/>
    <x v="228"/>
    <x v="571"/>
    <x v="72"/>
    <x v="422"/>
    <x v="32"/>
    <x v="509"/>
    <x v="15"/>
    <x v="2"/>
    <x v="14"/>
    <x v="3"/>
    <x v="3"/>
    <x v="15"/>
    <x v="15"/>
    <x v="0"/>
    <x v="0"/>
    <x v="5"/>
    <x v="2"/>
    <x v="67"/>
    <x v="0"/>
    <x v="14"/>
    <x v="4"/>
    <x v="69"/>
  </r>
  <r>
    <x v="109"/>
    <x v="104"/>
    <x v="131"/>
    <x v="0"/>
    <x v="70"/>
    <x v="115"/>
    <x v="115"/>
    <x v="114"/>
    <x v="114"/>
    <x v="0"/>
    <x v="562"/>
    <x v="572"/>
    <x v="493"/>
    <x v="165"/>
    <x v="60"/>
    <x v="510"/>
    <x v="191"/>
    <x v="10"/>
    <x v="75"/>
    <x v="5"/>
    <x v="22"/>
    <x v="255"/>
    <x v="207"/>
    <x v="0"/>
    <x v="0"/>
    <x v="9"/>
    <x v="30"/>
    <x v="68"/>
    <x v="0"/>
    <x v="14"/>
    <x v="4"/>
    <x v="70"/>
  </r>
  <r>
    <x v="109"/>
    <x v="107"/>
    <x v="136"/>
    <x v="0"/>
    <x v="72"/>
    <x v="120"/>
    <x v="120"/>
    <x v="119"/>
    <x v="119"/>
    <x v="0"/>
    <x v="563"/>
    <x v="573"/>
    <x v="494"/>
    <x v="411"/>
    <x v="3"/>
    <x v="172"/>
    <x v="94"/>
    <x v="1"/>
    <x v="15"/>
    <x v="5"/>
    <x v="1"/>
    <x v="179"/>
    <x v="429"/>
    <x v="0"/>
    <x v="0"/>
    <x v="12"/>
    <x v="5"/>
    <x v="70"/>
    <x v="0"/>
    <x v="14"/>
    <x v="4"/>
    <x v="72"/>
  </r>
  <r>
    <x v="109"/>
    <x v="107"/>
    <x v="137"/>
    <x v="0"/>
    <x v="73"/>
    <x v="121"/>
    <x v="121"/>
    <x v="120"/>
    <x v="120"/>
    <x v="0"/>
    <x v="564"/>
    <x v="574"/>
    <x v="310"/>
    <x v="224"/>
    <x v="10"/>
    <x v="511"/>
    <x v="60"/>
    <x v="1"/>
    <x v="15"/>
    <x v="5"/>
    <x v="1"/>
    <x v="28"/>
    <x v="402"/>
    <x v="0"/>
    <x v="0"/>
    <x v="9"/>
    <x v="12"/>
    <x v="71"/>
    <x v="0"/>
    <x v="14"/>
    <x v="4"/>
    <x v="73"/>
  </r>
  <r>
    <x v="109"/>
    <x v="108"/>
    <x v="138"/>
    <x v="0"/>
    <x v="74"/>
    <x v="122"/>
    <x v="122"/>
    <x v="121"/>
    <x v="121"/>
    <x v="0"/>
    <x v="565"/>
    <x v="575"/>
    <x v="495"/>
    <x v="423"/>
    <x v="26"/>
    <x v="269"/>
    <x v="185"/>
    <x v="1"/>
    <x v="91"/>
    <x v="3"/>
    <x v="2"/>
    <x v="243"/>
    <x v="430"/>
    <x v="0"/>
    <x v="0"/>
    <x v="10"/>
    <x v="2"/>
    <x v="72"/>
    <x v="0"/>
    <x v="14"/>
    <x v="4"/>
    <x v="74"/>
  </r>
  <r>
    <x v="110"/>
    <x v="102"/>
    <x v="130"/>
    <x v="0"/>
    <x v="69"/>
    <x v="114"/>
    <x v="114"/>
    <x v="113"/>
    <x v="11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7"/>
    <x v="0"/>
    <x v="14"/>
    <x v="4"/>
    <x v="69"/>
  </r>
  <r>
    <x v="110"/>
    <x v="104"/>
    <x v="131"/>
    <x v="0"/>
    <x v="70"/>
    <x v="115"/>
    <x v="115"/>
    <x v="114"/>
    <x v="114"/>
    <x v="0"/>
    <x v="566"/>
    <x v="576"/>
    <x v="496"/>
    <x v="60"/>
    <x v="15"/>
    <x v="512"/>
    <x v="192"/>
    <x v="5"/>
    <x v="135"/>
    <x v="0"/>
    <x v="30"/>
    <x v="256"/>
    <x v="431"/>
    <x v="0"/>
    <x v="0"/>
    <x v="9"/>
    <x v="3"/>
    <x v="68"/>
    <x v="0"/>
    <x v="14"/>
    <x v="4"/>
    <x v="70"/>
  </r>
  <r>
    <x v="110"/>
    <x v="107"/>
    <x v="136"/>
    <x v="0"/>
    <x v="72"/>
    <x v="120"/>
    <x v="120"/>
    <x v="119"/>
    <x v="119"/>
    <x v="0"/>
    <x v="567"/>
    <x v="577"/>
    <x v="497"/>
    <x v="156"/>
    <x v="53"/>
    <x v="513"/>
    <x v="19"/>
    <x v="1"/>
    <x v="39"/>
    <x v="3"/>
    <x v="1"/>
    <x v="41"/>
    <x v="432"/>
    <x v="0"/>
    <x v="0"/>
    <x v="1"/>
    <x v="11"/>
    <x v="70"/>
    <x v="0"/>
    <x v="14"/>
    <x v="4"/>
    <x v="72"/>
  </r>
  <r>
    <x v="110"/>
    <x v="107"/>
    <x v="137"/>
    <x v="0"/>
    <x v="73"/>
    <x v="121"/>
    <x v="121"/>
    <x v="120"/>
    <x v="120"/>
    <x v="0"/>
    <x v="568"/>
    <x v="578"/>
    <x v="498"/>
    <x v="424"/>
    <x v="10"/>
    <x v="514"/>
    <x v="171"/>
    <x v="2"/>
    <x v="136"/>
    <x v="3"/>
    <x v="1"/>
    <x v="257"/>
    <x v="61"/>
    <x v="0"/>
    <x v="0"/>
    <x v="10"/>
    <x v="2"/>
    <x v="71"/>
    <x v="0"/>
    <x v="14"/>
    <x v="4"/>
    <x v="73"/>
  </r>
  <r>
    <x v="110"/>
    <x v="108"/>
    <x v="138"/>
    <x v="0"/>
    <x v="74"/>
    <x v="122"/>
    <x v="122"/>
    <x v="121"/>
    <x v="121"/>
    <x v="0"/>
    <x v="569"/>
    <x v="579"/>
    <x v="249"/>
    <x v="304"/>
    <x v="27"/>
    <x v="515"/>
    <x v="26"/>
    <x v="2"/>
    <x v="14"/>
    <x v="3"/>
    <x v="3"/>
    <x v="70"/>
    <x v="188"/>
    <x v="0"/>
    <x v="0"/>
    <x v="5"/>
    <x v="2"/>
    <x v="72"/>
    <x v="0"/>
    <x v="14"/>
    <x v="4"/>
    <x v="74"/>
  </r>
  <r>
    <x v="111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11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11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11"/>
    <x v="104"/>
    <x v="131"/>
    <x v="0"/>
    <x v="70"/>
    <x v="115"/>
    <x v="115"/>
    <x v="114"/>
    <x v="114"/>
    <x v="0"/>
    <x v="570"/>
    <x v="580"/>
    <x v="499"/>
    <x v="425"/>
    <x v="77"/>
    <x v="516"/>
    <x v="193"/>
    <x v="0"/>
    <x v="9"/>
    <x v="0"/>
    <x v="8"/>
    <x v="258"/>
    <x v="234"/>
    <x v="0"/>
    <x v="0"/>
    <x v="2"/>
    <x v="10"/>
    <x v="68"/>
    <x v="0"/>
    <x v="14"/>
    <x v="4"/>
    <x v="70"/>
  </r>
  <r>
    <x v="111"/>
    <x v="107"/>
    <x v="136"/>
    <x v="0"/>
    <x v="72"/>
    <x v="120"/>
    <x v="120"/>
    <x v="119"/>
    <x v="119"/>
    <x v="0"/>
    <x v="571"/>
    <x v="581"/>
    <x v="500"/>
    <x v="426"/>
    <x v="7"/>
    <x v="517"/>
    <x v="40"/>
    <x v="0"/>
    <x v="13"/>
    <x v="3"/>
    <x v="1"/>
    <x v="46"/>
    <x v="433"/>
    <x v="0"/>
    <x v="0"/>
    <x v="2"/>
    <x v="2"/>
    <x v="70"/>
    <x v="0"/>
    <x v="14"/>
    <x v="4"/>
    <x v="72"/>
  </r>
  <r>
    <x v="111"/>
    <x v="107"/>
    <x v="137"/>
    <x v="0"/>
    <x v="73"/>
    <x v="121"/>
    <x v="121"/>
    <x v="120"/>
    <x v="120"/>
    <x v="0"/>
    <x v="572"/>
    <x v="582"/>
    <x v="24"/>
    <x v="197"/>
    <x v="21"/>
    <x v="381"/>
    <x v="15"/>
    <x v="2"/>
    <x v="14"/>
    <x v="3"/>
    <x v="3"/>
    <x v="15"/>
    <x v="15"/>
    <x v="0"/>
    <x v="0"/>
    <x v="5"/>
    <x v="2"/>
    <x v="71"/>
    <x v="0"/>
    <x v="14"/>
    <x v="4"/>
    <x v="73"/>
  </r>
  <r>
    <x v="111"/>
    <x v="108"/>
    <x v="138"/>
    <x v="0"/>
    <x v="74"/>
    <x v="122"/>
    <x v="122"/>
    <x v="121"/>
    <x v="121"/>
    <x v="0"/>
    <x v="573"/>
    <x v="583"/>
    <x v="501"/>
    <x v="427"/>
    <x v="17"/>
    <x v="518"/>
    <x v="54"/>
    <x v="2"/>
    <x v="42"/>
    <x v="3"/>
    <x v="2"/>
    <x v="165"/>
    <x v="434"/>
    <x v="0"/>
    <x v="0"/>
    <x v="5"/>
    <x v="11"/>
    <x v="72"/>
    <x v="0"/>
    <x v="14"/>
    <x v="4"/>
    <x v="74"/>
  </r>
  <r>
    <x v="111"/>
    <x v="109"/>
    <x v="139"/>
    <x v="0"/>
    <x v="70"/>
    <x v="123"/>
    <x v="123"/>
    <x v="122"/>
    <x v="122"/>
    <x v="0"/>
    <x v="574"/>
    <x v="584"/>
    <x v="502"/>
    <x v="428"/>
    <x v="3"/>
    <x v="519"/>
    <x v="26"/>
    <x v="2"/>
    <x v="50"/>
    <x v="3"/>
    <x v="2"/>
    <x v="93"/>
    <x v="435"/>
    <x v="0"/>
    <x v="0"/>
    <x v="1"/>
    <x v="2"/>
    <x v="68"/>
    <x v="0"/>
    <x v="14"/>
    <x v="4"/>
    <x v="70"/>
  </r>
  <r>
    <x v="111"/>
    <x v="109"/>
    <x v="140"/>
    <x v="0"/>
    <x v="75"/>
    <x v="124"/>
    <x v="124"/>
    <x v="123"/>
    <x v="123"/>
    <x v="0"/>
    <x v="575"/>
    <x v="585"/>
    <x v="503"/>
    <x v="429"/>
    <x v="27"/>
    <x v="508"/>
    <x v="65"/>
    <x v="2"/>
    <x v="7"/>
    <x v="5"/>
    <x v="3"/>
    <x v="18"/>
    <x v="436"/>
    <x v="0"/>
    <x v="0"/>
    <x v="5"/>
    <x v="2"/>
    <x v="73"/>
    <x v="0"/>
    <x v="14"/>
    <x v="4"/>
    <x v="75"/>
  </r>
  <r>
    <x v="111"/>
    <x v="110"/>
    <x v="141"/>
    <x v="0"/>
    <x v="70"/>
    <x v="125"/>
    <x v="125"/>
    <x v="124"/>
    <x v="124"/>
    <x v="0"/>
    <x v="576"/>
    <x v="586"/>
    <x v="504"/>
    <x v="228"/>
    <x v="30"/>
    <x v="520"/>
    <x v="70"/>
    <x v="5"/>
    <x v="1"/>
    <x v="5"/>
    <x v="27"/>
    <x v="3"/>
    <x v="437"/>
    <x v="0"/>
    <x v="0"/>
    <x v="8"/>
    <x v="6"/>
    <x v="68"/>
    <x v="0"/>
    <x v="14"/>
    <x v="4"/>
    <x v="70"/>
  </r>
  <r>
    <x v="11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1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12"/>
    <x v="104"/>
    <x v="131"/>
    <x v="0"/>
    <x v="70"/>
    <x v="115"/>
    <x v="115"/>
    <x v="114"/>
    <x v="114"/>
    <x v="0"/>
    <x v="577"/>
    <x v="587"/>
    <x v="505"/>
    <x v="380"/>
    <x v="20"/>
    <x v="521"/>
    <x v="87"/>
    <x v="2"/>
    <x v="22"/>
    <x v="5"/>
    <x v="1"/>
    <x v="131"/>
    <x v="316"/>
    <x v="0"/>
    <x v="0"/>
    <x v="5"/>
    <x v="11"/>
    <x v="68"/>
    <x v="0"/>
    <x v="14"/>
    <x v="4"/>
    <x v="70"/>
  </r>
  <r>
    <x v="112"/>
    <x v="107"/>
    <x v="136"/>
    <x v="0"/>
    <x v="72"/>
    <x v="120"/>
    <x v="120"/>
    <x v="119"/>
    <x v="119"/>
    <x v="0"/>
    <x v="578"/>
    <x v="588"/>
    <x v="506"/>
    <x v="102"/>
    <x v="81"/>
    <x v="522"/>
    <x v="38"/>
    <x v="2"/>
    <x v="29"/>
    <x v="5"/>
    <x v="4"/>
    <x v="248"/>
    <x v="438"/>
    <x v="0"/>
    <x v="0"/>
    <x v="3"/>
    <x v="2"/>
    <x v="70"/>
    <x v="0"/>
    <x v="14"/>
    <x v="4"/>
    <x v="72"/>
  </r>
  <r>
    <x v="112"/>
    <x v="107"/>
    <x v="137"/>
    <x v="0"/>
    <x v="73"/>
    <x v="121"/>
    <x v="121"/>
    <x v="120"/>
    <x v="12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12"/>
    <x v="108"/>
    <x v="138"/>
    <x v="0"/>
    <x v="74"/>
    <x v="122"/>
    <x v="122"/>
    <x v="121"/>
    <x v="121"/>
    <x v="0"/>
    <x v="579"/>
    <x v="589"/>
    <x v="27"/>
    <x v="416"/>
    <x v="17"/>
    <x v="523"/>
    <x v="18"/>
    <x v="2"/>
    <x v="50"/>
    <x v="3"/>
    <x v="3"/>
    <x v="70"/>
    <x v="439"/>
    <x v="0"/>
    <x v="0"/>
    <x v="5"/>
    <x v="2"/>
    <x v="72"/>
    <x v="0"/>
    <x v="14"/>
    <x v="4"/>
    <x v="74"/>
  </r>
  <r>
    <x v="112"/>
    <x v="109"/>
    <x v="139"/>
    <x v="0"/>
    <x v="70"/>
    <x v="123"/>
    <x v="123"/>
    <x v="122"/>
    <x v="122"/>
    <x v="0"/>
    <x v="30"/>
    <x v="77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12"/>
    <x v="109"/>
    <x v="140"/>
    <x v="0"/>
    <x v="75"/>
    <x v="124"/>
    <x v="124"/>
    <x v="123"/>
    <x v="123"/>
    <x v="0"/>
    <x v="580"/>
    <x v="590"/>
    <x v="507"/>
    <x v="216"/>
    <x v="19"/>
    <x v="524"/>
    <x v="22"/>
    <x v="2"/>
    <x v="50"/>
    <x v="3"/>
    <x v="3"/>
    <x v="8"/>
    <x v="440"/>
    <x v="0"/>
    <x v="0"/>
    <x v="5"/>
    <x v="2"/>
    <x v="73"/>
    <x v="0"/>
    <x v="14"/>
    <x v="4"/>
    <x v="75"/>
  </r>
  <r>
    <x v="112"/>
    <x v="110"/>
    <x v="141"/>
    <x v="0"/>
    <x v="70"/>
    <x v="125"/>
    <x v="125"/>
    <x v="124"/>
    <x v="124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13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13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13"/>
    <x v="104"/>
    <x v="131"/>
    <x v="0"/>
    <x v="70"/>
    <x v="115"/>
    <x v="115"/>
    <x v="114"/>
    <x v="114"/>
    <x v="0"/>
    <x v="581"/>
    <x v="591"/>
    <x v="38"/>
    <x v="430"/>
    <x v="94"/>
    <x v="525"/>
    <x v="26"/>
    <x v="2"/>
    <x v="24"/>
    <x v="3"/>
    <x v="3"/>
    <x v="83"/>
    <x v="441"/>
    <x v="0"/>
    <x v="0"/>
    <x v="5"/>
    <x v="2"/>
    <x v="68"/>
    <x v="0"/>
    <x v="14"/>
    <x v="4"/>
    <x v="70"/>
  </r>
  <r>
    <x v="113"/>
    <x v="107"/>
    <x v="136"/>
    <x v="0"/>
    <x v="72"/>
    <x v="120"/>
    <x v="120"/>
    <x v="119"/>
    <x v="119"/>
    <x v="0"/>
    <x v="483"/>
    <x v="226"/>
    <x v="72"/>
    <x v="197"/>
    <x v="28"/>
    <x v="346"/>
    <x v="15"/>
    <x v="2"/>
    <x v="14"/>
    <x v="3"/>
    <x v="3"/>
    <x v="15"/>
    <x v="15"/>
    <x v="0"/>
    <x v="0"/>
    <x v="5"/>
    <x v="2"/>
    <x v="70"/>
    <x v="0"/>
    <x v="14"/>
    <x v="4"/>
    <x v="72"/>
  </r>
  <r>
    <x v="113"/>
    <x v="109"/>
    <x v="140"/>
    <x v="0"/>
    <x v="75"/>
    <x v="124"/>
    <x v="124"/>
    <x v="123"/>
    <x v="123"/>
    <x v="0"/>
    <x v="30"/>
    <x v="592"/>
    <x v="29"/>
    <x v="30"/>
    <x v="16"/>
    <x v="29"/>
    <x v="15"/>
    <x v="2"/>
    <x v="14"/>
    <x v="3"/>
    <x v="3"/>
    <x v="15"/>
    <x v="15"/>
    <x v="0"/>
    <x v="0"/>
    <x v="5"/>
    <x v="2"/>
    <x v="73"/>
    <x v="0"/>
    <x v="14"/>
    <x v="4"/>
    <x v="75"/>
  </r>
  <r>
    <x v="113"/>
    <x v="110"/>
    <x v="141"/>
    <x v="0"/>
    <x v="70"/>
    <x v="125"/>
    <x v="125"/>
    <x v="124"/>
    <x v="12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13"/>
    <x v="111"/>
    <x v="142"/>
    <x v="1"/>
    <x v="46"/>
    <x v="126"/>
    <x v="126"/>
    <x v="125"/>
    <x v="125"/>
    <x v="0"/>
    <x v="582"/>
    <x v="593"/>
    <x v="508"/>
    <x v="431"/>
    <x v="76"/>
    <x v="526"/>
    <x v="161"/>
    <x v="2"/>
    <x v="91"/>
    <x v="3"/>
    <x v="2"/>
    <x v="18"/>
    <x v="442"/>
    <x v="34"/>
    <x v="66"/>
    <x v="1"/>
    <x v="2"/>
    <x v="46"/>
    <x v="0"/>
    <x v="14"/>
    <x v="4"/>
    <x v="46"/>
  </r>
  <r>
    <x v="113"/>
    <x v="112"/>
    <x v="143"/>
    <x v="1"/>
    <x v="46"/>
    <x v="127"/>
    <x v="127"/>
    <x v="126"/>
    <x v="126"/>
    <x v="0"/>
    <x v="583"/>
    <x v="594"/>
    <x v="24"/>
    <x v="254"/>
    <x v="50"/>
    <x v="527"/>
    <x v="18"/>
    <x v="2"/>
    <x v="14"/>
    <x v="3"/>
    <x v="3"/>
    <x v="20"/>
    <x v="176"/>
    <x v="0"/>
    <x v="0"/>
    <x v="5"/>
    <x v="11"/>
    <x v="46"/>
    <x v="0"/>
    <x v="14"/>
    <x v="4"/>
    <x v="46"/>
  </r>
  <r>
    <x v="113"/>
    <x v="111"/>
    <x v="144"/>
    <x v="1"/>
    <x v="9"/>
    <x v="127"/>
    <x v="127"/>
    <x v="126"/>
    <x v="126"/>
    <x v="0"/>
    <x v="584"/>
    <x v="595"/>
    <x v="509"/>
    <x v="432"/>
    <x v="55"/>
    <x v="528"/>
    <x v="194"/>
    <x v="2"/>
    <x v="14"/>
    <x v="3"/>
    <x v="3"/>
    <x v="259"/>
    <x v="15"/>
    <x v="0"/>
    <x v="0"/>
    <x v="5"/>
    <x v="2"/>
    <x v="9"/>
    <x v="1"/>
    <x v="3"/>
    <x v="2"/>
    <x v="9"/>
  </r>
  <r>
    <x v="114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14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14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14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14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14"/>
    <x v="111"/>
    <x v="142"/>
    <x v="1"/>
    <x v="46"/>
    <x v="126"/>
    <x v="126"/>
    <x v="125"/>
    <x v="125"/>
    <x v="0"/>
    <x v="585"/>
    <x v="596"/>
    <x v="510"/>
    <x v="208"/>
    <x v="50"/>
    <x v="529"/>
    <x v="185"/>
    <x v="2"/>
    <x v="87"/>
    <x v="3"/>
    <x v="2"/>
    <x v="4"/>
    <x v="443"/>
    <x v="22"/>
    <x v="67"/>
    <x v="12"/>
    <x v="5"/>
    <x v="46"/>
    <x v="0"/>
    <x v="14"/>
    <x v="4"/>
    <x v="46"/>
  </r>
  <r>
    <x v="114"/>
    <x v="111"/>
    <x v="144"/>
    <x v="1"/>
    <x v="9"/>
    <x v="127"/>
    <x v="127"/>
    <x v="126"/>
    <x v="126"/>
    <x v="0"/>
    <x v="586"/>
    <x v="597"/>
    <x v="511"/>
    <x v="433"/>
    <x v="33"/>
    <x v="530"/>
    <x v="63"/>
    <x v="2"/>
    <x v="19"/>
    <x v="3"/>
    <x v="2"/>
    <x v="23"/>
    <x v="444"/>
    <x v="0"/>
    <x v="0"/>
    <x v="10"/>
    <x v="2"/>
    <x v="9"/>
    <x v="1"/>
    <x v="3"/>
    <x v="2"/>
    <x v="9"/>
  </r>
  <r>
    <x v="11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15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15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15"/>
    <x v="111"/>
    <x v="142"/>
    <x v="1"/>
    <x v="46"/>
    <x v="126"/>
    <x v="126"/>
    <x v="125"/>
    <x v="125"/>
    <x v="0"/>
    <x v="587"/>
    <x v="598"/>
    <x v="512"/>
    <x v="434"/>
    <x v="50"/>
    <x v="531"/>
    <x v="148"/>
    <x v="2"/>
    <x v="2"/>
    <x v="5"/>
    <x v="3"/>
    <x v="208"/>
    <x v="445"/>
    <x v="12"/>
    <x v="68"/>
    <x v="2"/>
    <x v="5"/>
    <x v="46"/>
    <x v="0"/>
    <x v="14"/>
    <x v="4"/>
    <x v="46"/>
  </r>
  <r>
    <x v="115"/>
    <x v="111"/>
    <x v="144"/>
    <x v="1"/>
    <x v="9"/>
    <x v="127"/>
    <x v="127"/>
    <x v="126"/>
    <x v="126"/>
    <x v="0"/>
    <x v="588"/>
    <x v="599"/>
    <x v="513"/>
    <x v="269"/>
    <x v="98"/>
    <x v="532"/>
    <x v="13"/>
    <x v="2"/>
    <x v="42"/>
    <x v="3"/>
    <x v="3"/>
    <x v="30"/>
    <x v="446"/>
    <x v="0"/>
    <x v="0"/>
    <x v="4"/>
    <x v="2"/>
    <x v="9"/>
    <x v="1"/>
    <x v="3"/>
    <x v="2"/>
    <x v="9"/>
  </r>
  <r>
    <x v="11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1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16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16"/>
    <x v="111"/>
    <x v="142"/>
    <x v="1"/>
    <x v="46"/>
    <x v="126"/>
    <x v="126"/>
    <x v="125"/>
    <x v="125"/>
    <x v="0"/>
    <x v="589"/>
    <x v="600"/>
    <x v="514"/>
    <x v="435"/>
    <x v="50"/>
    <x v="533"/>
    <x v="9"/>
    <x v="1"/>
    <x v="7"/>
    <x v="5"/>
    <x v="3"/>
    <x v="1"/>
    <x v="447"/>
    <x v="35"/>
    <x v="69"/>
    <x v="7"/>
    <x v="11"/>
    <x v="46"/>
    <x v="0"/>
    <x v="14"/>
    <x v="4"/>
    <x v="46"/>
  </r>
  <r>
    <x v="116"/>
    <x v="111"/>
    <x v="144"/>
    <x v="1"/>
    <x v="9"/>
    <x v="127"/>
    <x v="127"/>
    <x v="126"/>
    <x v="126"/>
    <x v="0"/>
    <x v="590"/>
    <x v="601"/>
    <x v="515"/>
    <x v="317"/>
    <x v="20"/>
    <x v="534"/>
    <x v="63"/>
    <x v="2"/>
    <x v="50"/>
    <x v="3"/>
    <x v="3"/>
    <x v="47"/>
    <x v="448"/>
    <x v="0"/>
    <x v="0"/>
    <x v="4"/>
    <x v="2"/>
    <x v="9"/>
    <x v="1"/>
    <x v="3"/>
    <x v="2"/>
    <x v="9"/>
  </r>
  <r>
    <x v="117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17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117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17"/>
    <x v="111"/>
    <x v="142"/>
    <x v="1"/>
    <x v="46"/>
    <x v="126"/>
    <x v="126"/>
    <x v="125"/>
    <x v="125"/>
    <x v="0"/>
    <x v="591"/>
    <x v="602"/>
    <x v="516"/>
    <x v="321"/>
    <x v="50"/>
    <x v="535"/>
    <x v="161"/>
    <x v="2"/>
    <x v="4"/>
    <x v="11"/>
    <x v="3"/>
    <x v="48"/>
    <x v="449"/>
    <x v="26"/>
    <x v="70"/>
    <x v="12"/>
    <x v="11"/>
    <x v="46"/>
    <x v="0"/>
    <x v="14"/>
    <x v="4"/>
    <x v="46"/>
  </r>
  <r>
    <x v="117"/>
    <x v="111"/>
    <x v="144"/>
    <x v="1"/>
    <x v="9"/>
    <x v="127"/>
    <x v="127"/>
    <x v="126"/>
    <x v="126"/>
    <x v="0"/>
    <x v="592"/>
    <x v="603"/>
    <x v="517"/>
    <x v="291"/>
    <x v="83"/>
    <x v="369"/>
    <x v="41"/>
    <x v="2"/>
    <x v="42"/>
    <x v="3"/>
    <x v="3"/>
    <x v="8"/>
    <x v="450"/>
    <x v="0"/>
    <x v="0"/>
    <x v="5"/>
    <x v="12"/>
    <x v="9"/>
    <x v="1"/>
    <x v="3"/>
    <x v="2"/>
    <x v="9"/>
  </r>
  <r>
    <x v="118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11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18"/>
    <x v="111"/>
    <x v="142"/>
    <x v="1"/>
    <x v="46"/>
    <x v="126"/>
    <x v="126"/>
    <x v="125"/>
    <x v="125"/>
    <x v="0"/>
    <x v="593"/>
    <x v="604"/>
    <x v="518"/>
    <x v="436"/>
    <x v="50"/>
    <x v="536"/>
    <x v="43"/>
    <x v="2"/>
    <x v="22"/>
    <x v="3"/>
    <x v="2"/>
    <x v="24"/>
    <x v="451"/>
    <x v="36"/>
    <x v="16"/>
    <x v="4"/>
    <x v="2"/>
    <x v="46"/>
    <x v="0"/>
    <x v="14"/>
    <x v="4"/>
    <x v="46"/>
  </r>
  <r>
    <x v="118"/>
    <x v="111"/>
    <x v="144"/>
    <x v="1"/>
    <x v="9"/>
    <x v="127"/>
    <x v="127"/>
    <x v="126"/>
    <x v="126"/>
    <x v="0"/>
    <x v="594"/>
    <x v="605"/>
    <x v="519"/>
    <x v="437"/>
    <x v="17"/>
    <x v="417"/>
    <x v="13"/>
    <x v="2"/>
    <x v="24"/>
    <x v="3"/>
    <x v="3"/>
    <x v="68"/>
    <x v="452"/>
    <x v="0"/>
    <x v="0"/>
    <x v="4"/>
    <x v="2"/>
    <x v="9"/>
    <x v="1"/>
    <x v="3"/>
    <x v="2"/>
    <x v="9"/>
  </r>
  <r>
    <x v="119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4"/>
    <x v="67"/>
  </r>
  <r>
    <x v="119"/>
    <x v="102"/>
    <x v="130"/>
    <x v="0"/>
    <x v="69"/>
    <x v="114"/>
    <x v="114"/>
    <x v="113"/>
    <x v="11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7"/>
    <x v="0"/>
    <x v="14"/>
    <x v="4"/>
    <x v="69"/>
  </r>
  <r>
    <x v="119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19"/>
    <x v="111"/>
    <x v="142"/>
    <x v="1"/>
    <x v="46"/>
    <x v="126"/>
    <x v="126"/>
    <x v="125"/>
    <x v="125"/>
    <x v="0"/>
    <x v="595"/>
    <x v="606"/>
    <x v="520"/>
    <x v="438"/>
    <x v="50"/>
    <x v="537"/>
    <x v="80"/>
    <x v="2"/>
    <x v="2"/>
    <x v="3"/>
    <x v="3"/>
    <x v="69"/>
    <x v="453"/>
    <x v="19"/>
    <x v="71"/>
    <x v="39"/>
    <x v="11"/>
    <x v="46"/>
    <x v="0"/>
    <x v="14"/>
    <x v="4"/>
    <x v="46"/>
  </r>
  <r>
    <x v="119"/>
    <x v="111"/>
    <x v="144"/>
    <x v="1"/>
    <x v="9"/>
    <x v="127"/>
    <x v="127"/>
    <x v="126"/>
    <x v="126"/>
    <x v="0"/>
    <x v="596"/>
    <x v="607"/>
    <x v="521"/>
    <x v="439"/>
    <x v="24"/>
    <x v="538"/>
    <x v="13"/>
    <x v="2"/>
    <x v="42"/>
    <x v="5"/>
    <x v="3"/>
    <x v="26"/>
    <x v="454"/>
    <x v="0"/>
    <x v="0"/>
    <x v="1"/>
    <x v="11"/>
    <x v="9"/>
    <x v="1"/>
    <x v="3"/>
    <x v="2"/>
    <x v="9"/>
  </r>
  <r>
    <x v="120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20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20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4"/>
    <x v="63"/>
  </r>
  <r>
    <x v="120"/>
    <x v="111"/>
    <x v="142"/>
    <x v="1"/>
    <x v="46"/>
    <x v="126"/>
    <x v="126"/>
    <x v="125"/>
    <x v="125"/>
    <x v="0"/>
    <x v="597"/>
    <x v="608"/>
    <x v="522"/>
    <x v="77"/>
    <x v="76"/>
    <x v="539"/>
    <x v="48"/>
    <x v="2"/>
    <x v="90"/>
    <x v="3"/>
    <x v="2"/>
    <x v="87"/>
    <x v="455"/>
    <x v="30"/>
    <x v="72"/>
    <x v="12"/>
    <x v="12"/>
    <x v="46"/>
    <x v="0"/>
    <x v="14"/>
    <x v="4"/>
    <x v="46"/>
  </r>
  <r>
    <x v="120"/>
    <x v="111"/>
    <x v="144"/>
    <x v="1"/>
    <x v="9"/>
    <x v="127"/>
    <x v="127"/>
    <x v="126"/>
    <x v="126"/>
    <x v="0"/>
    <x v="598"/>
    <x v="609"/>
    <x v="523"/>
    <x v="440"/>
    <x v="73"/>
    <x v="185"/>
    <x v="21"/>
    <x v="2"/>
    <x v="24"/>
    <x v="3"/>
    <x v="3"/>
    <x v="8"/>
    <x v="456"/>
    <x v="0"/>
    <x v="0"/>
    <x v="5"/>
    <x v="2"/>
    <x v="9"/>
    <x v="1"/>
    <x v="3"/>
    <x v="2"/>
    <x v="9"/>
  </r>
  <r>
    <x v="121"/>
    <x v="79"/>
    <x v="92"/>
    <x v="0"/>
    <x v="48"/>
    <x v="80"/>
    <x v="80"/>
    <x v="79"/>
    <x v="7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21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21"/>
    <x v="104"/>
    <x v="132"/>
    <x v="0"/>
    <x v="71"/>
    <x v="116"/>
    <x v="116"/>
    <x v="115"/>
    <x v="1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9"/>
    <x v="0"/>
    <x v="16"/>
    <x v="4"/>
    <x v="71"/>
  </r>
  <r>
    <x v="121"/>
    <x v="107"/>
    <x v="136"/>
    <x v="0"/>
    <x v="72"/>
    <x v="120"/>
    <x v="120"/>
    <x v="119"/>
    <x v="1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0"/>
    <x v="0"/>
    <x v="14"/>
    <x v="4"/>
    <x v="72"/>
  </r>
  <r>
    <x v="121"/>
    <x v="111"/>
    <x v="142"/>
    <x v="1"/>
    <x v="46"/>
    <x v="126"/>
    <x v="126"/>
    <x v="125"/>
    <x v="125"/>
    <x v="0"/>
    <x v="599"/>
    <x v="610"/>
    <x v="524"/>
    <x v="268"/>
    <x v="35"/>
    <x v="540"/>
    <x v="54"/>
    <x v="1"/>
    <x v="91"/>
    <x v="5"/>
    <x v="2"/>
    <x v="69"/>
    <x v="457"/>
    <x v="37"/>
    <x v="73"/>
    <x v="7"/>
    <x v="12"/>
    <x v="46"/>
    <x v="0"/>
    <x v="14"/>
    <x v="4"/>
    <x v="46"/>
  </r>
  <r>
    <x v="121"/>
    <x v="111"/>
    <x v="144"/>
    <x v="1"/>
    <x v="9"/>
    <x v="127"/>
    <x v="127"/>
    <x v="126"/>
    <x v="126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2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22"/>
    <x v="104"/>
    <x v="131"/>
    <x v="0"/>
    <x v="70"/>
    <x v="115"/>
    <x v="115"/>
    <x v="114"/>
    <x v="114"/>
    <x v="0"/>
    <x v="600"/>
    <x v="611"/>
    <x v="471"/>
    <x v="421"/>
    <x v="71"/>
    <x v="541"/>
    <x v="195"/>
    <x v="3"/>
    <x v="55"/>
    <x v="3"/>
    <x v="4"/>
    <x v="260"/>
    <x v="20"/>
    <x v="0"/>
    <x v="0"/>
    <x v="2"/>
    <x v="6"/>
    <x v="68"/>
    <x v="0"/>
    <x v="14"/>
    <x v="4"/>
    <x v="70"/>
  </r>
  <r>
    <x v="122"/>
    <x v="111"/>
    <x v="142"/>
    <x v="1"/>
    <x v="46"/>
    <x v="126"/>
    <x v="126"/>
    <x v="125"/>
    <x v="125"/>
    <x v="0"/>
    <x v="601"/>
    <x v="612"/>
    <x v="525"/>
    <x v="309"/>
    <x v="35"/>
    <x v="76"/>
    <x v="23"/>
    <x v="2"/>
    <x v="50"/>
    <x v="3"/>
    <x v="3"/>
    <x v="93"/>
    <x v="458"/>
    <x v="4"/>
    <x v="74"/>
    <x v="4"/>
    <x v="2"/>
    <x v="46"/>
    <x v="0"/>
    <x v="14"/>
    <x v="4"/>
    <x v="46"/>
  </r>
  <r>
    <x v="123"/>
    <x v="104"/>
    <x v="131"/>
    <x v="0"/>
    <x v="70"/>
    <x v="115"/>
    <x v="115"/>
    <x v="114"/>
    <x v="114"/>
    <x v="0"/>
    <x v="602"/>
    <x v="613"/>
    <x v="301"/>
    <x v="441"/>
    <x v="76"/>
    <x v="542"/>
    <x v="13"/>
    <x v="2"/>
    <x v="14"/>
    <x v="3"/>
    <x v="3"/>
    <x v="8"/>
    <x v="263"/>
    <x v="0"/>
    <x v="0"/>
    <x v="5"/>
    <x v="2"/>
    <x v="68"/>
    <x v="0"/>
    <x v="14"/>
    <x v="4"/>
    <x v="70"/>
  </r>
  <r>
    <x v="124"/>
    <x v="98"/>
    <x v="123"/>
    <x v="0"/>
    <x v="65"/>
    <x v="108"/>
    <x v="108"/>
    <x v="107"/>
    <x v="10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3"/>
    <x v="0"/>
    <x v="14"/>
    <x v="4"/>
    <x v="65"/>
  </r>
  <r>
    <x v="124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24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124"/>
    <x v="113"/>
    <x v="145"/>
    <x v="0"/>
    <x v="76"/>
    <x v="128"/>
    <x v="128"/>
    <x v="127"/>
    <x v="127"/>
    <x v="0"/>
    <x v="603"/>
    <x v="614"/>
    <x v="526"/>
    <x v="442"/>
    <x v="99"/>
    <x v="543"/>
    <x v="48"/>
    <x v="2"/>
    <x v="4"/>
    <x v="3"/>
    <x v="3"/>
    <x v="57"/>
    <x v="373"/>
    <x v="0"/>
    <x v="0"/>
    <x v="2"/>
    <x v="2"/>
    <x v="74"/>
    <x v="0"/>
    <x v="14"/>
    <x v="4"/>
    <x v="76"/>
  </r>
  <r>
    <x v="124"/>
    <x v="113"/>
    <x v="146"/>
    <x v="0"/>
    <x v="77"/>
    <x v="129"/>
    <x v="129"/>
    <x v="128"/>
    <x v="128"/>
    <x v="0"/>
    <x v="604"/>
    <x v="615"/>
    <x v="527"/>
    <x v="284"/>
    <x v="15"/>
    <x v="544"/>
    <x v="112"/>
    <x v="1"/>
    <x v="91"/>
    <x v="3"/>
    <x v="2"/>
    <x v="261"/>
    <x v="459"/>
    <x v="0"/>
    <x v="0"/>
    <x v="10"/>
    <x v="2"/>
    <x v="75"/>
    <x v="0"/>
    <x v="14"/>
    <x v="4"/>
    <x v="77"/>
  </r>
  <r>
    <x v="125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25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125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125"/>
    <x v="113"/>
    <x v="145"/>
    <x v="0"/>
    <x v="76"/>
    <x v="128"/>
    <x v="128"/>
    <x v="127"/>
    <x v="127"/>
    <x v="0"/>
    <x v="605"/>
    <x v="616"/>
    <x v="528"/>
    <x v="367"/>
    <x v="83"/>
    <x v="545"/>
    <x v="125"/>
    <x v="2"/>
    <x v="42"/>
    <x v="3"/>
    <x v="3"/>
    <x v="26"/>
    <x v="460"/>
    <x v="0"/>
    <x v="0"/>
    <x v="5"/>
    <x v="2"/>
    <x v="74"/>
    <x v="0"/>
    <x v="14"/>
    <x v="4"/>
    <x v="76"/>
  </r>
  <r>
    <x v="125"/>
    <x v="113"/>
    <x v="146"/>
    <x v="0"/>
    <x v="77"/>
    <x v="129"/>
    <x v="129"/>
    <x v="128"/>
    <x v="128"/>
    <x v="0"/>
    <x v="606"/>
    <x v="617"/>
    <x v="529"/>
    <x v="112"/>
    <x v="48"/>
    <x v="546"/>
    <x v="71"/>
    <x v="2"/>
    <x v="22"/>
    <x v="3"/>
    <x v="3"/>
    <x v="24"/>
    <x v="461"/>
    <x v="0"/>
    <x v="0"/>
    <x v="7"/>
    <x v="5"/>
    <x v="75"/>
    <x v="0"/>
    <x v="14"/>
    <x v="4"/>
    <x v="77"/>
  </r>
  <r>
    <x v="126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26"/>
    <x v="113"/>
    <x v="145"/>
    <x v="0"/>
    <x v="76"/>
    <x v="128"/>
    <x v="128"/>
    <x v="127"/>
    <x v="127"/>
    <x v="0"/>
    <x v="607"/>
    <x v="618"/>
    <x v="32"/>
    <x v="377"/>
    <x v="83"/>
    <x v="547"/>
    <x v="8"/>
    <x v="2"/>
    <x v="24"/>
    <x v="3"/>
    <x v="3"/>
    <x v="70"/>
    <x v="462"/>
    <x v="0"/>
    <x v="0"/>
    <x v="5"/>
    <x v="2"/>
    <x v="74"/>
    <x v="0"/>
    <x v="14"/>
    <x v="4"/>
    <x v="76"/>
  </r>
  <r>
    <x v="126"/>
    <x v="113"/>
    <x v="146"/>
    <x v="0"/>
    <x v="77"/>
    <x v="129"/>
    <x v="129"/>
    <x v="128"/>
    <x v="128"/>
    <x v="0"/>
    <x v="608"/>
    <x v="619"/>
    <x v="530"/>
    <x v="390"/>
    <x v="3"/>
    <x v="548"/>
    <x v="54"/>
    <x v="1"/>
    <x v="22"/>
    <x v="3"/>
    <x v="2"/>
    <x v="24"/>
    <x v="461"/>
    <x v="0"/>
    <x v="0"/>
    <x v="2"/>
    <x v="2"/>
    <x v="75"/>
    <x v="0"/>
    <x v="14"/>
    <x v="4"/>
    <x v="77"/>
  </r>
  <r>
    <x v="126"/>
    <x v="114"/>
    <x v="147"/>
    <x v="0"/>
    <x v="51"/>
    <x v="130"/>
    <x v="130"/>
    <x v="129"/>
    <x v="129"/>
    <x v="0"/>
    <x v="609"/>
    <x v="620"/>
    <x v="531"/>
    <x v="385"/>
    <x v="7"/>
    <x v="549"/>
    <x v="1"/>
    <x v="2"/>
    <x v="42"/>
    <x v="3"/>
    <x v="23"/>
    <x v="7"/>
    <x v="463"/>
    <x v="3"/>
    <x v="35"/>
    <x v="2"/>
    <x v="5"/>
    <x v="49"/>
    <x v="0"/>
    <x v="14"/>
    <x v="4"/>
    <x v="51"/>
  </r>
  <r>
    <x v="127"/>
    <x v="114"/>
    <x v="147"/>
    <x v="0"/>
    <x v="51"/>
    <x v="130"/>
    <x v="130"/>
    <x v="129"/>
    <x v="129"/>
    <x v="0"/>
    <x v="610"/>
    <x v="621"/>
    <x v="532"/>
    <x v="309"/>
    <x v="10"/>
    <x v="550"/>
    <x v="8"/>
    <x v="2"/>
    <x v="14"/>
    <x v="3"/>
    <x v="3"/>
    <x v="27"/>
    <x v="464"/>
    <x v="0"/>
    <x v="0"/>
    <x v="5"/>
    <x v="2"/>
    <x v="49"/>
    <x v="0"/>
    <x v="14"/>
    <x v="4"/>
    <x v="51"/>
  </r>
  <r>
    <x v="127"/>
    <x v="115"/>
    <x v="148"/>
    <x v="0"/>
    <x v="73"/>
    <x v="131"/>
    <x v="131"/>
    <x v="130"/>
    <x v="130"/>
    <x v="0"/>
    <x v="611"/>
    <x v="622"/>
    <x v="533"/>
    <x v="435"/>
    <x v="55"/>
    <x v="359"/>
    <x v="115"/>
    <x v="0"/>
    <x v="137"/>
    <x v="5"/>
    <x v="8"/>
    <x v="262"/>
    <x v="291"/>
    <x v="0"/>
    <x v="0"/>
    <x v="18"/>
    <x v="1"/>
    <x v="71"/>
    <x v="0"/>
    <x v="14"/>
    <x v="4"/>
    <x v="73"/>
  </r>
  <r>
    <x v="127"/>
    <x v="115"/>
    <x v="149"/>
    <x v="0"/>
    <x v="7"/>
    <x v="132"/>
    <x v="132"/>
    <x v="131"/>
    <x v="131"/>
    <x v="0"/>
    <x v="164"/>
    <x v="623"/>
    <x v="70"/>
    <x v="443"/>
    <x v="42"/>
    <x v="551"/>
    <x v="15"/>
    <x v="2"/>
    <x v="14"/>
    <x v="3"/>
    <x v="3"/>
    <x v="15"/>
    <x v="15"/>
    <x v="0"/>
    <x v="0"/>
    <x v="5"/>
    <x v="2"/>
    <x v="7"/>
    <x v="0"/>
    <x v="6"/>
    <x v="0"/>
    <x v="7"/>
  </r>
  <r>
    <x v="128"/>
    <x v="115"/>
    <x v="148"/>
    <x v="0"/>
    <x v="73"/>
    <x v="131"/>
    <x v="131"/>
    <x v="130"/>
    <x v="130"/>
    <x v="0"/>
    <x v="612"/>
    <x v="624"/>
    <x v="534"/>
    <x v="444"/>
    <x v="36"/>
    <x v="61"/>
    <x v="196"/>
    <x v="1"/>
    <x v="138"/>
    <x v="3"/>
    <x v="8"/>
    <x v="263"/>
    <x v="339"/>
    <x v="0"/>
    <x v="0"/>
    <x v="41"/>
    <x v="1"/>
    <x v="71"/>
    <x v="0"/>
    <x v="14"/>
    <x v="4"/>
    <x v="73"/>
  </r>
  <r>
    <x v="128"/>
    <x v="115"/>
    <x v="149"/>
    <x v="0"/>
    <x v="7"/>
    <x v="132"/>
    <x v="132"/>
    <x v="131"/>
    <x v="131"/>
    <x v="0"/>
    <x v="613"/>
    <x v="625"/>
    <x v="535"/>
    <x v="424"/>
    <x v="37"/>
    <x v="552"/>
    <x v="197"/>
    <x v="1"/>
    <x v="32"/>
    <x v="10"/>
    <x v="8"/>
    <x v="29"/>
    <x v="158"/>
    <x v="0"/>
    <x v="0"/>
    <x v="5"/>
    <x v="6"/>
    <x v="7"/>
    <x v="0"/>
    <x v="6"/>
    <x v="0"/>
    <x v="7"/>
  </r>
  <r>
    <x v="129"/>
    <x v="115"/>
    <x v="148"/>
    <x v="0"/>
    <x v="73"/>
    <x v="131"/>
    <x v="131"/>
    <x v="130"/>
    <x v="130"/>
    <x v="0"/>
    <x v="614"/>
    <x v="626"/>
    <x v="536"/>
    <x v="445"/>
    <x v="7"/>
    <x v="66"/>
    <x v="198"/>
    <x v="7"/>
    <x v="139"/>
    <x v="5"/>
    <x v="13"/>
    <x v="264"/>
    <x v="279"/>
    <x v="0"/>
    <x v="0"/>
    <x v="21"/>
    <x v="1"/>
    <x v="71"/>
    <x v="0"/>
    <x v="14"/>
    <x v="4"/>
    <x v="73"/>
  </r>
  <r>
    <x v="129"/>
    <x v="115"/>
    <x v="149"/>
    <x v="0"/>
    <x v="7"/>
    <x v="132"/>
    <x v="132"/>
    <x v="131"/>
    <x v="131"/>
    <x v="0"/>
    <x v="615"/>
    <x v="627"/>
    <x v="537"/>
    <x v="19"/>
    <x v="8"/>
    <x v="553"/>
    <x v="60"/>
    <x v="2"/>
    <x v="28"/>
    <x v="14"/>
    <x v="23"/>
    <x v="28"/>
    <x v="465"/>
    <x v="0"/>
    <x v="0"/>
    <x v="2"/>
    <x v="5"/>
    <x v="7"/>
    <x v="0"/>
    <x v="6"/>
    <x v="0"/>
    <x v="7"/>
  </r>
  <r>
    <x v="130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30"/>
    <x v="115"/>
    <x v="148"/>
    <x v="0"/>
    <x v="73"/>
    <x v="131"/>
    <x v="131"/>
    <x v="130"/>
    <x v="130"/>
    <x v="0"/>
    <x v="616"/>
    <x v="628"/>
    <x v="518"/>
    <x v="446"/>
    <x v="55"/>
    <x v="554"/>
    <x v="94"/>
    <x v="2"/>
    <x v="13"/>
    <x v="1"/>
    <x v="2"/>
    <x v="265"/>
    <x v="114"/>
    <x v="0"/>
    <x v="0"/>
    <x v="10"/>
    <x v="11"/>
    <x v="71"/>
    <x v="0"/>
    <x v="14"/>
    <x v="4"/>
    <x v="73"/>
  </r>
  <r>
    <x v="130"/>
    <x v="115"/>
    <x v="149"/>
    <x v="0"/>
    <x v="7"/>
    <x v="132"/>
    <x v="132"/>
    <x v="131"/>
    <x v="13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"/>
    <x v="0"/>
    <x v="6"/>
    <x v="0"/>
    <x v="7"/>
  </r>
  <r>
    <x v="130"/>
    <x v="116"/>
    <x v="150"/>
    <x v="0"/>
    <x v="73"/>
    <x v="133"/>
    <x v="133"/>
    <x v="132"/>
    <x v="132"/>
    <x v="0"/>
    <x v="617"/>
    <x v="629"/>
    <x v="538"/>
    <x v="447"/>
    <x v="81"/>
    <x v="555"/>
    <x v="199"/>
    <x v="7"/>
    <x v="140"/>
    <x v="11"/>
    <x v="13"/>
    <x v="215"/>
    <x v="135"/>
    <x v="0"/>
    <x v="0"/>
    <x v="20"/>
    <x v="25"/>
    <x v="71"/>
    <x v="0"/>
    <x v="14"/>
    <x v="4"/>
    <x v="73"/>
  </r>
  <r>
    <x v="131"/>
    <x v="104"/>
    <x v="131"/>
    <x v="0"/>
    <x v="70"/>
    <x v="115"/>
    <x v="115"/>
    <x v="114"/>
    <x v="11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31"/>
    <x v="115"/>
    <x v="148"/>
    <x v="0"/>
    <x v="73"/>
    <x v="131"/>
    <x v="131"/>
    <x v="130"/>
    <x v="130"/>
    <x v="0"/>
    <x v="618"/>
    <x v="630"/>
    <x v="539"/>
    <x v="448"/>
    <x v="89"/>
    <x v="349"/>
    <x v="18"/>
    <x v="2"/>
    <x v="24"/>
    <x v="3"/>
    <x v="3"/>
    <x v="27"/>
    <x v="466"/>
    <x v="0"/>
    <x v="0"/>
    <x v="5"/>
    <x v="2"/>
    <x v="71"/>
    <x v="0"/>
    <x v="14"/>
    <x v="4"/>
    <x v="73"/>
  </r>
  <r>
    <x v="131"/>
    <x v="116"/>
    <x v="150"/>
    <x v="0"/>
    <x v="73"/>
    <x v="133"/>
    <x v="133"/>
    <x v="132"/>
    <x v="132"/>
    <x v="0"/>
    <x v="619"/>
    <x v="631"/>
    <x v="540"/>
    <x v="449"/>
    <x v="100"/>
    <x v="556"/>
    <x v="1"/>
    <x v="0"/>
    <x v="7"/>
    <x v="3"/>
    <x v="4"/>
    <x v="69"/>
    <x v="357"/>
    <x v="0"/>
    <x v="0"/>
    <x v="1"/>
    <x v="11"/>
    <x v="71"/>
    <x v="0"/>
    <x v="14"/>
    <x v="4"/>
    <x v="73"/>
  </r>
  <r>
    <x v="131"/>
    <x v="117"/>
    <x v="151"/>
    <x v="0"/>
    <x v="78"/>
    <x v="134"/>
    <x v="134"/>
    <x v="133"/>
    <x v="133"/>
    <x v="0"/>
    <x v="620"/>
    <x v="632"/>
    <x v="541"/>
    <x v="450"/>
    <x v="77"/>
    <x v="557"/>
    <x v="26"/>
    <x v="2"/>
    <x v="14"/>
    <x v="3"/>
    <x v="2"/>
    <x v="83"/>
    <x v="467"/>
    <x v="0"/>
    <x v="0"/>
    <x v="5"/>
    <x v="2"/>
    <x v="76"/>
    <x v="0"/>
    <x v="0"/>
    <x v="5"/>
    <x v="78"/>
  </r>
  <r>
    <x v="131"/>
    <x v="117"/>
    <x v="152"/>
    <x v="0"/>
    <x v="79"/>
    <x v="135"/>
    <x v="135"/>
    <x v="134"/>
    <x v="134"/>
    <x v="0"/>
    <x v="621"/>
    <x v="633"/>
    <x v="249"/>
    <x v="451"/>
    <x v="19"/>
    <x v="558"/>
    <x v="15"/>
    <x v="2"/>
    <x v="14"/>
    <x v="3"/>
    <x v="3"/>
    <x v="15"/>
    <x v="15"/>
    <x v="0"/>
    <x v="0"/>
    <x v="5"/>
    <x v="2"/>
    <x v="77"/>
    <x v="0"/>
    <x v="17"/>
    <x v="5"/>
    <x v="79"/>
  </r>
  <r>
    <x v="131"/>
    <x v="117"/>
    <x v="153"/>
    <x v="0"/>
    <x v="9"/>
    <x v="136"/>
    <x v="136"/>
    <x v="135"/>
    <x v="135"/>
    <x v="0"/>
    <x v="622"/>
    <x v="634"/>
    <x v="542"/>
    <x v="452"/>
    <x v="73"/>
    <x v="559"/>
    <x v="125"/>
    <x v="2"/>
    <x v="14"/>
    <x v="11"/>
    <x v="3"/>
    <x v="30"/>
    <x v="468"/>
    <x v="0"/>
    <x v="0"/>
    <x v="2"/>
    <x v="2"/>
    <x v="9"/>
    <x v="1"/>
    <x v="3"/>
    <x v="2"/>
    <x v="9"/>
  </r>
  <r>
    <x v="131"/>
    <x v="117"/>
    <x v="154"/>
    <x v="0"/>
    <x v="9"/>
    <x v="137"/>
    <x v="137"/>
    <x v="136"/>
    <x v="136"/>
    <x v="0"/>
    <x v="623"/>
    <x v="635"/>
    <x v="543"/>
    <x v="46"/>
    <x v="81"/>
    <x v="56"/>
    <x v="15"/>
    <x v="2"/>
    <x v="14"/>
    <x v="3"/>
    <x v="3"/>
    <x v="15"/>
    <x v="15"/>
    <x v="0"/>
    <x v="0"/>
    <x v="5"/>
    <x v="2"/>
    <x v="9"/>
    <x v="1"/>
    <x v="3"/>
    <x v="2"/>
    <x v="9"/>
  </r>
  <r>
    <x v="131"/>
    <x v="118"/>
    <x v="155"/>
    <x v="0"/>
    <x v="73"/>
    <x v="138"/>
    <x v="138"/>
    <x v="137"/>
    <x v="137"/>
    <x v="0"/>
    <x v="30"/>
    <x v="636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31"/>
    <x v="119"/>
    <x v="156"/>
    <x v="0"/>
    <x v="79"/>
    <x v="139"/>
    <x v="139"/>
    <x v="138"/>
    <x v="138"/>
    <x v="0"/>
    <x v="624"/>
    <x v="637"/>
    <x v="544"/>
    <x v="318"/>
    <x v="49"/>
    <x v="560"/>
    <x v="18"/>
    <x v="2"/>
    <x v="14"/>
    <x v="3"/>
    <x v="3"/>
    <x v="20"/>
    <x v="469"/>
    <x v="0"/>
    <x v="0"/>
    <x v="5"/>
    <x v="2"/>
    <x v="77"/>
    <x v="0"/>
    <x v="17"/>
    <x v="5"/>
    <x v="79"/>
  </r>
  <r>
    <x v="132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32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32"/>
    <x v="116"/>
    <x v="150"/>
    <x v="0"/>
    <x v="73"/>
    <x v="133"/>
    <x v="133"/>
    <x v="132"/>
    <x v="132"/>
    <x v="0"/>
    <x v="625"/>
    <x v="638"/>
    <x v="545"/>
    <x v="413"/>
    <x v="55"/>
    <x v="561"/>
    <x v="88"/>
    <x v="0"/>
    <x v="26"/>
    <x v="3"/>
    <x v="23"/>
    <x v="266"/>
    <x v="470"/>
    <x v="0"/>
    <x v="0"/>
    <x v="14"/>
    <x v="5"/>
    <x v="71"/>
    <x v="0"/>
    <x v="14"/>
    <x v="4"/>
    <x v="73"/>
  </r>
  <r>
    <x v="132"/>
    <x v="117"/>
    <x v="151"/>
    <x v="0"/>
    <x v="78"/>
    <x v="134"/>
    <x v="134"/>
    <x v="133"/>
    <x v="133"/>
    <x v="0"/>
    <x v="626"/>
    <x v="639"/>
    <x v="32"/>
    <x v="453"/>
    <x v="47"/>
    <x v="562"/>
    <x v="8"/>
    <x v="2"/>
    <x v="14"/>
    <x v="3"/>
    <x v="3"/>
    <x v="27"/>
    <x v="281"/>
    <x v="0"/>
    <x v="0"/>
    <x v="5"/>
    <x v="2"/>
    <x v="76"/>
    <x v="0"/>
    <x v="0"/>
    <x v="5"/>
    <x v="78"/>
  </r>
  <r>
    <x v="132"/>
    <x v="117"/>
    <x v="153"/>
    <x v="0"/>
    <x v="9"/>
    <x v="136"/>
    <x v="136"/>
    <x v="135"/>
    <x v="135"/>
    <x v="0"/>
    <x v="627"/>
    <x v="640"/>
    <x v="546"/>
    <x v="210"/>
    <x v="0"/>
    <x v="60"/>
    <x v="7"/>
    <x v="2"/>
    <x v="20"/>
    <x v="56"/>
    <x v="3"/>
    <x v="13"/>
    <x v="471"/>
    <x v="0"/>
    <x v="0"/>
    <x v="1"/>
    <x v="2"/>
    <x v="9"/>
    <x v="1"/>
    <x v="3"/>
    <x v="2"/>
    <x v="9"/>
  </r>
  <r>
    <x v="132"/>
    <x v="117"/>
    <x v="154"/>
    <x v="0"/>
    <x v="9"/>
    <x v="137"/>
    <x v="137"/>
    <x v="136"/>
    <x v="136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32"/>
    <x v="118"/>
    <x v="155"/>
    <x v="0"/>
    <x v="73"/>
    <x v="138"/>
    <x v="138"/>
    <x v="137"/>
    <x v="137"/>
    <x v="0"/>
    <x v="628"/>
    <x v="641"/>
    <x v="547"/>
    <x v="454"/>
    <x v="43"/>
    <x v="563"/>
    <x v="112"/>
    <x v="2"/>
    <x v="31"/>
    <x v="3"/>
    <x v="2"/>
    <x v="64"/>
    <x v="472"/>
    <x v="0"/>
    <x v="0"/>
    <x v="9"/>
    <x v="12"/>
    <x v="71"/>
    <x v="0"/>
    <x v="14"/>
    <x v="4"/>
    <x v="73"/>
  </r>
  <r>
    <x v="132"/>
    <x v="119"/>
    <x v="156"/>
    <x v="0"/>
    <x v="79"/>
    <x v="139"/>
    <x v="139"/>
    <x v="138"/>
    <x v="138"/>
    <x v="0"/>
    <x v="629"/>
    <x v="642"/>
    <x v="548"/>
    <x v="197"/>
    <x v="52"/>
    <x v="561"/>
    <x v="63"/>
    <x v="1"/>
    <x v="50"/>
    <x v="3"/>
    <x v="3"/>
    <x v="13"/>
    <x v="473"/>
    <x v="0"/>
    <x v="0"/>
    <x v="4"/>
    <x v="2"/>
    <x v="77"/>
    <x v="0"/>
    <x v="17"/>
    <x v="5"/>
    <x v="79"/>
  </r>
  <r>
    <x v="132"/>
    <x v="120"/>
    <x v="157"/>
    <x v="0"/>
    <x v="80"/>
    <x v="140"/>
    <x v="140"/>
    <x v="139"/>
    <x v="139"/>
    <x v="0"/>
    <x v="630"/>
    <x v="643"/>
    <x v="549"/>
    <x v="455"/>
    <x v="81"/>
    <x v="564"/>
    <x v="161"/>
    <x v="1"/>
    <x v="4"/>
    <x v="11"/>
    <x v="2"/>
    <x v="1"/>
    <x v="145"/>
    <x v="0"/>
    <x v="0"/>
    <x v="2"/>
    <x v="2"/>
    <x v="78"/>
    <x v="1"/>
    <x v="3"/>
    <x v="2"/>
    <x v="80"/>
  </r>
  <r>
    <x v="132"/>
    <x v="120"/>
    <x v="158"/>
    <x v="0"/>
    <x v="81"/>
    <x v="141"/>
    <x v="141"/>
    <x v="140"/>
    <x v="140"/>
    <x v="0"/>
    <x v="631"/>
    <x v="644"/>
    <x v="550"/>
    <x v="456"/>
    <x v="76"/>
    <x v="565"/>
    <x v="99"/>
    <x v="2"/>
    <x v="21"/>
    <x v="0"/>
    <x v="2"/>
    <x v="32"/>
    <x v="186"/>
    <x v="0"/>
    <x v="0"/>
    <x v="12"/>
    <x v="12"/>
    <x v="79"/>
    <x v="0"/>
    <x v="14"/>
    <x v="4"/>
    <x v="81"/>
  </r>
  <r>
    <x v="132"/>
    <x v="120"/>
    <x v="159"/>
    <x v="0"/>
    <x v="82"/>
    <x v="142"/>
    <x v="142"/>
    <x v="141"/>
    <x v="141"/>
    <x v="0"/>
    <x v="632"/>
    <x v="645"/>
    <x v="551"/>
    <x v="457"/>
    <x v="3"/>
    <x v="566"/>
    <x v="149"/>
    <x v="0"/>
    <x v="15"/>
    <x v="4"/>
    <x v="1"/>
    <x v="5"/>
    <x v="292"/>
    <x v="0"/>
    <x v="0"/>
    <x v="0"/>
    <x v="43"/>
    <x v="80"/>
    <x v="0"/>
    <x v="0"/>
    <x v="5"/>
    <x v="82"/>
  </r>
  <r>
    <x v="133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33"/>
    <x v="116"/>
    <x v="150"/>
    <x v="0"/>
    <x v="73"/>
    <x v="133"/>
    <x v="133"/>
    <x v="132"/>
    <x v="132"/>
    <x v="0"/>
    <x v="633"/>
    <x v="646"/>
    <x v="552"/>
    <x v="294"/>
    <x v="76"/>
    <x v="359"/>
    <x v="200"/>
    <x v="2"/>
    <x v="141"/>
    <x v="5"/>
    <x v="0"/>
    <x v="267"/>
    <x v="474"/>
    <x v="0"/>
    <x v="0"/>
    <x v="0"/>
    <x v="11"/>
    <x v="71"/>
    <x v="0"/>
    <x v="14"/>
    <x v="4"/>
    <x v="73"/>
  </r>
  <r>
    <x v="133"/>
    <x v="120"/>
    <x v="157"/>
    <x v="0"/>
    <x v="80"/>
    <x v="140"/>
    <x v="140"/>
    <x v="139"/>
    <x v="139"/>
    <x v="0"/>
    <x v="632"/>
    <x v="647"/>
    <x v="553"/>
    <x v="190"/>
    <x v="12"/>
    <x v="567"/>
    <x v="33"/>
    <x v="2"/>
    <x v="73"/>
    <x v="51"/>
    <x v="2"/>
    <x v="33"/>
    <x v="475"/>
    <x v="0"/>
    <x v="0"/>
    <x v="1"/>
    <x v="11"/>
    <x v="78"/>
    <x v="1"/>
    <x v="3"/>
    <x v="2"/>
    <x v="80"/>
  </r>
  <r>
    <x v="133"/>
    <x v="120"/>
    <x v="158"/>
    <x v="0"/>
    <x v="81"/>
    <x v="141"/>
    <x v="141"/>
    <x v="140"/>
    <x v="140"/>
    <x v="0"/>
    <x v="634"/>
    <x v="648"/>
    <x v="554"/>
    <x v="458"/>
    <x v="34"/>
    <x v="568"/>
    <x v="96"/>
    <x v="2"/>
    <x v="16"/>
    <x v="0"/>
    <x v="3"/>
    <x v="122"/>
    <x v="476"/>
    <x v="0"/>
    <x v="0"/>
    <x v="12"/>
    <x v="2"/>
    <x v="79"/>
    <x v="0"/>
    <x v="14"/>
    <x v="4"/>
    <x v="81"/>
  </r>
  <r>
    <x v="133"/>
    <x v="120"/>
    <x v="159"/>
    <x v="0"/>
    <x v="82"/>
    <x v="142"/>
    <x v="142"/>
    <x v="141"/>
    <x v="141"/>
    <x v="0"/>
    <x v="635"/>
    <x v="649"/>
    <x v="555"/>
    <x v="262"/>
    <x v="0"/>
    <x v="569"/>
    <x v="114"/>
    <x v="2"/>
    <x v="142"/>
    <x v="1"/>
    <x v="0"/>
    <x v="266"/>
    <x v="152"/>
    <x v="0"/>
    <x v="0"/>
    <x v="42"/>
    <x v="0"/>
    <x v="80"/>
    <x v="0"/>
    <x v="0"/>
    <x v="5"/>
    <x v="82"/>
  </r>
  <r>
    <x v="133"/>
    <x v="121"/>
    <x v="160"/>
    <x v="0"/>
    <x v="79"/>
    <x v="143"/>
    <x v="143"/>
    <x v="142"/>
    <x v="142"/>
    <x v="0"/>
    <x v="636"/>
    <x v="650"/>
    <x v="556"/>
    <x v="459"/>
    <x v="41"/>
    <x v="570"/>
    <x v="13"/>
    <x v="2"/>
    <x v="19"/>
    <x v="3"/>
    <x v="3"/>
    <x v="26"/>
    <x v="477"/>
    <x v="0"/>
    <x v="0"/>
    <x v="7"/>
    <x v="5"/>
    <x v="77"/>
    <x v="0"/>
    <x v="17"/>
    <x v="5"/>
    <x v="79"/>
  </r>
  <r>
    <x v="133"/>
    <x v="121"/>
    <x v="161"/>
    <x v="0"/>
    <x v="83"/>
    <x v="144"/>
    <x v="144"/>
    <x v="143"/>
    <x v="143"/>
    <x v="0"/>
    <x v="632"/>
    <x v="466"/>
    <x v="557"/>
    <x v="397"/>
    <x v="26"/>
    <x v="571"/>
    <x v="176"/>
    <x v="2"/>
    <x v="32"/>
    <x v="9"/>
    <x v="2"/>
    <x v="268"/>
    <x v="478"/>
    <x v="0"/>
    <x v="0"/>
    <x v="2"/>
    <x v="2"/>
    <x v="81"/>
    <x v="1"/>
    <x v="3"/>
    <x v="2"/>
    <x v="83"/>
  </r>
  <r>
    <x v="134"/>
    <x v="90"/>
    <x v="112"/>
    <x v="1"/>
    <x v="46"/>
    <x v="99"/>
    <x v="99"/>
    <x v="98"/>
    <x v="9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134"/>
    <x v="116"/>
    <x v="150"/>
    <x v="0"/>
    <x v="73"/>
    <x v="133"/>
    <x v="133"/>
    <x v="132"/>
    <x v="132"/>
    <x v="0"/>
    <x v="637"/>
    <x v="651"/>
    <x v="558"/>
    <x v="460"/>
    <x v="20"/>
    <x v="572"/>
    <x v="201"/>
    <x v="1"/>
    <x v="125"/>
    <x v="11"/>
    <x v="4"/>
    <x v="269"/>
    <x v="479"/>
    <x v="0"/>
    <x v="0"/>
    <x v="0"/>
    <x v="6"/>
    <x v="71"/>
    <x v="0"/>
    <x v="14"/>
    <x v="4"/>
    <x v="73"/>
  </r>
  <r>
    <x v="134"/>
    <x v="120"/>
    <x v="157"/>
    <x v="0"/>
    <x v="80"/>
    <x v="140"/>
    <x v="140"/>
    <x v="139"/>
    <x v="139"/>
    <x v="0"/>
    <x v="630"/>
    <x v="652"/>
    <x v="559"/>
    <x v="461"/>
    <x v="10"/>
    <x v="573"/>
    <x v="92"/>
    <x v="2"/>
    <x v="91"/>
    <x v="1"/>
    <x v="2"/>
    <x v="244"/>
    <x v="480"/>
    <x v="0"/>
    <x v="0"/>
    <x v="2"/>
    <x v="5"/>
    <x v="78"/>
    <x v="1"/>
    <x v="3"/>
    <x v="2"/>
    <x v="80"/>
  </r>
  <r>
    <x v="134"/>
    <x v="120"/>
    <x v="158"/>
    <x v="0"/>
    <x v="81"/>
    <x v="141"/>
    <x v="141"/>
    <x v="140"/>
    <x v="140"/>
    <x v="0"/>
    <x v="638"/>
    <x v="653"/>
    <x v="560"/>
    <x v="275"/>
    <x v="101"/>
    <x v="574"/>
    <x v="8"/>
    <x v="2"/>
    <x v="42"/>
    <x v="5"/>
    <x v="3"/>
    <x v="93"/>
    <x v="481"/>
    <x v="0"/>
    <x v="0"/>
    <x v="5"/>
    <x v="2"/>
    <x v="79"/>
    <x v="0"/>
    <x v="14"/>
    <x v="4"/>
    <x v="81"/>
  </r>
  <r>
    <x v="134"/>
    <x v="120"/>
    <x v="159"/>
    <x v="0"/>
    <x v="82"/>
    <x v="142"/>
    <x v="142"/>
    <x v="141"/>
    <x v="141"/>
    <x v="0"/>
    <x v="632"/>
    <x v="654"/>
    <x v="561"/>
    <x v="16"/>
    <x v="7"/>
    <x v="575"/>
    <x v="202"/>
    <x v="2"/>
    <x v="135"/>
    <x v="11"/>
    <x v="0"/>
    <x v="270"/>
    <x v="482"/>
    <x v="0"/>
    <x v="0"/>
    <x v="21"/>
    <x v="21"/>
    <x v="80"/>
    <x v="0"/>
    <x v="0"/>
    <x v="5"/>
    <x v="82"/>
  </r>
  <r>
    <x v="134"/>
    <x v="121"/>
    <x v="160"/>
    <x v="0"/>
    <x v="79"/>
    <x v="143"/>
    <x v="143"/>
    <x v="142"/>
    <x v="142"/>
    <x v="0"/>
    <x v="639"/>
    <x v="442"/>
    <x v="73"/>
    <x v="462"/>
    <x v="76"/>
    <x v="576"/>
    <x v="15"/>
    <x v="2"/>
    <x v="14"/>
    <x v="3"/>
    <x v="3"/>
    <x v="15"/>
    <x v="15"/>
    <x v="0"/>
    <x v="0"/>
    <x v="5"/>
    <x v="2"/>
    <x v="77"/>
    <x v="0"/>
    <x v="17"/>
    <x v="5"/>
    <x v="79"/>
  </r>
  <r>
    <x v="134"/>
    <x v="121"/>
    <x v="161"/>
    <x v="0"/>
    <x v="83"/>
    <x v="144"/>
    <x v="144"/>
    <x v="143"/>
    <x v="143"/>
    <x v="0"/>
    <x v="640"/>
    <x v="655"/>
    <x v="286"/>
    <x v="240"/>
    <x v="102"/>
    <x v="577"/>
    <x v="18"/>
    <x v="2"/>
    <x v="24"/>
    <x v="3"/>
    <x v="3"/>
    <x v="27"/>
    <x v="482"/>
    <x v="0"/>
    <x v="0"/>
    <x v="5"/>
    <x v="2"/>
    <x v="81"/>
    <x v="1"/>
    <x v="3"/>
    <x v="2"/>
    <x v="83"/>
  </r>
  <r>
    <x v="134"/>
    <x v="122"/>
    <x v="162"/>
    <x v="0"/>
    <x v="84"/>
    <x v="145"/>
    <x v="145"/>
    <x v="144"/>
    <x v="144"/>
    <x v="0"/>
    <x v="126"/>
    <x v="656"/>
    <x v="562"/>
    <x v="463"/>
    <x v="9"/>
    <x v="578"/>
    <x v="71"/>
    <x v="4"/>
    <x v="42"/>
    <x v="5"/>
    <x v="6"/>
    <x v="19"/>
    <x v="483"/>
    <x v="0"/>
    <x v="0"/>
    <x v="24"/>
    <x v="12"/>
    <x v="82"/>
    <x v="1"/>
    <x v="3"/>
    <x v="2"/>
    <x v="84"/>
  </r>
  <r>
    <x v="134"/>
    <x v="123"/>
    <x v="163"/>
    <x v="0"/>
    <x v="73"/>
    <x v="146"/>
    <x v="146"/>
    <x v="145"/>
    <x v="145"/>
    <x v="0"/>
    <x v="641"/>
    <x v="657"/>
    <x v="563"/>
    <x v="252"/>
    <x v="50"/>
    <x v="579"/>
    <x v="203"/>
    <x v="2"/>
    <x v="17"/>
    <x v="3"/>
    <x v="4"/>
    <x v="114"/>
    <x v="484"/>
    <x v="0"/>
    <x v="0"/>
    <x v="10"/>
    <x v="5"/>
    <x v="71"/>
    <x v="0"/>
    <x v="14"/>
    <x v="4"/>
    <x v="73"/>
  </r>
  <r>
    <x v="135"/>
    <x v="116"/>
    <x v="150"/>
    <x v="0"/>
    <x v="73"/>
    <x v="133"/>
    <x v="133"/>
    <x v="132"/>
    <x v="132"/>
    <x v="0"/>
    <x v="642"/>
    <x v="658"/>
    <x v="564"/>
    <x v="352"/>
    <x v="14"/>
    <x v="580"/>
    <x v="18"/>
    <x v="2"/>
    <x v="24"/>
    <x v="3"/>
    <x v="3"/>
    <x v="27"/>
    <x v="485"/>
    <x v="0"/>
    <x v="0"/>
    <x v="5"/>
    <x v="2"/>
    <x v="71"/>
    <x v="0"/>
    <x v="14"/>
    <x v="4"/>
    <x v="73"/>
  </r>
  <r>
    <x v="135"/>
    <x v="117"/>
    <x v="153"/>
    <x v="0"/>
    <x v="9"/>
    <x v="136"/>
    <x v="136"/>
    <x v="135"/>
    <x v="13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35"/>
    <x v="120"/>
    <x v="157"/>
    <x v="0"/>
    <x v="80"/>
    <x v="140"/>
    <x v="140"/>
    <x v="139"/>
    <x v="13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8"/>
    <x v="1"/>
    <x v="3"/>
    <x v="2"/>
    <x v="80"/>
  </r>
  <r>
    <x v="135"/>
    <x v="120"/>
    <x v="159"/>
    <x v="0"/>
    <x v="82"/>
    <x v="142"/>
    <x v="142"/>
    <x v="141"/>
    <x v="14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0"/>
    <x v="0"/>
    <x v="0"/>
    <x v="5"/>
    <x v="82"/>
  </r>
  <r>
    <x v="135"/>
    <x v="121"/>
    <x v="161"/>
    <x v="0"/>
    <x v="83"/>
    <x v="144"/>
    <x v="144"/>
    <x v="143"/>
    <x v="143"/>
    <x v="0"/>
    <x v="632"/>
    <x v="659"/>
    <x v="254"/>
    <x v="37"/>
    <x v="73"/>
    <x v="581"/>
    <x v="121"/>
    <x v="1"/>
    <x v="141"/>
    <x v="10"/>
    <x v="1"/>
    <x v="226"/>
    <x v="486"/>
    <x v="0"/>
    <x v="0"/>
    <x v="2"/>
    <x v="3"/>
    <x v="81"/>
    <x v="1"/>
    <x v="3"/>
    <x v="2"/>
    <x v="83"/>
  </r>
  <r>
    <x v="135"/>
    <x v="122"/>
    <x v="162"/>
    <x v="0"/>
    <x v="84"/>
    <x v="145"/>
    <x v="145"/>
    <x v="144"/>
    <x v="14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2"/>
    <x v="1"/>
    <x v="3"/>
    <x v="2"/>
    <x v="84"/>
  </r>
  <r>
    <x v="135"/>
    <x v="123"/>
    <x v="163"/>
    <x v="0"/>
    <x v="73"/>
    <x v="146"/>
    <x v="146"/>
    <x v="145"/>
    <x v="145"/>
    <x v="0"/>
    <x v="643"/>
    <x v="660"/>
    <x v="565"/>
    <x v="464"/>
    <x v="32"/>
    <x v="582"/>
    <x v="15"/>
    <x v="2"/>
    <x v="14"/>
    <x v="3"/>
    <x v="3"/>
    <x v="15"/>
    <x v="15"/>
    <x v="0"/>
    <x v="0"/>
    <x v="5"/>
    <x v="2"/>
    <x v="71"/>
    <x v="0"/>
    <x v="14"/>
    <x v="4"/>
    <x v="73"/>
  </r>
  <r>
    <x v="135"/>
    <x v="124"/>
    <x v="164"/>
    <x v="0"/>
    <x v="72"/>
    <x v="147"/>
    <x v="147"/>
    <x v="146"/>
    <x v="146"/>
    <x v="0"/>
    <x v="644"/>
    <x v="661"/>
    <x v="566"/>
    <x v="195"/>
    <x v="7"/>
    <x v="583"/>
    <x v="165"/>
    <x v="3"/>
    <x v="136"/>
    <x v="0"/>
    <x v="7"/>
    <x v="271"/>
    <x v="162"/>
    <x v="0"/>
    <x v="0"/>
    <x v="18"/>
    <x v="11"/>
    <x v="70"/>
    <x v="0"/>
    <x v="14"/>
    <x v="4"/>
    <x v="72"/>
  </r>
  <r>
    <x v="135"/>
    <x v="124"/>
    <x v="165"/>
    <x v="0"/>
    <x v="85"/>
    <x v="148"/>
    <x v="148"/>
    <x v="147"/>
    <x v="147"/>
    <x v="0"/>
    <x v="645"/>
    <x v="662"/>
    <x v="567"/>
    <x v="52"/>
    <x v="82"/>
    <x v="584"/>
    <x v="204"/>
    <x v="3"/>
    <x v="143"/>
    <x v="44"/>
    <x v="30"/>
    <x v="272"/>
    <x v="487"/>
    <x v="0"/>
    <x v="0"/>
    <x v="2"/>
    <x v="21"/>
    <x v="83"/>
    <x v="0"/>
    <x v="14"/>
    <x v="4"/>
    <x v="85"/>
  </r>
  <r>
    <x v="136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36"/>
    <x v="121"/>
    <x v="161"/>
    <x v="0"/>
    <x v="83"/>
    <x v="144"/>
    <x v="144"/>
    <x v="143"/>
    <x v="143"/>
    <x v="0"/>
    <x v="204"/>
    <x v="663"/>
    <x v="568"/>
    <x v="465"/>
    <x v="42"/>
    <x v="585"/>
    <x v="205"/>
    <x v="0"/>
    <x v="139"/>
    <x v="17"/>
    <x v="23"/>
    <x v="189"/>
    <x v="267"/>
    <x v="0"/>
    <x v="0"/>
    <x v="43"/>
    <x v="13"/>
    <x v="81"/>
    <x v="1"/>
    <x v="3"/>
    <x v="2"/>
    <x v="83"/>
  </r>
  <r>
    <x v="136"/>
    <x v="124"/>
    <x v="164"/>
    <x v="0"/>
    <x v="72"/>
    <x v="147"/>
    <x v="147"/>
    <x v="146"/>
    <x v="146"/>
    <x v="0"/>
    <x v="646"/>
    <x v="664"/>
    <x v="569"/>
    <x v="97"/>
    <x v="3"/>
    <x v="586"/>
    <x v="6"/>
    <x v="0"/>
    <x v="144"/>
    <x v="5"/>
    <x v="8"/>
    <x v="270"/>
    <x v="488"/>
    <x v="0"/>
    <x v="0"/>
    <x v="37"/>
    <x v="13"/>
    <x v="70"/>
    <x v="0"/>
    <x v="14"/>
    <x v="4"/>
    <x v="72"/>
  </r>
  <r>
    <x v="136"/>
    <x v="124"/>
    <x v="165"/>
    <x v="0"/>
    <x v="85"/>
    <x v="148"/>
    <x v="148"/>
    <x v="147"/>
    <x v="147"/>
    <x v="0"/>
    <x v="647"/>
    <x v="665"/>
    <x v="570"/>
    <x v="93"/>
    <x v="51"/>
    <x v="587"/>
    <x v="142"/>
    <x v="0"/>
    <x v="145"/>
    <x v="22"/>
    <x v="24"/>
    <x v="161"/>
    <x v="489"/>
    <x v="0"/>
    <x v="0"/>
    <x v="1"/>
    <x v="25"/>
    <x v="83"/>
    <x v="0"/>
    <x v="14"/>
    <x v="4"/>
    <x v="85"/>
  </r>
  <r>
    <x v="137"/>
    <x v="86"/>
    <x v="102"/>
    <x v="0"/>
    <x v="56"/>
    <x v="90"/>
    <x v="90"/>
    <x v="89"/>
    <x v="8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4"/>
    <x v="0"/>
    <x v="14"/>
    <x v="4"/>
    <x v="56"/>
  </r>
  <r>
    <x v="137"/>
    <x v="88"/>
    <x v="106"/>
    <x v="0"/>
    <x v="17"/>
    <x v="94"/>
    <x v="94"/>
    <x v="93"/>
    <x v="9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7"/>
    <x v="0"/>
    <x v="0"/>
    <x v="0"/>
    <x v="17"/>
  </r>
  <r>
    <x v="137"/>
    <x v="101"/>
    <x v="127"/>
    <x v="0"/>
    <x v="67"/>
    <x v="111"/>
    <x v="111"/>
    <x v="110"/>
    <x v="1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5"/>
    <x v="0"/>
    <x v="14"/>
    <x v="4"/>
    <x v="67"/>
  </r>
  <r>
    <x v="137"/>
    <x v="116"/>
    <x v="150"/>
    <x v="0"/>
    <x v="73"/>
    <x v="133"/>
    <x v="133"/>
    <x v="132"/>
    <x v="13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37"/>
    <x v="121"/>
    <x v="161"/>
    <x v="0"/>
    <x v="83"/>
    <x v="144"/>
    <x v="144"/>
    <x v="143"/>
    <x v="143"/>
    <x v="0"/>
    <x v="648"/>
    <x v="666"/>
    <x v="571"/>
    <x v="466"/>
    <x v="2"/>
    <x v="588"/>
    <x v="49"/>
    <x v="1"/>
    <x v="81"/>
    <x v="6"/>
    <x v="0"/>
    <x v="226"/>
    <x v="490"/>
    <x v="0"/>
    <x v="0"/>
    <x v="2"/>
    <x v="13"/>
    <x v="81"/>
    <x v="1"/>
    <x v="3"/>
    <x v="2"/>
    <x v="83"/>
  </r>
  <r>
    <x v="137"/>
    <x v="124"/>
    <x v="164"/>
    <x v="0"/>
    <x v="72"/>
    <x v="147"/>
    <x v="147"/>
    <x v="146"/>
    <x v="146"/>
    <x v="0"/>
    <x v="649"/>
    <x v="667"/>
    <x v="572"/>
    <x v="390"/>
    <x v="35"/>
    <x v="589"/>
    <x v="121"/>
    <x v="3"/>
    <x v="136"/>
    <x v="3"/>
    <x v="6"/>
    <x v="188"/>
    <x v="491"/>
    <x v="0"/>
    <x v="0"/>
    <x v="7"/>
    <x v="5"/>
    <x v="70"/>
    <x v="0"/>
    <x v="14"/>
    <x v="4"/>
    <x v="72"/>
  </r>
  <r>
    <x v="137"/>
    <x v="124"/>
    <x v="165"/>
    <x v="0"/>
    <x v="85"/>
    <x v="148"/>
    <x v="148"/>
    <x v="147"/>
    <x v="147"/>
    <x v="0"/>
    <x v="650"/>
    <x v="668"/>
    <x v="573"/>
    <x v="300"/>
    <x v="32"/>
    <x v="590"/>
    <x v="206"/>
    <x v="1"/>
    <x v="146"/>
    <x v="21"/>
    <x v="15"/>
    <x v="273"/>
    <x v="492"/>
    <x v="0"/>
    <x v="0"/>
    <x v="10"/>
    <x v="7"/>
    <x v="83"/>
    <x v="0"/>
    <x v="14"/>
    <x v="4"/>
    <x v="85"/>
  </r>
  <r>
    <x v="137"/>
    <x v="125"/>
    <x v="166"/>
    <x v="1"/>
    <x v="73"/>
    <x v="149"/>
    <x v="149"/>
    <x v="148"/>
    <x v="148"/>
    <x v="0"/>
    <x v="651"/>
    <x v="669"/>
    <x v="574"/>
    <x v="467"/>
    <x v="22"/>
    <x v="591"/>
    <x v="26"/>
    <x v="2"/>
    <x v="14"/>
    <x v="3"/>
    <x v="3"/>
    <x v="70"/>
    <x v="493"/>
    <x v="0"/>
    <x v="0"/>
    <x v="2"/>
    <x v="2"/>
    <x v="71"/>
    <x v="0"/>
    <x v="14"/>
    <x v="4"/>
    <x v="73"/>
  </r>
  <r>
    <x v="137"/>
    <x v="126"/>
    <x v="167"/>
    <x v="1"/>
    <x v="73"/>
    <x v="150"/>
    <x v="150"/>
    <x v="149"/>
    <x v="149"/>
    <x v="0"/>
    <x v="652"/>
    <x v="670"/>
    <x v="344"/>
    <x v="468"/>
    <x v="29"/>
    <x v="592"/>
    <x v="17"/>
    <x v="1"/>
    <x v="42"/>
    <x v="3"/>
    <x v="3"/>
    <x v="139"/>
    <x v="494"/>
    <x v="0"/>
    <x v="0"/>
    <x v="2"/>
    <x v="11"/>
    <x v="71"/>
    <x v="0"/>
    <x v="14"/>
    <x v="4"/>
    <x v="73"/>
  </r>
  <r>
    <x v="137"/>
    <x v="127"/>
    <x v="168"/>
    <x v="0"/>
    <x v="9"/>
    <x v="151"/>
    <x v="151"/>
    <x v="150"/>
    <x v="150"/>
    <x v="0"/>
    <x v="653"/>
    <x v="671"/>
    <x v="575"/>
    <x v="241"/>
    <x v="4"/>
    <x v="376"/>
    <x v="50"/>
    <x v="0"/>
    <x v="20"/>
    <x v="5"/>
    <x v="3"/>
    <x v="52"/>
    <x v="495"/>
    <x v="0"/>
    <x v="0"/>
    <x v="4"/>
    <x v="2"/>
    <x v="9"/>
    <x v="1"/>
    <x v="3"/>
    <x v="2"/>
    <x v="9"/>
  </r>
  <r>
    <x v="137"/>
    <x v="128"/>
    <x v="169"/>
    <x v="1"/>
    <x v="73"/>
    <x v="152"/>
    <x v="152"/>
    <x v="151"/>
    <x v="151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37"/>
    <x v="125"/>
    <x v="170"/>
    <x v="1"/>
    <x v="9"/>
    <x v="152"/>
    <x v="152"/>
    <x v="151"/>
    <x v="151"/>
    <x v="0"/>
    <x v="654"/>
    <x v="672"/>
    <x v="72"/>
    <x v="367"/>
    <x v="37"/>
    <x v="593"/>
    <x v="15"/>
    <x v="2"/>
    <x v="14"/>
    <x v="3"/>
    <x v="3"/>
    <x v="15"/>
    <x v="15"/>
    <x v="0"/>
    <x v="0"/>
    <x v="5"/>
    <x v="2"/>
    <x v="9"/>
    <x v="1"/>
    <x v="3"/>
    <x v="2"/>
    <x v="9"/>
  </r>
  <r>
    <x v="137"/>
    <x v="129"/>
    <x v="171"/>
    <x v="1"/>
    <x v="9"/>
    <x v="153"/>
    <x v="153"/>
    <x v="152"/>
    <x v="152"/>
    <x v="0"/>
    <x v="655"/>
    <x v="673"/>
    <x v="576"/>
    <x v="294"/>
    <x v="103"/>
    <x v="594"/>
    <x v="18"/>
    <x v="2"/>
    <x v="14"/>
    <x v="3"/>
    <x v="3"/>
    <x v="20"/>
    <x v="496"/>
    <x v="0"/>
    <x v="0"/>
    <x v="5"/>
    <x v="2"/>
    <x v="9"/>
    <x v="1"/>
    <x v="3"/>
    <x v="2"/>
    <x v="9"/>
  </r>
  <r>
    <x v="138"/>
    <x v="111"/>
    <x v="142"/>
    <x v="1"/>
    <x v="46"/>
    <x v="126"/>
    <x v="126"/>
    <x v="125"/>
    <x v="12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138"/>
    <x v="121"/>
    <x v="161"/>
    <x v="0"/>
    <x v="83"/>
    <x v="144"/>
    <x v="144"/>
    <x v="143"/>
    <x v="143"/>
    <x v="0"/>
    <x v="290"/>
    <x v="674"/>
    <x v="301"/>
    <x v="469"/>
    <x v="5"/>
    <x v="595"/>
    <x v="15"/>
    <x v="2"/>
    <x v="24"/>
    <x v="5"/>
    <x v="3"/>
    <x v="27"/>
    <x v="268"/>
    <x v="0"/>
    <x v="0"/>
    <x v="2"/>
    <x v="2"/>
    <x v="81"/>
    <x v="1"/>
    <x v="3"/>
    <x v="2"/>
    <x v="83"/>
  </r>
  <r>
    <x v="138"/>
    <x v="124"/>
    <x v="164"/>
    <x v="0"/>
    <x v="72"/>
    <x v="147"/>
    <x v="147"/>
    <x v="146"/>
    <x v="146"/>
    <x v="0"/>
    <x v="656"/>
    <x v="675"/>
    <x v="577"/>
    <x v="436"/>
    <x v="82"/>
    <x v="596"/>
    <x v="164"/>
    <x v="0"/>
    <x v="147"/>
    <x v="11"/>
    <x v="1"/>
    <x v="29"/>
    <x v="346"/>
    <x v="0"/>
    <x v="0"/>
    <x v="7"/>
    <x v="11"/>
    <x v="70"/>
    <x v="0"/>
    <x v="14"/>
    <x v="4"/>
    <x v="72"/>
  </r>
  <r>
    <x v="138"/>
    <x v="124"/>
    <x v="165"/>
    <x v="0"/>
    <x v="85"/>
    <x v="148"/>
    <x v="148"/>
    <x v="147"/>
    <x v="147"/>
    <x v="0"/>
    <x v="657"/>
    <x v="676"/>
    <x v="396"/>
    <x v="470"/>
    <x v="4"/>
    <x v="33"/>
    <x v="21"/>
    <x v="2"/>
    <x v="7"/>
    <x v="5"/>
    <x v="3"/>
    <x v="56"/>
    <x v="497"/>
    <x v="0"/>
    <x v="0"/>
    <x v="5"/>
    <x v="2"/>
    <x v="83"/>
    <x v="0"/>
    <x v="14"/>
    <x v="4"/>
    <x v="85"/>
  </r>
  <r>
    <x v="138"/>
    <x v="125"/>
    <x v="166"/>
    <x v="1"/>
    <x v="73"/>
    <x v="149"/>
    <x v="149"/>
    <x v="148"/>
    <x v="148"/>
    <x v="0"/>
    <x v="658"/>
    <x v="677"/>
    <x v="578"/>
    <x v="471"/>
    <x v="44"/>
    <x v="597"/>
    <x v="125"/>
    <x v="2"/>
    <x v="24"/>
    <x v="3"/>
    <x v="3"/>
    <x v="37"/>
    <x v="498"/>
    <x v="0"/>
    <x v="0"/>
    <x v="2"/>
    <x v="5"/>
    <x v="71"/>
    <x v="0"/>
    <x v="14"/>
    <x v="4"/>
    <x v="73"/>
  </r>
  <r>
    <x v="138"/>
    <x v="126"/>
    <x v="167"/>
    <x v="1"/>
    <x v="73"/>
    <x v="150"/>
    <x v="150"/>
    <x v="149"/>
    <x v="149"/>
    <x v="0"/>
    <x v="659"/>
    <x v="678"/>
    <x v="579"/>
    <x v="470"/>
    <x v="80"/>
    <x v="598"/>
    <x v="13"/>
    <x v="2"/>
    <x v="50"/>
    <x v="3"/>
    <x v="3"/>
    <x v="37"/>
    <x v="499"/>
    <x v="0"/>
    <x v="0"/>
    <x v="5"/>
    <x v="2"/>
    <x v="71"/>
    <x v="0"/>
    <x v="14"/>
    <x v="4"/>
    <x v="73"/>
  </r>
  <r>
    <x v="138"/>
    <x v="127"/>
    <x v="168"/>
    <x v="0"/>
    <x v="9"/>
    <x v="151"/>
    <x v="151"/>
    <x v="150"/>
    <x v="150"/>
    <x v="0"/>
    <x v="660"/>
    <x v="679"/>
    <x v="580"/>
    <x v="147"/>
    <x v="51"/>
    <x v="599"/>
    <x v="16"/>
    <x v="7"/>
    <x v="7"/>
    <x v="11"/>
    <x v="1"/>
    <x v="114"/>
    <x v="500"/>
    <x v="0"/>
    <x v="0"/>
    <x v="7"/>
    <x v="2"/>
    <x v="9"/>
    <x v="1"/>
    <x v="3"/>
    <x v="2"/>
    <x v="9"/>
  </r>
  <r>
    <x v="138"/>
    <x v="125"/>
    <x v="170"/>
    <x v="1"/>
    <x v="9"/>
    <x v="152"/>
    <x v="152"/>
    <x v="151"/>
    <x v="151"/>
    <x v="0"/>
    <x v="661"/>
    <x v="680"/>
    <x v="581"/>
    <x v="472"/>
    <x v="44"/>
    <x v="266"/>
    <x v="8"/>
    <x v="2"/>
    <x v="14"/>
    <x v="3"/>
    <x v="3"/>
    <x v="27"/>
    <x v="501"/>
    <x v="0"/>
    <x v="0"/>
    <x v="5"/>
    <x v="2"/>
    <x v="9"/>
    <x v="1"/>
    <x v="3"/>
    <x v="2"/>
    <x v="9"/>
  </r>
  <r>
    <x v="138"/>
    <x v="129"/>
    <x v="171"/>
    <x v="1"/>
    <x v="9"/>
    <x v="153"/>
    <x v="153"/>
    <x v="152"/>
    <x v="152"/>
    <x v="0"/>
    <x v="662"/>
    <x v="681"/>
    <x v="582"/>
    <x v="328"/>
    <x v="88"/>
    <x v="600"/>
    <x v="26"/>
    <x v="2"/>
    <x v="24"/>
    <x v="3"/>
    <x v="3"/>
    <x v="83"/>
    <x v="502"/>
    <x v="0"/>
    <x v="0"/>
    <x v="5"/>
    <x v="2"/>
    <x v="9"/>
    <x v="1"/>
    <x v="3"/>
    <x v="2"/>
    <x v="9"/>
  </r>
  <r>
    <x v="138"/>
    <x v="130"/>
    <x v="172"/>
    <x v="0"/>
    <x v="86"/>
    <x v="154"/>
    <x v="154"/>
    <x v="153"/>
    <x v="153"/>
    <x v="0"/>
    <x v="663"/>
    <x v="682"/>
    <x v="583"/>
    <x v="150"/>
    <x v="3"/>
    <x v="83"/>
    <x v="207"/>
    <x v="1"/>
    <x v="12"/>
    <x v="0"/>
    <x v="23"/>
    <x v="274"/>
    <x v="1"/>
    <x v="0"/>
    <x v="0"/>
    <x v="5"/>
    <x v="10"/>
    <x v="84"/>
    <x v="0"/>
    <x v="0"/>
    <x v="5"/>
    <x v="86"/>
  </r>
  <r>
    <x v="138"/>
    <x v="130"/>
    <x v="173"/>
    <x v="0"/>
    <x v="78"/>
    <x v="155"/>
    <x v="155"/>
    <x v="154"/>
    <x v="154"/>
    <x v="0"/>
    <x v="664"/>
    <x v="683"/>
    <x v="396"/>
    <x v="361"/>
    <x v="37"/>
    <x v="601"/>
    <x v="8"/>
    <x v="2"/>
    <x v="14"/>
    <x v="3"/>
    <x v="3"/>
    <x v="27"/>
    <x v="503"/>
    <x v="0"/>
    <x v="0"/>
    <x v="5"/>
    <x v="2"/>
    <x v="76"/>
    <x v="0"/>
    <x v="0"/>
    <x v="5"/>
    <x v="78"/>
  </r>
  <r>
    <x v="139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39"/>
    <x v="124"/>
    <x v="164"/>
    <x v="0"/>
    <x v="72"/>
    <x v="147"/>
    <x v="147"/>
    <x v="146"/>
    <x v="146"/>
    <x v="0"/>
    <x v="665"/>
    <x v="684"/>
    <x v="584"/>
    <x v="336"/>
    <x v="81"/>
    <x v="602"/>
    <x v="83"/>
    <x v="7"/>
    <x v="30"/>
    <x v="3"/>
    <x v="1"/>
    <x v="268"/>
    <x v="166"/>
    <x v="0"/>
    <x v="0"/>
    <x v="12"/>
    <x v="5"/>
    <x v="70"/>
    <x v="0"/>
    <x v="14"/>
    <x v="4"/>
    <x v="72"/>
  </r>
  <r>
    <x v="139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4"/>
    <x v="85"/>
  </r>
  <r>
    <x v="139"/>
    <x v="125"/>
    <x v="166"/>
    <x v="1"/>
    <x v="73"/>
    <x v="149"/>
    <x v="149"/>
    <x v="148"/>
    <x v="148"/>
    <x v="0"/>
    <x v="30"/>
    <x v="68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39"/>
    <x v="126"/>
    <x v="167"/>
    <x v="1"/>
    <x v="73"/>
    <x v="150"/>
    <x v="150"/>
    <x v="149"/>
    <x v="14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39"/>
    <x v="127"/>
    <x v="168"/>
    <x v="0"/>
    <x v="9"/>
    <x v="151"/>
    <x v="151"/>
    <x v="150"/>
    <x v="150"/>
    <x v="0"/>
    <x v="666"/>
    <x v="686"/>
    <x v="585"/>
    <x v="473"/>
    <x v="30"/>
    <x v="603"/>
    <x v="71"/>
    <x v="2"/>
    <x v="19"/>
    <x v="3"/>
    <x v="2"/>
    <x v="7"/>
    <x v="254"/>
    <x v="0"/>
    <x v="0"/>
    <x v="2"/>
    <x v="5"/>
    <x v="9"/>
    <x v="1"/>
    <x v="3"/>
    <x v="2"/>
    <x v="9"/>
  </r>
  <r>
    <x v="139"/>
    <x v="125"/>
    <x v="170"/>
    <x v="1"/>
    <x v="9"/>
    <x v="152"/>
    <x v="152"/>
    <x v="151"/>
    <x v="151"/>
    <x v="0"/>
    <x v="667"/>
    <x v="687"/>
    <x v="586"/>
    <x v="474"/>
    <x v="73"/>
    <x v="230"/>
    <x v="8"/>
    <x v="2"/>
    <x v="50"/>
    <x v="3"/>
    <x v="3"/>
    <x v="83"/>
    <x v="504"/>
    <x v="0"/>
    <x v="0"/>
    <x v="2"/>
    <x v="2"/>
    <x v="9"/>
    <x v="1"/>
    <x v="3"/>
    <x v="2"/>
    <x v="9"/>
  </r>
  <r>
    <x v="139"/>
    <x v="129"/>
    <x v="171"/>
    <x v="1"/>
    <x v="9"/>
    <x v="153"/>
    <x v="153"/>
    <x v="152"/>
    <x v="152"/>
    <x v="0"/>
    <x v="668"/>
    <x v="688"/>
    <x v="587"/>
    <x v="475"/>
    <x v="88"/>
    <x v="604"/>
    <x v="26"/>
    <x v="2"/>
    <x v="24"/>
    <x v="3"/>
    <x v="3"/>
    <x v="83"/>
    <x v="505"/>
    <x v="0"/>
    <x v="0"/>
    <x v="5"/>
    <x v="2"/>
    <x v="9"/>
    <x v="1"/>
    <x v="3"/>
    <x v="2"/>
    <x v="9"/>
  </r>
  <r>
    <x v="139"/>
    <x v="130"/>
    <x v="172"/>
    <x v="0"/>
    <x v="86"/>
    <x v="154"/>
    <x v="154"/>
    <x v="153"/>
    <x v="153"/>
    <x v="0"/>
    <x v="669"/>
    <x v="689"/>
    <x v="588"/>
    <x v="403"/>
    <x v="30"/>
    <x v="266"/>
    <x v="19"/>
    <x v="1"/>
    <x v="55"/>
    <x v="5"/>
    <x v="3"/>
    <x v="86"/>
    <x v="71"/>
    <x v="0"/>
    <x v="0"/>
    <x v="5"/>
    <x v="11"/>
    <x v="84"/>
    <x v="0"/>
    <x v="0"/>
    <x v="5"/>
    <x v="86"/>
  </r>
  <r>
    <x v="139"/>
    <x v="130"/>
    <x v="173"/>
    <x v="0"/>
    <x v="78"/>
    <x v="155"/>
    <x v="155"/>
    <x v="154"/>
    <x v="154"/>
    <x v="0"/>
    <x v="670"/>
    <x v="690"/>
    <x v="589"/>
    <x v="476"/>
    <x v="101"/>
    <x v="605"/>
    <x v="46"/>
    <x v="1"/>
    <x v="19"/>
    <x v="3"/>
    <x v="1"/>
    <x v="275"/>
    <x v="430"/>
    <x v="0"/>
    <x v="0"/>
    <x v="12"/>
    <x v="2"/>
    <x v="76"/>
    <x v="0"/>
    <x v="0"/>
    <x v="5"/>
    <x v="78"/>
  </r>
  <r>
    <x v="139"/>
    <x v="131"/>
    <x v="174"/>
    <x v="0"/>
    <x v="70"/>
    <x v="156"/>
    <x v="156"/>
    <x v="155"/>
    <x v="155"/>
    <x v="0"/>
    <x v="671"/>
    <x v="691"/>
    <x v="590"/>
    <x v="477"/>
    <x v="8"/>
    <x v="276"/>
    <x v="187"/>
    <x v="7"/>
    <x v="33"/>
    <x v="3"/>
    <x v="8"/>
    <x v="276"/>
    <x v="506"/>
    <x v="0"/>
    <x v="0"/>
    <x v="11"/>
    <x v="13"/>
    <x v="68"/>
    <x v="0"/>
    <x v="14"/>
    <x v="4"/>
    <x v="70"/>
  </r>
  <r>
    <x v="139"/>
    <x v="132"/>
    <x v="175"/>
    <x v="1"/>
    <x v="62"/>
    <x v="157"/>
    <x v="157"/>
    <x v="156"/>
    <x v="156"/>
    <x v="0"/>
    <x v="672"/>
    <x v="692"/>
    <x v="591"/>
    <x v="478"/>
    <x v="26"/>
    <x v="606"/>
    <x v="8"/>
    <x v="2"/>
    <x v="14"/>
    <x v="3"/>
    <x v="3"/>
    <x v="27"/>
    <x v="507"/>
    <x v="3"/>
    <x v="75"/>
    <x v="5"/>
    <x v="5"/>
    <x v="60"/>
    <x v="0"/>
    <x v="16"/>
    <x v="4"/>
    <x v="62"/>
  </r>
  <r>
    <x v="140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40"/>
    <x v="124"/>
    <x v="164"/>
    <x v="0"/>
    <x v="72"/>
    <x v="147"/>
    <x v="147"/>
    <x v="146"/>
    <x v="146"/>
    <x v="0"/>
    <x v="673"/>
    <x v="693"/>
    <x v="543"/>
    <x v="479"/>
    <x v="51"/>
    <x v="142"/>
    <x v="15"/>
    <x v="2"/>
    <x v="14"/>
    <x v="3"/>
    <x v="3"/>
    <x v="15"/>
    <x v="15"/>
    <x v="0"/>
    <x v="0"/>
    <x v="5"/>
    <x v="2"/>
    <x v="70"/>
    <x v="0"/>
    <x v="14"/>
    <x v="4"/>
    <x v="72"/>
  </r>
  <r>
    <x v="140"/>
    <x v="124"/>
    <x v="165"/>
    <x v="0"/>
    <x v="85"/>
    <x v="148"/>
    <x v="148"/>
    <x v="147"/>
    <x v="147"/>
    <x v="0"/>
    <x v="674"/>
    <x v="694"/>
    <x v="592"/>
    <x v="387"/>
    <x v="32"/>
    <x v="361"/>
    <x v="208"/>
    <x v="7"/>
    <x v="148"/>
    <x v="57"/>
    <x v="10"/>
    <x v="277"/>
    <x v="212"/>
    <x v="0"/>
    <x v="0"/>
    <x v="44"/>
    <x v="44"/>
    <x v="83"/>
    <x v="0"/>
    <x v="14"/>
    <x v="4"/>
    <x v="85"/>
  </r>
  <r>
    <x v="140"/>
    <x v="127"/>
    <x v="168"/>
    <x v="0"/>
    <x v="9"/>
    <x v="151"/>
    <x v="151"/>
    <x v="150"/>
    <x v="150"/>
    <x v="0"/>
    <x v="675"/>
    <x v="695"/>
    <x v="593"/>
    <x v="280"/>
    <x v="51"/>
    <x v="607"/>
    <x v="62"/>
    <x v="0"/>
    <x v="2"/>
    <x v="5"/>
    <x v="2"/>
    <x v="241"/>
    <x v="508"/>
    <x v="0"/>
    <x v="0"/>
    <x v="7"/>
    <x v="2"/>
    <x v="9"/>
    <x v="1"/>
    <x v="3"/>
    <x v="2"/>
    <x v="9"/>
  </r>
  <r>
    <x v="140"/>
    <x v="125"/>
    <x v="170"/>
    <x v="1"/>
    <x v="9"/>
    <x v="152"/>
    <x v="152"/>
    <x v="151"/>
    <x v="151"/>
    <x v="0"/>
    <x v="676"/>
    <x v="696"/>
    <x v="594"/>
    <x v="480"/>
    <x v="44"/>
    <x v="608"/>
    <x v="23"/>
    <x v="2"/>
    <x v="24"/>
    <x v="3"/>
    <x v="3"/>
    <x v="75"/>
    <x v="509"/>
    <x v="0"/>
    <x v="0"/>
    <x v="5"/>
    <x v="2"/>
    <x v="9"/>
    <x v="1"/>
    <x v="3"/>
    <x v="2"/>
    <x v="9"/>
  </r>
  <r>
    <x v="140"/>
    <x v="129"/>
    <x v="171"/>
    <x v="1"/>
    <x v="9"/>
    <x v="153"/>
    <x v="153"/>
    <x v="152"/>
    <x v="152"/>
    <x v="0"/>
    <x v="677"/>
    <x v="697"/>
    <x v="582"/>
    <x v="481"/>
    <x v="104"/>
    <x v="609"/>
    <x v="8"/>
    <x v="2"/>
    <x v="24"/>
    <x v="3"/>
    <x v="3"/>
    <x v="70"/>
    <x v="510"/>
    <x v="0"/>
    <x v="0"/>
    <x v="2"/>
    <x v="2"/>
    <x v="9"/>
    <x v="1"/>
    <x v="3"/>
    <x v="2"/>
    <x v="9"/>
  </r>
  <r>
    <x v="140"/>
    <x v="130"/>
    <x v="172"/>
    <x v="0"/>
    <x v="86"/>
    <x v="154"/>
    <x v="154"/>
    <x v="153"/>
    <x v="153"/>
    <x v="0"/>
    <x v="678"/>
    <x v="698"/>
    <x v="595"/>
    <x v="482"/>
    <x v="37"/>
    <x v="610"/>
    <x v="16"/>
    <x v="2"/>
    <x v="13"/>
    <x v="5"/>
    <x v="1"/>
    <x v="41"/>
    <x v="511"/>
    <x v="0"/>
    <x v="0"/>
    <x v="5"/>
    <x v="5"/>
    <x v="84"/>
    <x v="0"/>
    <x v="0"/>
    <x v="5"/>
    <x v="86"/>
  </r>
  <r>
    <x v="140"/>
    <x v="130"/>
    <x v="173"/>
    <x v="0"/>
    <x v="78"/>
    <x v="155"/>
    <x v="155"/>
    <x v="154"/>
    <x v="154"/>
    <x v="0"/>
    <x v="679"/>
    <x v="699"/>
    <x v="27"/>
    <x v="483"/>
    <x v="105"/>
    <x v="611"/>
    <x v="8"/>
    <x v="2"/>
    <x v="14"/>
    <x v="3"/>
    <x v="3"/>
    <x v="27"/>
    <x v="512"/>
    <x v="0"/>
    <x v="0"/>
    <x v="2"/>
    <x v="2"/>
    <x v="76"/>
    <x v="0"/>
    <x v="0"/>
    <x v="5"/>
    <x v="78"/>
  </r>
  <r>
    <x v="140"/>
    <x v="131"/>
    <x v="174"/>
    <x v="0"/>
    <x v="70"/>
    <x v="156"/>
    <x v="156"/>
    <x v="155"/>
    <x v="155"/>
    <x v="0"/>
    <x v="680"/>
    <x v="700"/>
    <x v="142"/>
    <x v="484"/>
    <x v="8"/>
    <x v="612"/>
    <x v="15"/>
    <x v="2"/>
    <x v="14"/>
    <x v="3"/>
    <x v="3"/>
    <x v="15"/>
    <x v="15"/>
    <x v="0"/>
    <x v="0"/>
    <x v="5"/>
    <x v="2"/>
    <x v="68"/>
    <x v="0"/>
    <x v="14"/>
    <x v="4"/>
    <x v="70"/>
  </r>
  <r>
    <x v="140"/>
    <x v="132"/>
    <x v="175"/>
    <x v="1"/>
    <x v="62"/>
    <x v="157"/>
    <x v="157"/>
    <x v="156"/>
    <x v="156"/>
    <x v="0"/>
    <x v="681"/>
    <x v="701"/>
    <x v="596"/>
    <x v="485"/>
    <x v="15"/>
    <x v="613"/>
    <x v="18"/>
    <x v="2"/>
    <x v="14"/>
    <x v="3"/>
    <x v="3"/>
    <x v="20"/>
    <x v="513"/>
    <x v="18"/>
    <x v="76"/>
    <x v="5"/>
    <x v="11"/>
    <x v="60"/>
    <x v="0"/>
    <x v="16"/>
    <x v="4"/>
    <x v="62"/>
  </r>
  <r>
    <x v="140"/>
    <x v="132"/>
    <x v="176"/>
    <x v="1"/>
    <x v="62"/>
    <x v="158"/>
    <x v="158"/>
    <x v="157"/>
    <x v="157"/>
    <x v="0"/>
    <x v="682"/>
    <x v="702"/>
    <x v="597"/>
    <x v="161"/>
    <x v="64"/>
    <x v="614"/>
    <x v="23"/>
    <x v="2"/>
    <x v="24"/>
    <x v="3"/>
    <x v="1"/>
    <x v="31"/>
    <x v="514"/>
    <x v="1"/>
    <x v="77"/>
    <x v="4"/>
    <x v="11"/>
    <x v="60"/>
    <x v="0"/>
    <x v="16"/>
    <x v="4"/>
    <x v="62"/>
  </r>
  <r>
    <x v="141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41"/>
    <x v="124"/>
    <x v="164"/>
    <x v="0"/>
    <x v="72"/>
    <x v="147"/>
    <x v="147"/>
    <x v="146"/>
    <x v="14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0"/>
    <x v="0"/>
    <x v="14"/>
    <x v="4"/>
    <x v="72"/>
  </r>
  <r>
    <x v="141"/>
    <x v="124"/>
    <x v="165"/>
    <x v="0"/>
    <x v="85"/>
    <x v="148"/>
    <x v="148"/>
    <x v="147"/>
    <x v="147"/>
    <x v="0"/>
    <x v="683"/>
    <x v="703"/>
    <x v="598"/>
    <x v="248"/>
    <x v="32"/>
    <x v="615"/>
    <x v="209"/>
    <x v="1"/>
    <x v="149"/>
    <x v="58"/>
    <x v="10"/>
    <x v="278"/>
    <x v="492"/>
    <x v="0"/>
    <x v="0"/>
    <x v="28"/>
    <x v="45"/>
    <x v="83"/>
    <x v="0"/>
    <x v="14"/>
    <x v="4"/>
    <x v="85"/>
  </r>
  <r>
    <x v="141"/>
    <x v="127"/>
    <x v="168"/>
    <x v="0"/>
    <x v="9"/>
    <x v="151"/>
    <x v="151"/>
    <x v="150"/>
    <x v="150"/>
    <x v="0"/>
    <x v="220"/>
    <x v="704"/>
    <x v="73"/>
    <x v="486"/>
    <x v="1"/>
    <x v="616"/>
    <x v="15"/>
    <x v="2"/>
    <x v="14"/>
    <x v="3"/>
    <x v="3"/>
    <x v="15"/>
    <x v="15"/>
    <x v="0"/>
    <x v="0"/>
    <x v="5"/>
    <x v="2"/>
    <x v="9"/>
    <x v="1"/>
    <x v="3"/>
    <x v="2"/>
    <x v="9"/>
  </r>
  <r>
    <x v="141"/>
    <x v="125"/>
    <x v="170"/>
    <x v="1"/>
    <x v="9"/>
    <x v="152"/>
    <x v="152"/>
    <x v="151"/>
    <x v="151"/>
    <x v="0"/>
    <x v="684"/>
    <x v="705"/>
    <x v="132"/>
    <x v="449"/>
    <x v="22"/>
    <x v="617"/>
    <x v="15"/>
    <x v="2"/>
    <x v="14"/>
    <x v="3"/>
    <x v="3"/>
    <x v="15"/>
    <x v="15"/>
    <x v="0"/>
    <x v="0"/>
    <x v="5"/>
    <x v="2"/>
    <x v="9"/>
    <x v="1"/>
    <x v="3"/>
    <x v="2"/>
    <x v="9"/>
  </r>
  <r>
    <x v="141"/>
    <x v="129"/>
    <x v="171"/>
    <x v="1"/>
    <x v="9"/>
    <x v="153"/>
    <x v="153"/>
    <x v="152"/>
    <x v="152"/>
    <x v="0"/>
    <x v="685"/>
    <x v="706"/>
    <x v="599"/>
    <x v="179"/>
    <x v="78"/>
    <x v="618"/>
    <x v="18"/>
    <x v="2"/>
    <x v="50"/>
    <x v="3"/>
    <x v="3"/>
    <x v="70"/>
    <x v="448"/>
    <x v="0"/>
    <x v="0"/>
    <x v="5"/>
    <x v="2"/>
    <x v="9"/>
    <x v="1"/>
    <x v="3"/>
    <x v="2"/>
    <x v="9"/>
  </r>
  <r>
    <x v="141"/>
    <x v="130"/>
    <x v="172"/>
    <x v="0"/>
    <x v="86"/>
    <x v="154"/>
    <x v="154"/>
    <x v="153"/>
    <x v="153"/>
    <x v="0"/>
    <x v="686"/>
    <x v="707"/>
    <x v="600"/>
    <x v="487"/>
    <x v="10"/>
    <x v="619"/>
    <x v="162"/>
    <x v="1"/>
    <x v="136"/>
    <x v="1"/>
    <x v="0"/>
    <x v="11"/>
    <x v="515"/>
    <x v="0"/>
    <x v="0"/>
    <x v="2"/>
    <x v="11"/>
    <x v="84"/>
    <x v="0"/>
    <x v="0"/>
    <x v="5"/>
    <x v="86"/>
  </r>
  <r>
    <x v="141"/>
    <x v="132"/>
    <x v="175"/>
    <x v="1"/>
    <x v="62"/>
    <x v="157"/>
    <x v="157"/>
    <x v="156"/>
    <x v="156"/>
    <x v="0"/>
    <x v="687"/>
    <x v="708"/>
    <x v="309"/>
    <x v="488"/>
    <x v="43"/>
    <x v="620"/>
    <x v="15"/>
    <x v="2"/>
    <x v="14"/>
    <x v="3"/>
    <x v="3"/>
    <x v="15"/>
    <x v="15"/>
    <x v="2"/>
    <x v="78"/>
    <x v="5"/>
    <x v="2"/>
    <x v="60"/>
    <x v="0"/>
    <x v="16"/>
    <x v="4"/>
    <x v="62"/>
  </r>
  <r>
    <x v="141"/>
    <x v="132"/>
    <x v="176"/>
    <x v="1"/>
    <x v="62"/>
    <x v="158"/>
    <x v="158"/>
    <x v="157"/>
    <x v="157"/>
    <x v="0"/>
    <x v="688"/>
    <x v="709"/>
    <x v="601"/>
    <x v="489"/>
    <x v="106"/>
    <x v="621"/>
    <x v="41"/>
    <x v="2"/>
    <x v="14"/>
    <x v="3"/>
    <x v="3"/>
    <x v="75"/>
    <x v="516"/>
    <x v="18"/>
    <x v="79"/>
    <x v="7"/>
    <x v="2"/>
    <x v="60"/>
    <x v="0"/>
    <x v="16"/>
    <x v="4"/>
    <x v="62"/>
  </r>
  <r>
    <x v="142"/>
    <x v="90"/>
    <x v="111"/>
    <x v="0"/>
    <x v="60"/>
    <x v="98"/>
    <x v="98"/>
    <x v="97"/>
    <x v="9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8"/>
    <x v="0"/>
    <x v="14"/>
    <x v="4"/>
    <x v="60"/>
  </r>
  <r>
    <x v="142"/>
    <x v="124"/>
    <x v="165"/>
    <x v="0"/>
    <x v="85"/>
    <x v="148"/>
    <x v="148"/>
    <x v="147"/>
    <x v="147"/>
    <x v="0"/>
    <x v="689"/>
    <x v="633"/>
    <x v="279"/>
    <x v="44"/>
    <x v="4"/>
    <x v="622"/>
    <x v="1"/>
    <x v="2"/>
    <x v="73"/>
    <x v="11"/>
    <x v="3"/>
    <x v="243"/>
    <x v="517"/>
    <x v="0"/>
    <x v="0"/>
    <x v="2"/>
    <x v="2"/>
    <x v="83"/>
    <x v="0"/>
    <x v="14"/>
    <x v="4"/>
    <x v="85"/>
  </r>
  <r>
    <x v="142"/>
    <x v="127"/>
    <x v="168"/>
    <x v="0"/>
    <x v="9"/>
    <x v="151"/>
    <x v="151"/>
    <x v="150"/>
    <x v="150"/>
    <x v="0"/>
    <x v="690"/>
    <x v="710"/>
    <x v="602"/>
    <x v="162"/>
    <x v="32"/>
    <x v="189"/>
    <x v="185"/>
    <x v="1"/>
    <x v="19"/>
    <x v="3"/>
    <x v="3"/>
    <x v="69"/>
    <x v="256"/>
    <x v="0"/>
    <x v="0"/>
    <x v="2"/>
    <x v="11"/>
    <x v="9"/>
    <x v="1"/>
    <x v="3"/>
    <x v="2"/>
    <x v="9"/>
  </r>
  <r>
    <x v="142"/>
    <x v="125"/>
    <x v="170"/>
    <x v="1"/>
    <x v="9"/>
    <x v="152"/>
    <x v="152"/>
    <x v="151"/>
    <x v="151"/>
    <x v="0"/>
    <x v="691"/>
    <x v="630"/>
    <x v="603"/>
    <x v="360"/>
    <x v="15"/>
    <x v="623"/>
    <x v="18"/>
    <x v="2"/>
    <x v="24"/>
    <x v="3"/>
    <x v="3"/>
    <x v="27"/>
    <x v="518"/>
    <x v="0"/>
    <x v="0"/>
    <x v="5"/>
    <x v="2"/>
    <x v="9"/>
    <x v="1"/>
    <x v="3"/>
    <x v="2"/>
    <x v="9"/>
  </r>
  <r>
    <x v="142"/>
    <x v="129"/>
    <x v="171"/>
    <x v="1"/>
    <x v="9"/>
    <x v="153"/>
    <x v="153"/>
    <x v="152"/>
    <x v="152"/>
    <x v="0"/>
    <x v="692"/>
    <x v="711"/>
    <x v="604"/>
    <x v="490"/>
    <x v="79"/>
    <x v="624"/>
    <x v="22"/>
    <x v="1"/>
    <x v="50"/>
    <x v="3"/>
    <x v="3"/>
    <x v="68"/>
    <x v="519"/>
    <x v="0"/>
    <x v="0"/>
    <x v="5"/>
    <x v="2"/>
    <x v="9"/>
    <x v="1"/>
    <x v="3"/>
    <x v="2"/>
    <x v="9"/>
  </r>
  <r>
    <x v="142"/>
    <x v="130"/>
    <x v="172"/>
    <x v="0"/>
    <x v="86"/>
    <x v="154"/>
    <x v="154"/>
    <x v="153"/>
    <x v="153"/>
    <x v="0"/>
    <x v="693"/>
    <x v="712"/>
    <x v="605"/>
    <x v="491"/>
    <x v="12"/>
    <x v="315"/>
    <x v="210"/>
    <x v="2"/>
    <x v="71"/>
    <x v="0"/>
    <x v="2"/>
    <x v="279"/>
    <x v="422"/>
    <x v="0"/>
    <x v="0"/>
    <x v="1"/>
    <x v="6"/>
    <x v="84"/>
    <x v="0"/>
    <x v="0"/>
    <x v="5"/>
    <x v="86"/>
  </r>
  <r>
    <x v="142"/>
    <x v="132"/>
    <x v="175"/>
    <x v="1"/>
    <x v="62"/>
    <x v="157"/>
    <x v="157"/>
    <x v="156"/>
    <x v="156"/>
    <x v="0"/>
    <x v="694"/>
    <x v="713"/>
    <x v="606"/>
    <x v="186"/>
    <x v="25"/>
    <x v="625"/>
    <x v="26"/>
    <x v="2"/>
    <x v="24"/>
    <x v="3"/>
    <x v="3"/>
    <x v="83"/>
    <x v="520"/>
    <x v="2"/>
    <x v="80"/>
    <x v="4"/>
    <x v="2"/>
    <x v="60"/>
    <x v="0"/>
    <x v="16"/>
    <x v="4"/>
    <x v="62"/>
  </r>
  <r>
    <x v="142"/>
    <x v="132"/>
    <x v="176"/>
    <x v="1"/>
    <x v="62"/>
    <x v="158"/>
    <x v="158"/>
    <x v="157"/>
    <x v="157"/>
    <x v="0"/>
    <x v="695"/>
    <x v="714"/>
    <x v="526"/>
    <x v="492"/>
    <x v="107"/>
    <x v="626"/>
    <x v="26"/>
    <x v="1"/>
    <x v="50"/>
    <x v="3"/>
    <x v="4"/>
    <x v="68"/>
    <x v="521"/>
    <x v="13"/>
    <x v="10"/>
    <x v="1"/>
    <x v="5"/>
    <x v="60"/>
    <x v="0"/>
    <x v="16"/>
    <x v="4"/>
    <x v="62"/>
  </r>
  <r>
    <x v="142"/>
    <x v="133"/>
    <x v="177"/>
    <x v="0"/>
    <x v="69"/>
    <x v="159"/>
    <x v="159"/>
    <x v="158"/>
    <x v="158"/>
    <x v="0"/>
    <x v="696"/>
    <x v="715"/>
    <x v="607"/>
    <x v="493"/>
    <x v="43"/>
    <x v="627"/>
    <x v="185"/>
    <x v="2"/>
    <x v="4"/>
    <x v="3"/>
    <x v="1"/>
    <x v="178"/>
    <x v="316"/>
    <x v="0"/>
    <x v="0"/>
    <x v="2"/>
    <x v="5"/>
    <x v="67"/>
    <x v="0"/>
    <x v="14"/>
    <x v="4"/>
    <x v="69"/>
  </r>
  <r>
    <x v="143"/>
    <x v="124"/>
    <x v="164"/>
    <x v="0"/>
    <x v="72"/>
    <x v="147"/>
    <x v="147"/>
    <x v="146"/>
    <x v="146"/>
    <x v="0"/>
    <x v="697"/>
    <x v="716"/>
    <x v="608"/>
    <x v="494"/>
    <x v="2"/>
    <x v="376"/>
    <x v="8"/>
    <x v="2"/>
    <x v="24"/>
    <x v="3"/>
    <x v="3"/>
    <x v="70"/>
    <x v="522"/>
    <x v="0"/>
    <x v="0"/>
    <x v="5"/>
    <x v="2"/>
    <x v="70"/>
    <x v="0"/>
    <x v="14"/>
    <x v="4"/>
    <x v="72"/>
  </r>
  <r>
    <x v="143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4"/>
    <x v="85"/>
  </r>
  <r>
    <x v="143"/>
    <x v="127"/>
    <x v="168"/>
    <x v="0"/>
    <x v="9"/>
    <x v="151"/>
    <x v="151"/>
    <x v="150"/>
    <x v="150"/>
    <x v="0"/>
    <x v="119"/>
    <x v="717"/>
    <x v="72"/>
    <x v="495"/>
    <x v="4"/>
    <x v="628"/>
    <x v="15"/>
    <x v="2"/>
    <x v="14"/>
    <x v="3"/>
    <x v="3"/>
    <x v="15"/>
    <x v="15"/>
    <x v="0"/>
    <x v="0"/>
    <x v="5"/>
    <x v="2"/>
    <x v="9"/>
    <x v="1"/>
    <x v="3"/>
    <x v="2"/>
    <x v="9"/>
  </r>
  <r>
    <x v="143"/>
    <x v="125"/>
    <x v="170"/>
    <x v="1"/>
    <x v="9"/>
    <x v="152"/>
    <x v="152"/>
    <x v="151"/>
    <x v="151"/>
    <x v="0"/>
    <x v="698"/>
    <x v="718"/>
    <x v="609"/>
    <x v="115"/>
    <x v="83"/>
    <x v="186"/>
    <x v="26"/>
    <x v="2"/>
    <x v="24"/>
    <x v="3"/>
    <x v="3"/>
    <x v="83"/>
    <x v="523"/>
    <x v="0"/>
    <x v="0"/>
    <x v="5"/>
    <x v="2"/>
    <x v="9"/>
    <x v="1"/>
    <x v="3"/>
    <x v="2"/>
    <x v="9"/>
  </r>
  <r>
    <x v="143"/>
    <x v="129"/>
    <x v="171"/>
    <x v="1"/>
    <x v="9"/>
    <x v="153"/>
    <x v="153"/>
    <x v="152"/>
    <x v="152"/>
    <x v="0"/>
    <x v="699"/>
    <x v="719"/>
    <x v="610"/>
    <x v="496"/>
    <x v="15"/>
    <x v="629"/>
    <x v="13"/>
    <x v="2"/>
    <x v="24"/>
    <x v="3"/>
    <x v="3"/>
    <x v="68"/>
    <x v="524"/>
    <x v="0"/>
    <x v="0"/>
    <x v="5"/>
    <x v="5"/>
    <x v="9"/>
    <x v="1"/>
    <x v="3"/>
    <x v="2"/>
    <x v="9"/>
  </r>
  <r>
    <x v="143"/>
    <x v="130"/>
    <x v="172"/>
    <x v="0"/>
    <x v="86"/>
    <x v="154"/>
    <x v="154"/>
    <x v="153"/>
    <x v="153"/>
    <x v="0"/>
    <x v="700"/>
    <x v="720"/>
    <x v="611"/>
    <x v="157"/>
    <x v="41"/>
    <x v="544"/>
    <x v="207"/>
    <x v="2"/>
    <x v="61"/>
    <x v="11"/>
    <x v="4"/>
    <x v="144"/>
    <x v="525"/>
    <x v="0"/>
    <x v="0"/>
    <x v="1"/>
    <x v="11"/>
    <x v="84"/>
    <x v="0"/>
    <x v="0"/>
    <x v="5"/>
    <x v="86"/>
  </r>
  <r>
    <x v="143"/>
    <x v="132"/>
    <x v="175"/>
    <x v="1"/>
    <x v="62"/>
    <x v="157"/>
    <x v="157"/>
    <x v="156"/>
    <x v="156"/>
    <x v="0"/>
    <x v="701"/>
    <x v="721"/>
    <x v="612"/>
    <x v="497"/>
    <x v="44"/>
    <x v="630"/>
    <x v="8"/>
    <x v="2"/>
    <x v="24"/>
    <x v="3"/>
    <x v="2"/>
    <x v="83"/>
    <x v="526"/>
    <x v="1"/>
    <x v="81"/>
    <x v="1"/>
    <x v="2"/>
    <x v="60"/>
    <x v="0"/>
    <x v="16"/>
    <x v="4"/>
    <x v="62"/>
  </r>
  <r>
    <x v="143"/>
    <x v="132"/>
    <x v="176"/>
    <x v="1"/>
    <x v="62"/>
    <x v="158"/>
    <x v="158"/>
    <x v="157"/>
    <x v="157"/>
    <x v="0"/>
    <x v="702"/>
    <x v="722"/>
    <x v="227"/>
    <x v="498"/>
    <x v="82"/>
    <x v="631"/>
    <x v="23"/>
    <x v="2"/>
    <x v="50"/>
    <x v="3"/>
    <x v="3"/>
    <x v="93"/>
    <x v="527"/>
    <x v="14"/>
    <x v="82"/>
    <x v="1"/>
    <x v="2"/>
    <x v="60"/>
    <x v="0"/>
    <x v="16"/>
    <x v="4"/>
    <x v="62"/>
  </r>
  <r>
    <x v="143"/>
    <x v="133"/>
    <x v="177"/>
    <x v="0"/>
    <x v="69"/>
    <x v="159"/>
    <x v="159"/>
    <x v="158"/>
    <x v="158"/>
    <x v="0"/>
    <x v="703"/>
    <x v="723"/>
    <x v="613"/>
    <x v="211"/>
    <x v="108"/>
    <x v="632"/>
    <x v="211"/>
    <x v="1"/>
    <x v="132"/>
    <x v="5"/>
    <x v="1"/>
    <x v="280"/>
    <x v="78"/>
    <x v="0"/>
    <x v="0"/>
    <x v="12"/>
    <x v="13"/>
    <x v="67"/>
    <x v="0"/>
    <x v="14"/>
    <x v="4"/>
    <x v="69"/>
  </r>
  <r>
    <x v="144"/>
    <x v="91"/>
    <x v="114"/>
    <x v="0"/>
    <x v="62"/>
    <x v="101"/>
    <x v="101"/>
    <x v="100"/>
    <x v="10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144"/>
    <x v="116"/>
    <x v="150"/>
    <x v="0"/>
    <x v="73"/>
    <x v="133"/>
    <x v="133"/>
    <x v="132"/>
    <x v="132"/>
    <x v="0"/>
    <x v="704"/>
    <x v="724"/>
    <x v="614"/>
    <x v="499"/>
    <x v="44"/>
    <x v="633"/>
    <x v="93"/>
    <x v="0"/>
    <x v="61"/>
    <x v="5"/>
    <x v="4"/>
    <x v="217"/>
    <x v="528"/>
    <x v="0"/>
    <x v="0"/>
    <x v="8"/>
    <x v="12"/>
    <x v="71"/>
    <x v="0"/>
    <x v="14"/>
    <x v="4"/>
    <x v="73"/>
  </r>
  <r>
    <x v="144"/>
    <x v="124"/>
    <x v="164"/>
    <x v="0"/>
    <x v="72"/>
    <x v="147"/>
    <x v="147"/>
    <x v="146"/>
    <x v="146"/>
    <x v="0"/>
    <x v="705"/>
    <x v="725"/>
    <x v="615"/>
    <x v="224"/>
    <x v="47"/>
    <x v="634"/>
    <x v="143"/>
    <x v="10"/>
    <x v="133"/>
    <x v="5"/>
    <x v="2"/>
    <x v="253"/>
    <x v="529"/>
    <x v="0"/>
    <x v="0"/>
    <x v="24"/>
    <x v="5"/>
    <x v="70"/>
    <x v="0"/>
    <x v="14"/>
    <x v="4"/>
    <x v="72"/>
  </r>
  <r>
    <x v="144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4"/>
    <x v="85"/>
  </r>
  <r>
    <x v="144"/>
    <x v="127"/>
    <x v="168"/>
    <x v="0"/>
    <x v="9"/>
    <x v="151"/>
    <x v="151"/>
    <x v="150"/>
    <x v="150"/>
    <x v="0"/>
    <x v="393"/>
    <x v="726"/>
    <x v="616"/>
    <x v="435"/>
    <x v="74"/>
    <x v="635"/>
    <x v="66"/>
    <x v="2"/>
    <x v="90"/>
    <x v="3"/>
    <x v="3"/>
    <x v="1"/>
    <x v="530"/>
    <x v="0"/>
    <x v="0"/>
    <x v="5"/>
    <x v="2"/>
    <x v="9"/>
    <x v="1"/>
    <x v="3"/>
    <x v="2"/>
    <x v="9"/>
  </r>
  <r>
    <x v="144"/>
    <x v="125"/>
    <x v="170"/>
    <x v="1"/>
    <x v="9"/>
    <x v="152"/>
    <x v="152"/>
    <x v="151"/>
    <x v="151"/>
    <x v="0"/>
    <x v="706"/>
    <x v="727"/>
    <x v="560"/>
    <x v="500"/>
    <x v="15"/>
    <x v="636"/>
    <x v="15"/>
    <x v="2"/>
    <x v="14"/>
    <x v="3"/>
    <x v="3"/>
    <x v="15"/>
    <x v="15"/>
    <x v="0"/>
    <x v="0"/>
    <x v="5"/>
    <x v="2"/>
    <x v="9"/>
    <x v="1"/>
    <x v="3"/>
    <x v="2"/>
    <x v="9"/>
  </r>
  <r>
    <x v="144"/>
    <x v="129"/>
    <x v="171"/>
    <x v="1"/>
    <x v="9"/>
    <x v="153"/>
    <x v="153"/>
    <x v="152"/>
    <x v="152"/>
    <x v="0"/>
    <x v="707"/>
    <x v="728"/>
    <x v="617"/>
    <x v="354"/>
    <x v="59"/>
    <x v="637"/>
    <x v="18"/>
    <x v="2"/>
    <x v="14"/>
    <x v="3"/>
    <x v="3"/>
    <x v="20"/>
    <x v="531"/>
    <x v="0"/>
    <x v="0"/>
    <x v="5"/>
    <x v="2"/>
    <x v="9"/>
    <x v="1"/>
    <x v="3"/>
    <x v="2"/>
    <x v="9"/>
  </r>
  <r>
    <x v="144"/>
    <x v="130"/>
    <x v="172"/>
    <x v="0"/>
    <x v="86"/>
    <x v="154"/>
    <x v="154"/>
    <x v="153"/>
    <x v="153"/>
    <x v="0"/>
    <x v="30"/>
    <x v="40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5"/>
    <x v="86"/>
  </r>
  <r>
    <x v="144"/>
    <x v="131"/>
    <x v="174"/>
    <x v="0"/>
    <x v="70"/>
    <x v="156"/>
    <x v="156"/>
    <x v="155"/>
    <x v="155"/>
    <x v="0"/>
    <x v="708"/>
    <x v="729"/>
    <x v="618"/>
    <x v="288"/>
    <x v="82"/>
    <x v="638"/>
    <x v="89"/>
    <x v="5"/>
    <x v="3"/>
    <x v="11"/>
    <x v="1"/>
    <x v="53"/>
    <x v="51"/>
    <x v="0"/>
    <x v="0"/>
    <x v="10"/>
    <x v="3"/>
    <x v="68"/>
    <x v="0"/>
    <x v="14"/>
    <x v="4"/>
    <x v="70"/>
  </r>
  <r>
    <x v="144"/>
    <x v="132"/>
    <x v="175"/>
    <x v="1"/>
    <x v="62"/>
    <x v="157"/>
    <x v="157"/>
    <x v="156"/>
    <x v="156"/>
    <x v="0"/>
    <x v="709"/>
    <x v="730"/>
    <x v="619"/>
    <x v="501"/>
    <x v="73"/>
    <x v="639"/>
    <x v="18"/>
    <x v="1"/>
    <x v="24"/>
    <x v="3"/>
    <x v="3"/>
    <x v="70"/>
    <x v="532"/>
    <x v="27"/>
    <x v="44"/>
    <x v="11"/>
    <x v="12"/>
    <x v="60"/>
    <x v="0"/>
    <x v="16"/>
    <x v="4"/>
    <x v="62"/>
  </r>
  <r>
    <x v="144"/>
    <x v="132"/>
    <x v="176"/>
    <x v="1"/>
    <x v="62"/>
    <x v="158"/>
    <x v="158"/>
    <x v="157"/>
    <x v="157"/>
    <x v="0"/>
    <x v="710"/>
    <x v="731"/>
    <x v="290"/>
    <x v="213"/>
    <x v="43"/>
    <x v="640"/>
    <x v="18"/>
    <x v="2"/>
    <x v="24"/>
    <x v="3"/>
    <x v="3"/>
    <x v="27"/>
    <x v="533"/>
    <x v="14"/>
    <x v="83"/>
    <x v="5"/>
    <x v="2"/>
    <x v="60"/>
    <x v="0"/>
    <x v="16"/>
    <x v="4"/>
    <x v="62"/>
  </r>
  <r>
    <x v="144"/>
    <x v="133"/>
    <x v="177"/>
    <x v="0"/>
    <x v="69"/>
    <x v="159"/>
    <x v="159"/>
    <x v="158"/>
    <x v="158"/>
    <x v="0"/>
    <x v="711"/>
    <x v="732"/>
    <x v="308"/>
    <x v="72"/>
    <x v="29"/>
    <x v="641"/>
    <x v="23"/>
    <x v="2"/>
    <x v="14"/>
    <x v="3"/>
    <x v="3"/>
    <x v="83"/>
    <x v="64"/>
    <x v="0"/>
    <x v="0"/>
    <x v="5"/>
    <x v="2"/>
    <x v="67"/>
    <x v="0"/>
    <x v="14"/>
    <x v="4"/>
    <x v="69"/>
  </r>
  <r>
    <x v="144"/>
    <x v="134"/>
    <x v="178"/>
    <x v="1"/>
    <x v="62"/>
    <x v="160"/>
    <x v="160"/>
    <x v="159"/>
    <x v="159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144"/>
    <x v="135"/>
    <x v="179"/>
    <x v="1"/>
    <x v="46"/>
    <x v="160"/>
    <x v="160"/>
    <x v="159"/>
    <x v="159"/>
    <x v="0"/>
    <x v="712"/>
    <x v="733"/>
    <x v="62"/>
    <x v="275"/>
    <x v="25"/>
    <x v="642"/>
    <x v="26"/>
    <x v="2"/>
    <x v="14"/>
    <x v="3"/>
    <x v="3"/>
    <x v="70"/>
    <x v="534"/>
    <x v="3"/>
    <x v="84"/>
    <x v="5"/>
    <x v="2"/>
    <x v="46"/>
    <x v="0"/>
    <x v="14"/>
    <x v="4"/>
    <x v="46"/>
  </r>
  <r>
    <x v="144"/>
    <x v="136"/>
    <x v="180"/>
    <x v="1"/>
    <x v="46"/>
    <x v="161"/>
    <x v="161"/>
    <x v="160"/>
    <x v="160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144"/>
    <x v="135"/>
    <x v="181"/>
    <x v="1"/>
    <x v="7"/>
    <x v="161"/>
    <x v="161"/>
    <x v="160"/>
    <x v="160"/>
    <x v="0"/>
    <x v="713"/>
    <x v="734"/>
    <x v="620"/>
    <x v="99"/>
    <x v="82"/>
    <x v="643"/>
    <x v="7"/>
    <x v="2"/>
    <x v="7"/>
    <x v="5"/>
    <x v="2"/>
    <x v="165"/>
    <x v="119"/>
    <x v="0"/>
    <x v="0"/>
    <x v="2"/>
    <x v="2"/>
    <x v="7"/>
    <x v="0"/>
    <x v="6"/>
    <x v="0"/>
    <x v="7"/>
  </r>
  <r>
    <x v="144"/>
    <x v="137"/>
    <x v="182"/>
    <x v="1"/>
    <x v="62"/>
    <x v="162"/>
    <x v="162"/>
    <x v="161"/>
    <x v="161"/>
    <x v="0"/>
    <x v="714"/>
    <x v="685"/>
    <x v="72"/>
    <x v="372"/>
    <x v="14"/>
    <x v="644"/>
    <x v="15"/>
    <x v="2"/>
    <x v="14"/>
    <x v="3"/>
    <x v="3"/>
    <x v="15"/>
    <x v="15"/>
    <x v="0"/>
    <x v="0"/>
    <x v="5"/>
    <x v="2"/>
    <x v="60"/>
    <x v="0"/>
    <x v="16"/>
    <x v="4"/>
    <x v="62"/>
  </r>
  <r>
    <x v="144"/>
    <x v="135"/>
    <x v="183"/>
    <x v="1"/>
    <x v="87"/>
    <x v="162"/>
    <x v="162"/>
    <x v="161"/>
    <x v="161"/>
    <x v="0"/>
    <x v="715"/>
    <x v="735"/>
    <x v="621"/>
    <x v="12"/>
    <x v="25"/>
    <x v="645"/>
    <x v="31"/>
    <x v="2"/>
    <x v="55"/>
    <x v="0"/>
    <x v="4"/>
    <x v="281"/>
    <x v="394"/>
    <x v="0"/>
    <x v="0"/>
    <x v="5"/>
    <x v="11"/>
    <x v="85"/>
    <x v="1"/>
    <x v="18"/>
    <x v="2"/>
    <x v="87"/>
  </r>
  <r>
    <x v="144"/>
    <x v="138"/>
    <x v="184"/>
    <x v="1"/>
    <x v="87"/>
    <x v="163"/>
    <x v="163"/>
    <x v="162"/>
    <x v="162"/>
    <x v="0"/>
    <x v="716"/>
    <x v="592"/>
    <x v="113"/>
    <x v="502"/>
    <x v="23"/>
    <x v="646"/>
    <x v="15"/>
    <x v="2"/>
    <x v="14"/>
    <x v="3"/>
    <x v="3"/>
    <x v="15"/>
    <x v="15"/>
    <x v="0"/>
    <x v="0"/>
    <x v="5"/>
    <x v="2"/>
    <x v="85"/>
    <x v="1"/>
    <x v="18"/>
    <x v="2"/>
    <x v="87"/>
  </r>
  <r>
    <x v="144"/>
    <x v="135"/>
    <x v="185"/>
    <x v="1"/>
    <x v="83"/>
    <x v="163"/>
    <x v="163"/>
    <x v="162"/>
    <x v="162"/>
    <x v="0"/>
    <x v="717"/>
    <x v="736"/>
    <x v="622"/>
    <x v="503"/>
    <x v="27"/>
    <x v="647"/>
    <x v="125"/>
    <x v="2"/>
    <x v="91"/>
    <x v="5"/>
    <x v="3"/>
    <x v="275"/>
    <x v="118"/>
    <x v="0"/>
    <x v="0"/>
    <x v="5"/>
    <x v="5"/>
    <x v="81"/>
    <x v="1"/>
    <x v="3"/>
    <x v="2"/>
    <x v="83"/>
  </r>
  <r>
    <x v="144"/>
    <x v="135"/>
    <x v="186"/>
    <x v="1"/>
    <x v="87"/>
    <x v="164"/>
    <x v="164"/>
    <x v="163"/>
    <x v="163"/>
    <x v="0"/>
    <x v="718"/>
    <x v="737"/>
    <x v="85"/>
    <x v="504"/>
    <x v="27"/>
    <x v="648"/>
    <x v="8"/>
    <x v="2"/>
    <x v="14"/>
    <x v="5"/>
    <x v="2"/>
    <x v="83"/>
    <x v="535"/>
    <x v="0"/>
    <x v="0"/>
    <x v="5"/>
    <x v="2"/>
    <x v="85"/>
    <x v="1"/>
    <x v="18"/>
    <x v="2"/>
    <x v="87"/>
  </r>
  <r>
    <x v="144"/>
    <x v="139"/>
    <x v="187"/>
    <x v="0"/>
    <x v="72"/>
    <x v="165"/>
    <x v="165"/>
    <x v="164"/>
    <x v="164"/>
    <x v="0"/>
    <x v="719"/>
    <x v="738"/>
    <x v="623"/>
    <x v="272"/>
    <x v="8"/>
    <x v="649"/>
    <x v="15"/>
    <x v="2"/>
    <x v="14"/>
    <x v="3"/>
    <x v="3"/>
    <x v="15"/>
    <x v="15"/>
    <x v="0"/>
    <x v="0"/>
    <x v="2"/>
    <x v="2"/>
    <x v="70"/>
    <x v="0"/>
    <x v="14"/>
    <x v="4"/>
    <x v="72"/>
  </r>
  <r>
    <x v="144"/>
    <x v="140"/>
    <x v="188"/>
    <x v="1"/>
    <x v="87"/>
    <x v="166"/>
    <x v="166"/>
    <x v="165"/>
    <x v="165"/>
    <x v="0"/>
    <x v="30"/>
    <x v="237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  <x v="87"/>
  </r>
  <r>
    <x v="144"/>
    <x v="135"/>
    <x v="189"/>
    <x v="1"/>
    <x v="83"/>
    <x v="166"/>
    <x v="166"/>
    <x v="165"/>
    <x v="165"/>
    <x v="0"/>
    <x v="720"/>
    <x v="739"/>
    <x v="624"/>
    <x v="505"/>
    <x v="35"/>
    <x v="650"/>
    <x v="15"/>
    <x v="2"/>
    <x v="14"/>
    <x v="3"/>
    <x v="3"/>
    <x v="15"/>
    <x v="15"/>
    <x v="0"/>
    <x v="0"/>
    <x v="5"/>
    <x v="2"/>
    <x v="81"/>
    <x v="1"/>
    <x v="3"/>
    <x v="2"/>
    <x v="83"/>
  </r>
  <r>
    <x v="145"/>
    <x v="116"/>
    <x v="150"/>
    <x v="0"/>
    <x v="73"/>
    <x v="133"/>
    <x v="133"/>
    <x v="132"/>
    <x v="132"/>
    <x v="0"/>
    <x v="721"/>
    <x v="740"/>
    <x v="625"/>
    <x v="493"/>
    <x v="76"/>
    <x v="651"/>
    <x v="146"/>
    <x v="0"/>
    <x v="55"/>
    <x v="3"/>
    <x v="2"/>
    <x v="143"/>
    <x v="536"/>
    <x v="0"/>
    <x v="0"/>
    <x v="0"/>
    <x v="10"/>
    <x v="71"/>
    <x v="0"/>
    <x v="14"/>
    <x v="4"/>
    <x v="73"/>
  </r>
  <r>
    <x v="145"/>
    <x v="121"/>
    <x v="161"/>
    <x v="0"/>
    <x v="83"/>
    <x v="144"/>
    <x v="144"/>
    <x v="143"/>
    <x v="143"/>
    <x v="0"/>
    <x v="722"/>
    <x v="741"/>
    <x v="626"/>
    <x v="506"/>
    <x v="28"/>
    <x v="652"/>
    <x v="40"/>
    <x v="2"/>
    <x v="144"/>
    <x v="11"/>
    <x v="7"/>
    <x v="43"/>
    <x v="537"/>
    <x v="0"/>
    <x v="0"/>
    <x v="4"/>
    <x v="8"/>
    <x v="81"/>
    <x v="1"/>
    <x v="3"/>
    <x v="2"/>
    <x v="83"/>
  </r>
  <r>
    <x v="145"/>
    <x v="124"/>
    <x v="164"/>
    <x v="0"/>
    <x v="72"/>
    <x v="147"/>
    <x v="147"/>
    <x v="146"/>
    <x v="146"/>
    <x v="0"/>
    <x v="723"/>
    <x v="742"/>
    <x v="627"/>
    <x v="174"/>
    <x v="21"/>
    <x v="653"/>
    <x v="30"/>
    <x v="0"/>
    <x v="31"/>
    <x v="3"/>
    <x v="3"/>
    <x v="282"/>
    <x v="538"/>
    <x v="0"/>
    <x v="0"/>
    <x v="12"/>
    <x v="12"/>
    <x v="70"/>
    <x v="0"/>
    <x v="14"/>
    <x v="4"/>
    <x v="72"/>
  </r>
  <r>
    <x v="145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4"/>
    <x v="85"/>
  </r>
  <r>
    <x v="145"/>
    <x v="127"/>
    <x v="168"/>
    <x v="0"/>
    <x v="9"/>
    <x v="151"/>
    <x v="151"/>
    <x v="150"/>
    <x v="150"/>
    <x v="0"/>
    <x v="724"/>
    <x v="743"/>
    <x v="37"/>
    <x v="507"/>
    <x v="47"/>
    <x v="654"/>
    <x v="194"/>
    <x v="2"/>
    <x v="14"/>
    <x v="3"/>
    <x v="3"/>
    <x v="259"/>
    <x v="15"/>
    <x v="0"/>
    <x v="0"/>
    <x v="5"/>
    <x v="2"/>
    <x v="9"/>
    <x v="1"/>
    <x v="3"/>
    <x v="2"/>
    <x v="9"/>
  </r>
  <r>
    <x v="145"/>
    <x v="125"/>
    <x v="170"/>
    <x v="1"/>
    <x v="9"/>
    <x v="152"/>
    <x v="152"/>
    <x v="151"/>
    <x v="151"/>
    <x v="0"/>
    <x v="30"/>
    <x v="717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45"/>
    <x v="129"/>
    <x v="171"/>
    <x v="1"/>
    <x v="9"/>
    <x v="153"/>
    <x v="153"/>
    <x v="152"/>
    <x v="152"/>
    <x v="0"/>
    <x v="725"/>
    <x v="744"/>
    <x v="628"/>
    <x v="277"/>
    <x v="104"/>
    <x v="655"/>
    <x v="18"/>
    <x v="1"/>
    <x v="14"/>
    <x v="3"/>
    <x v="3"/>
    <x v="27"/>
    <x v="539"/>
    <x v="0"/>
    <x v="0"/>
    <x v="5"/>
    <x v="6"/>
    <x v="9"/>
    <x v="1"/>
    <x v="3"/>
    <x v="2"/>
    <x v="9"/>
  </r>
  <r>
    <x v="145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5"/>
    <x v="86"/>
  </r>
  <r>
    <x v="145"/>
    <x v="131"/>
    <x v="174"/>
    <x v="0"/>
    <x v="70"/>
    <x v="156"/>
    <x v="156"/>
    <x v="155"/>
    <x v="155"/>
    <x v="0"/>
    <x v="726"/>
    <x v="745"/>
    <x v="629"/>
    <x v="508"/>
    <x v="48"/>
    <x v="656"/>
    <x v="202"/>
    <x v="11"/>
    <x v="29"/>
    <x v="3"/>
    <x v="12"/>
    <x v="283"/>
    <x v="540"/>
    <x v="0"/>
    <x v="0"/>
    <x v="11"/>
    <x v="6"/>
    <x v="68"/>
    <x v="0"/>
    <x v="14"/>
    <x v="4"/>
    <x v="70"/>
  </r>
  <r>
    <x v="145"/>
    <x v="132"/>
    <x v="175"/>
    <x v="1"/>
    <x v="62"/>
    <x v="157"/>
    <x v="157"/>
    <x v="156"/>
    <x v="156"/>
    <x v="0"/>
    <x v="727"/>
    <x v="746"/>
    <x v="630"/>
    <x v="509"/>
    <x v="73"/>
    <x v="657"/>
    <x v="23"/>
    <x v="2"/>
    <x v="20"/>
    <x v="3"/>
    <x v="2"/>
    <x v="37"/>
    <x v="541"/>
    <x v="5"/>
    <x v="85"/>
    <x v="4"/>
    <x v="5"/>
    <x v="60"/>
    <x v="0"/>
    <x v="16"/>
    <x v="4"/>
    <x v="62"/>
  </r>
  <r>
    <x v="145"/>
    <x v="132"/>
    <x v="176"/>
    <x v="1"/>
    <x v="62"/>
    <x v="158"/>
    <x v="158"/>
    <x v="157"/>
    <x v="157"/>
    <x v="0"/>
    <x v="728"/>
    <x v="747"/>
    <x v="180"/>
    <x v="510"/>
    <x v="43"/>
    <x v="195"/>
    <x v="18"/>
    <x v="2"/>
    <x v="14"/>
    <x v="3"/>
    <x v="3"/>
    <x v="20"/>
    <x v="542"/>
    <x v="14"/>
    <x v="86"/>
    <x v="1"/>
    <x v="2"/>
    <x v="60"/>
    <x v="0"/>
    <x v="16"/>
    <x v="4"/>
    <x v="62"/>
  </r>
  <r>
    <x v="145"/>
    <x v="135"/>
    <x v="179"/>
    <x v="1"/>
    <x v="46"/>
    <x v="160"/>
    <x v="160"/>
    <x v="159"/>
    <x v="159"/>
    <x v="0"/>
    <x v="729"/>
    <x v="748"/>
    <x v="631"/>
    <x v="219"/>
    <x v="25"/>
    <x v="658"/>
    <x v="46"/>
    <x v="2"/>
    <x v="22"/>
    <x v="5"/>
    <x v="3"/>
    <x v="284"/>
    <x v="33"/>
    <x v="6"/>
    <x v="87"/>
    <x v="7"/>
    <x v="5"/>
    <x v="46"/>
    <x v="0"/>
    <x v="14"/>
    <x v="4"/>
    <x v="46"/>
  </r>
  <r>
    <x v="145"/>
    <x v="135"/>
    <x v="181"/>
    <x v="1"/>
    <x v="7"/>
    <x v="161"/>
    <x v="161"/>
    <x v="160"/>
    <x v="160"/>
    <x v="0"/>
    <x v="730"/>
    <x v="749"/>
    <x v="632"/>
    <x v="511"/>
    <x v="76"/>
    <x v="659"/>
    <x v="177"/>
    <x v="2"/>
    <x v="90"/>
    <x v="5"/>
    <x v="1"/>
    <x v="285"/>
    <x v="474"/>
    <x v="0"/>
    <x v="0"/>
    <x v="2"/>
    <x v="2"/>
    <x v="7"/>
    <x v="0"/>
    <x v="6"/>
    <x v="0"/>
    <x v="7"/>
  </r>
  <r>
    <x v="145"/>
    <x v="135"/>
    <x v="183"/>
    <x v="1"/>
    <x v="87"/>
    <x v="162"/>
    <x v="162"/>
    <x v="161"/>
    <x v="16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  <x v="87"/>
  </r>
  <r>
    <x v="145"/>
    <x v="135"/>
    <x v="185"/>
    <x v="1"/>
    <x v="83"/>
    <x v="163"/>
    <x v="163"/>
    <x v="162"/>
    <x v="16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45"/>
    <x v="135"/>
    <x v="186"/>
    <x v="1"/>
    <x v="87"/>
    <x v="164"/>
    <x v="164"/>
    <x v="163"/>
    <x v="163"/>
    <x v="0"/>
    <x v="731"/>
    <x v="750"/>
    <x v="51"/>
    <x v="215"/>
    <x v="26"/>
    <x v="660"/>
    <x v="139"/>
    <x v="0"/>
    <x v="150"/>
    <x v="7"/>
    <x v="7"/>
    <x v="279"/>
    <x v="543"/>
    <x v="2"/>
    <x v="88"/>
    <x v="5"/>
    <x v="10"/>
    <x v="85"/>
    <x v="1"/>
    <x v="18"/>
    <x v="2"/>
    <x v="87"/>
  </r>
  <r>
    <x v="145"/>
    <x v="135"/>
    <x v="189"/>
    <x v="1"/>
    <x v="83"/>
    <x v="166"/>
    <x v="166"/>
    <x v="165"/>
    <x v="165"/>
    <x v="0"/>
    <x v="732"/>
    <x v="179"/>
    <x v="113"/>
    <x v="161"/>
    <x v="3"/>
    <x v="661"/>
    <x v="15"/>
    <x v="2"/>
    <x v="14"/>
    <x v="3"/>
    <x v="3"/>
    <x v="15"/>
    <x v="15"/>
    <x v="0"/>
    <x v="0"/>
    <x v="5"/>
    <x v="2"/>
    <x v="81"/>
    <x v="1"/>
    <x v="3"/>
    <x v="2"/>
    <x v="83"/>
  </r>
  <r>
    <x v="145"/>
    <x v="141"/>
    <x v="190"/>
    <x v="0"/>
    <x v="88"/>
    <x v="167"/>
    <x v="167"/>
    <x v="166"/>
    <x v="166"/>
    <x v="0"/>
    <x v="733"/>
    <x v="751"/>
    <x v="633"/>
    <x v="512"/>
    <x v="2"/>
    <x v="662"/>
    <x v="10"/>
    <x v="1"/>
    <x v="42"/>
    <x v="4"/>
    <x v="3"/>
    <x v="7"/>
    <x v="544"/>
    <x v="0"/>
    <x v="0"/>
    <x v="11"/>
    <x v="6"/>
    <x v="86"/>
    <x v="1"/>
    <x v="3"/>
    <x v="2"/>
    <x v="88"/>
  </r>
  <r>
    <x v="145"/>
    <x v="141"/>
    <x v="191"/>
    <x v="0"/>
    <x v="89"/>
    <x v="168"/>
    <x v="168"/>
    <x v="167"/>
    <x v="167"/>
    <x v="0"/>
    <x v="734"/>
    <x v="752"/>
    <x v="634"/>
    <x v="147"/>
    <x v="73"/>
    <x v="663"/>
    <x v="28"/>
    <x v="2"/>
    <x v="30"/>
    <x v="11"/>
    <x v="1"/>
    <x v="117"/>
    <x v="249"/>
    <x v="0"/>
    <x v="0"/>
    <x v="5"/>
    <x v="5"/>
    <x v="87"/>
    <x v="0"/>
    <x v="0"/>
    <x v="5"/>
    <x v="89"/>
  </r>
  <r>
    <x v="145"/>
    <x v="141"/>
    <x v="192"/>
    <x v="0"/>
    <x v="90"/>
    <x v="169"/>
    <x v="169"/>
    <x v="168"/>
    <x v="168"/>
    <x v="0"/>
    <x v="735"/>
    <x v="753"/>
    <x v="635"/>
    <x v="513"/>
    <x v="35"/>
    <x v="664"/>
    <x v="126"/>
    <x v="2"/>
    <x v="49"/>
    <x v="3"/>
    <x v="4"/>
    <x v="42"/>
    <x v="545"/>
    <x v="0"/>
    <x v="0"/>
    <x v="10"/>
    <x v="11"/>
    <x v="88"/>
    <x v="0"/>
    <x v="0"/>
    <x v="5"/>
    <x v="90"/>
  </r>
  <r>
    <x v="146"/>
    <x v="116"/>
    <x v="150"/>
    <x v="0"/>
    <x v="73"/>
    <x v="133"/>
    <x v="133"/>
    <x v="132"/>
    <x v="132"/>
    <x v="0"/>
    <x v="736"/>
    <x v="754"/>
    <x v="636"/>
    <x v="140"/>
    <x v="74"/>
    <x v="665"/>
    <x v="212"/>
    <x v="2"/>
    <x v="142"/>
    <x v="3"/>
    <x v="1"/>
    <x v="271"/>
    <x v="546"/>
    <x v="0"/>
    <x v="0"/>
    <x v="39"/>
    <x v="2"/>
    <x v="71"/>
    <x v="0"/>
    <x v="14"/>
    <x v="4"/>
    <x v="73"/>
  </r>
  <r>
    <x v="146"/>
    <x v="121"/>
    <x v="161"/>
    <x v="0"/>
    <x v="83"/>
    <x v="144"/>
    <x v="144"/>
    <x v="143"/>
    <x v="143"/>
    <x v="0"/>
    <x v="737"/>
    <x v="755"/>
    <x v="637"/>
    <x v="514"/>
    <x v="9"/>
    <x v="666"/>
    <x v="128"/>
    <x v="7"/>
    <x v="6"/>
    <x v="14"/>
    <x v="5"/>
    <x v="218"/>
    <x v="547"/>
    <x v="0"/>
    <x v="0"/>
    <x v="13"/>
    <x v="13"/>
    <x v="81"/>
    <x v="1"/>
    <x v="3"/>
    <x v="2"/>
    <x v="83"/>
  </r>
  <r>
    <x v="146"/>
    <x v="124"/>
    <x v="164"/>
    <x v="0"/>
    <x v="72"/>
    <x v="147"/>
    <x v="147"/>
    <x v="146"/>
    <x v="146"/>
    <x v="0"/>
    <x v="738"/>
    <x v="756"/>
    <x v="638"/>
    <x v="515"/>
    <x v="53"/>
    <x v="359"/>
    <x v="212"/>
    <x v="3"/>
    <x v="61"/>
    <x v="3"/>
    <x v="2"/>
    <x v="286"/>
    <x v="548"/>
    <x v="0"/>
    <x v="0"/>
    <x v="13"/>
    <x v="5"/>
    <x v="70"/>
    <x v="0"/>
    <x v="14"/>
    <x v="4"/>
    <x v="72"/>
  </r>
  <r>
    <x v="146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4"/>
    <x v="85"/>
  </r>
  <r>
    <x v="146"/>
    <x v="125"/>
    <x v="170"/>
    <x v="1"/>
    <x v="9"/>
    <x v="152"/>
    <x v="152"/>
    <x v="151"/>
    <x v="151"/>
    <x v="0"/>
    <x v="75"/>
    <x v="274"/>
    <x v="73"/>
    <x v="445"/>
    <x v="35"/>
    <x v="667"/>
    <x v="15"/>
    <x v="2"/>
    <x v="14"/>
    <x v="3"/>
    <x v="3"/>
    <x v="15"/>
    <x v="15"/>
    <x v="0"/>
    <x v="0"/>
    <x v="5"/>
    <x v="2"/>
    <x v="9"/>
    <x v="1"/>
    <x v="3"/>
    <x v="2"/>
    <x v="9"/>
  </r>
  <r>
    <x v="146"/>
    <x v="129"/>
    <x v="171"/>
    <x v="1"/>
    <x v="9"/>
    <x v="153"/>
    <x v="153"/>
    <x v="152"/>
    <x v="152"/>
    <x v="0"/>
    <x v="739"/>
    <x v="757"/>
    <x v="639"/>
    <x v="147"/>
    <x v="38"/>
    <x v="668"/>
    <x v="26"/>
    <x v="2"/>
    <x v="14"/>
    <x v="3"/>
    <x v="3"/>
    <x v="70"/>
    <x v="549"/>
    <x v="0"/>
    <x v="0"/>
    <x v="2"/>
    <x v="2"/>
    <x v="9"/>
    <x v="1"/>
    <x v="3"/>
    <x v="2"/>
    <x v="9"/>
  </r>
  <r>
    <x v="146"/>
    <x v="131"/>
    <x v="174"/>
    <x v="0"/>
    <x v="70"/>
    <x v="156"/>
    <x v="156"/>
    <x v="155"/>
    <x v="155"/>
    <x v="0"/>
    <x v="740"/>
    <x v="758"/>
    <x v="640"/>
    <x v="337"/>
    <x v="12"/>
    <x v="449"/>
    <x v="49"/>
    <x v="11"/>
    <x v="23"/>
    <x v="5"/>
    <x v="24"/>
    <x v="247"/>
    <x v="550"/>
    <x v="0"/>
    <x v="0"/>
    <x v="39"/>
    <x v="2"/>
    <x v="68"/>
    <x v="0"/>
    <x v="14"/>
    <x v="4"/>
    <x v="70"/>
  </r>
  <r>
    <x v="146"/>
    <x v="132"/>
    <x v="175"/>
    <x v="1"/>
    <x v="62"/>
    <x v="157"/>
    <x v="157"/>
    <x v="156"/>
    <x v="156"/>
    <x v="0"/>
    <x v="741"/>
    <x v="759"/>
    <x v="641"/>
    <x v="516"/>
    <x v="15"/>
    <x v="669"/>
    <x v="15"/>
    <x v="1"/>
    <x v="24"/>
    <x v="3"/>
    <x v="1"/>
    <x v="83"/>
    <x v="551"/>
    <x v="14"/>
    <x v="48"/>
    <x v="2"/>
    <x v="2"/>
    <x v="60"/>
    <x v="0"/>
    <x v="16"/>
    <x v="4"/>
    <x v="62"/>
  </r>
  <r>
    <x v="146"/>
    <x v="132"/>
    <x v="176"/>
    <x v="1"/>
    <x v="62"/>
    <x v="158"/>
    <x v="158"/>
    <x v="157"/>
    <x v="157"/>
    <x v="0"/>
    <x v="742"/>
    <x v="760"/>
    <x v="642"/>
    <x v="517"/>
    <x v="14"/>
    <x v="670"/>
    <x v="18"/>
    <x v="2"/>
    <x v="14"/>
    <x v="3"/>
    <x v="3"/>
    <x v="20"/>
    <x v="552"/>
    <x v="1"/>
    <x v="89"/>
    <x v="5"/>
    <x v="2"/>
    <x v="60"/>
    <x v="0"/>
    <x v="16"/>
    <x v="4"/>
    <x v="62"/>
  </r>
  <r>
    <x v="146"/>
    <x v="135"/>
    <x v="179"/>
    <x v="1"/>
    <x v="46"/>
    <x v="160"/>
    <x v="160"/>
    <x v="159"/>
    <x v="159"/>
    <x v="0"/>
    <x v="743"/>
    <x v="761"/>
    <x v="643"/>
    <x v="518"/>
    <x v="25"/>
    <x v="671"/>
    <x v="56"/>
    <x v="1"/>
    <x v="20"/>
    <x v="11"/>
    <x v="3"/>
    <x v="165"/>
    <x v="553"/>
    <x v="30"/>
    <x v="90"/>
    <x v="2"/>
    <x v="11"/>
    <x v="46"/>
    <x v="0"/>
    <x v="14"/>
    <x v="4"/>
    <x v="46"/>
  </r>
  <r>
    <x v="146"/>
    <x v="135"/>
    <x v="181"/>
    <x v="1"/>
    <x v="7"/>
    <x v="161"/>
    <x v="161"/>
    <x v="160"/>
    <x v="160"/>
    <x v="0"/>
    <x v="744"/>
    <x v="762"/>
    <x v="113"/>
    <x v="197"/>
    <x v="21"/>
    <x v="672"/>
    <x v="18"/>
    <x v="2"/>
    <x v="14"/>
    <x v="3"/>
    <x v="3"/>
    <x v="20"/>
    <x v="554"/>
    <x v="0"/>
    <x v="0"/>
    <x v="5"/>
    <x v="2"/>
    <x v="7"/>
    <x v="0"/>
    <x v="6"/>
    <x v="0"/>
    <x v="7"/>
  </r>
  <r>
    <x v="146"/>
    <x v="135"/>
    <x v="186"/>
    <x v="1"/>
    <x v="87"/>
    <x v="164"/>
    <x v="164"/>
    <x v="163"/>
    <x v="163"/>
    <x v="0"/>
    <x v="745"/>
    <x v="763"/>
    <x v="36"/>
    <x v="69"/>
    <x v="22"/>
    <x v="673"/>
    <x v="63"/>
    <x v="2"/>
    <x v="36"/>
    <x v="11"/>
    <x v="3"/>
    <x v="18"/>
    <x v="83"/>
    <x v="0"/>
    <x v="0"/>
    <x v="5"/>
    <x v="11"/>
    <x v="85"/>
    <x v="1"/>
    <x v="18"/>
    <x v="2"/>
    <x v="87"/>
  </r>
  <r>
    <x v="146"/>
    <x v="141"/>
    <x v="190"/>
    <x v="0"/>
    <x v="88"/>
    <x v="167"/>
    <x v="167"/>
    <x v="166"/>
    <x v="16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6"/>
    <x v="1"/>
    <x v="3"/>
    <x v="2"/>
    <x v="88"/>
  </r>
  <r>
    <x v="146"/>
    <x v="141"/>
    <x v="191"/>
    <x v="0"/>
    <x v="89"/>
    <x v="168"/>
    <x v="168"/>
    <x v="167"/>
    <x v="167"/>
    <x v="0"/>
    <x v="746"/>
    <x v="764"/>
    <x v="497"/>
    <x v="303"/>
    <x v="21"/>
    <x v="674"/>
    <x v="33"/>
    <x v="2"/>
    <x v="34"/>
    <x v="5"/>
    <x v="2"/>
    <x v="105"/>
    <x v="0"/>
    <x v="0"/>
    <x v="0"/>
    <x v="5"/>
    <x v="11"/>
    <x v="87"/>
    <x v="0"/>
    <x v="0"/>
    <x v="5"/>
    <x v="89"/>
  </r>
  <r>
    <x v="146"/>
    <x v="141"/>
    <x v="192"/>
    <x v="0"/>
    <x v="90"/>
    <x v="169"/>
    <x v="169"/>
    <x v="168"/>
    <x v="168"/>
    <x v="0"/>
    <x v="747"/>
    <x v="765"/>
    <x v="199"/>
    <x v="519"/>
    <x v="51"/>
    <x v="675"/>
    <x v="15"/>
    <x v="2"/>
    <x v="14"/>
    <x v="3"/>
    <x v="3"/>
    <x v="15"/>
    <x v="15"/>
    <x v="0"/>
    <x v="0"/>
    <x v="5"/>
    <x v="2"/>
    <x v="88"/>
    <x v="0"/>
    <x v="0"/>
    <x v="5"/>
    <x v="90"/>
  </r>
  <r>
    <x v="146"/>
    <x v="142"/>
    <x v="193"/>
    <x v="0"/>
    <x v="91"/>
    <x v="170"/>
    <x v="170"/>
    <x v="169"/>
    <x v="169"/>
    <x v="0"/>
    <x v="748"/>
    <x v="766"/>
    <x v="644"/>
    <x v="520"/>
    <x v="44"/>
    <x v="676"/>
    <x v="98"/>
    <x v="2"/>
    <x v="151"/>
    <x v="10"/>
    <x v="4"/>
    <x v="287"/>
    <x v="555"/>
    <x v="0"/>
    <x v="0"/>
    <x v="5"/>
    <x v="3"/>
    <x v="89"/>
    <x v="0"/>
    <x v="14"/>
    <x v="4"/>
    <x v="91"/>
  </r>
  <r>
    <x v="147"/>
    <x v="116"/>
    <x v="150"/>
    <x v="0"/>
    <x v="73"/>
    <x v="133"/>
    <x v="133"/>
    <x v="132"/>
    <x v="132"/>
    <x v="0"/>
    <x v="749"/>
    <x v="767"/>
    <x v="645"/>
    <x v="521"/>
    <x v="55"/>
    <x v="677"/>
    <x v="213"/>
    <x v="2"/>
    <x v="37"/>
    <x v="3"/>
    <x v="2"/>
    <x v="159"/>
    <x v="50"/>
    <x v="0"/>
    <x v="0"/>
    <x v="10"/>
    <x v="12"/>
    <x v="71"/>
    <x v="0"/>
    <x v="14"/>
    <x v="4"/>
    <x v="73"/>
  </r>
  <r>
    <x v="147"/>
    <x v="121"/>
    <x v="161"/>
    <x v="0"/>
    <x v="83"/>
    <x v="144"/>
    <x v="144"/>
    <x v="143"/>
    <x v="143"/>
    <x v="0"/>
    <x v="750"/>
    <x v="486"/>
    <x v="37"/>
    <x v="502"/>
    <x v="28"/>
    <x v="678"/>
    <x v="15"/>
    <x v="2"/>
    <x v="14"/>
    <x v="3"/>
    <x v="2"/>
    <x v="20"/>
    <x v="556"/>
    <x v="0"/>
    <x v="0"/>
    <x v="5"/>
    <x v="2"/>
    <x v="81"/>
    <x v="1"/>
    <x v="3"/>
    <x v="2"/>
    <x v="83"/>
  </r>
  <r>
    <x v="147"/>
    <x v="124"/>
    <x v="164"/>
    <x v="0"/>
    <x v="72"/>
    <x v="147"/>
    <x v="147"/>
    <x v="146"/>
    <x v="146"/>
    <x v="0"/>
    <x v="751"/>
    <x v="768"/>
    <x v="646"/>
    <x v="404"/>
    <x v="52"/>
    <x v="679"/>
    <x v="0"/>
    <x v="4"/>
    <x v="119"/>
    <x v="5"/>
    <x v="0"/>
    <x v="54"/>
    <x v="264"/>
    <x v="0"/>
    <x v="0"/>
    <x v="39"/>
    <x v="10"/>
    <x v="70"/>
    <x v="0"/>
    <x v="14"/>
    <x v="4"/>
    <x v="72"/>
  </r>
  <r>
    <x v="147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4"/>
    <x v="85"/>
  </r>
  <r>
    <x v="147"/>
    <x v="125"/>
    <x v="170"/>
    <x v="1"/>
    <x v="9"/>
    <x v="152"/>
    <x v="152"/>
    <x v="151"/>
    <x v="151"/>
    <x v="0"/>
    <x v="752"/>
    <x v="30"/>
    <x v="72"/>
    <x v="522"/>
    <x v="53"/>
    <x v="680"/>
    <x v="15"/>
    <x v="2"/>
    <x v="14"/>
    <x v="3"/>
    <x v="3"/>
    <x v="15"/>
    <x v="15"/>
    <x v="0"/>
    <x v="0"/>
    <x v="5"/>
    <x v="2"/>
    <x v="9"/>
    <x v="1"/>
    <x v="3"/>
    <x v="2"/>
    <x v="9"/>
  </r>
  <r>
    <x v="147"/>
    <x v="129"/>
    <x v="171"/>
    <x v="1"/>
    <x v="9"/>
    <x v="153"/>
    <x v="153"/>
    <x v="152"/>
    <x v="152"/>
    <x v="0"/>
    <x v="753"/>
    <x v="769"/>
    <x v="73"/>
    <x v="134"/>
    <x v="101"/>
    <x v="681"/>
    <x v="15"/>
    <x v="2"/>
    <x v="14"/>
    <x v="3"/>
    <x v="3"/>
    <x v="15"/>
    <x v="15"/>
    <x v="0"/>
    <x v="0"/>
    <x v="5"/>
    <x v="2"/>
    <x v="9"/>
    <x v="1"/>
    <x v="3"/>
    <x v="2"/>
    <x v="9"/>
  </r>
  <r>
    <x v="147"/>
    <x v="131"/>
    <x v="174"/>
    <x v="0"/>
    <x v="70"/>
    <x v="156"/>
    <x v="156"/>
    <x v="155"/>
    <x v="155"/>
    <x v="0"/>
    <x v="754"/>
    <x v="770"/>
    <x v="647"/>
    <x v="279"/>
    <x v="41"/>
    <x v="682"/>
    <x v="214"/>
    <x v="5"/>
    <x v="38"/>
    <x v="3"/>
    <x v="29"/>
    <x v="257"/>
    <x v="159"/>
    <x v="0"/>
    <x v="0"/>
    <x v="12"/>
    <x v="6"/>
    <x v="68"/>
    <x v="0"/>
    <x v="14"/>
    <x v="4"/>
    <x v="70"/>
  </r>
  <r>
    <x v="147"/>
    <x v="132"/>
    <x v="175"/>
    <x v="1"/>
    <x v="62"/>
    <x v="157"/>
    <x v="157"/>
    <x v="156"/>
    <x v="156"/>
    <x v="0"/>
    <x v="755"/>
    <x v="771"/>
    <x v="648"/>
    <x v="523"/>
    <x v="44"/>
    <x v="683"/>
    <x v="8"/>
    <x v="2"/>
    <x v="14"/>
    <x v="3"/>
    <x v="1"/>
    <x v="83"/>
    <x v="557"/>
    <x v="1"/>
    <x v="91"/>
    <x v="1"/>
    <x v="2"/>
    <x v="60"/>
    <x v="0"/>
    <x v="16"/>
    <x v="4"/>
    <x v="62"/>
  </r>
  <r>
    <x v="147"/>
    <x v="132"/>
    <x v="176"/>
    <x v="1"/>
    <x v="62"/>
    <x v="158"/>
    <x v="158"/>
    <x v="157"/>
    <x v="157"/>
    <x v="0"/>
    <x v="756"/>
    <x v="772"/>
    <x v="19"/>
    <x v="223"/>
    <x v="82"/>
    <x v="684"/>
    <x v="8"/>
    <x v="1"/>
    <x v="50"/>
    <x v="3"/>
    <x v="3"/>
    <x v="75"/>
    <x v="558"/>
    <x v="0"/>
    <x v="0"/>
    <x v="5"/>
    <x v="2"/>
    <x v="60"/>
    <x v="0"/>
    <x v="16"/>
    <x v="4"/>
    <x v="62"/>
  </r>
  <r>
    <x v="147"/>
    <x v="135"/>
    <x v="179"/>
    <x v="1"/>
    <x v="46"/>
    <x v="160"/>
    <x v="160"/>
    <x v="159"/>
    <x v="159"/>
    <x v="0"/>
    <x v="757"/>
    <x v="773"/>
    <x v="649"/>
    <x v="280"/>
    <x v="25"/>
    <x v="685"/>
    <x v="1"/>
    <x v="1"/>
    <x v="49"/>
    <x v="3"/>
    <x v="1"/>
    <x v="170"/>
    <x v="559"/>
    <x v="6"/>
    <x v="50"/>
    <x v="10"/>
    <x v="6"/>
    <x v="46"/>
    <x v="0"/>
    <x v="14"/>
    <x v="4"/>
    <x v="46"/>
  </r>
  <r>
    <x v="147"/>
    <x v="135"/>
    <x v="186"/>
    <x v="1"/>
    <x v="87"/>
    <x v="164"/>
    <x v="164"/>
    <x v="163"/>
    <x v="163"/>
    <x v="0"/>
    <x v="758"/>
    <x v="774"/>
    <x v="650"/>
    <x v="524"/>
    <x v="73"/>
    <x v="686"/>
    <x v="16"/>
    <x v="2"/>
    <x v="9"/>
    <x v="14"/>
    <x v="1"/>
    <x v="34"/>
    <x v="560"/>
    <x v="0"/>
    <x v="0"/>
    <x v="5"/>
    <x v="10"/>
    <x v="85"/>
    <x v="1"/>
    <x v="18"/>
    <x v="2"/>
    <x v="87"/>
  </r>
  <r>
    <x v="147"/>
    <x v="141"/>
    <x v="190"/>
    <x v="0"/>
    <x v="88"/>
    <x v="167"/>
    <x v="167"/>
    <x v="166"/>
    <x v="166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6"/>
    <x v="1"/>
    <x v="3"/>
    <x v="2"/>
    <x v="88"/>
  </r>
  <r>
    <x v="147"/>
    <x v="141"/>
    <x v="191"/>
    <x v="0"/>
    <x v="89"/>
    <x v="168"/>
    <x v="168"/>
    <x v="167"/>
    <x v="1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7"/>
    <x v="0"/>
    <x v="0"/>
    <x v="5"/>
    <x v="89"/>
  </r>
  <r>
    <x v="147"/>
    <x v="142"/>
    <x v="193"/>
    <x v="0"/>
    <x v="91"/>
    <x v="170"/>
    <x v="170"/>
    <x v="169"/>
    <x v="169"/>
    <x v="0"/>
    <x v="759"/>
    <x v="775"/>
    <x v="651"/>
    <x v="148"/>
    <x v="53"/>
    <x v="687"/>
    <x v="215"/>
    <x v="7"/>
    <x v="88"/>
    <x v="17"/>
    <x v="7"/>
    <x v="288"/>
    <x v="30"/>
    <x v="0"/>
    <x v="0"/>
    <x v="2"/>
    <x v="30"/>
    <x v="89"/>
    <x v="0"/>
    <x v="14"/>
    <x v="4"/>
    <x v="91"/>
  </r>
  <r>
    <x v="147"/>
    <x v="143"/>
    <x v="194"/>
    <x v="0"/>
    <x v="92"/>
    <x v="171"/>
    <x v="171"/>
    <x v="170"/>
    <x v="170"/>
    <x v="0"/>
    <x v="760"/>
    <x v="776"/>
    <x v="652"/>
    <x v="525"/>
    <x v="28"/>
    <x v="198"/>
    <x v="14"/>
    <x v="2"/>
    <x v="19"/>
    <x v="1"/>
    <x v="2"/>
    <x v="284"/>
    <x v="561"/>
    <x v="0"/>
    <x v="0"/>
    <x v="7"/>
    <x v="12"/>
    <x v="90"/>
    <x v="1"/>
    <x v="3"/>
    <x v="2"/>
    <x v="92"/>
  </r>
  <r>
    <x v="148"/>
    <x v="103"/>
    <x v="129"/>
    <x v="0"/>
    <x v="48"/>
    <x v="113"/>
    <x v="113"/>
    <x v="112"/>
    <x v="11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7"/>
    <x v="0"/>
    <x v="14"/>
    <x v="4"/>
    <x v="48"/>
  </r>
  <r>
    <x v="148"/>
    <x v="116"/>
    <x v="150"/>
    <x v="0"/>
    <x v="73"/>
    <x v="133"/>
    <x v="133"/>
    <x v="132"/>
    <x v="132"/>
    <x v="0"/>
    <x v="761"/>
    <x v="78"/>
    <x v="113"/>
    <x v="526"/>
    <x v="12"/>
    <x v="688"/>
    <x v="15"/>
    <x v="2"/>
    <x v="14"/>
    <x v="3"/>
    <x v="3"/>
    <x v="15"/>
    <x v="15"/>
    <x v="0"/>
    <x v="0"/>
    <x v="5"/>
    <x v="2"/>
    <x v="71"/>
    <x v="0"/>
    <x v="14"/>
    <x v="4"/>
    <x v="73"/>
  </r>
  <r>
    <x v="148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48"/>
    <x v="124"/>
    <x v="164"/>
    <x v="0"/>
    <x v="72"/>
    <x v="147"/>
    <x v="147"/>
    <x v="146"/>
    <x v="146"/>
    <x v="0"/>
    <x v="762"/>
    <x v="777"/>
    <x v="653"/>
    <x v="123"/>
    <x v="12"/>
    <x v="417"/>
    <x v="8"/>
    <x v="2"/>
    <x v="14"/>
    <x v="3"/>
    <x v="3"/>
    <x v="27"/>
    <x v="562"/>
    <x v="0"/>
    <x v="0"/>
    <x v="5"/>
    <x v="2"/>
    <x v="70"/>
    <x v="0"/>
    <x v="14"/>
    <x v="4"/>
    <x v="72"/>
  </r>
  <r>
    <x v="148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5"/>
    <x v="86"/>
  </r>
  <r>
    <x v="148"/>
    <x v="131"/>
    <x v="174"/>
    <x v="0"/>
    <x v="70"/>
    <x v="156"/>
    <x v="156"/>
    <x v="155"/>
    <x v="155"/>
    <x v="0"/>
    <x v="763"/>
    <x v="778"/>
    <x v="406"/>
    <x v="326"/>
    <x v="51"/>
    <x v="689"/>
    <x v="8"/>
    <x v="2"/>
    <x v="24"/>
    <x v="3"/>
    <x v="3"/>
    <x v="70"/>
    <x v="563"/>
    <x v="0"/>
    <x v="0"/>
    <x v="5"/>
    <x v="2"/>
    <x v="68"/>
    <x v="0"/>
    <x v="14"/>
    <x v="4"/>
    <x v="70"/>
  </r>
  <r>
    <x v="148"/>
    <x v="132"/>
    <x v="175"/>
    <x v="1"/>
    <x v="62"/>
    <x v="157"/>
    <x v="157"/>
    <x v="156"/>
    <x v="156"/>
    <x v="0"/>
    <x v="30"/>
    <x v="333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148"/>
    <x v="132"/>
    <x v="176"/>
    <x v="1"/>
    <x v="62"/>
    <x v="158"/>
    <x v="158"/>
    <x v="157"/>
    <x v="157"/>
    <x v="0"/>
    <x v="479"/>
    <x v="141"/>
    <x v="199"/>
    <x v="527"/>
    <x v="36"/>
    <x v="690"/>
    <x v="15"/>
    <x v="2"/>
    <x v="14"/>
    <x v="3"/>
    <x v="3"/>
    <x v="15"/>
    <x v="15"/>
    <x v="0"/>
    <x v="0"/>
    <x v="5"/>
    <x v="2"/>
    <x v="60"/>
    <x v="0"/>
    <x v="16"/>
    <x v="4"/>
    <x v="62"/>
  </r>
  <r>
    <x v="148"/>
    <x v="135"/>
    <x v="179"/>
    <x v="1"/>
    <x v="46"/>
    <x v="160"/>
    <x v="160"/>
    <x v="159"/>
    <x v="159"/>
    <x v="0"/>
    <x v="764"/>
    <x v="779"/>
    <x v="406"/>
    <x v="512"/>
    <x v="43"/>
    <x v="691"/>
    <x v="15"/>
    <x v="2"/>
    <x v="14"/>
    <x v="3"/>
    <x v="3"/>
    <x v="15"/>
    <x v="15"/>
    <x v="0"/>
    <x v="0"/>
    <x v="5"/>
    <x v="2"/>
    <x v="46"/>
    <x v="0"/>
    <x v="14"/>
    <x v="4"/>
    <x v="46"/>
  </r>
  <r>
    <x v="148"/>
    <x v="135"/>
    <x v="186"/>
    <x v="1"/>
    <x v="87"/>
    <x v="164"/>
    <x v="164"/>
    <x v="163"/>
    <x v="163"/>
    <x v="0"/>
    <x v="765"/>
    <x v="780"/>
    <x v="70"/>
    <x v="528"/>
    <x v="25"/>
    <x v="692"/>
    <x v="8"/>
    <x v="2"/>
    <x v="50"/>
    <x v="3"/>
    <x v="3"/>
    <x v="83"/>
    <x v="517"/>
    <x v="0"/>
    <x v="0"/>
    <x v="5"/>
    <x v="2"/>
    <x v="85"/>
    <x v="1"/>
    <x v="18"/>
    <x v="2"/>
    <x v="87"/>
  </r>
  <r>
    <x v="148"/>
    <x v="142"/>
    <x v="193"/>
    <x v="0"/>
    <x v="91"/>
    <x v="170"/>
    <x v="170"/>
    <x v="169"/>
    <x v="169"/>
    <x v="0"/>
    <x v="766"/>
    <x v="781"/>
    <x v="654"/>
    <x v="529"/>
    <x v="22"/>
    <x v="461"/>
    <x v="216"/>
    <x v="0"/>
    <x v="152"/>
    <x v="32"/>
    <x v="14"/>
    <x v="289"/>
    <x v="564"/>
    <x v="0"/>
    <x v="0"/>
    <x v="7"/>
    <x v="26"/>
    <x v="89"/>
    <x v="0"/>
    <x v="14"/>
    <x v="4"/>
    <x v="91"/>
  </r>
  <r>
    <x v="148"/>
    <x v="143"/>
    <x v="194"/>
    <x v="0"/>
    <x v="92"/>
    <x v="171"/>
    <x v="171"/>
    <x v="170"/>
    <x v="17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0"/>
    <x v="1"/>
    <x v="3"/>
    <x v="2"/>
    <x v="92"/>
  </r>
  <r>
    <x v="148"/>
    <x v="144"/>
    <x v="195"/>
    <x v="0"/>
    <x v="91"/>
    <x v="172"/>
    <x v="172"/>
    <x v="171"/>
    <x v="171"/>
    <x v="0"/>
    <x v="767"/>
    <x v="782"/>
    <x v="655"/>
    <x v="187"/>
    <x v="47"/>
    <x v="693"/>
    <x v="217"/>
    <x v="2"/>
    <x v="153"/>
    <x v="18"/>
    <x v="6"/>
    <x v="290"/>
    <x v="565"/>
    <x v="0"/>
    <x v="0"/>
    <x v="2"/>
    <x v="3"/>
    <x v="89"/>
    <x v="0"/>
    <x v="14"/>
    <x v="4"/>
    <x v="91"/>
  </r>
  <r>
    <x v="149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4"/>
    <x v="85"/>
  </r>
  <r>
    <x v="149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49"/>
    <x v="135"/>
    <x v="179"/>
    <x v="1"/>
    <x v="46"/>
    <x v="160"/>
    <x v="160"/>
    <x v="159"/>
    <x v="15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46"/>
    <x v="0"/>
    <x v="14"/>
    <x v="4"/>
    <x v="46"/>
  </r>
  <r>
    <x v="149"/>
    <x v="142"/>
    <x v="193"/>
    <x v="0"/>
    <x v="91"/>
    <x v="170"/>
    <x v="170"/>
    <x v="169"/>
    <x v="169"/>
    <x v="0"/>
    <x v="768"/>
    <x v="276"/>
    <x v="73"/>
    <x v="240"/>
    <x v="12"/>
    <x v="694"/>
    <x v="15"/>
    <x v="2"/>
    <x v="14"/>
    <x v="3"/>
    <x v="3"/>
    <x v="15"/>
    <x v="15"/>
    <x v="0"/>
    <x v="0"/>
    <x v="5"/>
    <x v="2"/>
    <x v="89"/>
    <x v="0"/>
    <x v="14"/>
    <x v="4"/>
    <x v="91"/>
  </r>
  <r>
    <x v="149"/>
    <x v="144"/>
    <x v="195"/>
    <x v="0"/>
    <x v="91"/>
    <x v="172"/>
    <x v="172"/>
    <x v="171"/>
    <x v="171"/>
    <x v="0"/>
    <x v="769"/>
    <x v="93"/>
    <x v="73"/>
    <x v="530"/>
    <x v="51"/>
    <x v="695"/>
    <x v="15"/>
    <x v="2"/>
    <x v="14"/>
    <x v="3"/>
    <x v="3"/>
    <x v="15"/>
    <x v="15"/>
    <x v="0"/>
    <x v="0"/>
    <x v="5"/>
    <x v="2"/>
    <x v="89"/>
    <x v="0"/>
    <x v="14"/>
    <x v="4"/>
    <x v="91"/>
  </r>
  <r>
    <x v="149"/>
    <x v="145"/>
    <x v="196"/>
    <x v="0"/>
    <x v="90"/>
    <x v="173"/>
    <x v="173"/>
    <x v="172"/>
    <x v="172"/>
    <x v="0"/>
    <x v="770"/>
    <x v="783"/>
    <x v="656"/>
    <x v="531"/>
    <x v="53"/>
    <x v="696"/>
    <x v="218"/>
    <x v="0"/>
    <x v="58"/>
    <x v="0"/>
    <x v="0"/>
    <x v="291"/>
    <x v="160"/>
    <x v="0"/>
    <x v="0"/>
    <x v="22"/>
    <x v="0"/>
    <x v="88"/>
    <x v="0"/>
    <x v="0"/>
    <x v="5"/>
    <x v="90"/>
  </r>
  <r>
    <x v="150"/>
    <x v="85"/>
    <x v="100"/>
    <x v="0"/>
    <x v="54"/>
    <x v="88"/>
    <x v="88"/>
    <x v="87"/>
    <x v="8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52"/>
    <x v="0"/>
    <x v="15"/>
    <x v="4"/>
    <x v="54"/>
  </r>
  <r>
    <x v="150"/>
    <x v="124"/>
    <x v="165"/>
    <x v="0"/>
    <x v="85"/>
    <x v="148"/>
    <x v="148"/>
    <x v="147"/>
    <x v="14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3"/>
    <x v="0"/>
    <x v="14"/>
    <x v="4"/>
    <x v="85"/>
  </r>
  <r>
    <x v="150"/>
    <x v="127"/>
    <x v="168"/>
    <x v="0"/>
    <x v="9"/>
    <x v="151"/>
    <x v="151"/>
    <x v="150"/>
    <x v="15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50"/>
    <x v="130"/>
    <x v="172"/>
    <x v="0"/>
    <x v="86"/>
    <x v="154"/>
    <x v="154"/>
    <x v="153"/>
    <x v="15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5"/>
    <x v="86"/>
  </r>
  <r>
    <x v="150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50"/>
    <x v="142"/>
    <x v="193"/>
    <x v="0"/>
    <x v="91"/>
    <x v="170"/>
    <x v="170"/>
    <x v="169"/>
    <x v="16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4"/>
    <x v="91"/>
  </r>
  <r>
    <x v="150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4"/>
    <x v="91"/>
  </r>
  <r>
    <x v="150"/>
    <x v="145"/>
    <x v="196"/>
    <x v="0"/>
    <x v="90"/>
    <x v="173"/>
    <x v="173"/>
    <x v="172"/>
    <x v="172"/>
    <x v="0"/>
    <x v="93"/>
    <x v="780"/>
    <x v="72"/>
    <x v="532"/>
    <x v="12"/>
    <x v="697"/>
    <x v="15"/>
    <x v="2"/>
    <x v="14"/>
    <x v="3"/>
    <x v="3"/>
    <x v="15"/>
    <x v="15"/>
    <x v="0"/>
    <x v="0"/>
    <x v="5"/>
    <x v="2"/>
    <x v="88"/>
    <x v="0"/>
    <x v="0"/>
    <x v="5"/>
    <x v="90"/>
  </r>
  <r>
    <x v="150"/>
    <x v="146"/>
    <x v="197"/>
    <x v="0"/>
    <x v="86"/>
    <x v="174"/>
    <x v="174"/>
    <x v="173"/>
    <x v="173"/>
    <x v="0"/>
    <x v="771"/>
    <x v="784"/>
    <x v="657"/>
    <x v="303"/>
    <x v="53"/>
    <x v="696"/>
    <x v="135"/>
    <x v="7"/>
    <x v="154"/>
    <x v="10"/>
    <x v="8"/>
    <x v="292"/>
    <x v="566"/>
    <x v="0"/>
    <x v="0"/>
    <x v="2"/>
    <x v="8"/>
    <x v="84"/>
    <x v="0"/>
    <x v="0"/>
    <x v="5"/>
    <x v="86"/>
  </r>
  <r>
    <x v="151"/>
    <x v="116"/>
    <x v="150"/>
    <x v="0"/>
    <x v="73"/>
    <x v="133"/>
    <x v="133"/>
    <x v="132"/>
    <x v="132"/>
    <x v="0"/>
    <x v="772"/>
    <x v="785"/>
    <x v="658"/>
    <x v="376"/>
    <x v="52"/>
    <x v="698"/>
    <x v="219"/>
    <x v="2"/>
    <x v="32"/>
    <x v="3"/>
    <x v="0"/>
    <x v="293"/>
    <x v="567"/>
    <x v="0"/>
    <x v="0"/>
    <x v="14"/>
    <x v="2"/>
    <x v="71"/>
    <x v="0"/>
    <x v="14"/>
    <x v="4"/>
    <x v="73"/>
  </r>
  <r>
    <x v="151"/>
    <x v="124"/>
    <x v="164"/>
    <x v="0"/>
    <x v="72"/>
    <x v="147"/>
    <x v="147"/>
    <x v="146"/>
    <x v="146"/>
    <x v="0"/>
    <x v="773"/>
    <x v="786"/>
    <x v="659"/>
    <x v="204"/>
    <x v="44"/>
    <x v="699"/>
    <x v="94"/>
    <x v="1"/>
    <x v="73"/>
    <x v="3"/>
    <x v="4"/>
    <x v="90"/>
    <x v="568"/>
    <x v="0"/>
    <x v="0"/>
    <x v="12"/>
    <x v="11"/>
    <x v="70"/>
    <x v="0"/>
    <x v="14"/>
    <x v="4"/>
    <x v="72"/>
  </r>
  <r>
    <x v="151"/>
    <x v="132"/>
    <x v="175"/>
    <x v="1"/>
    <x v="62"/>
    <x v="157"/>
    <x v="157"/>
    <x v="156"/>
    <x v="156"/>
    <x v="0"/>
    <x v="774"/>
    <x v="787"/>
    <x v="660"/>
    <x v="533"/>
    <x v="15"/>
    <x v="700"/>
    <x v="41"/>
    <x v="2"/>
    <x v="24"/>
    <x v="3"/>
    <x v="3"/>
    <x v="93"/>
    <x v="569"/>
    <x v="1"/>
    <x v="92"/>
    <x v="2"/>
    <x v="5"/>
    <x v="60"/>
    <x v="0"/>
    <x v="16"/>
    <x v="4"/>
    <x v="62"/>
  </r>
  <r>
    <x v="151"/>
    <x v="132"/>
    <x v="176"/>
    <x v="1"/>
    <x v="62"/>
    <x v="158"/>
    <x v="158"/>
    <x v="157"/>
    <x v="157"/>
    <x v="0"/>
    <x v="775"/>
    <x v="788"/>
    <x v="661"/>
    <x v="226"/>
    <x v="34"/>
    <x v="701"/>
    <x v="18"/>
    <x v="2"/>
    <x v="24"/>
    <x v="5"/>
    <x v="3"/>
    <x v="70"/>
    <x v="570"/>
    <x v="2"/>
    <x v="24"/>
    <x v="2"/>
    <x v="11"/>
    <x v="60"/>
    <x v="0"/>
    <x v="16"/>
    <x v="4"/>
    <x v="62"/>
  </r>
  <r>
    <x v="151"/>
    <x v="141"/>
    <x v="191"/>
    <x v="0"/>
    <x v="89"/>
    <x v="168"/>
    <x v="168"/>
    <x v="167"/>
    <x v="167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7"/>
    <x v="0"/>
    <x v="0"/>
    <x v="5"/>
    <x v="89"/>
  </r>
  <r>
    <x v="151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4"/>
    <x v="91"/>
  </r>
  <r>
    <x v="151"/>
    <x v="146"/>
    <x v="197"/>
    <x v="0"/>
    <x v="86"/>
    <x v="174"/>
    <x v="174"/>
    <x v="173"/>
    <x v="173"/>
    <x v="0"/>
    <x v="776"/>
    <x v="789"/>
    <x v="94"/>
    <x v="232"/>
    <x v="42"/>
    <x v="389"/>
    <x v="18"/>
    <x v="2"/>
    <x v="14"/>
    <x v="3"/>
    <x v="3"/>
    <x v="20"/>
    <x v="153"/>
    <x v="0"/>
    <x v="0"/>
    <x v="5"/>
    <x v="2"/>
    <x v="84"/>
    <x v="0"/>
    <x v="0"/>
    <x v="5"/>
    <x v="86"/>
  </r>
  <r>
    <x v="151"/>
    <x v="147"/>
    <x v="198"/>
    <x v="1"/>
    <x v="62"/>
    <x v="175"/>
    <x v="175"/>
    <x v="174"/>
    <x v="174"/>
    <x v="0"/>
    <x v="30"/>
    <x v="337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151"/>
    <x v="148"/>
    <x v="199"/>
    <x v="1"/>
    <x v="73"/>
    <x v="175"/>
    <x v="175"/>
    <x v="174"/>
    <x v="174"/>
    <x v="0"/>
    <x v="777"/>
    <x v="790"/>
    <x v="662"/>
    <x v="4"/>
    <x v="14"/>
    <x v="702"/>
    <x v="10"/>
    <x v="2"/>
    <x v="91"/>
    <x v="3"/>
    <x v="3"/>
    <x v="149"/>
    <x v="311"/>
    <x v="0"/>
    <x v="0"/>
    <x v="1"/>
    <x v="2"/>
    <x v="71"/>
    <x v="0"/>
    <x v="14"/>
    <x v="4"/>
    <x v="73"/>
  </r>
  <r>
    <x v="151"/>
    <x v="149"/>
    <x v="200"/>
    <x v="0"/>
    <x v="93"/>
    <x v="176"/>
    <x v="176"/>
    <x v="175"/>
    <x v="175"/>
    <x v="0"/>
    <x v="778"/>
    <x v="791"/>
    <x v="663"/>
    <x v="534"/>
    <x v="10"/>
    <x v="703"/>
    <x v="220"/>
    <x v="7"/>
    <x v="85"/>
    <x v="26"/>
    <x v="1"/>
    <x v="294"/>
    <x v="8"/>
    <x v="0"/>
    <x v="0"/>
    <x v="2"/>
    <x v="2"/>
    <x v="91"/>
    <x v="0"/>
    <x v="19"/>
    <x v="0"/>
    <x v="93"/>
  </r>
  <r>
    <x v="151"/>
    <x v="150"/>
    <x v="201"/>
    <x v="0"/>
    <x v="94"/>
    <x v="177"/>
    <x v="177"/>
    <x v="176"/>
    <x v="176"/>
    <x v="0"/>
    <x v="779"/>
    <x v="792"/>
    <x v="664"/>
    <x v="405"/>
    <x v="73"/>
    <x v="704"/>
    <x v="4"/>
    <x v="1"/>
    <x v="8"/>
    <x v="3"/>
    <x v="8"/>
    <x v="243"/>
    <x v="571"/>
    <x v="0"/>
    <x v="0"/>
    <x v="11"/>
    <x v="2"/>
    <x v="92"/>
    <x v="0"/>
    <x v="0"/>
    <x v="5"/>
    <x v="94"/>
  </r>
  <r>
    <x v="151"/>
    <x v="151"/>
    <x v="202"/>
    <x v="0"/>
    <x v="95"/>
    <x v="178"/>
    <x v="178"/>
    <x v="177"/>
    <x v="177"/>
    <x v="0"/>
    <x v="469"/>
    <x v="793"/>
    <x v="205"/>
    <x v="496"/>
    <x v="55"/>
    <x v="705"/>
    <x v="43"/>
    <x v="0"/>
    <x v="49"/>
    <x v="3"/>
    <x v="3"/>
    <x v="148"/>
    <x v="572"/>
    <x v="0"/>
    <x v="0"/>
    <x v="5"/>
    <x v="2"/>
    <x v="93"/>
    <x v="1"/>
    <x v="3"/>
    <x v="2"/>
    <x v="95"/>
  </r>
  <r>
    <x v="151"/>
    <x v="149"/>
    <x v="203"/>
    <x v="0"/>
    <x v="96"/>
    <x v="179"/>
    <x v="179"/>
    <x v="178"/>
    <x v="178"/>
    <x v="0"/>
    <x v="780"/>
    <x v="794"/>
    <x v="665"/>
    <x v="108"/>
    <x v="52"/>
    <x v="706"/>
    <x v="80"/>
    <x v="2"/>
    <x v="8"/>
    <x v="3"/>
    <x v="3"/>
    <x v="170"/>
    <x v="573"/>
    <x v="0"/>
    <x v="0"/>
    <x v="4"/>
    <x v="5"/>
    <x v="94"/>
    <x v="1"/>
    <x v="3"/>
    <x v="2"/>
    <x v="96"/>
  </r>
  <r>
    <x v="151"/>
    <x v="152"/>
    <x v="204"/>
    <x v="0"/>
    <x v="72"/>
    <x v="180"/>
    <x v="180"/>
    <x v="179"/>
    <x v="179"/>
    <x v="0"/>
    <x v="781"/>
    <x v="795"/>
    <x v="666"/>
    <x v="535"/>
    <x v="12"/>
    <x v="707"/>
    <x v="17"/>
    <x v="2"/>
    <x v="2"/>
    <x v="3"/>
    <x v="2"/>
    <x v="295"/>
    <x v="574"/>
    <x v="0"/>
    <x v="0"/>
    <x v="11"/>
    <x v="2"/>
    <x v="70"/>
    <x v="0"/>
    <x v="14"/>
    <x v="4"/>
    <x v="72"/>
  </r>
  <r>
    <x v="152"/>
    <x v="116"/>
    <x v="150"/>
    <x v="0"/>
    <x v="73"/>
    <x v="133"/>
    <x v="133"/>
    <x v="132"/>
    <x v="132"/>
    <x v="0"/>
    <x v="782"/>
    <x v="796"/>
    <x v="667"/>
    <x v="167"/>
    <x v="76"/>
    <x v="212"/>
    <x v="158"/>
    <x v="1"/>
    <x v="39"/>
    <x v="5"/>
    <x v="1"/>
    <x v="193"/>
    <x v="575"/>
    <x v="0"/>
    <x v="0"/>
    <x v="12"/>
    <x v="10"/>
    <x v="71"/>
    <x v="0"/>
    <x v="14"/>
    <x v="4"/>
    <x v="73"/>
  </r>
  <r>
    <x v="152"/>
    <x v="124"/>
    <x v="164"/>
    <x v="0"/>
    <x v="72"/>
    <x v="147"/>
    <x v="147"/>
    <x v="146"/>
    <x v="146"/>
    <x v="0"/>
    <x v="783"/>
    <x v="797"/>
    <x v="668"/>
    <x v="88"/>
    <x v="53"/>
    <x v="708"/>
    <x v="120"/>
    <x v="6"/>
    <x v="155"/>
    <x v="1"/>
    <x v="2"/>
    <x v="212"/>
    <x v="576"/>
    <x v="0"/>
    <x v="0"/>
    <x v="0"/>
    <x v="11"/>
    <x v="70"/>
    <x v="0"/>
    <x v="14"/>
    <x v="4"/>
    <x v="72"/>
  </r>
  <r>
    <x v="152"/>
    <x v="131"/>
    <x v="174"/>
    <x v="0"/>
    <x v="70"/>
    <x v="156"/>
    <x v="156"/>
    <x v="155"/>
    <x v="15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8"/>
    <x v="0"/>
    <x v="14"/>
    <x v="4"/>
    <x v="70"/>
  </r>
  <r>
    <x v="152"/>
    <x v="132"/>
    <x v="175"/>
    <x v="1"/>
    <x v="62"/>
    <x v="157"/>
    <x v="157"/>
    <x v="156"/>
    <x v="156"/>
    <x v="0"/>
    <x v="784"/>
    <x v="798"/>
    <x v="660"/>
    <x v="536"/>
    <x v="73"/>
    <x v="709"/>
    <x v="18"/>
    <x v="2"/>
    <x v="24"/>
    <x v="3"/>
    <x v="3"/>
    <x v="27"/>
    <x v="577"/>
    <x v="0"/>
    <x v="0"/>
    <x v="4"/>
    <x v="2"/>
    <x v="60"/>
    <x v="0"/>
    <x v="16"/>
    <x v="4"/>
    <x v="62"/>
  </r>
  <r>
    <x v="152"/>
    <x v="132"/>
    <x v="176"/>
    <x v="1"/>
    <x v="62"/>
    <x v="158"/>
    <x v="158"/>
    <x v="157"/>
    <x v="157"/>
    <x v="0"/>
    <x v="785"/>
    <x v="799"/>
    <x v="669"/>
    <x v="162"/>
    <x v="101"/>
    <x v="710"/>
    <x v="21"/>
    <x v="1"/>
    <x v="14"/>
    <x v="3"/>
    <x v="3"/>
    <x v="8"/>
    <x v="578"/>
    <x v="14"/>
    <x v="93"/>
    <x v="2"/>
    <x v="5"/>
    <x v="60"/>
    <x v="0"/>
    <x v="16"/>
    <x v="4"/>
    <x v="62"/>
  </r>
  <r>
    <x v="152"/>
    <x v="144"/>
    <x v="195"/>
    <x v="0"/>
    <x v="91"/>
    <x v="172"/>
    <x v="172"/>
    <x v="171"/>
    <x v="17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9"/>
    <x v="0"/>
    <x v="14"/>
    <x v="4"/>
    <x v="91"/>
  </r>
  <r>
    <x v="152"/>
    <x v="146"/>
    <x v="197"/>
    <x v="0"/>
    <x v="86"/>
    <x v="174"/>
    <x v="174"/>
    <x v="173"/>
    <x v="17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5"/>
    <x v="86"/>
  </r>
  <r>
    <x v="152"/>
    <x v="148"/>
    <x v="199"/>
    <x v="1"/>
    <x v="73"/>
    <x v="175"/>
    <x v="175"/>
    <x v="174"/>
    <x v="174"/>
    <x v="0"/>
    <x v="30"/>
    <x v="51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52"/>
    <x v="149"/>
    <x v="200"/>
    <x v="0"/>
    <x v="93"/>
    <x v="176"/>
    <x v="176"/>
    <x v="175"/>
    <x v="175"/>
    <x v="0"/>
    <x v="786"/>
    <x v="800"/>
    <x v="670"/>
    <x v="537"/>
    <x v="51"/>
    <x v="711"/>
    <x v="221"/>
    <x v="3"/>
    <x v="92"/>
    <x v="22"/>
    <x v="3"/>
    <x v="296"/>
    <x v="579"/>
    <x v="0"/>
    <x v="0"/>
    <x v="2"/>
    <x v="5"/>
    <x v="91"/>
    <x v="0"/>
    <x v="19"/>
    <x v="0"/>
    <x v="93"/>
  </r>
  <r>
    <x v="152"/>
    <x v="150"/>
    <x v="201"/>
    <x v="0"/>
    <x v="94"/>
    <x v="177"/>
    <x v="177"/>
    <x v="176"/>
    <x v="176"/>
    <x v="0"/>
    <x v="787"/>
    <x v="801"/>
    <x v="671"/>
    <x v="538"/>
    <x v="23"/>
    <x v="712"/>
    <x v="14"/>
    <x v="1"/>
    <x v="50"/>
    <x v="3"/>
    <x v="3"/>
    <x v="78"/>
    <x v="264"/>
    <x v="0"/>
    <x v="0"/>
    <x v="5"/>
    <x v="2"/>
    <x v="92"/>
    <x v="0"/>
    <x v="0"/>
    <x v="5"/>
    <x v="94"/>
  </r>
  <r>
    <x v="152"/>
    <x v="151"/>
    <x v="202"/>
    <x v="0"/>
    <x v="95"/>
    <x v="178"/>
    <x v="178"/>
    <x v="177"/>
    <x v="177"/>
    <x v="0"/>
    <x v="788"/>
    <x v="802"/>
    <x v="672"/>
    <x v="53"/>
    <x v="10"/>
    <x v="341"/>
    <x v="41"/>
    <x v="2"/>
    <x v="19"/>
    <x v="3"/>
    <x v="3"/>
    <x v="68"/>
    <x v="580"/>
    <x v="0"/>
    <x v="0"/>
    <x v="1"/>
    <x v="5"/>
    <x v="93"/>
    <x v="1"/>
    <x v="3"/>
    <x v="2"/>
    <x v="95"/>
  </r>
  <r>
    <x v="152"/>
    <x v="149"/>
    <x v="203"/>
    <x v="0"/>
    <x v="96"/>
    <x v="179"/>
    <x v="179"/>
    <x v="178"/>
    <x v="178"/>
    <x v="0"/>
    <x v="789"/>
    <x v="803"/>
    <x v="673"/>
    <x v="191"/>
    <x v="3"/>
    <x v="713"/>
    <x v="13"/>
    <x v="2"/>
    <x v="19"/>
    <x v="3"/>
    <x v="2"/>
    <x v="50"/>
    <x v="581"/>
    <x v="0"/>
    <x v="0"/>
    <x v="2"/>
    <x v="2"/>
    <x v="94"/>
    <x v="1"/>
    <x v="3"/>
    <x v="2"/>
    <x v="96"/>
  </r>
  <r>
    <x v="152"/>
    <x v="152"/>
    <x v="204"/>
    <x v="0"/>
    <x v="72"/>
    <x v="180"/>
    <x v="180"/>
    <x v="179"/>
    <x v="179"/>
    <x v="0"/>
    <x v="790"/>
    <x v="804"/>
    <x v="161"/>
    <x v="397"/>
    <x v="41"/>
    <x v="714"/>
    <x v="18"/>
    <x v="1"/>
    <x v="24"/>
    <x v="3"/>
    <x v="3"/>
    <x v="70"/>
    <x v="582"/>
    <x v="0"/>
    <x v="0"/>
    <x v="5"/>
    <x v="2"/>
    <x v="70"/>
    <x v="0"/>
    <x v="14"/>
    <x v="4"/>
    <x v="72"/>
  </r>
  <r>
    <x v="152"/>
    <x v="153"/>
    <x v="205"/>
    <x v="0"/>
    <x v="97"/>
    <x v="181"/>
    <x v="181"/>
    <x v="180"/>
    <x v="180"/>
    <x v="0"/>
    <x v="791"/>
    <x v="805"/>
    <x v="674"/>
    <x v="539"/>
    <x v="42"/>
    <x v="348"/>
    <x v="35"/>
    <x v="10"/>
    <x v="4"/>
    <x v="1"/>
    <x v="4"/>
    <x v="282"/>
    <x v="583"/>
    <x v="0"/>
    <x v="0"/>
    <x v="0"/>
    <x v="11"/>
    <x v="95"/>
    <x v="0"/>
    <x v="14"/>
    <x v="4"/>
    <x v="97"/>
  </r>
  <r>
    <x v="152"/>
    <x v="153"/>
    <x v="206"/>
    <x v="0"/>
    <x v="92"/>
    <x v="182"/>
    <x v="182"/>
    <x v="181"/>
    <x v="181"/>
    <x v="0"/>
    <x v="792"/>
    <x v="806"/>
    <x v="675"/>
    <x v="540"/>
    <x v="28"/>
    <x v="715"/>
    <x v="21"/>
    <x v="2"/>
    <x v="20"/>
    <x v="1"/>
    <x v="3"/>
    <x v="13"/>
    <x v="584"/>
    <x v="0"/>
    <x v="0"/>
    <x v="4"/>
    <x v="5"/>
    <x v="90"/>
    <x v="1"/>
    <x v="3"/>
    <x v="2"/>
    <x v="92"/>
  </r>
  <r>
    <x v="152"/>
    <x v="154"/>
    <x v="207"/>
    <x v="1"/>
    <x v="72"/>
    <x v="183"/>
    <x v="183"/>
    <x v="182"/>
    <x v="182"/>
    <x v="0"/>
    <x v="793"/>
    <x v="807"/>
    <x v="676"/>
    <x v="145"/>
    <x v="14"/>
    <x v="619"/>
    <x v="2"/>
    <x v="7"/>
    <x v="7"/>
    <x v="5"/>
    <x v="1"/>
    <x v="7"/>
    <x v="585"/>
    <x v="0"/>
    <x v="0"/>
    <x v="1"/>
    <x v="5"/>
    <x v="70"/>
    <x v="0"/>
    <x v="14"/>
    <x v="4"/>
    <x v="72"/>
  </r>
  <r>
    <x v="153"/>
    <x v="116"/>
    <x v="150"/>
    <x v="0"/>
    <x v="73"/>
    <x v="133"/>
    <x v="133"/>
    <x v="132"/>
    <x v="132"/>
    <x v="0"/>
    <x v="794"/>
    <x v="808"/>
    <x v="677"/>
    <x v="541"/>
    <x v="50"/>
    <x v="716"/>
    <x v="162"/>
    <x v="1"/>
    <x v="156"/>
    <x v="3"/>
    <x v="2"/>
    <x v="180"/>
    <x v="586"/>
    <x v="0"/>
    <x v="0"/>
    <x v="10"/>
    <x v="12"/>
    <x v="71"/>
    <x v="0"/>
    <x v="14"/>
    <x v="4"/>
    <x v="73"/>
  </r>
  <r>
    <x v="153"/>
    <x v="124"/>
    <x v="164"/>
    <x v="0"/>
    <x v="72"/>
    <x v="147"/>
    <x v="147"/>
    <x v="146"/>
    <x v="146"/>
    <x v="0"/>
    <x v="795"/>
    <x v="809"/>
    <x v="678"/>
    <x v="280"/>
    <x v="82"/>
    <x v="717"/>
    <x v="222"/>
    <x v="10"/>
    <x v="58"/>
    <x v="5"/>
    <x v="8"/>
    <x v="297"/>
    <x v="587"/>
    <x v="0"/>
    <x v="0"/>
    <x v="0"/>
    <x v="11"/>
    <x v="70"/>
    <x v="0"/>
    <x v="14"/>
    <x v="4"/>
    <x v="72"/>
  </r>
  <r>
    <x v="153"/>
    <x v="125"/>
    <x v="170"/>
    <x v="1"/>
    <x v="9"/>
    <x v="152"/>
    <x v="152"/>
    <x v="151"/>
    <x v="151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53"/>
    <x v="129"/>
    <x v="171"/>
    <x v="1"/>
    <x v="9"/>
    <x v="153"/>
    <x v="153"/>
    <x v="152"/>
    <x v="152"/>
    <x v="0"/>
    <x v="796"/>
    <x v="810"/>
    <x v="679"/>
    <x v="339"/>
    <x v="104"/>
    <x v="718"/>
    <x v="8"/>
    <x v="2"/>
    <x v="14"/>
    <x v="3"/>
    <x v="1"/>
    <x v="83"/>
    <x v="588"/>
    <x v="0"/>
    <x v="0"/>
    <x v="5"/>
    <x v="2"/>
    <x v="9"/>
    <x v="1"/>
    <x v="3"/>
    <x v="2"/>
    <x v="9"/>
  </r>
  <r>
    <x v="153"/>
    <x v="132"/>
    <x v="175"/>
    <x v="1"/>
    <x v="62"/>
    <x v="157"/>
    <x v="157"/>
    <x v="156"/>
    <x v="156"/>
    <x v="0"/>
    <x v="797"/>
    <x v="811"/>
    <x v="680"/>
    <x v="542"/>
    <x v="71"/>
    <x v="70"/>
    <x v="8"/>
    <x v="1"/>
    <x v="14"/>
    <x v="3"/>
    <x v="3"/>
    <x v="70"/>
    <x v="589"/>
    <x v="2"/>
    <x v="94"/>
    <x v="5"/>
    <x v="2"/>
    <x v="60"/>
    <x v="0"/>
    <x v="16"/>
    <x v="4"/>
    <x v="62"/>
  </r>
  <r>
    <x v="153"/>
    <x v="132"/>
    <x v="176"/>
    <x v="1"/>
    <x v="62"/>
    <x v="158"/>
    <x v="158"/>
    <x v="157"/>
    <x v="157"/>
    <x v="0"/>
    <x v="798"/>
    <x v="812"/>
    <x v="156"/>
    <x v="0"/>
    <x v="99"/>
    <x v="719"/>
    <x v="8"/>
    <x v="2"/>
    <x v="14"/>
    <x v="3"/>
    <x v="3"/>
    <x v="27"/>
    <x v="590"/>
    <x v="2"/>
    <x v="28"/>
    <x v="2"/>
    <x v="5"/>
    <x v="60"/>
    <x v="0"/>
    <x v="16"/>
    <x v="4"/>
    <x v="62"/>
  </r>
  <r>
    <x v="153"/>
    <x v="141"/>
    <x v="192"/>
    <x v="0"/>
    <x v="90"/>
    <x v="169"/>
    <x v="169"/>
    <x v="168"/>
    <x v="168"/>
    <x v="0"/>
    <x v="799"/>
    <x v="813"/>
    <x v="681"/>
    <x v="543"/>
    <x v="21"/>
    <x v="720"/>
    <x v="223"/>
    <x v="0"/>
    <x v="32"/>
    <x v="5"/>
    <x v="4"/>
    <x v="298"/>
    <x v="358"/>
    <x v="0"/>
    <x v="0"/>
    <x v="8"/>
    <x v="28"/>
    <x v="88"/>
    <x v="0"/>
    <x v="0"/>
    <x v="5"/>
    <x v="90"/>
  </r>
  <r>
    <x v="153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  <x v="0"/>
    <x v="19"/>
    <x v="0"/>
    <x v="93"/>
  </r>
  <r>
    <x v="153"/>
    <x v="153"/>
    <x v="205"/>
    <x v="0"/>
    <x v="97"/>
    <x v="181"/>
    <x v="181"/>
    <x v="180"/>
    <x v="18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5"/>
    <x v="0"/>
    <x v="14"/>
    <x v="4"/>
    <x v="97"/>
  </r>
  <r>
    <x v="153"/>
    <x v="153"/>
    <x v="206"/>
    <x v="0"/>
    <x v="92"/>
    <x v="182"/>
    <x v="182"/>
    <x v="181"/>
    <x v="18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0"/>
    <x v="1"/>
    <x v="3"/>
    <x v="2"/>
    <x v="92"/>
  </r>
  <r>
    <x v="153"/>
    <x v="154"/>
    <x v="207"/>
    <x v="1"/>
    <x v="72"/>
    <x v="183"/>
    <x v="183"/>
    <x v="182"/>
    <x v="182"/>
    <x v="0"/>
    <x v="800"/>
    <x v="814"/>
    <x v="421"/>
    <x v="456"/>
    <x v="26"/>
    <x v="721"/>
    <x v="177"/>
    <x v="2"/>
    <x v="20"/>
    <x v="3"/>
    <x v="2"/>
    <x v="13"/>
    <x v="591"/>
    <x v="0"/>
    <x v="0"/>
    <x v="10"/>
    <x v="11"/>
    <x v="70"/>
    <x v="0"/>
    <x v="14"/>
    <x v="4"/>
    <x v="72"/>
  </r>
  <r>
    <x v="153"/>
    <x v="155"/>
    <x v="208"/>
    <x v="0"/>
    <x v="96"/>
    <x v="184"/>
    <x v="184"/>
    <x v="183"/>
    <x v="183"/>
    <x v="0"/>
    <x v="801"/>
    <x v="815"/>
    <x v="682"/>
    <x v="78"/>
    <x v="21"/>
    <x v="722"/>
    <x v="63"/>
    <x v="2"/>
    <x v="20"/>
    <x v="3"/>
    <x v="3"/>
    <x v="23"/>
    <x v="266"/>
    <x v="0"/>
    <x v="0"/>
    <x v="2"/>
    <x v="2"/>
    <x v="94"/>
    <x v="1"/>
    <x v="3"/>
    <x v="2"/>
    <x v="96"/>
  </r>
  <r>
    <x v="153"/>
    <x v="156"/>
    <x v="209"/>
    <x v="0"/>
    <x v="87"/>
    <x v="185"/>
    <x v="185"/>
    <x v="184"/>
    <x v="184"/>
    <x v="0"/>
    <x v="635"/>
    <x v="816"/>
    <x v="683"/>
    <x v="488"/>
    <x v="7"/>
    <x v="723"/>
    <x v="224"/>
    <x v="2"/>
    <x v="157"/>
    <x v="31"/>
    <x v="27"/>
    <x v="299"/>
    <x v="592"/>
    <x v="2"/>
    <x v="95"/>
    <x v="2"/>
    <x v="10"/>
    <x v="85"/>
    <x v="1"/>
    <x v="18"/>
    <x v="2"/>
    <x v="87"/>
  </r>
  <r>
    <x v="153"/>
    <x v="157"/>
    <x v="210"/>
    <x v="1"/>
    <x v="72"/>
    <x v="186"/>
    <x v="186"/>
    <x v="185"/>
    <x v="185"/>
    <x v="0"/>
    <x v="802"/>
    <x v="817"/>
    <x v="684"/>
    <x v="510"/>
    <x v="66"/>
    <x v="724"/>
    <x v="18"/>
    <x v="2"/>
    <x v="14"/>
    <x v="3"/>
    <x v="3"/>
    <x v="20"/>
    <x v="593"/>
    <x v="0"/>
    <x v="0"/>
    <x v="5"/>
    <x v="2"/>
    <x v="70"/>
    <x v="0"/>
    <x v="14"/>
    <x v="4"/>
    <x v="72"/>
  </r>
  <r>
    <x v="153"/>
    <x v="158"/>
    <x v="211"/>
    <x v="1"/>
    <x v="98"/>
    <x v="186"/>
    <x v="186"/>
    <x v="185"/>
    <x v="185"/>
    <x v="0"/>
    <x v="803"/>
    <x v="818"/>
    <x v="685"/>
    <x v="544"/>
    <x v="54"/>
    <x v="725"/>
    <x v="2"/>
    <x v="2"/>
    <x v="20"/>
    <x v="3"/>
    <x v="2"/>
    <x v="78"/>
    <x v="594"/>
    <x v="0"/>
    <x v="0"/>
    <x v="5"/>
    <x v="2"/>
    <x v="96"/>
    <x v="0"/>
    <x v="0"/>
    <x v="0"/>
    <x v="98"/>
  </r>
  <r>
    <x v="154"/>
    <x v="116"/>
    <x v="150"/>
    <x v="0"/>
    <x v="73"/>
    <x v="133"/>
    <x v="133"/>
    <x v="132"/>
    <x v="132"/>
    <x v="0"/>
    <x v="804"/>
    <x v="819"/>
    <x v="686"/>
    <x v="205"/>
    <x v="26"/>
    <x v="726"/>
    <x v="146"/>
    <x v="1"/>
    <x v="158"/>
    <x v="3"/>
    <x v="3"/>
    <x v="300"/>
    <x v="595"/>
    <x v="0"/>
    <x v="0"/>
    <x v="9"/>
    <x v="10"/>
    <x v="71"/>
    <x v="0"/>
    <x v="14"/>
    <x v="4"/>
    <x v="73"/>
  </r>
  <r>
    <x v="154"/>
    <x v="124"/>
    <x v="164"/>
    <x v="0"/>
    <x v="72"/>
    <x v="147"/>
    <x v="147"/>
    <x v="146"/>
    <x v="146"/>
    <x v="0"/>
    <x v="805"/>
    <x v="820"/>
    <x v="687"/>
    <x v="195"/>
    <x v="27"/>
    <x v="727"/>
    <x v="160"/>
    <x v="1"/>
    <x v="159"/>
    <x v="11"/>
    <x v="23"/>
    <x v="280"/>
    <x v="596"/>
    <x v="0"/>
    <x v="0"/>
    <x v="0"/>
    <x v="13"/>
    <x v="70"/>
    <x v="0"/>
    <x v="14"/>
    <x v="4"/>
    <x v="72"/>
  </r>
  <r>
    <x v="154"/>
    <x v="125"/>
    <x v="170"/>
    <x v="1"/>
    <x v="9"/>
    <x v="152"/>
    <x v="152"/>
    <x v="151"/>
    <x v="151"/>
    <x v="0"/>
    <x v="806"/>
    <x v="337"/>
    <x v="308"/>
    <x v="545"/>
    <x v="53"/>
    <x v="728"/>
    <x v="15"/>
    <x v="2"/>
    <x v="14"/>
    <x v="3"/>
    <x v="3"/>
    <x v="15"/>
    <x v="15"/>
    <x v="0"/>
    <x v="0"/>
    <x v="5"/>
    <x v="2"/>
    <x v="9"/>
    <x v="1"/>
    <x v="3"/>
    <x v="2"/>
    <x v="9"/>
  </r>
  <r>
    <x v="154"/>
    <x v="129"/>
    <x v="171"/>
    <x v="1"/>
    <x v="9"/>
    <x v="153"/>
    <x v="153"/>
    <x v="152"/>
    <x v="152"/>
    <x v="0"/>
    <x v="807"/>
    <x v="821"/>
    <x v="688"/>
    <x v="354"/>
    <x v="88"/>
    <x v="729"/>
    <x v="15"/>
    <x v="2"/>
    <x v="14"/>
    <x v="3"/>
    <x v="3"/>
    <x v="15"/>
    <x v="15"/>
    <x v="0"/>
    <x v="0"/>
    <x v="2"/>
    <x v="2"/>
    <x v="9"/>
    <x v="1"/>
    <x v="3"/>
    <x v="2"/>
    <x v="9"/>
  </r>
  <r>
    <x v="154"/>
    <x v="132"/>
    <x v="175"/>
    <x v="1"/>
    <x v="62"/>
    <x v="157"/>
    <x v="157"/>
    <x v="156"/>
    <x v="156"/>
    <x v="0"/>
    <x v="336"/>
    <x v="822"/>
    <x v="594"/>
    <x v="546"/>
    <x v="44"/>
    <x v="730"/>
    <x v="18"/>
    <x v="2"/>
    <x v="24"/>
    <x v="3"/>
    <x v="3"/>
    <x v="27"/>
    <x v="275"/>
    <x v="0"/>
    <x v="0"/>
    <x v="2"/>
    <x v="5"/>
    <x v="60"/>
    <x v="0"/>
    <x v="16"/>
    <x v="4"/>
    <x v="62"/>
  </r>
  <r>
    <x v="154"/>
    <x v="132"/>
    <x v="176"/>
    <x v="1"/>
    <x v="62"/>
    <x v="158"/>
    <x v="158"/>
    <x v="157"/>
    <x v="157"/>
    <x v="0"/>
    <x v="808"/>
    <x v="823"/>
    <x v="689"/>
    <x v="547"/>
    <x v="62"/>
    <x v="731"/>
    <x v="22"/>
    <x v="2"/>
    <x v="24"/>
    <x v="5"/>
    <x v="3"/>
    <x v="8"/>
    <x v="597"/>
    <x v="14"/>
    <x v="96"/>
    <x v="4"/>
    <x v="5"/>
    <x v="60"/>
    <x v="0"/>
    <x v="16"/>
    <x v="4"/>
    <x v="62"/>
  </r>
  <r>
    <x v="154"/>
    <x v="135"/>
    <x v="186"/>
    <x v="1"/>
    <x v="87"/>
    <x v="164"/>
    <x v="164"/>
    <x v="163"/>
    <x v="163"/>
    <x v="0"/>
    <x v="809"/>
    <x v="824"/>
    <x v="482"/>
    <x v="548"/>
    <x v="73"/>
    <x v="732"/>
    <x v="36"/>
    <x v="2"/>
    <x v="85"/>
    <x v="4"/>
    <x v="1"/>
    <x v="244"/>
    <x v="598"/>
    <x v="2"/>
    <x v="49"/>
    <x v="5"/>
    <x v="6"/>
    <x v="85"/>
    <x v="1"/>
    <x v="18"/>
    <x v="2"/>
    <x v="87"/>
  </r>
  <r>
    <x v="154"/>
    <x v="141"/>
    <x v="192"/>
    <x v="0"/>
    <x v="90"/>
    <x v="169"/>
    <x v="169"/>
    <x v="168"/>
    <x v="168"/>
    <x v="0"/>
    <x v="810"/>
    <x v="825"/>
    <x v="690"/>
    <x v="549"/>
    <x v="3"/>
    <x v="733"/>
    <x v="156"/>
    <x v="7"/>
    <x v="0"/>
    <x v="11"/>
    <x v="30"/>
    <x v="301"/>
    <x v="599"/>
    <x v="0"/>
    <x v="0"/>
    <x v="15"/>
    <x v="38"/>
    <x v="88"/>
    <x v="0"/>
    <x v="0"/>
    <x v="5"/>
    <x v="90"/>
  </r>
  <r>
    <x v="154"/>
    <x v="146"/>
    <x v="197"/>
    <x v="0"/>
    <x v="86"/>
    <x v="174"/>
    <x v="174"/>
    <x v="173"/>
    <x v="17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4"/>
    <x v="0"/>
    <x v="0"/>
    <x v="5"/>
    <x v="86"/>
  </r>
  <r>
    <x v="154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  <x v="0"/>
    <x v="19"/>
    <x v="0"/>
    <x v="93"/>
  </r>
  <r>
    <x v="154"/>
    <x v="149"/>
    <x v="203"/>
    <x v="0"/>
    <x v="96"/>
    <x v="179"/>
    <x v="179"/>
    <x v="178"/>
    <x v="1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4"/>
    <x v="1"/>
    <x v="3"/>
    <x v="2"/>
    <x v="96"/>
  </r>
  <r>
    <x v="154"/>
    <x v="154"/>
    <x v="207"/>
    <x v="1"/>
    <x v="72"/>
    <x v="183"/>
    <x v="183"/>
    <x v="182"/>
    <x v="182"/>
    <x v="0"/>
    <x v="811"/>
    <x v="826"/>
    <x v="691"/>
    <x v="326"/>
    <x v="15"/>
    <x v="734"/>
    <x v="17"/>
    <x v="2"/>
    <x v="8"/>
    <x v="3"/>
    <x v="3"/>
    <x v="275"/>
    <x v="600"/>
    <x v="0"/>
    <x v="0"/>
    <x v="10"/>
    <x v="2"/>
    <x v="70"/>
    <x v="0"/>
    <x v="14"/>
    <x v="4"/>
    <x v="72"/>
  </r>
  <r>
    <x v="154"/>
    <x v="155"/>
    <x v="208"/>
    <x v="0"/>
    <x v="96"/>
    <x v="184"/>
    <x v="184"/>
    <x v="183"/>
    <x v="183"/>
    <x v="0"/>
    <x v="30"/>
    <x v="30"/>
    <x v="29"/>
    <x v="30"/>
    <x v="16"/>
    <x v="29"/>
    <x v="15"/>
    <x v="2"/>
    <x v="14"/>
    <x v="3"/>
    <x v="3"/>
    <x v="15"/>
    <x v="15"/>
    <x v="0"/>
    <x v="0"/>
    <x v="5"/>
    <x v="2"/>
    <x v="94"/>
    <x v="1"/>
    <x v="3"/>
    <x v="2"/>
    <x v="96"/>
  </r>
  <r>
    <x v="154"/>
    <x v="156"/>
    <x v="209"/>
    <x v="0"/>
    <x v="87"/>
    <x v="185"/>
    <x v="185"/>
    <x v="184"/>
    <x v="184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  <x v="87"/>
  </r>
  <r>
    <x v="154"/>
    <x v="159"/>
    <x v="212"/>
    <x v="0"/>
    <x v="99"/>
    <x v="187"/>
    <x v="187"/>
    <x v="186"/>
    <x v="186"/>
    <x v="0"/>
    <x v="812"/>
    <x v="827"/>
    <x v="692"/>
    <x v="550"/>
    <x v="10"/>
    <x v="735"/>
    <x v="127"/>
    <x v="2"/>
    <x v="147"/>
    <x v="3"/>
    <x v="1"/>
    <x v="302"/>
    <x v="601"/>
    <x v="0"/>
    <x v="0"/>
    <x v="1"/>
    <x v="5"/>
    <x v="97"/>
    <x v="0"/>
    <x v="14"/>
    <x v="4"/>
    <x v="99"/>
  </r>
  <r>
    <x v="154"/>
    <x v="159"/>
    <x v="213"/>
    <x v="0"/>
    <x v="100"/>
    <x v="188"/>
    <x v="188"/>
    <x v="187"/>
    <x v="187"/>
    <x v="0"/>
    <x v="813"/>
    <x v="828"/>
    <x v="693"/>
    <x v="321"/>
    <x v="71"/>
    <x v="736"/>
    <x v="54"/>
    <x v="2"/>
    <x v="22"/>
    <x v="5"/>
    <x v="2"/>
    <x v="24"/>
    <x v="544"/>
    <x v="0"/>
    <x v="0"/>
    <x v="5"/>
    <x v="5"/>
    <x v="98"/>
    <x v="0"/>
    <x v="0"/>
    <x v="5"/>
    <x v="100"/>
  </r>
  <r>
    <x v="154"/>
    <x v="159"/>
    <x v="214"/>
    <x v="0"/>
    <x v="101"/>
    <x v="189"/>
    <x v="189"/>
    <x v="188"/>
    <x v="188"/>
    <x v="0"/>
    <x v="814"/>
    <x v="829"/>
    <x v="694"/>
    <x v="551"/>
    <x v="32"/>
    <x v="737"/>
    <x v="172"/>
    <x v="1"/>
    <x v="4"/>
    <x v="0"/>
    <x v="4"/>
    <x v="303"/>
    <x v="602"/>
    <x v="0"/>
    <x v="0"/>
    <x v="1"/>
    <x v="5"/>
    <x v="99"/>
    <x v="1"/>
    <x v="3"/>
    <x v="2"/>
    <x v="101"/>
  </r>
  <r>
    <x v="154"/>
    <x v="160"/>
    <x v="215"/>
    <x v="1"/>
    <x v="102"/>
    <x v="186"/>
    <x v="186"/>
    <x v="185"/>
    <x v="185"/>
    <x v="0"/>
    <x v="815"/>
    <x v="830"/>
    <x v="695"/>
    <x v="552"/>
    <x v="104"/>
    <x v="738"/>
    <x v="14"/>
    <x v="2"/>
    <x v="8"/>
    <x v="5"/>
    <x v="2"/>
    <x v="275"/>
    <x v="603"/>
    <x v="0"/>
    <x v="0"/>
    <x v="5"/>
    <x v="2"/>
    <x v="96"/>
    <x v="2"/>
    <x v="20"/>
    <x v="6"/>
    <x v="102"/>
  </r>
  <r>
    <x v="155"/>
    <x v="116"/>
    <x v="150"/>
    <x v="0"/>
    <x v="73"/>
    <x v="133"/>
    <x v="133"/>
    <x v="132"/>
    <x v="132"/>
    <x v="0"/>
    <x v="816"/>
    <x v="831"/>
    <x v="696"/>
    <x v="187"/>
    <x v="14"/>
    <x v="664"/>
    <x v="120"/>
    <x v="2"/>
    <x v="16"/>
    <x v="5"/>
    <x v="1"/>
    <x v="304"/>
    <x v="146"/>
    <x v="0"/>
    <x v="0"/>
    <x v="36"/>
    <x v="13"/>
    <x v="71"/>
    <x v="0"/>
    <x v="14"/>
    <x v="4"/>
    <x v="73"/>
  </r>
  <r>
    <x v="155"/>
    <x v="124"/>
    <x v="164"/>
    <x v="0"/>
    <x v="72"/>
    <x v="147"/>
    <x v="147"/>
    <x v="146"/>
    <x v="146"/>
    <x v="0"/>
    <x v="817"/>
    <x v="832"/>
    <x v="697"/>
    <x v="79"/>
    <x v="19"/>
    <x v="739"/>
    <x v="178"/>
    <x v="7"/>
    <x v="160"/>
    <x v="11"/>
    <x v="7"/>
    <x v="305"/>
    <x v="604"/>
    <x v="0"/>
    <x v="0"/>
    <x v="18"/>
    <x v="23"/>
    <x v="70"/>
    <x v="0"/>
    <x v="14"/>
    <x v="4"/>
    <x v="72"/>
  </r>
  <r>
    <x v="155"/>
    <x v="125"/>
    <x v="170"/>
    <x v="1"/>
    <x v="9"/>
    <x v="152"/>
    <x v="152"/>
    <x v="151"/>
    <x v="151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55"/>
    <x v="129"/>
    <x v="171"/>
    <x v="1"/>
    <x v="9"/>
    <x v="153"/>
    <x v="153"/>
    <x v="152"/>
    <x v="152"/>
    <x v="0"/>
    <x v="30"/>
    <x v="79"/>
    <x v="29"/>
    <x v="30"/>
    <x v="16"/>
    <x v="29"/>
    <x v="15"/>
    <x v="2"/>
    <x v="14"/>
    <x v="3"/>
    <x v="3"/>
    <x v="15"/>
    <x v="15"/>
    <x v="0"/>
    <x v="0"/>
    <x v="5"/>
    <x v="2"/>
    <x v="9"/>
    <x v="1"/>
    <x v="3"/>
    <x v="2"/>
    <x v="9"/>
  </r>
  <r>
    <x v="155"/>
    <x v="132"/>
    <x v="175"/>
    <x v="1"/>
    <x v="62"/>
    <x v="157"/>
    <x v="157"/>
    <x v="156"/>
    <x v="156"/>
    <x v="0"/>
    <x v="818"/>
    <x v="833"/>
    <x v="698"/>
    <x v="553"/>
    <x v="17"/>
    <x v="740"/>
    <x v="18"/>
    <x v="2"/>
    <x v="24"/>
    <x v="3"/>
    <x v="3"/>
    <x v="27"/>
    <x v="605"/>
    <x v="0"/>
    <x v="0"/>
    <x v="5"/>
    <x v="2"/>
    <x v="60"/>
    <x v="0"/>
    <x v="16"/>
    <x v="4"/>
    <x v="62"/>
  </r>
  <r>
    <x v="155"/>
    <x v="132"/>
    <x v="176"/>
    <x v="1"/>
    <x v="62"/>
    <x v="158"/>
    <x v="158"/>
    <x v="157"/>
    <x v="157"/>
    <x v="0"/>
    <x v="819"/>
    <x v="834"/>
    <x v="631"/>
    <x v="554"/>
    <x v="56"/>
    <x v="741"/>
    <x v="22"/>
    <x v="2"/>
    <x v="24"/>
    <x v="3"/>
    <x v="3"/>
    <x v="31"/>
    <x v="606"/>
    <x v="3"/>
    <x v="57"/>
    <x v="1"/>
    <x v="2"/>
    <x v="60"/>
    <x v="0"/>
    <x v="16"/>
    <x v="4"/>
    <x v="62"/>
  </r>
  <r>
    <x v="155"/>
    <x v="135"/>
    <x v="186"/>
    <x v="1"/>
    <x v="87"/>
    <x v="164"/>
    <x v="164"/>
    <x v="163"/>
    <x v="163"/>
    <x v="0"/>
    <x v="820"/>
    <x v="835"/>
    <x v="699"/>
    <x v="555"/>
    <x v="97"/>
    <x v="742"/>
    <x v="54"/>
    <x v="2"/>
    <x v="45"/>
    <x v="12"/>
    <x v="2"/>
    <x v="101"/>
    <x v="607"/>
    <x v="2"/>
    <x v="81"/>
    <x v="2"/>
    <x v="5"/>
    <x v="85"/>
    <x v="1"/>
    <x v="18"/>
    <x v="2"/>
    <x v="87"/>
  </r>
  <r>
    <x v="155"/>
    <x v="141"/>
    <x v="192"/>
    <x v="0"/>
    <x v="90"/>
    <x v="169"/>
    <x v="169"/>
    <x v="168"/>
    <x v="168"/>
    <x v="0"/>
    <x v="821"/>
    <x v="836"/>
    <x v="700"/>
    <x v="556"/>
    <x v="36"/>
    <x v="743"/>
    <x v="225"/>
    <x v="0"/>
    <x v="161"/>
    <x v="3"/>
    <x v="13"/>
    <x v="162"/>
    <x v="279"/>
    <x v="0"/>
    <x v="0"/>
    <x v="21"/>
    <x v="17"/>
    <x v="88"/>
    <x v="0"/>
    <x v="0"/>
    <x v="5"/>
    <x v="90"/>
  </r>
  <r>
    <x v="155"/>
    <x v="149"/>
    <x v="200"/>
    <x v="0"/>
    <x v="93"/>
    <x v="176"/>
    <x v="176"/>
    <x v="175"/>
    <x v="17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1"/>
    <x v="0"/>
    <x v="19"/>
    <x v="0"/>
    <x v="93"/>
  </r>
  <r>
    <x v="155"/>
    <x v="154"/>
    <x v="207"/>
    <x v="1"/>
    <x v="72"/>
    <x v="183"/>
    <x v="183"/>
    <x v="182"/>
    <x v="182"/>
    <x v="0"/>
    <x v="822"/>
    <x v="837"/>
    <x v="701"/>
    <x v="326"/>
    <x v="17"/>
    <x v="744"/>
    <x v="9"/>
    <x v="2"/>
    <x v="91"/>
    <x v="5"/>
    <x v="3"/>
    <x v="1"/>
    <x v="608"/>
    <x v="0"/>
    <x v="0"/>
    <x v="9"/>
    <x v="2"/>
    <x v="70"/>
    <x v="0"/>
    <x v="14"/>
    <x v="4"/>
    <x v="72"/>
  </r>
  <r>
    <x v="155"/>
    <x v="159"/>
    <x v="212"/>
    <x v="0"/>
    <x v="99"/>
    <x v="187"/>
    <x v="187"/>
    <x v="186"/>
    <x v="186"/>
    <x v="0"/>
    <x v="250"/>
    <x v="123"/>
    <x v="27"/>
    <x v="557"/>
    <x v="0"/>
    <x v="173"/>
    <x v="15"/>
    <x v="2"/>
    <x v="14"/>
    <x v="3"/>
    <x v="3"/>
    <x v="15"/>
    <x v="15"/>
    <x v="0"/>
    <x v="0"/>
    <x v="5"/>
    <x v="2"/>
    <x v="97"/>
    <x v="0"/>
    <x v="14"/>
    <x v="4"/>
    <x v="99"/>
  </r>
  <r>
    <x v="155"/>
    <x v="159"/>
    <x v="213"/>
    <x v="0"/>
    <x v="100"/>
    <x v="188"/>
    <x v="188"/>
    <x v="187"/>
    <x v="187"/>
    <x v="0"/>
    <x v="823"/>
    <x v="838"/>
    <x v="286"/>
    <x v="412"/>
    <x v="95"/>
    <x v="745"/>
    <x v="15"/>
    <x v="2"/>
    <x v="14"/>
    <x v="3"/>
    <x v="3"/>
    <x v="15"/>
    <x v="15"/>
    <x v="0"/>
    <x v="0"/>
    <x v="5"/>
    <x v="2"/>
    <x v="98"/>
    <x v="0"/>
    <x v="0"/>
    <x v="5"/>
    <x v="100"/>
  </r>
  <r>
    <x v="155"/>
    <x v="159"/>
    <x v="214"/>
    <x v="0"/>
    <x v="101"/>
    <x v="189"/>
    <x v="189"/>
    <x v="188"/>
    <x v="188"/>
    <x v="0"/>
    <x v="824"/>
    <x v="839"/>
    <x v="702"/>
    <x v="558"/>
    <x v="50"/>
    <x v="746"/>
    <x v="104"/>
    <x v="3"/>
    <x v="142"/>
    <x v="17"/>
    <x v="4"/>
    <x v="306"/>
    <x v="609"/>
    <x v="0"/>
    <x v="0"/>
    <x v="12"/>
    <x v="5"/>
    <x v="99"/>
    <x v="1"/>
    <x v="3"/>
    <x v="2"/>
    <x v="101"/>
  </r>
  <r>
    <x v="155"/>
    <x v="161"/>
    <x v="216"/>
    <x v="0"/>
    <x v="103"/>
    <x v="190"/>
    <x v="190"/>
    <x v="189"/>
    <x v="189"/>
    <x v="0"/>
    <x v="825"/>
    <x v="840"/>
    <x v="703"/>
    <x v="447"/>
    <x v="72"/>
    <x v="747"/>
    <x v="28"/>
    <x v="2"/>
    <x v="30"/>
    <x v="4"/>
    <x v="3"/>
    <x v="33"/>
    <x v="248"/>
    <x v="0"/>
    <x v="0"/>
    <x v="5"/>
    <x v="11"/>
    <x v="100"/>
    <x v="2"/>
    <x v="20"/>
    <x v="6"/>
    <x v="103"/>
  </r>
  <r>
    <x v="155"/>
    <x v="162"/>
    <x v="217"/>
    <x v="1"/>
    <x v="87"/>
    <x v="191"/>
    <x v="191"/>
    <x v="190"/>
    <x v="190"/>
    <x v="0"/>
    <x v="30"/>
    <x v="97"/>
    <x v="29"/>
    <x v="30"/>
    <x v="16"/>
    <x v="29"/>
    <x v="15"/>
    <x v="2"/>
    <x v="14"/>
    <x v="3"/>
    <x v="3"/>
    <x v="15"/>
    <x v="15"/>
    <x v="0"/>
    <x v="0"/>
    <x v="5"/>
    <x v="2"/>
    <x v="85"/>
    <x v="1"/>
    <x v="18"/>
    <x v="2"/>
    <x v="87"/>
  </r>
  <r>
    <x v="155"/>
    <x v="163"/>
    <x v="218"/>
    <x v="1"/>
    <x v="47"/>
    <x v="191"/>
    <x v="191"/>
    <x v="190"/>
    <x v="190"/>
    <x v="0"/>
    <x v="826"/>
    <x v="841"/>
    <x v="704"/>
    <x v="308"/>
    <x v="109"/>
    <x v="748"/>
    <x v="21"/>
    <x v="2"/>
    <x v="50"/>
    <x v="5"/>
    <x v="3"/>
    <x v="37"/>
    <x v="189"/>
    <x v="0"/>
    <x v="0"/>
    <x v="5"/>
    <x v="2"/>
    <x v="31"/>
    <x v="0"/>
    <x v="14"/>
    <x v="4"/>
    <x v="47"/>
  </r>
  <r>
    <x v="156"/>
    <x v="116"/>
    <x v="150"/>
    <x v="0"/>
    <x v="73"/>
    <x v="133"/>
    <x v="133"/>
    <x v="132"/>
    <x v="132"/>
    <x v="0"/>
    <x v="827"/>
    <x v="842"/>
    <x v="73"/>
    <x v="87"/>
    <x v="68"/>
    <x v="749"/>
    <x v="194"/>
    <x v="2"/>
    <x v="14"/>
    <x v="3"/>
    <x v="3"/>
    <x v="259"/>
    <x v="15"/>
    <x v="0"/>
    <x v="0"/>
    <x v="5"/>
    <x v="2"/>
    <x v="71"/>
    <x v="0"/>
    <x v="14"/>
    <x v="4"/>
    <x v="73"/>
  </r>
  <r>
    <x v="156"/>
    <x v="124"/>
    <x v="164"/>
    <x v="0"/>
    <x v="72"/>
    <x v="147"/>
    <x v="147"/>
    <x v="146"/>
    <x v="146"/>
    <x v="0"/>
    <x v="828"/>
    <x v="843"/>
    <x v="38"/>
    <x v="559"/>
    <x v="43"/>
    <x v="223"/>
    <x v="15"/>
    <x v="2"/>
    <x v="14"/>
    <x v="3"/>
    <x v="3"/>
    <x v="15"/>
    <x v="15"/>
    <x v="0"/>
    <x v="0"/>
    <x v="4"/>
    <x v="2"/>
    <x v="70"/>
    <x v="0"/>
    <x v="14"/>
    <x v="4"/>
    <x v="72"/>
  </r>
  <r>
    <x v="156"/>
    <x v="132"/>
    <x v="176"/>
    <x v="1"/>
    <x v="62"/>
    <x v="158"/>
    <x v="158"/>
    <x v="157"/>
    <x v="157"/>
    <x v="0"/>
    <x v="452"/>
    <x v="844"/>
    <x v="72"/>
    <x v="359"/>
    <x v="110"/>
    <x v="750"/>
    <x v="15"/>
    <x v="2"/>
    <x v="14"/>
    <x v="3"/>
    <x v="3"/>
    <x v="15"/>
    <x v="15"/>
    <x v="0"/>
    <x v="0"/>
    <x v="5"/>
    <x v="2"/>
    <x v="60"/>
    <x v="0"/>
    <x v="16"/>
    <x v="4"/>
    <x v="62"/>
  </r>
  <r>
    <x v="156"/>
    <x v="141"/>
    <x v="192"/>
    <x v="0"/>
    <x v="90"/>
    <x v="169"/>
    <x v="169"/>
    <x v="168"/>
    <x v="168"/>
    <x v="0"/>
    <x v="829"/>
    <x v="845"/>
    <x v="705"/>
    <x v="315"/>
    <x v="3"/>
    <x v="751"/>
    <x v="23"/>
    <x v="2"/>
    <x v="14"/>
    <x v="3"/>
    <x v="3"/>
    <x v="83"/>
    <x v="431"/>
    <x v="0"/>
    <x v="0"/>
    <x v="5"/>
    <x v="2"/>
    <x v="88"/>
    <x v="0"/>
    <x v="0"/>
    <x v="5"/>
    <x v="90"/>
  </r>
  <r>
    <x v="156"/>
    <x v="159"/>
    <x v="214"/>
    <x v="0"/>
    <x v="101"/>
    <x v="189"/>
    <x v="189"/>
    <x v="188"/>
    <x v="188"/>
    <x v="0"/>
    <x v="830"/>
    <x v="226"/>
    <x v="72"/>
    <x v="197"/>
    <x v="7"/>
    <x v="73"/>
    <x v="15"/>
    <x v="2"/>
    <x v="14"/>
    <x v="3"/>
    <x v="3"/>
    <x v="15"/>
    <x v="15"/>
    <x v="0"/>
    <x v="0"/>
    <x v="5"/>
    <x v="2"/>
    <x v="99"/>
    <x v="1"/>
    <x v="3"/>
    <x v="2"/>
    <x v="101"/>
  </r>
  <r>
    <x v="157"/>
    <x v="164"/>
    <x v="219"/>
    <x v="0"/>
    <x v="104"/>
    <x v="192"/>
    <x v="192"/>
    <x v="191"/>
    <x v="191"/>
    <x v="0"/>
    <x v="831"/>
    <x v="846"/>
    <x v="706"/>
    <x v="560"/>
    <x v="42"/>
    <x v="130"/>
    <x v="226"/>
    <x v="24"/>
    <x v="162"/>
    <x v="59"/>
    <x v="39"/>
    <x v="307"/>
    <x v="610"/>
    <x v="2"/>
    <x v="97"/>
    <x v="2"/>
    <x v="5"/>
    <x v="101"/>
    <x v="0"/>
    <x v="6"/>
    <x v="0"/>
    <x v="104"/>
  </r>
  <r>
    <x v="157"/>
    <x v="165"/>
    <x v="220"/>
    <x v="0"/>
    <x v="7"/>
    <x v="193"/>
    <x v="193"/>
    <x v="192"/>
    <x v="192"/>
    <x v="0"/>
    <x v="832"/>
    <x v="847"/>
    <x v="707"/>
    <x v="229"/>
    <x v="111"/>
    <x v="752"/>
    <x v="225"/>
    <x v="10"/>
    <x v="163"/>
    <x v="2"/>
    <x v="40"/>
    <x v="308"/>
    <x v="611"/>
    <x v="1"/>
    <x v="98"/>
    <x v="4"/>
    <x v="11"/>
    <x v="7"/>
    <x v="0"/>
    <x v="6"/>
    <x v="0"/>
    <x v="7"/>
  </r>
  <r>
    <x v="157"/>
    <x v="166"/>
    <x v="221"/>
    <x v="0"/>
    <x v="105"/>
    <x v="194"/>
    <x v="194"/>
    <x v="193"/>
    <x v="193"/>
    <x v="0"/>
    <x v="833"/>
    <x v="848"/>
    <x v="708"/>
    <x v="508"/>
    <x v="110"/>
    <x v="753"/>
    <x v="227"/>
    <x v="0"/>
    <x v="164"/>
    <x v="32"/>
    <x v="30"/>
    <x v="309"/>
    <x v="612"/>
    <x v="13"/>
    <x v="99"/>
    <x v="1"/>
    <x v="12"/>
    <x v="102"/>
    <x v="0"/>
    <x v="16"/>
    <x v="0"/>
    <x v="105"/>
  </r>
  <r>
    <x v="157"/>
    <x v="167"/>
    <x v="222"/>
    <x v="0"/>
    <x v="106"/>
    <x v="195"/>
    <x v="195"/>
    <x v="194"/>
    <x v="194"/>
    <x v="0"/>
    <x v="834"/>
    <x v="849"/>
    <x v="709"/>
    <x v="561"/>
    <x v="80"/>
    <x v="754"/>
    <x v="228"/>
    <x v="7"/>
    <x v="123"/>
    <x v="1"/>
    <x v="12"/>
    <x v="310"/>
    <x v="613"/>
    <x v="14"/>
    <x v="100"/>
    <x v="7"/>
    <x v="6"/>
    <x v="103"/>
    <x v="0"/>
    <x v="6"/>
    <x v="0"/>
    <x v="106"/>
  </r>
  <r>
    <x v="157"/>
    <x v="168"/>
    <x v="223"/>
    <x v="0"/>
    <x v="107"/>
    <x v="196"/>
    <x v="196"/>
    <x v="195"/>
    <x v="195"/>
    <x v="0"/>
    <x v="835"/>
    <x v="850"/>
    <x v="710"/>
    <x v="562"/>
    <x v="14"/>
    <x v="755"/>
    <x v="229"/>
    <x v="0"/>
    <x v="165"/>
    <x v="60"/>
    <x v="6"/>
    <x v="311"/>
    <x v="427"/>
    <x v="18"/>
    <x v="101"/>
    <x v="10"/>
    <x v="10"/>
    <x v="104"/>
    <x v="1"/>
    <x v="21"/>
    <x v="2"/>
    <x v="107"/>
  </r>
  <r>
    <x v="157"/>
    <x v="169"/>
    <x v="224"/>
    <x v="0"/>
    <x v="108"/>
    <x v="197"/>
    <x v="197"/>
    <x v="196"/>
    <x v="196"/>
    <x v="0"/>
    <x v="836"/>
    <x v="851"/>
    <x v="711"/>
    <x v="563"/>
    <x v="28"/>
    <x v="183"/>
    <x v="230"/>
    <x v="25"/>
    <x v="166"/>
    <x v="46"/>
    <x v="41"/>
    <x v="312"/>
    <x v="614"/>
    <x v="16"/>
    <x v="102"/>
    <x v="12"/>
    <x v="13"/>
    <x v="105"/>
    <x v="1"/>
    <x v="3"/>
    <x v="2"/>
    <x v="108"/>
  </r>
  <r>
    <x v="157"/>
    <x v="170"/>
    <x v="225"/>
    <x v="0"/>
    <x v="109"/>
    <x v="198"/>
    <x v="198"/>
    <x v="197"/>
    <x v="197"/>
    <x v="0"/>
    <x v="837"/>
    <x v="852"/>
    <x v="712"/>
    <x v="564"/>
    <x v="5"/>
    <x v="56"/>
    <x v="231"/>
    <x v="12"/>
    <x v="60"/>
    <x v="61"/>
    <x v="42"/>
    <x v="313"/>
    <x v="615"/>
    <x v="3"/>
    <x v="103"/>
    <x v="11"/>
    <x v="3"/>
    <x v="106"/>
    <x v="1"/>
    <x v="3"/>
    <x v="2"/>
    <x v="109"/>
  </r>
  <r>
    <x v="157"/>
    <x v="171"/>
    <x v="226"/>
    <x v="0"/>
    <x v="110"/>
    <x v="199"/>
    <x v="199"/>
    <x v="198"/>
    <x v="198"/>
    <x v="0"/>
    <x v="838"/>
    <x v="853"/>
    <x v="713"/>
    <x v="484"/>
    <x v="60"/>
    <x v="234"/>
    <x v="40"/>
    <x v="3"/>
    <x v="1"/>
    <x v="17"/>
    <x v="0"/>
    <x v="131"/>
    <x v="616"/>
    <x v="27"/>
    <x v="104"/>
    <x v="3"/>
    <x v="1"/>
    <x v="107"/>
    <x v="1"/>
    <x v="3"/>
    <x v="2"/>
    <x v="110"/>
  </r>
  <r>
    <x v="157"/>
    <x v="172"/>
    <x v="227"/>
    <x v="0"/>
    <x v="111"/>
    <x v="200"/>
    <x v="200"/>
    <x v="199"/>
    <x v="199"/>
    <x v="0"/>
    <x v="839"/>
    <x v="854"/>
    <x v="714"/>
    <x v="565"/>
    <x v="5"/>
    <x v="756"/>
    <x v="232"/>
    <x v="26"/>
    <x v="167"/>
    <x v="34"/>
    <x v="43"/>
    <x v="314"/>
    <x v="210"/>
    <x v="5"/>
    <x v="105"/>
    <x v="9"/>
    <x v="8"/>
    <x v="108"/>
    <x v="0"/>
    <x v="6"/>
    <x v="0"/>
    <x v="111"/>
  </r>
  <r>
    <x v="157"/>
    <x v="173"/>
    <x v="228"/>
    <x v="0"/>
    <x v="112"/>
    <x v="201"/>
    <x v="201"/>
    <x v="200"/>
    <x v="200"/>
    <x v="0"/>
    <x v="840"/>
    <x v="855"/>
    <x v="715"/>
    <x v="234"/>
    <x v="12"/>
    <x v="757"/>
    <x v="152"/>
    <x v="2"/>
    <x v="9"/>
    <x v="51"/>
    <x v="4"/>
    <x v="25"/>
    <x v="617"/>
    <x v="4"/>
    <x v="106"/>
    <x v="39"/>
    <x v="26"/>
    <x v="109"/>
    <x v="1"/>
    <x v="21"/>
    <x v="2"/>
    <x v="112"/>
  </r>
  <r>
    <x v="157"/>
    <x v="174"/>
    <x v="229"/>
    <x v="0"/>
    <x v="113"/>
    <x v="202"/>
    <x v="202"/>
    <x v="201"/>
    <x v="201"/>
    <x v="0"/>
    <x v="841"/>
    <x v="856"/>
    <x v="716"/>
    <x v="566"/>
    <x v="66"/>
    <x v="758"/>
    <x v="14"/>
    <x v="2"/>
    <x v="22"/>
    <x v="3"/>
    <x v="3"/>
    <x v="285"/>
    <x v="618"/>
    <x v="15"/>
    <x v="107"/>
    <x v="0"/>
    <x v="9"/>
    <x v="110"/>
    <x v="0"/>
    <x v="6"/>
    <x v="0"/>
    <x v="113"/>
  </r>
  <r>
    <x v="157"/>
    <x v="175"/>
    <x v="230"/>
    <x v="0"/>
    <x v="9"/>
    <x v="203"/>
    <x v="203"/>
    <x v="202"/>
    <x v="202"/>
    <x v="0"/>
    <x v="842"/>
    <x v="857"/>
    <x v="717"/>
    <x v="567"/>
    <x v="9"/>
    <x v="759"/>
    <x v="233"/>
    <x v="5"/>
    <x v="158"/>
    <x v="18"/>
    <x v="0"/>
    <x v="315"/>
    <x v="18"/>
    <x v="8"/>
    <x v="108"/>
    <x v="8"/>
    <x v="23"/>
    <x v="9"/>
    <x v="1"/>
    <x v="3"/>
    <x v="2"/>
    <x v="9"/>
  </r>
  <r>
    <x v="157"/>
    <x v="176"/>
    <x v="231"/>
    <x v="0"/>
    <x v="114"/>
    <x v="204"/>
    <x v="204"/>
    <x v="203"/>
    <x v="203"/>
    <x v="0"/>
    <x v="843"/>
    <x v="858"/>
    <x v="718"/>
    <x v="568"/>
    <x v="112"/>
    <x v="760"/>
    <x v="234"/>
    <x v="11"/>
    <x v="12"/>
    <x v="48"/>
    <x v="24"/>
    <x v="316"/>
    <x v="265"/>
    <x v="38"/>
    <x v="109"/>
    <x v="14"/>
    <x v="30"/>
    <x v="111"/>
    <x v="0"/>
    <x v="6"/>
    <x v="0"/>
    <x v="114"/>
  </r>
  <r>
    <x v="157"/>
    <x v="177"/>
    <x v="232"/>
    <x v="0"/>
    <x v="17"/>
    <x v="205"/>
    <x v="205"/>
    <x v="204"/>
    <x v="204"/>
    <x v="0"/>
    <x v="844"/>
    <x v="859"/>
    <x v="719"/>
    <x v="569"/>
    <x v="32"/>
    <x v="139"/>
    <x v="217"/>
    <x v="1"/>
    <x v="72"/>
    <x v="10"/>
    <x v="23"/>
    <x v="63"/>
    <x v="619"/>
    <x v="20"/>
    <x v="110"/>
    <x v="23"/>
    <x v="28"/>
    <x v="17"/>
    <x v="0"/>
    <x v="0"/>
    <x v="0"/>
    <x v="17"/>
  </r>
  <r>
    <x v="157"/>
    <x v="178"/>
    <x v="233"/>
    <x v="0"/>
    <x v="115"/>
    <x v="206"/>
    <x v="206"/>
    <x v="205"/>
    <x v="205"/>
    <x v="0"/>
    <x v="845"/>
    <x v="860"/>
    <x v="720"/>
    <x v="570"/>
    <x v="51"/>
    <x v="108"/>
    <x v="144"/>
    <x v="0"/>
    <x v="168"/>
    <x v="62"/>
    <x v="0"/>
    <x v="317"/>
    <x v="261"/>
    <x v="39"/>
    <x v="111"/>
    <x v="13"/>
    <x v="25"/>
    <x v="112"/>
    <x v="0"/>
    <x v="6"/>
    <x v="0"/>
    <x v="115"/>
  </r>
  <r>
    <x v="157"/>
    <x v="179"/>
    <x v="234"/>
    <x v="0"/>
    <x v="116"/>
    <x v="207"/>
    <x v="207"/>
    <x v="206"/>
    <x v="206"/>
    <x v="0"/>
    <x v="846"/>
    <x v="861"/>
    <x v="721"/>
    <x v="571"/>
    <x v="9"/>
    <x v="761"/>
    <x v="76"/>
    <x v="2"/>
    <x v="39"/>
    <x v="26"/>
    <x v="0"/>
    <x v="16"/>
    <x v="298"/>
    <x v="23"/>
    <x v="112"/>
    <x v="24"/>
    <x v="31"/>
    <x v="113"/>
    <x v="1"/>
    <x v="3"/>
    <x v="2"/>
    <x v="116"/>
  </r>
  <r>
    <x v="158"/>
    <x v="161"/>
    <x v="235"/>
    <x v="0"/>
    <x v="103"/>
    <x v="208"/>
    <x v="208"/>
    <x v="207"/>
    <x v="207"/>
    <x v="0"/>
    <x v="847"/>
    <x v="862"/>
    <x v="116"/>
    <x v="572"/>
    <x v="10"/>
    <x v="762"/>
    <x v="235"/>
    <x v="2"/>
    <x v="169"/>
    <x v="12"/>
    <x v="2"/>
    <x v="318"/>
    <x v="95"/>
    <x v="0"/>
    <x v="0"/>
    <x v="10"/>
    <x v="26"/>
    <x v="100"/>
    <x v="2"/>
    <x v="20"/>
    <x v="6"/>
    <x v="103"/>
  </r>
  <r>
    <x v="158"/>
    <x v="180"/>
    <x v="236"/>
    <x v="0"/>
    <x v="117"/>
    <x v="209"/>
    <x v="209"/>
    <x v="208"/>
    <x v="208"/>
    <x v="0"/>
    <x v="848"/>
    <x v="863"/>
    <x v="722"/>
    <x v="573"/>
    <x v="37"/>
    <x v="763"/>
    <x v="215"/>
    <x v="1"/>
    <x v="170"/>
    <x v="1"/>
    <x v="4"/>
    <x v="319"/>
    <x v="152"/>
    <x v="0"/>
    <x v="0"/>
    <x v="2"/>
    <x v="3"/>
    <x v="114"/>
    <x v="0"/>
    <x v="14"/>
    <x v="4"/>
    <x v="117"/>
  </r>
  <r>
    <x v="159"/>
    <x v="161"/>
    <x v="235"/>
    <x v="0"/>
    <x v="103"/>
    <x v="208"/>
    <x v="208"/>
    <x v="207"/>
    <x v="207"/>
    <x v="0"/>
    <x v="849"/>
    <x v="864"/>
    <x v="113"/>
    <x v="395"/>
    <x v="35"/>
    <x v="764"/>
    <x v="15"/>
    <x v="2"/>
    <x v="14"/>
    <x v="3"/>
    <x v="3"/>
    <x v="15"/>
    <x v="15"/>
    <x v="0"/>
    <x v="0"/>
    <x v="5"/>
    <x v="2"/>
    <x v="100"/>
    <x v="2"/>
    <x v="20"/>
    <x v="6"/>
    <x v="103"/>
  </r>
  <r>
    <x v="159"/>
    <x v="180"/>
    <x v="236"/>
    <x v="0"/>
    <x v="117"/>
    <x v="209"/>
    <x v="209"/>
    <x v="208"/>
    <x v="208"/>
    <x v="0"/>
    <x v="850"/>
    <x v="865"/>
    <x v="723"/>
    <x v="105"/>
    <x v="9"/>
    <x v="765"/>
    <x v="227"/>
    <x v="21"/>
    <x v="141"/>
    <x v="63"/>
    <x v="29"/>
    <x v="320"/>
    <x v="4"/>
    <x v="0"/>
    <x v="0"/>
    <x v="23"/>
    <x v="1"/>
    <x v="114"/>
    <x v="0"/>
    <x v="14"/>
    <x v="4"/>
    <x v="117"/>
  </r>
  <r>
    <x v="159"/>
    <x v="181"/>
    <x v="237"/>
    <x v="0"/>
    <x v="118"/>
    <x v="210"/>
    <x v="210"/>
    <x v="209"/>
    <x v="209"/>
    <x v="0"/>
    <x v="851"/>
    <x v="866"/>
    <x v="170"/>
    <x v="574"/>
    <x v="9"/>
    <x v="766"/>
    <x v="236"/>
    <x v="6"/>
    <x v="45"/>
    <x v="22"/>
    <x v="2"/>
    <x v="321"/>
    <x v="620"/>
    <x v="0"/>
    <x v="0"/>
    <x v="10"/>
    <x v="2"/>
    <x v="115"/>
    <x v="2"/>
    <x v="20"/>
    <x v="6"/>
    <x v="118"/>
  </r>
  <r>
    <x v="160"/>
    <x v="180"/>
    <x v="236"/>
    <x v="0"/>
    <x v="117"/>
    <x v="209"/>
    <x v="209"/>
    <x v="208"/>
    <x v="208"/>
    <x v="0"/>
    <x v="852"/>
    <x v="442"/>
    <x v="565"/>
    <x v="217"/>
    <x v="0"/>
    <x v="767"/>
    <x v="15"/>
    <x v="2"/>
    <x v="14"/>
    <x v="3"/>
    <x v="3"/>
    <x v="15"/>
    <x v="15"/>
    <x v="0"/>
    <x v="0"/>
    <x v="5"/>
    <x v="2"/>
    <x v="114"/>
    <x v="0"/>
    <x v="14"/>
    <x v="4"/>
    <x v="117"/>
  </r>
  <r>
    <x v="160"/>
    <x v="182"/>
    <x v="238"/>
    <x v="0"/>
    <x v="119"/>
    <x v="211"/>
    <x v="211"/>
    <x v="210"/>
    <x v="210"/>
    <x v="0"/>
    <x v="254"/>
    <x v="867"/>
    <x v="724"/>
    <x v="575"/>
    <x v="1"/>
    <x v="214"/>
    <x v="29"/>
    <x v="1"/>
    <x v="55"/>
    <x v="4"/>
    <x v="2"/>
    <x v="142"/>
    <x v="621"/>
    <x v="0"/>
    <x v="0"/>
    <x v="9"/>
    <x v="31"/>
    <x v="116"/>
    <x v="0"/>
    <x v="0"/>
    <x v="5"/>
    <x v="119"/>
  </r>
  <r>
    <x v="160"/>
    <x v="183"/>
    <x v="239"/>
    <x v="0"/>
    <x v="62"/>
    <x v="212"/>
    <x v="212"/>
    <x v="211"/>
    <x v="211"/>
    <x v="0"/>
    <x v="853"/>
    <x v="868"/>
    <x v="725"/>
    <x v="335"/>
    <x v="41"/>
    <x v="768"/>
    <x v="119"/>
    <x v="2"/>
    <x v="23"/>
    <x v="3"/>
    <x v="4"/>
    <x v="99"/>
    <x v="381"/>
    <x v="17"/>
    <x v="113"/>
    <x v="11"/>
    <x v="6"/>
    <x v="60"/>
    <x v="0"/>
    <x v="16"/>
    <x v="4"/>
    <x v="62"/>
  </r>
  <r>
    <x v="160"/>
    <x v="184"/>
    <x v="240"/>
    <x v="0"/>
    <x v="120"/>
    <x v="213"/>
    <x v="213"/>
    <x v="212"/>
    <x v="212"/>
    <x v="0"/>
    <x v="854"/>
    <x v="869"/>
    <x v="726"/>
    <x v="576"/>
    <x v="1"/>
    <x v="769"/>
    <x v="210"/>
    <x v="10"/>
    <x v="147"/>
    <x v="1"/>
    <x v="1"/>
    <x v="12"/>
    <x v="622"/>
    <x v="0"/>
    <x v="0"/>
    <x v="41"/>
    <x v="46"/>
    <x v="117"/>
    <x v="2"/>
    <x v="20"/>
    <x v="6"/>
    <x v="120"/>
  </r>
  <r>
    <x v="161"/>
    <x v="183"/>
    <x v="239"/>
    <x v="0"/>
    <x v="62"/>
    <x v="212"/>
    <x v="212"/>
    <x v="211"/>
    <x v="211"/>
    <x v="0"/>
    <x v="855"/>
    <x v="870"/>
    <x v="565"/>
    <x v="267"/>
    <x v="0"/>
    <x v="770"/>
    <x v="15"/>
    <x v="2"/>
    <x v="14"/>
    <x v="3"/>
    <x v="3"/>
    <x v="15"/>
    <x v="15"/>
    <x v="0"/>
    <x v="0"/>
    <x v="5"/>
    <x v="2"/>
    <x v="60"/>
    <x v="0"/>
    <x v="16"/>
    <x v="4"/>
    <x v="62"/>
  </r>
  <r>
    <x v="161"/>
    <x v="185"/>
    <x v="241"/>
    <x v="0"/>
    <x v="73"/>
    <x v="214"/>
    <x v="214"/>
    <x v="213"/>
    <x v="213"/>
    <x v="0"/>
    <x v="856"/>
    <x v="871"/>
    <x v="727"/>
    <x v="281"/>
    <x v="3"/>
    <x v="534"/>
    <x v="163"/>
    <x v="1"/>
    <x v="171"/>
    <x v="5"/>
    <x v="0"/>
    <x v="322"/>
    <x v="206"/>
    <x v="0"/>
    <x v="0"/>
    <x v="9"/>
    <x v="13"/>
    <x v="71"/>
    <x v="0"/>
    <x v="14"/>
    <x v="4"/>
    <x v="73"/>
  </r>
  <r>
    <x v="161"/>
    <x v="186"/>
    <x v="242"/>
    <x v="0"/>
    <x v="90"/>
    <x v="215"/>
    <x v="215"/>
    <x v="214"/>
    <x v="214"/>
    <x v="0"/>
    <x v="857"/>
    <x v="872"/>
    <x v="728"/>
    <x v="320"/>
    <x v="4"/>
    <x v="771"/>
    <x v="237"/>
    <x v="2"/>
    <x v="155"/>
    <x v="11"/>
    <x v="2"/>
    <x v="323"/>
    <x v="623"/>
    <x v="0"/>
    <x v="0"/>
    <x v="24"/>
    <x v="13"/>
    <x v="88"/>
    <x v="0"/>
    <x v="0"/>
    <x v="5"/>
    <x v="90"/>
  </r>
  <r>
    <x v="161"/>
    <x v="187"/>
    <x v="243"/>
    <x v="0"/>
    <x v="102"/>
    <x v="216"/>
    <x v="216"/>
    <x v="215"/>
    <x v="215"/>
    <x v="0"/>
    <x v="858"/>
    <x v="873"/>
    <x v="729"/>
    <x v="577"/>
    <x v="2"/>
    <x v="772"/>
    <x v="82"/>
    <x v="7"/>
    <x v="130"/>
    <x v="12"/>
    <x v="5"/>
    <x v="324"/>
    <x v="624"/>
    <x v="0"/>
    <x v="0"/>
    <x v="1"/>
    <x v="10"/>
    <x v="96"/>
    <x v="2"/>
    <x v="20"/>
    <x v="6"/>
    <x v="102"/>
  </r>
  <r>
    <x v="162"/>
    <x v="183"/>
    <x v="239"/>
    <x v="0"/>
    <x v="62"/>
    <x v="212"/>
    <x v="212"/>
    <x v="211"/>
    <x v="211"/>
    <x v="0"/>
    <x v="859"/>
    <x v="874"/>
    <x v="730"/>
    <x v="289"/>
    <x v="36"/>
    <x v="773"/>
    <x v="49"/>
    <x v="1"/>
    <x v="73"/>
    <x v="5"/>
    <x v="2"/>
    <x v="21"/>
    <x v="379"/>
    <x v="40"/>
    <x v="114"/>
    <x v="4"/>
    <x v="10"/>
    <x v="60"/>
    <x v="0"/>
    <x v="16"/>
    <x v="4"/>
    <x v="62"/>
  </r>
  <r>
    <x v="162"/>
    <x v="184"/>
    <x v="240"/>
    <x v="0"/>
    <x v="120"/>
    <x v="213"/>
    <x v="213"/>
    <x v="212"/>
    <x v="212"/>
    <x v="0"/>
    <x v="860"/>
    <x v="875"/>
    <x v="731"/>
    <x v="578"/>
    <x v="1"/>
    <x v="774"/>
    <x v="33"/>
    <x v="0"/>
    <x v="53"/>
    <x v="12"/>
    <x v="3"/>
    <x v="28"/>
    <x v="625"/>
    <x v="0"/>
    <x v="0"/>
    <x v="44"/>
    <x v="4"/>
    <x v="117"/>
    <x v="2"/>
    <x v="20"/>
    <x v="6"/>
    <x v="120"/>
  </r>
  <r>
    <x v="162"/>
    <x v="185"/>
    <x v="241"/>
    <x v="0"/>
    <x v="73"/>
    <x v="214"/>
    <x v="214"/>
    <x v="213"/>
    <x v="213"/>
    <x v="0"/>
    <x v="861"/>
    <x v="876"/>
    <x v="732"/>
    <x v="456"/>
    <x v="10"/>
    <x v="775"/>
    <x v="238"/>
    <x v="1"/>
    <x v="104"/>
    <x v="3"/>
    <x v="8"/>
    <x v="325"/>
    <x v="312"/>
    <x v="0"/>
    <x v="0"/>
    <x v="3"/>
    <x v="6"/>
    <x v="71"/>
    <x v="0"/>
    <x v="14"/>
    <x v="4"/>
    <x v="73"/>
  </r>
  <r>
    <x v="162"/>
    <x v="186"/>
    <x v="242"/>
    <x v="0"/>
    <x v="90"/>
    <x v="215"/>
    <x v="215"/>
    <x v="214"/>
    <x v="214"/>
    <x v="0"/>
    <x v="862"/>
    <x v="877"/>
    <x v="733"/>
    <x v="579"/>
    <x v="42"/>
    <x v="331"/>
    <x v="239"/>
    <x v="7"/>
    <x v="172"/>
    <x v="5"/>
    <x v="0"/>
    <x v="326"/>
    <x v="391"/>
    <x v="0"/>
    <x v="0"/>
    <x v="22"/>
    <x v="37"/>
    <x v="88"/>
    <x v="0"/>
    <x v="0"/>
    <x v="5"/>
    <x v="90"/>
  </r>
  <r>
    <x v="162"/>
    <x v="187"/>
    <x v="243"/>
    <x v="0"/>
    <x v="102"/>
    <x v="216"/>
    <x v="216"/>
    <x v="215"/>
    <x v="215"/>
    <x v="0"/>
    <x v="863"/>
    <x v="878"/>
    <x v="734"/>
    <x v="580"/>
    <x v="9"/>
    <x v="131"/>
    <x v="240"/>
    <x v="10"/>
    <x v="130"/>
    <x v="4"/>
    <x v="13"/>
    <x v="324"/>
    <x v="626"/>
    <x v="0"/>
    <x v="0"/>
    <x v="2"/>
    <x v="8"/>
    <x v="96"/>
    <x v="2"/>
    <x v="20"/>
    <x v="6"/>
    <x v="102"/>
  </r>
  <r>
    <x v="162"/>
    <x v="188"/>
    <x v="244"/>
    <x v="0"/>
    <x v="72"/>
    <x v="217"/>
    <x v="217"/>
    <x v="216"/>
    <x v="216"/>
    <x v="0"/>
    <x v="864"/>
    <x v="879"/>
    <x v="735"/>
    <x v="581"/>
    <x v="0"/>
    <x v="449"/>
    <x v="128"/>
    <x v="2"/>
    <x v="158"/>
    <x v="5"/>
    <x v="1"/>
    <x v="5"/>
    <x v="579"/>
    <x v="0"/>
    <x v="0"/>
    <x v="1"/>
    <x v="10"/>
    <x v="70"/>
    <x v="0"/>
    <x v="14"/>
    <x v="4"/>
    <x v="72"/>
  </r>
  <r>
    <x v="162"/>
    <x v="189"/>
    <x v="245"/>
    <x v="0"/>
    <x v="76"/>
    <x v="218"/>
    <x v="218"/>
    <x v="217"/>
    <x v="217"/>
    <x v="0"/>
    <x v="865"/>
    <x v="880"/>
    <x v="736"/>
    <x v="134"/>
    <x v="81"/>
    <x v="776"/>
    <x v="16"/>
    <x v="2"/>
    <x v="45"/>
    <x v="3"/>
    <x v="2"/>
    <x v="327"/>
    <x v="319"/>
    <x v="0"/>
    <x v="0"/>
    <x v="4"/>
    <x v="2"/>
    <x v="74"/>
    <x v="0"/>
    <x v="14"/>
    <x v="4"/>
    <x v="76"/>
  </r>
  <r>
    <x v="162"/>
    <x v="190"/>
    <x v="246"/>
    <x v="0"/>
    <x v="121"/>
    <x v="219"/>
    <x v="219"/>
    <x v="218"/>
    <x v="218"/>
    <x v="0"/>
    <x v="866"/>
    <x v="881"/>
    <x v="737"/>
    <x v="397"/>
    <x v="58"/>
    <x v="777"/>
    <x v="19"/>
    <x v="3"/>
    <x v="33"/>
    <x v="5"/>
    <x v="13"/>
    <x v="45"/>
    <x v="427"/>
    <x v="0"/>
    <x v="0"/>
    <x v="9"/>
    <x v="25"/>
    <x v="118"/>
    <x v="0"/>
    <x v="0"/>
    <x v="0"/>
    <x v="121"/>
  </r>
  <r>
    <x v="163"/>
    <x v="183"/>
    <x v="239"/>
    <x v="0"/>
    <x v="62"/>
    <x v="212"/>
    <x v="212"/>
    <x v="211"/>
    <x v="211"/>
    <x v="0"/>
    <x v="867"/>
    <x v="882"/>
    <x v="376"/>
    <x v="278"/>
    <x v="21"/>
    <x v="587"/>
    <x v="241"/>
    <x v="2"/>
    <x v="73"/>
    <x v="5"/>
    <x v="2"/>
    <x v="328"/>
    <x v="627"/>
    <x v="5"/>
    <x v="77"/>
    <x v="8"/>
    <x v="12"/>
    <x v="60"/>
    <x v="0"/>
    <x v="16"/>
    <x v="4"/>
    <x v="62"/>
  </r>
  <r>
    <x v="163"/>
    <x v="184"/>
    <x v="240"/>
    <x v="0"/>
    <x v="120"/>
    <x v="213"/>
    <x v="213"/>
    <x v="212"/>
    <x v="212"/>
    <x v="0"/>
    <x v="868"/>
    <x v="883"/>
    <x v="113"/>
    <x v="17"/>
    <x v="41"/>
    <x v="778"/>
    <x v="15"/>
    <x v="2"/>
    <x v="24"/>
    <x v="3"/>
    <x v="3"/>
    <x v="20"/>
    <x v="628"/>
    <x v="0"/>
    <x v="0"/>
    <x v="5"/>
    <x v="2"/>
    <x v="117"/>
    <x v="2"/>
    <x v="20"/>
    <x v="6"/>
    <x v="120"/>
  </r>
  <r>
    <x v="163"/>
    <x v="185"/>
    <x v="241"/>
    <x v="0"/>
    <x v="73"/>
    <x v="214"/>
    <x v="214"/>
    <x v="213"/>
    <x v="213"/>
    <x v="0"/>
    <x v="869"/>
    <x v="884"/>
    <x v="738"/>
    <x v="347"/>
    <x v="8"/>
    <x v="779"/>
    <x v="205"/>
    <x v="2"/>
    <x v="141"/>
    <x v="3"/>
    <x v="1"/>
    <x v="329"/>
    <x v="543"/>
    <x v="0"/>
    <x v="0"/>
    <x v="12"/>
    <x v="6"/>
    <x v="71"/>
    <x v="0"/>
    <x v="14"/>
    <x v="4"/>
    <x v="73"/>
  </r>
  <r>
    <x v="163"/>
    <x v="186"/>
    <x v="242"/>
    <x v="0"/>
    <x v="90"/>
    <x v="215"/>
    <x v="215"/>
    <x v="214"/>
    <x v="214"/>
    <x v="0"/>
    <x v="870"/>
    <x v="885"/>
    <x v="739"/>
    <x v="312"/>
    <x v="42"/>
    <x v="780"/>
    <x v="242"/>
    <x v="0"/>
    <x v="173"/>
    <x v="5"/>
    <x v="27"/>
    <x v="330"/>
    <x v="629"/>
    <x v="0"/>
    <x v="0"/>
    <x v="45"/>
    <x v="21"/>
    <x v="88"/>
    <x v="0"/>
    <x v="0"/>
    <x v="5"/>
    <x v="90"/>
  </r>
  <r>
    <x v="163"/>
    <x v="187"/>
    <x v="243"/>
    <x v="0"/>
    <x v="102"/>
    <x v="216"/>
    <x v="216"/>
    <x v="215"/>
    <x v="215"/>
    <x v="0"/>
    <x v="871"/>
    <x v="886"/>
    <x v="740"/>
    <x v="582"/>
    <x v="9"/>
    <x v="715"/>
    <x v="243"/>
    <x v="4"/>
    <x v="174"/>
    <x v="13"/>
    <x v="41"/>
    <x v="331"/>
    <x v="138"/>
    <x v="0"/>
    <x v="0"/>
    <x v="39"/>
    <x v="9"/>
    <x v="96"/>
    <x v="2"/>
    <x v="20"/>
    <x v="6"/>
    <x v="102"/>
  </r>
  <r>
    <x v="163"/>
    <x v="188"/>
    <x v="244"/>
    <x v="0"/>
    <x v="72"/>
    <x v="217"/>
    <x v="217"/>
    <x v="216"/>
    <x v="216"/>
    <x v="0"/>
    <x v="872"/>
    <x v="887"/>
    <x v="741"/>
    <x v="298"/>
    <x v="51"/>
    <x v="482"/>
    <x v="244"/>
    <x v="1"/>
    <x v="41"/>
    <x v="11"/>
    <x v="6"/>
    <x v="332"/>
    <x v="429"/>
    <x v="0"/>
    <x v="0"/>
    <x v="13"/>
    <x v="3"/>
    <x v="70"/>
    <x v="0"/>
    <x v="14"/>
    <x v="4"/>
    <x v="72"/>
  </r>
  <r>
    <x v="163"/>
    <x v="189"/>
    <x v="245"/>
    <x v="0"/>
    <x v="76"/>
    <x v="218"/>
    <x v="218"/>
    <x v="217"/>
    <x v="217"/>
    <x v="0"/>
    <x v="873"/>
    <x v="888"/>
    <x v="239"/>
    <x v="305"/>
    <x v="3"/>
    <x v="781"/>
    <x v="23"/>
    <x v="2"/>
    <x v="14"/>
    <x v="3"/>
    <x v="3"/>
    <x v="83"/>
    <x v="555"/>
    <x v="0"/>
    <x v="0"/>
    <x v="5"/>
    <x v="2"/>
    <x v="74"/>
    <x v="0"/>
    <x v="14"/>
    <x v="4"/>
    <x v="76"/>
  </r>
  <r>
    <x v="163"/>
    <x v="190"/>
    <x v="246"/>
    <x v="0"/>
    <x v="121"/>
    <x v="219"/>
    <x v="219"/>
    <x v="218"/>
    <x v="218"/>
    <x v="0"/>
    <x v="874"/>
    <x v="889"/>
    <x v="278"/>
    <x v="583"/>
    <x v="51"/>
    <x v="782"/>
    <x v="15"/>
    <x v="2"/>
    <x v="24"/>
    <x v="3"/>
    <x v="3"/>
    <x v="20"/>
    <x v="630"/>
    <x v="0"/>
    <x v="0"/>
    <x v="5"/>
    <x v="2"/>
    <x v="118"/>
    <x v="0"/>
    <x v="0"/>
    <x v="0"/>
    <x v="121"/>
  </r>
  <r>
    <x v="163"/>
    <x v="191"/>
    <x v="247"/>
    <x v="0"/>
    <x v="122"/>
    <x v="220"/>
    <x v="220"/>
    <x v="219"/>
    <x v="219"/>
    <x v="0"/>
    <x v="875"/>
    <x v="890"/>
    <x v="742"/>
    <x v="154"/>
    <x v="36"/>
    <x v="783"/>
    <x v="86"/>
    <x v="0"/>
    <x v="91"/>
    <x v="3"/>
    <x v="2"/>
    <x v="232"/>
    <x v="631"/>
    <x v="0"/>
    <x v="0"/>
    <x v="11"/>
    <x v="5"/>
    <x v="119"/>
    <x v="0"/>
    <x v="0"/>
    <x v="5"/>
    <x v="122"/>
  </r>
  <r>
    <x v="164"/>
    <x v="183"/>
    <x v="239"/>
    <x v="0"/>
    <x v="62"/>
    <x v="212"/>
    <x v="212"/>
    <x v="211"/>
    <x v="211"/>
    <x v="0"/>
    <x v="876"/>
    <x v="891"/>
    <x v="743"/>
    <x v="584"/>
    <x v="43"/>
    <x v="140"/>
    <x v="66"/>
    <x v="1"/>
    <x v="17"/>
    <x v="3"/>
    <x v="4"/>
    <x v="66"/>
    <x v="632"/>
    <x v="3"/>
    <x v="115"/>
    <x v="5"/>
    <x v="13"/>
    <x v="60"/>
    <x v="0"/>
    <x v="16"/>
    <x v="4"/>
    <x v="62"/>
  </r>
  <r>
    <x v="164"/>
    <x v="185"/>
    <x v="241"/>
    <x v="0"/>
    <x v="73"/>
    <x v="214"/>
    <x v="214"/>
    <x v="213"/>
    <x v="213"/>
    <x v="0"/>
    <x v="877"/>
    <x v="892"/>
    <x v="744"/>
    <x v="551"/>
    <x v="48"/>
    <x v="587"/>
    <x v="245"/>
    <x v="2"/>
    <x v="12"/>
    <x v="3"/>
    <x v="3"/>
    <x v="333"/>
    <x v="316"/>
    <x v="0"/>
    <x v="0"/>
    <x v="10"/>
    <x v="5"/>
    <x v="71"/>
    <x v="0"/>
    <x v="14"/>
    <x v="4"/>
    <x v="73"/>
  </r>
  <r>
    <x v="164"/>
    <x v="186"/>
    <x v="242"/>
    <x v="0"/>
    <x v="90"/>
    <x v="215"/>
    <x v="215"/>
    <x v="214"/>
    <x v="214"/>
    <x v="0"/>
    <x v="878"/>
    <x v="893"/>
    <x v="400"/>
    <x v="585"/>
    <x v="7"/>
    <x v="779"/>
    <x v="246"/>
    <x v="1"/>
    <x v="81"/>
    <x v="3"/>
    <x v="4"/>
    <x v="334"/>
    <x v="312"/>
    <x v="0"/>
    <x v="0"/>
    <x v="18"/>
    <x v="13"/>
    <x v="88"/>
    <x v="0"/>
    <x v="0"/>
    <x v="5"/>
    <x v="90"/>
  </r>
  <r>
    <x v="164"/>
    <x v="187"/>
    <x v="243"/>
    <x v="0"/>
    <x v="102"/>
    <x v="216"/>
    <x v="216"/>
    <x v="215"/>
    <x v="215"/>
    <x v="0"/>
    <x v="879"/>
    <x v="894"/>
    <x v="745"/>
    <x v="586"/>
    <x v="9"/>
    <x v="784"/>
    <x v="182"/>
    <x v="7"/>
    <x v="131"/>
    <x v="4"/>
    <x v="7"/>
    <x v="332"/>
    <x v="265"/>
    <x v="0"/>
    <x v="0"/>
    <x v="13"/>
    <x v="10"/>
    <x v="96"/>
    <x v="2"/>
    <x v="20"/>
    <x v="6"/>
    <x v="102"/>
  </r>
  <r>
    <x v="164"/>
    <x v="188"/>
    <x v="244"/>
    <x v="0"/>
    <x v="72"/>
    <x v="217"/>
    <x v="217"/>
    <x v="216"/>
    <x v="216"/>
    <x v="0"/>
    <x v="880"/>
    <x v="895"/>
    <x v="746"/>
    <x v="125"/>
    <x v="42"/>
    <x v="785"/>
    <x v="16"/>
    <x v="2"/>
    <x v="92"/>
    <x v="5"/>
    <x v="3"/>
    <x v="109"/>
    <x v="473"/>
    <x v="0"/>
    <x v="0"/>
    <x v="12"/>
    <x v="2"/>
    <x v="70"/>
    <x v="0"/>
    <x v="14"/>
    <x v="4"/>
    <x v="72"/>
  </r>
  <r>
    <x v="164"/>
    <x v="191"/>
    <x v="247"/>
    <x v="0"/>
    <x v="122"/>
    <x v="220"/>
    <x v="220"/>
    <x v="219"/>
    <x v="219"/>
    <x v="0"/>
    <x v="881"/>
    <x v="896"/>
    <x v="747"/>
    <x v="226"/>
    <x v="58"/>
    <x v="786"/>
    <x v="30"/>
    <x v="2"/>
    <x v="91"/>
    <x v="5"/>
    <x v="2"/>
    <x v="14"/>
    <x v="401"/>
    <x v="0"/>
    <x v="0"/>
    <x v="4"/>
    <x v="11"/>
    <x v="119"/>
    <x v="0"/>
    <x v="0"/>
    <x v="5"/>
    <x v="122"/>
  </r>
  <r>
    <x v="164"/>
    <x v="183"/>
    <x v="248"/>
    <x v="1"/>
    <x v="62"/>
    <x v="221"/>
    <x v="221"/>
    <x v="220"/>
    <x v="220"/>
    <x v="0"/>
    <x v="882"/>
    <x v="897"/>
    <x v="748"/>
    <x v="76"/>
    <x v="40"/>
    <x v="787"/>
    <x v="8"/>
    <x v="2"/>
    <x v="50"/>
    <x v="3"/>
    <x v="3"/>
    <x v="83"/>
    <x v="633"/>
    <x v="13"/>
    <x v="116"/>
    <x v="2"/>
    <x v="5"/>
    <x v="60"/>
    <x v="0"/>
    <x v="16"/>
    <x v="4"/>
    <x v="62"/>
  </r>
  <r>
    <x v="164"/>
    <x v="192"/>
    <x v="249"/>
    <x v="1"/>
    <x v="62"/>
    <x v="222"/>
    <x v="222"/>
    <x v="221"/>
    <x v="221"/>
    <x v="0"/>
    <x v="883"/>
    <x v="467"/>
    <x v="113"/>
    <x v="587"/>
    <x v="74"/>
    <x v="216"/>
    <x v="15"/>
    <x v="2"/>
    <x v="14"/>
    <x v="3"/>
    <x v="3"/>
    <x v="15"/>
    <x v="15"/>
    <x v="0"/>
    <x v="0"/>
    <x v="5"/>
    <x v="2"/>
    <x v="60"/>
    <x v="0"/>
    <x v="16"/>
    <x v="4"/>
    <x v="62"/>
  </r>
  <r>
    <x v="164"/>
    <x v="186"/>
    <x v="250"/>
    <x v="1"/>
    <x v="90"/>
    <x v="222"/>
    <x v="222"/>
    <x v="221"/>
    <x v="221"/>
    <x v="0"/>
    <x v="884"/>
    <x v="898"/>
    <x v="749"/>
    <x v="585"/>
    <x v="108"/>
    <x v="788"/>
    <x v="17"/>
    <x v="0"/>
    <x v="22"/>
    <x v="3"/>
    <x v="3"/>
    <x v="165"/>
    <x v="634"/>
    <x v="0"/>
    <x v="0"/>
    <x v="7"/>
    <x v="2"/>
    <x v="88"/>
    <x v="0"/>
    <x v="0"/>
    <x v="5"/>
    <x v="90"/>
  </r>
  <r>
    <x v="164"/>
    <x v="193"/>
    <x v="251"/>
    <x v="0"/>
    <x v="123"/>
    <x v="223"/>
    <x v="223"/>
    <x v="222"/>
    <x v="222"/>
    <x v="0"/>
    <x v="885"/>
    <x v="899"/>
    <x v="750"/>
    <x v="588"/>
    <x v="2"/>
    <x v="789"/>
    <x v="86"/>
    <x v="10"/>
    <x v="8"/>
    <x v="11"/>
    <x v="1"/>
    <x v="232"/>
    <x v="548"/>
    <x v="0"/>
    <x v="0"/>
    <x v="11"/>
    <x v="6"/>
    <x v="120"/>
    <x v="2"/>
    <x v="20"/>
    <x v="6"/>
    <x v="123"/>
  </r>
  <r>
    <x v="165"/>
    <x v="183"/>
    <x v="239"/>
    <x v="0"/>
    <x v="62"/>
    <x v="212"/>
    <x v="212"/>
    <x v="211"/>
    <x v="211"/>
    <x v="0"/>
    <x v="886"/>
    <x v="900"/>
    <x v="751"/>
    <x v="589"/>
    <x v="15"/>
    <x v="790"/>
    <x v="36"/>
    <x v="0"/>
    <x v="49"/>
    <x v="3"/>
    <x v="4"/>
    <x v="1"/>
    <x v="545"/>
    <x v="14"/>
    <x v="113"/>
    <x v="7"/>
    <x v="2"/>
    <x v="60"/>
    <x v="0"/>
    <x v="16"/>
    <x v="4"/>
    <x v="62"/>
  </r>
  <r>
    <x v="165"/>
    <x v="185"/>
    <x v="241"/>
    <x v="0"/>
    <x v="73"/>
    <x v="214"/>
    <x v="214"/>
    <x v="213"/>
    <x v="213"/>
    <x v="0"/>
    <x v="887"/>
    <x v="901"/>
    <x v="752"/>
    <x v="590"/>
    <x v="52"/>
    <x v="791"/>
    <x v="202"/>
    <x v="3"/>
    <x v="122"/>
    <x v="11"/>
    <x v="0"/>
    <x v="335"/>
    <x v="432"/>
    <x v="0"/>
    <x v="0"/>
    <x v="24"/>
    <x v="13"/>
    <x v="71"/>
    <x v="0"/>
    <x v="14"/>
    <x v="4"/>
    <x v="73"/>
  </r>
  <r>
    <x v="165"/>
    <x v="186"/>
    <x v="242"/>
    <x v="0"/>
    <x v="90"/>
    <x v="215"/>
    <x v="215"/>
    <x v="214"/>
    <x v="214"/>
    <x v="0"/>
    <x v="888"/>
    <x v="902"/>
    <x v="753"/>
    <x v="591"/>
    <x v="7"/>
    <x v="281"/>
    <x v="247"/>
    <x v="3"/>
    <x v="126"/>
    <x v="11"/>
    <x v="0"/>
    <x v="111"/>
    <x v="249"/>
    <x v="0"/>
    <x v="0"/>
    <x v="8"/>
    <x v="28"/>
    <x v="88"/>
    <x v="0"/>
    <x v="0"/>
    <x v="5"/>
    <x v="90"/>
  </r>
  <r>
    <x v="165"/>
    <x v="187"/>
    <x v="243"/>
    <x v="0"/>
    <x v="102"/>
    <x v="216"/>
    <x v="216"/>
    <x v="215"/>
    <x v="215"/>
    <x v="0"/>
    <x v="889"/>
    <x v="903"/>
    <x v="754"/>
    <x v="271"/>
    <x v="9"/>
    <x v="792"/>
    <x v="248"/>
    <x v="7"/>
    <x v="175"/>
    <x v="0"/>
    <x v="6"/>
    <x v="233"/>
    <x v="317"/>
    <x v="0"/>
    <x v="0"/>
    <x v="4"/>
    <x v="5"/>
    <x v="96"/>
    <x v="2"/>
    <x v="20"/>
    <x v="6"/>
    <x v="102"/>
  </r>
  <r>
    <x v="165"/>
    <x v="188"/>
    <x v="244"/>
    <x v="0"/>
    <x v="72"/>
    <x v="217"/>
    <x v="217"/>
    <x v="216"/>
    <x v="216"/>
    <x v="0"/>
    <x v="890"/>
    <x v="904"/>
    <x v="248"/>
    <x v="113"/>
    <x v="4"/>
    <x v="793"/>
    <x v="15"/>
    <x v="2"/>
    <x v="24"/>
    <x v="3"/>
    <x v="3"/>
    <x v="20"/>
    <x v="635"/>
    <x v="0"/>
    <x v="0"/>
    <x v="5"/>
    <x v="2"/>
    <x v="70"/>
    <x v="0"/>
    <x v="14"/>
    <x v="4"/>
    <x v="72"/>
  </r>
  <r>
    <x v="165"/>
    <x v="191"/>
    <x v="247"/>
    <x v="0"/>
    <x v="122"/>
    <x v="220"/>
    <x v="220"/>
    <x v="219"/>
    <x v="219"/>
    <x v="0"/>
    <x v="30"/>
    <x v="90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0"/>
    <x v="5"/>
    <x v="122"/>
  </r>
  <r>
    <x v="165"/>
    <x v="183"/>
    <x v="248"/>
    <x v="1"/>
    <x v="62"/>
    <x v="221"/>
    <x v="221"/>
    <x v="223"/>
    <x v="220"/>
    <x v="0"/>
    <x v="891"/>
    <x v="906"/>
    <x v="755"/>
    <x v="592"/>
    <x v="33"/>
    <x v="794"/>
    <x v="8"/>
    <x v="2"/>
    <x v="14"/>
    <x v="3"/>
    <x v="3"/>
    <x v="27"/>
    <x v="636"/>
    <x v="0"/>
    <x v="0"/>
    <x v="1"/>
    <x v="2"/>
    <x v="60"/>
    <x v="0"/>
    <x v="16"/>
    <x v="4"/>
    <x v="62"/>
  </r>
  <r>
    <x v="165"/>
    <x v="186"/>
    <x v="250"/>
    <x v="1"/>
    <x v="90"/>
    <x v="222"/>
    <x v="222"/>
    <x v="224"/>
    <x v="221"/>
    <x v="0"/>
    <x v="892"/>
    <x v="907"/>
    <x v="756"/>
    <x v="187"/>
    <x v="98"/>
    <x v="795"/>
    <x v="23"/>
    <x v="2"/>
    <x v="50"/>
    <x v="3"/>
    <x v="3"/>
    <x v="93"/>
    <x v="637"/>
    <x v="0"/>
    <x v="0"/>
    <x v="2"/>
    <x v="11"/>
    <x v="88"/>
    <x v="0"/>
    <x v="0"/>
    <x v="5"/>
    <x v="90"/>
  </r>
  <r>
    <x v="165"/>
    <x v="193"/>
    <x v="251"/>
    <x v="0"/>
    <x v="123"/>
    <x v="223"/>
    <x v="223"/>
    <x v="222"/>
    <x v="222"/>
    <x v="0"/>
    <x v="893"/>
    <x v="908"/>
    <x v="113"/>
    <x v="335"/>
    <x v="13"/>
    <x v="796"/>
    <x v="15"/>
    <x v="2"/>
    <x v="14"/>
    <x v="3"/>
    <x v="3"/>
    <x v="15"/>
    <x v="15"/>
    <x v="0"/>
    <x v="0"/>
    <x v="5"/>
    <x v="2"/>
    <x v="120"/>
    <x v="2"/>
    <x v="20"/>
    <x v="6"/>
    <x v="123"/>
  </r>
  <r>
    <x v="165"/>
    <x v="194"/>
    <x v="252"/>
    <x v="0"/>
    <x v="124"/>
    <x v="224"/>
    <x v="224"/>
    <x v="225"/>
    <x v="223"/>
    <x v="0"/>
    <x v="894"/>
    <x v="909"/>
    <x v="757"/>
    <x v="521"/>
    <x v="14"/>
    <x v="797"/>
    <x v="185"/>
    <x v="1"/>
    <x v="49"/>
    <x v="3"/>
    <x v="2"/>
    <x v="1"/>
    <x v="157"/>
    <x v="0"/>
    <x v="0"/>
    <x v="2"/>
    <x v="2"/>
    <x v="121"/>
    <x v="0"/>
    <x v="0"/>
    <x v="5"/>
    <x v="124"/>
  </r>
  <r>
    <x v="166"/>
    <x v="78"/>
    <x v="91"/>
    <x v="0"/>
    <x v="47"/>
    <x v="79"/>
    <x v="79"/>
    <x v="78"/>
    <x v="7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31"/>
    <x v="0"/>
    <x v="14"/>
    <x v="4"/>
    <x v="47"/>
  </r>
  <r>
    <x v="166"/>
    <x v="94"/>
    <x v="118"/>
    <x v="0"/>
    <x v="63"/>
    <x v="104"/>
    <x v="104"/>
    <x v="103"/>
    <x v="10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1"/>
    <x v="0"/>
    <x v="14"/>
    <x v="4"/>
    <x v="63"/>
  </r>
  <r>
    <x v="166"/>
    <x v="182"/>
    <x v="238"/>
    <x v="0"/>
    <x v="119"/>
    <x v="211"/>
    <x v="211"/>
    <x v="210"/>
    <x v="21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6"/>
    <x v="0"/>
    <x v="0"/>
    <x v="5"/>
    <x v="119"/>
  </r>
  <r>
    <x v="166"/>
    <x v="183"/>
    <x v="239"/>
    <x v="0"/>
    <x v="62"/>
    <x v="212"/>
    <x v="212"/>
    <x v="211"/>
    <x v="211"/>
    <x v="0"/>
    <x v="895"/>
    <x v="779"/>
    <x v="27"/>
    <x v="150"/>
    <x v="48"/>
    <x v="425"/>
    <x v="15"/>
    <x v="2"/>
    <x v="14"/>
    <x v="3"/>
    <x v="3"/>
    <x v="15"/>
    <x v="15"/>
    <x v="0"/>
    <x v="0"/>
    <x v="5"/>
    <x v="2"/>
    <x v="60"/>
    <x v="0"/>
    <x v="16"/>
    <x v="4"/>
    <x v="62"/>
  </r>
  <r>
    <x v="166"/>
    <x v="185"/>
    <x v="241"/>
    <x v="0"/>
    <x v="73"/>
    <x v="214"/>
    <x v="214"/>
    <x v="213"/>
    <x v="213"/>
    <x v="0"/>
    <x v="896"/>
    <x v="910"/>
    <x v="758"/>
    <x v="272"/>
    <x v="74"/>
    <x v="798"/>
    <x v="58"/>
    <x v="2"/>
    <x v="71"/>
    <x v="3"/>
    <x v="1"/>
    <x v="214"/>
    <x v="292"/>
    <x v="0"/>
    <x v="0"/>
    <x v="0"/>
    <x v="6"/>
    <x v="71"/>
    <x v="0"/>
    <x v="14"/>
    <x v="4"/>
    <x v="73"/>
  </r>
  <r>
    <x v="166"/>
    <x v="186"/>
    <x v="242"/>
    <x v="0"/>
    <x v="90"/>
    <x v="215"/>
    <x v="215"/>
    <x v="214"/>
    <x v="214"/>
    <x v="0"/>
    <x v="897"/>
    <x v="911"/>
    <x v="759"/>
    <x v="593"/>
    <x v="7"/>
    <x v="799"/>
    <x v="249"/>
    <x v="1"/>
    <x v="176"/>
    <x v="3"/>
    <x v="4"/>
    <x v="336"/>
    <x v="397"/>
    <x v="0"/>
    <x v="0"/>
    <x v="28"/>
    <x v="23"/>
    <x v="88"/>
    <x v="0"/>
    <x v="0"/>
    <x v="5"/>
    <x v="90"/>
  </r>
  <r>
    <x v="166"/>
    <x v="187"/>
    <x v="243"/>
    <x v="0"/>
    <x v="102"/>
    <x v="216"/>
    <x v="216"/>
    <x v="215"/>
    <x v="215"/>
    <x v="0"/>
    <x v="898"/>
    <x v="912"/>
    <x v="577"/>
    <x v="594"/>
    <x v="5"/>
    <x v="800"/>
    <x v="107"/>
    <x v="0"/>
    <x v="12"/>
    <x v="5"/>
    <x v="8"/>
    <x v="142"/>
    <x v="95"/>
    <x v="0"/>
    <x v="0"/>
    <x v="2"/>
    <x v="5"/>
    <x v="96"/>
    <x v="2"/>
    <x v="20"/>
    <x v="6"/>
    <x v="102"/>
  </r>
  <r>
    <x v="166"/>
    <x v="190"/>
    <x v="246"/>
    <x v="0"/>
    <x v="121"/>
    <x v="219"/>
    <x v="219"/>
    <x v="218"/>
    <x v="21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8"/>
    <x v="0"/>
    <x v="0"/>
    <x v="0"/>
    <x v="121"/>
  </r>
  <r>
    <x v="166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0"/>
    <x v="5"/>
    <x v="122"/>
  </r>
  <r>
    <x v="166"/>
    <x v="183"/>
    <x v="248"/>
    <x v="1"/>
    <x v="62"/>
    <x v="221"/>
    <x v="221"/>
    <x v="223"/>
    <x v="220"/>
    <x v="0"/>
    <x v="899"/>
    <x v="913"/>
    <x v="760"/>
    <x v="595"/>
    <x v="44"/>
    <x v="801"/>
    <x v="23"/>
    <x v="2"/>
    <x v="24"/>
    <x v="3"/>
    <x v="2"/>
    <x v="93"/>
    <x v="638"/>
    <x v="13"/>
    <x v="115"/>
    <x v="2"/>
    <x v="5"/>
    <x v="60"/>
    <x v="0"/>
    <x v="16"/>
    <x v="4"/>
    <x v="62"/>
  </r>
  <r>
    <x v="166"/>
    <x v="193"/>
    <x v="251"/>
    <x v="0"/>
    <x v="123"/>
    <x v="223"/>
    <x v="223"/>
    <x v="222"/>
    <x v="222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20"/>
    <x v="2"/>
    <x v="20"/>
    <x v="6"/>
    <x v="123"/>
  </r>
  <r>
    <x v="166"/>
    <x v="194"/>
    <x v="252"/>
    <x v="0"/>
    <x v="124"/>
    <x v="224"/>
    <x v="224"/>
    <x v="225"/>
    <x v="223"/>
    <x v="0"/>
    <x v="900"/>
    <x v="914"/>
    <x v="27"/>
    <x v="596"/>
    <x v="44"/>
    <x v="802"/>
    <x v="15"/>
    <x v="2"/>
    <x v="24"/>
    <x v="3"/>
    <x v="3"/>
    <x v="20"/>
    <x v="639"/>
    <x v="0"/>
    <x v="0"/>
    <x v="2"/>
    <x v="2"/>
    <x v="121"/>
    <x v="0"/>
    <x v="0"/>
    <x v="5"/>
    <x v="124"/>
  </r>
  <r>
    <x v="166"/>
    <x v="163"/>
    <x v="253"/>
    <x v="0"/>
    <x v="47"/>
    <x v="225"/>
    <x v="225"/>
    <x v="226"/>
    <x v="224"/>
    <x v="0"/>
    <x v="901"/>
    <x v="915"/>
    <x v="761"/>
    <x v="597"/>
    <x v="36"/>
    <x v="803"/>
    <x v="5"/>
    <x v="2"/>
    <x v="159"/>
    <x v="4"/>
    <x v="23"/>
    <x v="337"/>
    <x v="302"/>
    <x v="0"/>
    <x v="0"/>
    <x v="2"/>
    <x v="13"/>
    <x v="31"/>
    <x v="0"/>
    <x v="14"/>
    <x v="4"/>
    <x v="47"/>
  </r>
  <r>
    <x v="167"/>
    <x v="180"/>
    <x v="236"/>
    <x v="0"/>
    <x v="117"/>
    <x v="209"/>
    <x v="209"/>
    <x v="208"/>
    <x v="208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4"/>
    <x v="0"/>
    <x v="14"/>
    <x v="4"/>
    <x v="117"/>
  </r>
  <r>
    <x v="167"/>
    <x v="183"/>
    <x v="239"/>
    <x v="0"/>
    <x v="62"/>
    <x v="212"/>
    <x v="212"/>
    <x v="211"/>
    <x v="211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60"/>
    <x v="0"/>
    <x v="16"/>
    <x v="4"/>
    <x v="62"/>
  </r>
  <r>
    <x v="167"/>
    <x v="185"/>
    <x v="241"/>
    <x v="0"/>
    <x v="73"/>
    <x v="214"/>
    <x v="214"/>
    <x v="213"/>
    <x v="213"/>
    <x v="0"/>
    <x v="902"/>
    <x v="916"/>
    <x v="762"/>
    <x v="295"/>
    <x v="25"/>
    <x v="804"/>
    <x v="250"/>
    <x v="1"/>
    <x v="168"/>
    <x v="5"/>
    <x v="8"/>
    <x v="338"/>
    <x v="640"/>
    <x v="0"/>
    <x v="0"/>
    <x v="8"/>
    <x v="6"/>
    <x v="71"/>
    <x v="0"/>
    <x v="14"/>
    <x v="4"/>
    <x v="73"/>
  </r>
  <r>
    <x v="167"/>
    <x v="186"/>
    <x v="242"/>
    <x v="0"/>
    <x v="90"/>
    <x v="215"/>
    <x v="215"/>
    <x v="214"/>
    <x v="214"/>
    <x v="0"/>
    <x v="903"/>
    <x v="917"/>
    <x v="763"/>
    <x v="62"/>
    <x v="51"/>
    <x v="805"/>
    <x v="193"/>
    <x v="0"/>
    <x v="142"/>
    <x v="11"/>
    <x v="2"/>
    <x v="339"/>
    <x v="421"/>
    <x v="0"/>
    <x v="0"/>
    <x v="21"/>
    <x v="37"/>
    <x v="88"/>
    <x v="0"/>
    <x v="0"/>
    <x v="5"/>
    <x v="90"/>
  </r>
  <r>
    <x v="167"/>
    <x v="187"/>
    <x v="243"/>
    <x v="0"/>
    <x v="102"/>
    <x v="216"/>
    <x v="216"/>
    <x v="215"/>
    <x v="215"/>
    <x v="0"/>
    <x v="904"/>
    <x v="918"/>
    <x v="764"/>
    <x v="598"/>
    <x v="5"/>
    <x v="162"/>
    <x v="95"/>
    <x v="0"/>
    <x v="25"/>
    <x v="3"/>
    <x v="7"/>
    <x v="116"/>
    <x v="155"/>
    <x v="0"/>
    <x v="0"/>
    <x v="2"/>
    <x v="5"/>
    <x v="96"/>
    <x v="2"/>
    <x v="20"/>
    <x v="6"/>
    <x v="102"/>
  </r>
  <r>
    <x v="167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0"/>
    <x v="5"/>
    <x v="122"/>
  </r>
  <r>
    <x v="167"/>
    <x v="183"/>
    <x v="248"/>
    <x v="1"/>
    <x v="62"/>
    <x v="221"/>
    <x v="221"/>
    <x v="223"/>
    <x v="220"/>
    <x v="0"/>
    <x v="905"/>
    <x v="919"/>
    <x v="765"/>
    <x v="42"/>
    <x v="44"/>
    <x v="806"/>
    <x v="26"/>
    <x v="2"/>
    <x v="19"/>
    <x v="3"/>
    <x v="2"/>
    <x v="8"/>
    <x v="641"/>
    <x v="20"/>
    <x v="117"/>
    <x v="3"/>
    <x v="3"/>
    <x v="60"/>
    <x v="0"/>
    <x v="16"/>
    <x v="4"/>
    <x v="62"/>
  </r>
  <r>
    <x v="167"/>
    <x v="163"/>
    <x v="253"/>
    <x v="0"/>
    <x v="47"/>
    <x v="225"/>
    <x v="225"/>
    <x v="226"/>
    <x v="224"/>
    <x v="0"/>
    <x v="906"/>
    <x v="883"/>
    <x v="113"/>
    <x v="17"/>
    <x v="51"/>
    <x v="807"/>
    <x v="15"/>
    <x v="2"/>
    <x v="14"/>
    <x v="3"/>
    <x v="3"/>
    <x v="15"/>
    <x v="15"/>
    <x v="0"/>
    <x v="0"/>
    <x v="5"/>
    <x v="2"/>
    <x v="31"/>
    <x v="0"/>
    <x v="14"/>
    <x v="4"/>
    <x v="47"/>
  </r>
  <r>
    <x v="168"/>
    <x v="121"/>
    <x v="161"/>
    <x v="0"/>
    <x v="83"/>
    <x v="144"/>
    <x v="144"/>
    <x v="143"/>
    <x v="143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81"/>
    <x v="1"/>
    <x v="3"/>
    <x v="2"/>
    <x v="83"/>
  </r>
  <r>
    <x v="168"/>
    <x v="185"/>
    <x v="241"/>
    <x v="0"/>
    <x v="73"/>
    <x v="214"/>
    <x v="214"/>
    <x v="213"/>
    <x v="213"/>
    <x v="0"/>
    <x v="907"/>
    <x v="920"/>
    <x v="766"/>
    <x v="599"/>
    <x v="23"/>
    <x v="808"/>
    <x v="157"/>
    <x v="1"/>
    <x v="176"/>
    <x v="3"/>
    <x v="23"/>
    <x v="340"/>
    <x v="642"/>
    <x v="0"/>
    <x v="0"/>
    <x v="24"/>
    <x v="6"/>
    <x v="71"/>
    <x v="0"/>
    <x v="14"/>
    <x v="4"/>
    <x v="73"/>
  </r>
  <r>
    <x v="168"/>
    <x v="186"/>
    <x v="242"/>
    <x v="0"/>
    <x v="90"/>
    <x v="215"/>
    <x v="215"/>
    <x v="214"/>
    <x v="214"/>
    <x v="0"/>
    <x v="908"/>
    <x v="921"/>
    <x v="767"/>
    <x v="600"/>
    <x v="51"/>
    <x v="809"/>
    <x v="251"/>
    <x v="7"/>
    <x v="61"/>
    <x v="5"/>
    <x v="4"/>
    <x v="334"/>
    <x v="643"/>
    <x v="0"/>
    <x v="0"/>
    <x v="13"/>
    <x v="0"/>
    <x v="88"/>
    <x v="0"/>
    <x v="0"/>
    <x v="5"/>
    <x v="90"/>
  </r>
  <r>
    <x v="168"/>
    <x v="187"/>
    <x v="243"/>
    <x v="0"/>
    <x v="102"/>
    <x v="216"/>
    <x v="216"/>
    <x v="215"/>
    <x v="215"/>
    <x v="0"/>
    <x v="909"/>
    <x v="922"/>
    <x v="768"/>
    <x v="601"/>
    <x v="5"/>
    <x v="810"/>
    <x v="118"/>
    <x v="0"/>
    <x v="15"/>
    <x v="11"/>
    <x v="4"/>
    <x v="39"/>
    <x v="240"/>
    <x v="0"/>
    <x v="0"/>
    <x v="4"/>
    <x v="11"/>
    <x v="96"/>
    <x v="2"/>
    <x v="20"/>
    <x v="6"/>
    <x v="102"/>
  </r>
  <r>
    <x v="168"/>
    <x v="188"/>
    <x v="244"/>
    <x v="0"/>
    <x v="72"/>
    <x v="217"/>
    <x v="217"/>
    <x v="216"/>
    <x v="216"/>
    <x v="0"/>
    <x v="910"/>
    <x v="923"/>
    <x v="769"/>
    <x v="40"/>
    <x v="41"/>
    <x v="811"/>
    <x v="99"/>
    <x v="1"/>
    <x v="35"/>
    <x v="11"/>
    <x v="0"/>
    <x v="143"/>
    <x v="644"/>
    <x v="0"/>
    <x v="0"/>
    <x v="12"/>
    <x v="5"/>
    <x v="70"/>
    <x v="0"/>
    <x v="14"/>
    <x v="4"/>
    <x v="72"/>
  </r>
  <r>
    <x v="168"/>
    <x v="191"/>
    <x v="247"/>
    <x v="0"/>
    <x v="122"/>
    <x v="220"/>
    <x v="220"/>
    <x v="219"/>
    <x v="219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119"/>
    <x v="0"/>
    <x v="0"/>
    <x v="5"/>
    <x v="122"/>
  </r>
  <r>
    <x v="168"/>
    <x v="183"/>
    <x v="248"/>
    <x v="1"/>
    <x v="62"/>
    <x v="221"/>
    <x v="221"/>
    <x v="223"/>
    <x v="220"/>
    <x v="0"/>
    <x v="911"/>
    <x v="924"/>
    <x v="770"/>
    <x v="602"/>
    <x v="44"/>
    <x v="812"/>
    <x v="41"/>
    <x v="2"/>
    <x v="14"/>
    <x v="3"/>
    <x v="2"/>
    <x v="93"/>
    <x v="645"/>
    <x v="27"/>
    <x v="118"/>
    <x v="1"/>
    <x v="5"/>
    <x v="60"/>
    <x v="0"/>
    <x v="16"/>
    <x v="4"/>
    <x v="62"/>
  </r>
  <r>
    <x v="169"/>
    <x v="115"/>
    <x v="148"/>
    <x v="0"/>
    <x v="73"/>
    <x v="131"/>
    <x v="131"/>
    <x v="130"/>
    <x v="130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71"/>
    <x v="0"/>
    <x v="14"/>
    <x v="4"/>
    <x v="73"/>
  </r>
  <r>
    <x v="169"/>
    <x v="185"/>
    <x v="241"/>
    <x v="0"/>
    <x v="73"/>
    <x v="214"/>
    <x v="214"/>
    <x v="213"/>
    <x v="213"/>
    <x v="0"/>
    <x v="912"/>
    <x v="925"/>
    <x v="393"/>
    <x v="585"/>
    <x v="14"/>
    <x v="813"/>
    <x v="0"/>
    <x v="7"/>
    <x v="147"/>
    <x v="5"/>
    <x v="2"/>
    <x v="159"/>
    <x v="474"/>
    <x v="0"/>
    <x v="0"/>
    <x v="8"/>
    <x v="12"/>
    <x v="71"/>
    <x v="0"/>
    <x v="14"/>
    <x v="4"/>
    <x v="73"/>
  </r>
  <r>
    <x v="169"/>
    <x v="186"/>
    <x v="242"/>
    <x v="0"/>
    <x v="90"/>
    <x v="215"/>
    <x v="215"/>
    <x v="214"/>
    <x v="214"/>
    <x v="0"/>
    <x v="458"/>
    <x v="123"/>
    <x v="113"/>
    <x v="115"/>
    <x v="37"/>
    <x v="814"/>
    <x v="15"/>
    <x v="2"/>
    <x v="14"/>
    <x v="3"/>
    <x v="3"/>
    <x v="15"/>
    <x v="15"/>
    <x v="0"/>
    <x v="0"/>
    <x v="5"/>
    <x v="2"/>
    <x v="88"/>
    <x v="0"/>
    <x v="0"/>
    <x v="5"/>
    <x v="90"/>
  </r>
  <r>
    <x v="169"/>
    <x v="187"/>
    <x v="243"/>
    <x v="0"/>
    <x v="102"/>
    <x v="216"/>
    <x v="216"/>
    <x v="215"/>
    <x v="215"/>
    <x v="0"/>
    <x v="30"/>
    <x v="55"/>
    <x v="29"/>
    <x v="30"/>
    <x v="16"/>
    <x v="29"/>
    <x v="15"/>
    <x v="2"/>
    <x v="14"/>
    <x v="3"/>
    <x v="3"/>
    <x v="15"/>
    <x v="15"/>
    <x v="0"/>
    <x v="0"/>
    <x v="5"/>
    <x v="2"/>
    <x v="96"/>
    <x v="2"/>
    <x v="20"/>
    <x v="6"/>
    <x v="102"/>
  </r>
  <r>
    <x v="169"/>
    <x v="188"/>
    <x v="244"/>
    <x v="0"/>
    <x v="72"/>
    <x v="217"/>
    <x v="217"/>
    <x v="216"/>
    <x v="216"/>
    <x v="0"/>
    <x v="913"/>
    <x v="926"/>
    <x v="771"/>
    <x v="603"/>
    <x v="52"/>
    <x v="815"/>
    <x v="176"/>
    <x v="2"/>
    <x v="89"/>
    <x v="3"/>
    <x v="4"/>
    <x v="145"/>
    <x v="178"/>
    <x v="0"/>
    <x v="0"/>
    <x v="4"/>
    <x v="2"/>
    <x v="70"/>
    <x v="0"/>
    <x v="14"/>
    <x v="4"/>
    <x v="72"/>
  </r>
  <r>
    <x v="169"/>
    <x v="183"/>
    <x v="248"/>
    <x v="1"/>
    <x v="62"/>
    <x v="221"/>
    <x v="221"/>
    <x v="223"/>
    <x v="220"/>
    <x v="0"/>
    <x v="914"/>
    <x v="927"/>
    <x v="772"/>
    <x v="604"/>
    <x v="26"/>
    <x v="816"/>
    <x v="18"/>
    <x v="2"/>
    <x v="103"/>
    <x v="3"/>
    <x v="2"/>
    <x v="20"/>
    <x v="646"/>
    <x v="5"/>
    <x v="11"/>
    <x v="5"/>
    <x v="2"/>
    <x v="60"/>
    <x v="0"/>
    <x v="16"/>
    <x v="4"/>
    <x v="62"/>
  </r>
  <r>
    <x v="169"/>
    <x v="195"/>
    <x v="254"/>
    <x v="1"/>
    <x v="62"/>
    <x v="226"/>
    <x v="226"/>
    <x v="227"/>
    <x v="225"/>
    <x v="0"/>
    <x v="915"/>
    <x v="30"/>
    <x v="72"/>
    <x v="522"/>
    <x v="17"/>
    <x v="817"/>
    <x v="15"/>
    <x v="2"/>
    <x v="14"/>
    <x v="3"/>
    <x v="3"/>
    <x v="15"/>
    <x v="15"/>
    <x v="0"/>
    <x v="0"/>
    <x v="5"/>
    <x v="2"/>
    <x v="60"/>
    <x v="0"/>
    <x v="16"/>
    <x v="4"/>
    <x v="62"/>
  </r>
  <r>
    <x v="169"/>
    <x v="163"/>
    <x v="255"/>
    <x v="1"/>
    <x v="47"/>
    <x v="226"/>
    <x v="226"/>
    <x v="227"/>
    <x v="225"/>
    <x v="0"/>
    <x v="916"/>
    <x v="928"/>
    <x v="773"/>
    <x v="515"/>
    <x v="15"/>
    <x v="746"/>
    <x v="65"/>
    <x v="2"/>
    <x v="38"/>
    <x v="1"/>
    <x v="4"/>
    <x v="64"/>
    <x v="647"/>
    <x v="0"/>
    <x v="0"/>
    <x v="5"/>
    <x v="5"/>
    <x v="31"/>
    <x v="0"/>
    <x v="14"/>
    <x v="4"/>
    <x v="47"/>
  </r>
  <r>
    <x v="170"/>
    <x v="196"/>
    <x v="256"/>
    <x v="2"/>
    <x v="125"/>
    <x v="227"/>
    <x v="227"/>
    <x v="228"/>
    <x v="226"/>
    <x v="1"/>
    <x v="917"/>
    <x v="929"/>
    <x v="774"/>
    <x v="605"/>
    <x v="113"/>
    <x v="818"/>
    <x v="252"/>
    <x v="27"/>
    <x v="177"/>
    <x v="64"/>
    <x v="44"/>
    <x v="341"/>
    <x v="648"/>
    <x v="41"/>
    <x v="119"/>
    <x v="46"/>
    <x v="47"/>
    <x v="122"/>
    <x v="3"/>
    <x v="22"/>
    <x v="7"/>
    <x v="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compact="0" indent="0" outline="1" compactData="0" outlineData="1" showDrill="1" multipleFieldFilters="0">
  <location ref="A3:N175" firstHeaderRow="0" firstDataRow="1" firstDataCol="1"/>
  <pivotFields count="35">
    <pivotField axis="axisRow" compact="0" sortType="ascending" multipleItemSelectionAllowed="1" numFmtId="14" showAll="0">
      <items count="363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171"/>
        <item m="1" x="172"/>
        <item m="1" x="173"/>
        <item m="1" x="341"/>
        <item m="1" x="174"/>
        <item m="1" x="175"/>
        <item m="1" x="342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343"/>
        <item m="1" x="209"/>
        <item m="1" x="344"/>
        <item m="1" x="345"/>
        <item m="1" x="210"/>
        <item m="1" x="211"/>
        <item m="1" x="212"/>
        <item m="1" x="346"/>
        <item m="1" x="213"/>
        <item m="1" x="347"/>
        <item m="1" x="348"/>
        <item m="1" x="214"/>
        <item m="1" x="215"/>
        <item m="1" x="349"/>
        <item m="1" x="216"/>
        <item m="1" x="217"/>
        <item m="1" x="218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x="170"/>
        <item t="default"/>
      </items>
    </pivotField>
    <pivotField compact="0" showAll="0">
      <items count="198">
        <item x="196"/>
        <item x="69"/>
        <item x="93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9"/>
        <item x="20"/>
        <item x="128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9"/>
        <item x="21"/>
        <item x="82"/>
        <item x="169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3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dataField="1" compact="0" showAll="0">
      <items count="919">
        <item x="220"/>
        <item x="917"/>
        <item x="136"/>
        <item x="679"/>
        <item x="105"/>
        <item x="44"/>
        <item x="61"/>
        <item x="212"/>
        <item x="428"/>
        <item x="18"/>
        <item x="8"/>
        <item x="437"/>
        <item x="109"/>
        <item x="340"/>
        <item x="55"/>
        <item x="670"/>
        <item x="33"/>
        <item x="626"/>
        <item x="171"/>
        <item x="458"/>
        <item x="385"/>
        <item x="640"/>
        <item x="332"/>
        <item x="533"/>
        <item x="462"/>
        <item x="39"/>
        <item x="464"/>
        <item x="138"/>
        <item x="542"/>
        <item x="643"/>
        <item x="89"/>
        <item x="307"/>
        <item x="148"/>
        <item x="5"/>
        <item x="250"/>
        <item x="341"/>
        <item x="555"/>
        <item x="630"/>
        <item x="0"/>
        <item x="1"/>
        <item x="2"/>
        <item x="3"/>
        <item x="4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4"/>
        <item x="675"/>
        <item x="676"/>
        <item x="677"/>
        <item x="678"/>
        <item x="680"/>
        <item x="681"/>
        <item x="682"/>
        <item x="30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t="default"/>
      </items>
    </pivotField>
    <pivotField dataField="1" compact="0" showAll="0">
      <items count="931">
        <item x="467"/>
        <item x="226"/>
        <item x="96"/>
        <item x="78"/>
        <item x="558"/>
        <item x="929"/>
        <item x="141"/>
        <item x="304"/>
        <item x="75"/>
        <item x="257"/>
        <item x="303"/>
        <item x="459"/>
        <item x="555"/>
        <item x="353"/>
        <item x="24"/>
        <item x="294"/>
        <item x="292"/>
        <item x="559"/>
        <item x="540"/>
        <item x="701"/>
        <item x="179"/>
        <item x="594"/>
        <item x="343"/>
        <item x="460"/>
        <item x="584"/>
        <item x="305"/>
        <item x="123"/>
        <item x="412"/>
        <item x="527"/>
        <item x="513"/>
        <item x="589"/>
        <item x="702"/>
        <item x="334"/>
        <item x="264"/>
        <item x="37"/>
        <item x="693"/>
        <item x="85"/>
        <item x="93"/>
        <item x="171"/>
        <item x="70"/>
        <item x="263"/>
        <item x="357"/>
        <item x="117"/>
        <item x="383"/>
        <item x="443"/>
        <item x="516"/>
        <item x="571"/>
        <item x="484"/>
        <item x="377"/>
        <item x="19"/>
        <item x="439"/>
        <item x="20"/>
        <item x="198"/>
        <item x="674"/>
        <item x="4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5"/>
        <item x="26"/>
        <item x="27"/>
        <item x="28"/>
        <item x="29"/>
        <item x="31"/>
        <item x="32"/>
        <item x="33"/>
        <item x="34"/>
        <item x="35"/>
        <item x="36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3"/>
        <item x="74"/>
        <item x="76"/>
        <item x="77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0"/>
        <item x="351"/>
        <item x="352"/>
        <item x="354"/>
        <item x="355"/>
        <item x="356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63"/>
        <item x="464"/>
        <item x="465"/>
        <item x="466"/>
        <item x="468"/>
        <item x="469"/>
        <item x="470"/>
        <item x="471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1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4"/>
        <item x="695"/>
        <item x="696"/>
        <item x="697"/>
        <item x="698"/>
        <item x="699"/>
        <item x="700"/>
        <item x="55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30"/>
        <item x="40"/>
        <item x="63"/>
        <item x="79"/>
        <item x="156"/>
        <item x="237"/>
        <item x="333"/>
        <item x="473"/>
        <item x="515"/>
        <item x="592"/>
        <item x="636"/>
        <item x="685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t="default"/>
      </items>
    </pivotField>
    <pivotField dataField="1" compact="0" showAll="0">
      <items count="776">
        <item x="72"/>
        <item x="24"/>
        <item x="15"/>
        <item x="342"/>
        <item x="456"/>
        <item x="38"/>
        <item x="73"/>
        <item x="199"/>
        <item x="304"/>
        <item x="560"/>
        <item x="396"/>
        <item x="180"/>
        <item x="440"/>
        <item x="507"/>
        <item x="247"/>
        <item x="565"/>
        <item x="131"/>
        <item x="406"/>
        <item x="85"/>
        <item x="249"/>
        <item x="273"/>
        <item x="354"/>
        <item x="94"/>
        <item x="288"/>
        <item x="61"/>
        <item x="27"/>
        <item x="113"/>
        <item x="286"/>
        <item x="543"/>
        <item x="307"/>
        <item x="355"/>
        <item x="301"/>
        <item x="276"/>
        <item x="528"/>
        <item x="37"/>
        <item x="318"/>
        <item x="132"/>
        <item x="70"/>
        <item x="167"/>
        <item x="308"/>
        <item x="774"/>
        <item x="272"/>
        <item x="532"/>
        <item x="280"/>
        <item x="78"/>
        <item x="292"/>
        <item x="348"/>
        <item x="405"/>
        <item x="579"/>
        <item x="495"/>
        <item x="539"/>
        <item x="87"/>
        <item x="19"/>
        <item x="20"/>
        <item x="214"/>
        <item x="130"/>
        <item x="319"/>
        <item x="309"/>
        <item x="277"/>
        <item x="142"/>
        <item x="388"/>
        <item x="314"/>
        <item x="8"/>
        <item x="586"/>
        <item x="433"/>
        <item x="486"/>
        <item x="564"/>
        <item x="380"/>
        <item x="344"/>
        <item x="58"/>
        <item x="93"/>
        <item x="156"/>
        <item x="36"/>
        <item x="161"/>
        <item x="223"/>
        <item x="401"/>
        <item x="541"/>
        <item x="397"/>
        <item x="587"/>
        <item x="45"/>
        <item x="28"/>
        <item x="382"/>
        <item x="124"/>
        <item x="120"/>
        <item x="35"/>
        <item x="485"/>
        <item x="248"/>
        <item x="241"/>
        <item x="453"/>
        <item x="274"/>
        <item x="312"/>
        <item x="509"/>
        <item x="282"/>
        <item x="576"/>
        <item x="581"/>
        <item x="457"/>
        <item x="278"/>
        <item x="349"/>
        <item x="525"/>
        <item x="374"/>
        <item x="526"/>
        <item x="306"/>
        <item x="540"/>
        <item x="392"/>
        <item x="65"/>
        <item x="240"/>
        <item x="408"/>
        <item x="71"/>
        <item x="79"/>
        <item x="359"/>
        <item x="315"/>
        <item x="279"/>
        <item x="239"/>
        <item x="30"/>
        <item x="290"/>
        <item x="548"/>
        <item x="118"/>
        <item x="519"/>
        <item x="591"/>
        <item x="140"/>
        <item x="265"/>
        <item x="18"/>
        <item x="10"/>
        <item x="480"/>
        <item x="227"/>
        <item x="100"/>
        <item x="52"/>
        <item x="596"/>
        <item x="74"/>
        <item x="202"/>
        <item x="182"/>
        <item x="2"/>
        <item x="32"/>
        <item x="242"/>
        <item x="92"/>
        <item x="313"/>
        <item x="295"/>
        <item x="497"/>
        <item x="255"/>
        <item x="316"/>
        <item x="578"/>
        <item x="529"/>
        <item x="471"/>
        <item x="211"/>
        <item x="99"/>
        <item x="25"/>
        <item x="506"/>
        <item x="443"/>
        <item x="243"/>
        <item x="424"/>
        <item x="90"/>
        <item x="346"/>
        <item x="421"/>
        <item x="169"/>
        <item x="594"/>
        <item x="481"/>
        <item x="66"/>
        <item x="186"/>
        <item x="229"/>
        <item x="597"/>
        <item x="402"/>
        <item x="547"/>
        <item x="383"/>
        <item x="474"/>
        <item x="589"/>
        <item x="0"/>
        <item x="1"/>
        <item x="3"/>
        <item x="4"/>
        <item x="5"/>
        <item x="6"/>
        <item x="7"/>
        <item x="9"/>
        <item x="11"/>
        <item x="12"/>
        <item x="13"/>
        <item x="14"/>
        <item x="16"/>
        <item x="17"/>
        <item x="21"/>
        <item x="22"/>
        <item x="23"/>
        <item x="26"/>
        <item x="31"/>
        <item x="33"/>
        <item x="34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3"/>
        <item x="54"/>
        <item x="55"/>
        <item x="56"/>
        <item x="57"/>
        <item x="59"/>
        <item x="60"/>
        <item x="62"/>
        <item x="63"/>
        <item x="64"/>
        <item x="67"/>
        <item x="68"/>
        <item x="69"/>
        <item x="75"/>
        <item x="76"/>
        <item x="77"/>
        <item x="80"/>
        <item x="81"/>
        <item x="82"/>
        <item x="83"/>
        <item x="84"/>
        <item x="86"/>
        <item x="88"/>
        <item x="89"/>
        <item x="91"/>
        <item x="95"/>
        <item x="96"/>
        <item x="97"/>
        <item x="98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9"/>
        <item x="121"/>
        <item x="122"/>
        <item x="123"/>
        <item x="125"/>
        <item x="126"/>
        <item x="127"/>
        <item x="128"/>
        <item x="129"/>
        <item x="133"/>
        <item x="134"/>
        <item x="135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2"/>
        <item x="163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5"/>
        <item x="206"/>
        <item x="207"/>
        <item x="208"/>
        <item x="209"/>
        <item x="210"/>
        <item x="212"/>
        <item x="213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8"/>
        <item x="230"/>
        <item x="231"/>
        <item x="232"/>
        <item x="233"/>
        <item x="234"/>
        <item x="235"/>
        <item x="236"/>
        <item x="237"/>
        <item x="238"/>
        <item x="244"/>
        <item x="245"/>
        <item x="246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5"/>
        <item x="281"/>
        <item x="283"/>
        <item x="284"/>
        <item x="285"/>
        <item x="287"/>
        <item x="289"/>
        <item x="291"/>
        <item x="293"/>
        <item x="294"/>
        <item x="296"/>
        <item x="297"/>
        <item x="298"/>
        <item x="299"/>
        <item x="300"/>
        <item x="302"/>
        <item x="303"/>
        <item x="305"/>
        <item x="310"/>
        <item x="311"/>
        <item x="317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5"/>
        <item x="347"/>
        <item x="350"/>
        <item x="351"/>
        <item x="352"/>
        <item x="353"/>
        <item x="356"/>
        <item x="357"/>
        <item x="358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1"/>
        <item x="384"/>
        <item x="385"/>
        <item x="386"/>
        <item x="387"/>
        <item x="389"/>
        <item x="390"/>
        <item x="391"/>
        <item x="393"/>
        <item x="394"/>
        <item x="395"/>
        <item x="398"/>
        <item x="399"/>
        <item x="400"/>
        <item x="403"/>
        <item x="404"/>
        <item x="407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5"/>
        <item x="426"/>
        <item x="427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5"/>
        <item x="476"/>
        <item x="477"/>
        <item x="478"/>
        <item x="479"/>
        <item x="482"/>
        <item x="483"/>
        <item x="484"/>
        <item x="487"/>
        <item x="488"/>
        <item x="489"/>
        <item x="490"/>
        <item x="491"/>
        <item x="492"/>
        <item x="493"/>
        <item x="494"/>
        <item x="496"/>
        <item x="498"/>
        <item x="499"/>
        <item x="500"/>
        <item x="501"/>
        <item x="502"/>
        <item x="503"/>
        <item x="504"/>
        <item x="505"/>
        <item x="508"/>
        <item x="510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7"/>
        <item x="530"/>
        <item x="531"/>
        <item x="533"/>
        <item x="534"/>
        <item x="535"/>
        <item x="536"/>
        <item x="537"/>
        <item x="538"/>
        <item x="542"/>
        <item x="544"/>
        <item x="545"/>
        <item x="546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80"/>
        <item x="582"/>
        <item x="583"/>
        <item x="584"/>
        <item x="585"/>
        <item x="588"/>
        <item x="590"/>
        <item x="592"/>
        <item x="593"/>
        <item x="595"/>
        <item x="29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t="default"/>
      </items>
    </pivotField>
    <pivotField compact="0" numFmtId="10" showAll="0">
      <items count="607">
        <item x="476"/>
        <item x="85"/>
        <item x="227"/>
        <item x="318"/>
        <item x="406"/>
        <item x="437"/>
        <item x="316"/>
        <item x="454"/>
        <item x="381"/>
        <item x="152"/>
        <item x="449"/>
        <item x="453"/>
        <item x="210"/>
        <item x="160"/>
        <item x="321"/>
        <item x="335"/>
        <item x="398"/>
        <item x="291"/>
        <item x="341"/>
        <item x="361"/>
        <item x="402"/>
        <item x="416"/>
        <item x="423"/>
        <item x="442"/>
        <item x="359"/>
        <item x="282"/>
        <item x="450"/>
        <item x="331"/>
        <item x="244"/>
        <item x="10"/>
        <item x="451"/>
        <item x="153"/>
        <item x="360"/>
        <item x="211"/>
        <item x="459"/>
        <item x="285"/>
        <item x="605"/>
        <item x="393"/>
        <item x="363"/>
        <item x="395"/>
        <item x="209"/>
        <item x="205"/>
        <item x="323"/>
        <item x="161"/>
        <item x="198"/>
        <item x="334"/>
        <item x="199"/>
        <item x="78"/>
        <item x="191"/>
        <item x="352"/>
        <item x="445"/>
        <item x="158"/>
        <item x="372"/>
        <item x="123"/>
        <item x="302"/>
        <item x="457"/>
        <item x="444"/>
        <item x="167"/>
        <item x="480"/>
        <item x="267"/>
        <item x="309"/>
        <item x="412"/>
        <item x="96"/>
        <item x="222"/>
        <item x="168"/>
        <item x="23"/>
        <item x="145"/>
        <item x="438"/>
        <item x="113"/>
        <item x="278"/>
        <item x="464"/>
        <item x="409"/>
        <item x="344"/>
        <item x="87"/>
        <item x="154"/>
        <item x="364"/>
        <item x="146"/>
        <item x="410"/>
        <item x="232"/>
        <item x="299"/>
        <item x="223"/>
        <item x="252"/>
        <item x="385"/>
        <item x="280"/>
        <item x="77"/>
        <item x="4"/>
        <item x="208"/>
        <item x="329"/>
        <item x="137"/>
        <item x="119"/>
        <item x="306"/>
        <item x="384"/>
        <item x="234"/>
        <item x="376"/>
        <item x="108"/>
        <item x="411"/>
        <item x="460"/>
        <item x="415"/>
        <item x="8"/>
        <item x="374"/>
        <item x="202"/>
        <item x="266"/>
        <item x="224"/>
        <item x="324"/>
        <item x="102"/>
        <item x="29"/>
        <item x="297"/>
        <item x="294"/>
        <item x="304"/>
        <item x="347"/>
        <item x="377"/>
        <item x="225"/>
        <item x="394"/>
        <item x="390"/>
        <item x="268"/>
        <item x="357"/>
        <item x="213"/>
        <item x="313"/>
        <item x="254"/>
        <item x="434"/>
        <item x="474"/>
        <item x="351"/>
        <item x="162"/>
        <item x="311"/>
        <item x="429"/>
        <item x="174"/>
        <item x="28"/>
        <item x="84"/>
        <item x="314"/>
        <item x="414"/>
        <item x="420"/>
        <item x="290"/>
        <item x="433"/>
        <item x="413"/>
        <item x="301"/>
        <item x="286"/>
        <item x="260"/>
        <item x="289"/>
        <item x="369"/>
        <item x="404"/>
        <item x="447"/>
        <item x="264"/>
        <item x="82"/>
        <item x="274"/>
        <item x="367"/>
        <item x="452"/>
        <item x="265"/>
        <item x="219"/>
        <item x="9"/>
        <item x="446"/>
        <item x="386"/>
        <item x="320"/>
        <item x="462"/>
        <item x="484"/>
        <item x="233"/>
        <item x="159"/>
        <item x="330"/>
        <item x="349"/>
        <item x="458"/>
        <item x="203"/>
        <item x="440"/>
        <item x="391"/>
        <item x="72"/>
        <item x="370"/>
        <item x="46"/>
        <item x="308"/>
        <item x="269"/>
        <item x="109"/>
        <item x="2"/>
        <item x="270"/>
        <item x="216"/>
        <item x="277"/>
        <item x="456"/>
        <item x="263"/>
        <item x="401"/>
        <item x="475"/>
        <item x="187"/>
        <item x="383"/>
        <item x="317"/>
        <item x="238"/>
        <item x="112"/>
        <item x="65"/>
        <item x="443"/>
        <item x="195"/>
        <item x="284"/>
        <item x="439"/>
        <item x="240"/>
        <item x="422"/>
        <item x="365"/>
        <item x="295"/>
        <item x="24"/>
        <item x="149"/>
        <item x="343"/>
        <item x="380"/>
        <item x="140"/>
        <item x="192"/>
        <item x="188"/>
        <item x="408"/>
        <item x="134"/>
        <item x="298"/>
        <item x="197"/>
        <item x="325"/>
        <item x="427"/>
        <item x="25"/>
        <item x="418"/>
        <item x="292"/>
        <item x="346"/>
        <item x="355"/>
        <item x="362"/>
        <item x="76"/>
        <item x="95"/>
        <item x="368"/>
        <item x="34"/>
        <item x="350"/>
        <item x="71"/>
        <item x="328"/>
        <item x="288"/>
        <item x="326"/>
        <item x="366"/>
        <item x="115"/>
        <item x="130"/>
        <item x="358"/>
        <item x="448"/>
        <item x="407"/>
        <item x="196"/>
        <item x="53"/>
        <item x="339"/>
        <item x="172"/>
        <item x="155"/>
        <item x="283"/>
        <item x="256"/>
        <item x="287"/>
        <item x="132"/>
        <item x="388"/>
        <item x="39"/>
        <item x="419"/>
        <item x="332"/>
        <item x="175"/>
        <item x="296"/>
        <item x="239"/>
        <item x="483"/>
        <item x="473"/>
        <item x="97"/>
        <item x="124"/>
        <item x="156"/>
        <item x="166"/>
        <item x="204"/>
        <item x="435"/>
        <item x="281"/>
        <item x="41"/>
        <item x="481"/>
        <item x="471"/>
        <item x="431"/>
        <item x="63"/>
        <item x="69"/>
        <item x="3"/>
        <item x="472"/>
        <item x="185"/>
        <item x="436"/>
        <item x="111"/>
        <item x="14"/>
        <item x="482"/>
        <item x="217"/>
        <item x="88"/>
        <item x="47"/>
        <item x="104"/>
        <item x="336"/>
        <item x="405"/>
        <item x="424"/>
        <item x="303"/>
        <item x="428"/>
        <item x="305"/>
        <item x="272"/>
        <item x="378"/>
        <item x="135"/>
        <item x="147"/>
        <item x="315"/>
        <item x="257"/>
        <item x="79"/>
        <item x="218"/>
        <item x="121"/>
        <item x="173"/>
        <item x="148"/>
        <item x="241"/>
        <item x="312"/>
        <item x="138"/>
        <item x="399"/>
        <item x="0"/>
        <item x="1"/>
        <item x="5"/>
        <item x="6"/>
        <item x="7"/>
        <item x="11"/>
        <item x="12"/>
        <item x="13"/>
        <item x="15"/>
        <item x="16"/>
        <item x="17"/>
        <item x="18"/>
        <item x="19"/>
        <item x="20"/>
        <item x="21"/>
        <item x="22"/>
        <item x="26"/>
        <item x="27"/>
        <item x="31"/>
        <item x="32"/>
        <item x="33"/>
        <item x="35"/>
        <item x="36"/>
        <item x="37"/>
        <item x="38"/>
        <item x="40"/>
        <item x="42"/>
        <item x="43"/>
        <item x="44"/>
        <item x="45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6"/>
        <item x="67"/>
        <item x="68"/>
        <item x="70"/>
        <item x="73"/>
        <item x="74"/>
        <item x="75"/>
        <item x="80"/>
        <item x="81"/>
        <item x="83"/>
        <item x="86"/>
        <item x="89"/>
        <item x="90"/>
        <item x="91"/>
        <item x="92"/>
        <item x="93"/>
        <item x="94"/>
        <item x="98"/>
        <item x="99"/>
        <item x="100"/>
        <item x="101"/>
        <item x="103"/>
        <item x="105"/>
        <item x="106"/>
        <item x="107"/>
        <item x="110"/>
        <item x="114"/>
        <item x="116"/>
        <item x="117"/>
        <item x="118"/>
        <item x="120"/>
        <item x="122"/>
        <item x="125"/>
        <item x="126"/>
        <item x="127"/>
        <item x="128"/>
        <item x="129"/>
        <item x="131"/>
        <item x="133"/>
        <item x="136"/>
        <item x="139"/>
        <item x="141"/>
        <item x="142"/>
        <item x="143"/>
        <item x="144"/>
        <item x="150"/>
        <item x="151"/>
        <item x="157"/>
        <item x="163"/>
        <item x="164"/>
        <item x="165"/>
        <item x="169"/>
        <item x="170"/>
        <item x="171"/>
        <item x="176"/>
        <item x="177"/>
        <item x="178"/>
        <item x="179"/>
        <item x="180"/>
        <item x="181"/>
        <item x="182"/>
        <item x="183"/>
        <item x="184"/>
        <item x="186"/>
        <item x="189"/>
        <item x="190"/>
        <item x="193"/>
        <item x="194"/>
        <item x="200"/>
        <item x="201"/>
        <item x="206"/>
        <item x="207"/>
        <item x="212"/>
        <item x="214"/>
        <item x="215"/>
        <item x="220"/>
        <item x="221"/>
        <item x="226"/>
        <item x="228"/>
        <item x="229"/>
        <item x="230"/>
        <item x="231"/>
        <item x="235"/>
        <item x="236"/>
        <item x="237"/>
        <item x="242"/>
        <item x="243"/>
        <item x="245"/>
        <item x="246"/>
        <item x="247"/>
        <item x="248"/>
        <item x="249"/>
        <item x="250"/>
        <item x="251"/>
        <item x="253"/>
        <item x="255"/>
        <item x="258"/>
        <item x="259"/>
        <item x="261"/>
        <item x="262"/>
        <item x="271"/>
        <item x="273"/>
        <item x="275"/>
        <item x="276"/>
        <item x="279"/>
        <item x="293"/>
        <item x="300"/>
        <item x="307"/>
        <item x="310"/>
        <item x="319"/>
        <item x="322"/>
        <item x="327"/>
        <item x="333"/>
        <item x="337"/>
        <item x="338"/>
        <item x="340"/>
        <item x="342"/>
        <item x="345"/>
        <item x="348"/>
        <item x="353"/>
        <item x="354"/>
        <item x="356"/>
        <item x="371"/>
        <item x="373"/>
        <item x="375"/>
        <item x="379"/>
        <item x="382"/>
        <item x="387"/>
        <item x="389"/>
        <item x="392"/>
        <item x="396"/>
        <item x="397"/>
        <item x="400"/>
        <item x="403"/>
        <item x="417"/>
        <item x="421"/>
        <item x="425"/>
        <item x="426"/>
        <item x="430"/>
        <item x="432"/>
        <item x="441"/>
        <item x="455"/>
        <item x="461"/>
        <item x="463"/>
        <item x="465"/>
        <item x="466"/>
        <item x="467"/>
        <item x="468"/>
        <item x="469"/>
        <item x="470"/>
        <item x="477"/>
        <item x="478"/>
        <item x="479"/>
        <item x="485"/>
        <item x="30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compact="0" showAll="0">
      <items count="115">
        <item x="33"/>
        <item x="80"/>
        <item x="49"/>
        <item x="72"/>
        <item x="57"/>
        <item x="46"/>
        <item x="98"/>
        <item x="22"/>
        <item x="63"/>
        <item x="15"/>
        <item x="14"/>
        <item x="99"/>
        <item x="40"/>
        <item x="44"/>
        <item x="104"/>
        <item x="71"/>
        <item x="75"/>
        <item x="19"/>
        <item x="48"/>
        <item x="95"/>
        <item x="56"/>
        <item x="31"/>
        <item x="34"/>
        <item x="27"/>
        <item x="17"/>
        <item x="20"/>
        <item x="62"/>
        <item x="47"/>
        <item x="103"/>
        <item x="53"/>
        <item x="24"/>
        <item x="64"/>
        <item x="7"/>
        <item x="51"/>
        <item x="97"/>
        <item x="8"/>
        <item x="3"/>
        <item x="66"/>
        <item x="74"/>
        <item x="36"/>
        <item x="113"/>
        <item x="41"/>
        <item x="42"/>
        <item x="73"/>
        <item x="32"/>
        <item x="30"/>
        <item x="58"/>
        <item x="83"/>
        <item x="0"/>
        <item x="12"/>
        <item x="81"/>
        <item x="35"/>
        <item x="55"/>
        <item x="21"/>
        <item x="78"/>
        <item x="79"/>
        <item x="54"/>
        <item x="10"/>
        <item x="26"/>
        <item x="82"/>
        <item x="52"/>
        <item x="43"/>
        <item x="76"/>
        <item x="50"/>
        <item x="23"/>
        <item x="25"/>
        <item x="45"/>
        <item x="77"/>
        <item x="38"/>
        <item x="101"/>
        <item x="29"/>
        <item x="59"/>
        <item x="18"/>
        <item x="89"/>
        <item x="102"/>
        <item x="28"/>
        <item x="60"/>
        <item x="94"/>
        <item x="85"/>
        <item x="88"/>
        <item x="105"/>
        <item x="96"/>
        <item x="91"/>
        <item x="68"/>
        <item x="84"/>
        <item x="1"/>
        <item x="69"/>
        <item x="6"/>
        <item x="2"/>
        <item x="9"/>
        <item x="5"/>
        <item x="4"/>
        <item x="37"/>
        <item x="100"/>
        <item x="67"/>
        <item x="39"/>
        <item x="70"/>
        <item x="92"/>
        <item x="65"/>
        <item x="90"/>
        <item x="11"/>
        <item x="13"/>
        <item x="61"/>
        <item x="86"/>
        <item x="87"/>
        <item x="93"/>
        <item x="16"/>
        <item x="106"/>
        <item x="107"/>
        <item x="108"/>
        <item x="109"/>
        <item x="110"/>
        <item x="111"/>
        <item x="112"/>
        <item t="default"/>
      </items>
    </pivotField>
    <pivotField compact="0" showAll="0">
      <items count="820">
        <item x="359"/>
        <item x="255"/>
        <item x="326"/>
        <item x="185"/>
        <item x="347"/>
        <item x="237"/>
        <item x="462"/>
        <item x="315"/>
        <item x="818"/>
        <item x="505"/>
        <item x="495"/>
        <item x="479"/>
        <item x="320"/>
        <item x="544"/>
        <item x="163"/>
        <item x="520"/>
        <item x="108"/>
        <item x="375"/>
        <item x="236"/>
        <item x="361"/>
        <item x="546"/>
        <item x="437"/>
        <item x="555"/>
        <item x="610"/>
        <item x="550"/>
        <item x="88"/>
        <item x="283"/>
        <item x="148"/>
        <item x="161"/>
        <item x="514"/>
        <item x="411"/>
        <item x="540"/>
        <item x="483"/>
        <item x="142"/>
        <item x="454"/>
        <item x="485"/>
        <item x="466"/>
        <item x="431"/>
        <item x="511"/>
        <item x="342"/>
        <item x="390"/>
        <item x="545"/>
        <item x="504"/>
        <item x="609"/>
        <item x="223"/>
        <item x="175"/>
        <item x="585"/>
        <item x="606"/>
        <item x="370"/>
        <item x="381"/>
        <item x="449"/>
        <item x="16"/>
        <item x="17"/>
        <item x="147"/>
        <item x="508"/>
        <item x="230"/>
        <item x="386"/>
        <item x="489"/>
        <item x="196"/>
        <item x="180"/>
        <item x="241"/>
        <item x="334"/>
        <item x="33"/>
        <item x="332"/>
        <item x="336"/>
        <item x="293"/>
        <item x="49"/>
        <item x="266"/>
        <item x="25"/>
        <item x="136"/>
        <item x="254"/>
        <item x="216"/>
        <item x="172"/>
        <item x="358"/>
        <item x="303"/>
        <item x="126"/>
        <item x="480"/>
        <item x="357"/>
        <item x="267"/>
        <item x="349"/>
        <item x="40"/>
        <item x="65"/>
        <item x="496"/>
        <item x="558"/>
        <item x="190"/>
        <item x="350"/>
        <item x="123"/>
        <item x="522"/>
        <item x="348"/>
        <item x="577"/>
        <item x="27"/>
        <item x="89"/>
        <item x="189"/>
        <item x="513"/>
        <item x="90"/>
        <item x="181"/>
        <item x="81"/>
        <item x="331"/>
        <item x="471"/>
        <item x="265"/>
        <item x="469"/>
        <item x="145"/>
        <item x="203"/>
        <item x="72"/>
        <item x="198"/>
        <item x="76"/>
        <item x="53"/>
        <item x="195"/>
        <item x="239"/>
        <item x="372"/>
        <item x="9"/>
        <item x="517"/>
        <item x="475"/>
        <item x="154"/>
        <item x="562"/>
        <item x="548"/>
        <item x="256"/>
        <item x="602"/>
        <item x="402"/>
        <item x="83"/>
        <item x="351"/>
        <item x="353"/>
        <item x="159"/>
        <item x="231"/>
        <item x="468"/>
        <item x="490"/>
        <item x="371"/>
        <item x="212"/>
        <item x="448"/>
        <item x="539"/>
        <item x="71"/>
        <item x="153"/>
        <item x="481"/>
        <item x="425"/>
        <item x="536"/>
        <item x="412"/>
        <item x="261"/>
        <item x="302"/>
        <item x="15"/>
        <item x="214"/>
        <item x="339"/>
        <item x="482"/>
        <item x="61"/>
        <item x="66"/>
        <item x="156"/>
        <item x="46"/>
        <item x="491"/>
        <item x="300"/>
        <item x="576"/>
        <item x="170"/>
        <item x="5"/>
        <item x="270"/>
        <item x="129"/>
        <item x="414"/>
        <item x="143"/>
        <item x="583"/>
        <item x="116"/>
        <item x="242"/>
        <item x="304"/>
        <item x="507"/>
        <item x="202"/>
        <item x="226"/>
        <item x="1"/>
        <item x="292"/>
        <item x="118"/>
        <item x="472"/>
        <item x="168"/>
        <item x="295"/>
        <item x="404"/>
        <item x="140"/>
        <item x="360"/>
        <item x="75"/>
        <item x="316"/>
        <item x="452"/>
        <item x="299"/>
        <item x="384"/>
        <item x="467"/>
        <item x="327"/>
        <item x="246"/>
        <item x="171"/>
        <item x="141"/>
        <item x="565"/>
        <item x="554"/>
        <item x="69"/>
        <item x="497"/>
        <item x="244"/>
        <item x="589"/>
        <item x="374"/>
        <item x="38"/>
        <item x="400"/>
        <item x="39"/>
        <item x="382"/>
        <item x="335"/>
        <item x="6"/>
        <item x="95"/>
        <item x="186"/>
        <item x="35"/>
        <item x="164"/>
        <item x="432"/>
        <item x="284"/>
        <item x="0"/>
        <item x="376"/>
        <item x="42"/>
        <item x="369"/>
        <item x="403"/>
        <item x="529"/>
        <item x="587"/>
        <item x="248"/>
        <item x="26"/>
        <item x="11"/>
        <item x="177"/>
        <item x="182"/>
        <item x="173"/>
        <item x="537"/>
        <item x="312"/>
        <item x="208"/>
        <item x="518"/>
        <item x="109"/>
        <item x="608"/>
        <item x="586"/>
        <item x="14"/>
        <item x="345"/>
        <item x="243"/>
        <item x="373"/>
        <item x="281"/>
        <item x="31"/>
        <item x="144"/>
        <item x="155"/>
        <item x="280"/>
        <item x="112"/>
        <item x="557"/>
        <item x="130"/>
        <item x="575"/>
        <item x="464"/>
        <item x="445"/>
        <item x="277"/>
        <item x="7"/>
        <item x="96"/>
        <item x="492"/>
        <item x="183"/>
        <item x="225"/>
        <item x="398"/>
        <item x="474"/>
        <item x="193"/>
        <item x="534"/>
        <item x="559"/>
        <item x="531"/>
        <item x="405"/>
        <item x="590"/>
        <item x="493"/>
        <item x="399"/>
        <item x="395"/>
        <item x="561"/>
        <item x="570"/>
        <item x="247"/>
        <item x="567"/>
        <item x="442"/>
        <item x="199"/>
        <item x="578"/>
        <item x="80"/>
        <item x="530"/>
        <item x="191"/>
        <item x="97"/>
        <item x="470"/>
        <item x="3"/>
        <item x="337"/>
        <item x="377"/>
        <item x="240"/>
        <item x="603"/>
        <item x="588"/>
        <item x="569"/>
        <item x="229"/>
        <item x="379"/>
        <item x="2"/>
        <item x="4"/>
        <item x="8"/>
        <item x="10"/>
        <item x="12"/>
        <item x="13"/>
        <item x="18"/>
        <item x="19"/>
        <item x="20"/>
        <item x="21"/>
        <item x="22"/>
        <item x="23"/>
        <item x="24"/>
        <item x="28"/>
        <item x="30"/>
        <item x="32"/>
        <item x="34"/>
        <item x="36"/>
        <item x="37"/>
        <item x="41"/>
        <item x="43"/>
        <item x="44"/>
        <item x="45"/>
        <item x="47"/>
        <item x="48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7"/>
        <item x="68"/>
        <item x="70"/>
        <item x="73"/>
        <item x="74"/>
        <item x="77"/>
        <item x="78"/>
        <item x="79"/>
        <item x="82"/>
        <item x="84"/>
        <item x="85"/>
        <item x="86"/>
        <item x="87"/>
        <item x="91"/>
        <item x="92"/>
        <item x="93"/>
        <item x="94"/>
        <item x="98"/>
        <item x="99"/>
        <item x="100"/>
        <item x="101"/>
        <item x="102"/>
        <item x="103"/>
        <item x="104"/>
        <item x="105"/>
        <item x="106"/>
        <item x="107"/>
        <item x="110"/>
        <item x="111"/>
        <item x="113"/>
        <item x="114"/>
        <item x="115"/>
        <item x="117"/>
        <item x="119"/>
        <item x="120"/>
        <item x="121"/>
        <item x="122"/>
        <item x="124"/>
        <item x="125"/>
        <item x="127"/>
        <item x="128"/>
        <item x="131"/>
        <item x="132"/>
        <item x="133"/>
        <item x="134"/>
        <item x="135"/>
        <item x="137"/>
        <item x="138"/>
        <item x="139"/>
        <item x="146"/>
        <item x="149"/>
        <item x="150"/>
        <item x="151"/>
        <item x="152"/>
        <item x="157"/>
        <item x="158"/>
        <item x="160"/>
        <item x="162"/>
        <item x="165"/>
        <item x="166"/>
        <item x="167"/>
        <item x="169"/>
        <item x="174"/>
        <item x="176"/>
        <item x="178"/>
        <item x="179"/>
        <item x="184"/>
        <item x="187"/>
        <item x="188"/>
        <item x="192"/>
        <item x="194"/>
        <item x="197"/>
        <item x="200"/>
        <item x="201"/>
        <item x="204"/>
        <item x="205"/>
        <item x="206"/>
        <item x="207"/>
        <item x="209"/>
        <item x="210"/>
        <item x="211"/>
        <item x="213"/>
        <item x="215"/>
        <item x="217"/>
        <item x="218"/>
        <item x="219"/>
        <item x="220"/>
        <item x="221"/>
        <item x="222"/>
        <item x="224"/>
        <item x="227"/>
        <item x="228"/>
        <item x="232"/>
        <item x="233"/>
        <item x="234"/>
        <item x="235"/>
        <item x="238"/>
        <item x="245"/>
        <item x="249"/>
        <item x="250"/>
        <item x="251"/>
        <item x="252"/>
        <item x="253"/>
        <item x="257"/>
        <item x="258"/>
        <item x="259"/>
        <item x="260"/>
        <item x="262"/>
        <item x="263"/>
        <item x="264"/>
        <item x="268"/>
        <item x="269"/>
        <item x="271"/>
        <item x="272"/>
        <item x="273"/>
        <item x="274"/>
        <item x="275"/>
        <item x="276"/>
        <item x="278"/>
        <item x="279"/>
        <item x="282"/>
        <item x="285"/>
        <item x="286"/>
        <item x="287"/>
        <item x="288"/>
        <item x="289"/>
        <item x="290"/>
        <item x="291"/>
        <item x="294"/>
        <item x="296"/>
        <item x="297"/>
        <item x="298"/>
        <item x="301"/>
        <item x="305"/>
        <item x="306"/>
        <item x="307"/>
        <item x="308"/>
        <item x="309"/>
        <item x="310"/>
        <item x="311"/>
        <item x="313"/>
        <item x="314"/>
        <item x="317"/>
        <item x="318"/>
        <item x="319"/>
        <item x="321"/>
        <item x="322"/>
        <item x="323"/>
        <item x="324"/>
        <item x="325"/>
        <item x="328"/>
        <item x="329"/>
        <item x="330"/>
        <item x="333"/>
        <item x="338"/>
        <item x="340"/>
        <item x="341"/>
        <item x="343"/>
        <item x="344"/>
        <item x="346"/>
        <item x="352"/>
        <item x="354"/>
        <item x="355"/>
        <item x="356"/>
        <item x="362"/>
        <item x="363"/>
        <item x="364"/>
        <item x="365"/>
        <item x="366"/>
        <item x="367"/>
        <item x="368"/>
        <item x="378"/>
        <item x="380"/>
        <item x="383"/>
        <item x="385"/>
        <item x="387"/>
        <item x="388"/>
        <item x="389"/>
        <item x="391"/>
        <item x="392"/>
        <item x="393"/>
        <item x="394"/>
        <item x="396"/>
        <item x="397"/>
        <item x="401"/>
        <item x="406"/>
        <item x="407"/>
        <item x="408"/>
        <item x="409"/>
        <item x="410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3"/>
        <item x="434"/>
        <item x="435"/>
        <item x="436"/>
        <item x="438"/>
        <item x="439"/>
        <item x="440"/>
        <item x="441"/>
        <item x="443"/>
        <item x="444"/>
        <item x="446"/>
        <item x="447"/>
        <item x="450"/>
        <item x="451"/>
        <item x="453"/>
        <item x="455"/>
        <item x="456"/>
        <item x="457"/>
        <item x="458"/>
        <item x="459"/>
        <item x="460"/>
        <item x="461"/>
        <item x="463"/>
        <item x="465"/>
        <item x="473"/>
        <item x="476"/>
        <item x="477"/>
        <item x="478"/>
        <item x="484"/>
        <item x="486"/>
        <item x="487"/>
        <item x="488"/>
        <item x="494"/>
        <item x="498"/>
        <item x="499"/>
        <item x="500"/>
        <item x="501"/>
        <item x="502"/>
        <item x="503"/>
        <item x="506"/>
        <item x="509"/>
        <item x="510"/>
        <item x="512"/>
        <item x="515"/>
        <item x="516"/>
        <item x="519"/>
        <item x="521"/>
        <item x="523"/>
        <item x="524"/>
        <item x="525"/>
        <item x="526"/>
        <item x="527"/>
        <item x="528"/>
        <item x="532"/>
        <item x="533"/>
        <item x="535"/>
        <item x="538"/>
        <item x="541"/>
        <item x="542"/>
        <item x="543"/>
        <item x="547"/>
        <item x="549"/>
        <item x="551"/>
        <item x="552"/>
        <item x="553"/>
        <item x="556"/>
        <item x="560"/>
        <item x="563"/>
        <item x="564"/>
        <item x="566"/>
        <item x="568"/>
        <item x="571"/>
        <item x="572"/>
        <item x="573"/>
        <item x="574"/>
        <item x="579"/>
        <item x="580"/>
        <item x="581"/>
        <item x="582"/>
        <item x="584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4"/>
        <item x="605"/>
        <item x="607"/>
        <item x="611"/>
        <item x="612"/>
        <item x="613"/>
        <item x="614"/>
        <item x="29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dataField="1" compact="0" showAll="0">
      <items count="254">
        <item x="26"/>
        <item x="15"/>
        <item x="18"/>
        <item x="194"/>
        <item x="41"/>
        <item x="8"/>
        <item x="21"/>
        <item x="22"/>
        <item x="23"/>
        <item x="252"/>
        <item x="0"/>
        <item x="13"/>
        <item x="7"/>
        <item x="177"/>
        <item x="125"/>
        <item x="2"/>
        <item x="161"/>
        <item x="63"/>
        <item x="35"/>
        <item x="14"/>
        <item x="46"/>
        <item x="1"/>
        <item x="3"/>
        <item x="4"/>
        <item x="5"/>
        <item x="6"/>
        <item x="9"/>
        <item x="10"/>
        <item x="11"/>
        <item x="12"/>
        <item x="16"/>
        <item x="17"/>
        <item x="19"/>
        <item x="20"/>
        <item x="24"/>
        <item x="25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showAll="0">
      <items count="29">
        <item x="2"/>
        <item x="0"/>
        <item x="1"/>
        <item x="7"/>
        <item x="6"/>
        <item x="10"/>
        <item x="27"/>
        <item x="3"/>
        <item x="4"/>
        <item x="5"/>
        <item x="8"/>
        <item x="11"/>
        <item x="15"/>
        <item x="19"/>
        <item x="9"/>
        <item x="12"/>
        <item x="13"/>
        <item x="14"/>
        <item x="16"/>
        <item x="17"/>
        <item x="18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179">
        <item x="14"/>
        <item x="24"/>
        <item x="50"/>
        <item x="42"/>
        <item x="177"/>
        <item x="19"/>
        <item x="89"/>
        <item x="22"/>
        <item x="90"/>
        <item x="49"/>
        <item x="8"/>
        <item x="20"/>
        <item x="103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5"/>
        <item x="16"/>
        <item x="17"/>
        <item x="18"/>
        <item x="21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66">
        <item x="3"/>
        <item x="11"/>
        <item x="5"/>
        <item x="64"/>
        <item x="18"/>
        <item x="0"/>
        <item x="56"/>
        <item x="9"/>
        <item x="1"/>
        <item x="12"/>
        <item x="4"/>
        <item x="6"/>
        <item x="13"/>
        <item x="2"/>
        <item x="7"/>
        <item x="8"/>
        <item x="10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46">
        <item x="2"/>
        <item x="3"/>
        <item x="1"/>
        <item x="4"/>
        <item x="23"/>
        <item x="0"/>
        <item x="13"/>
        <item x="5"/>
        <item x="44"/>
        <item x="14"/>
        <item x="7"/>
        <item x="6"/>
        <item x="29"/>
        <item x="9"/>
        <item x="8"/>
        <item x="24"/>
        <item x="27"/>
        <item x="33"/>
        <item x="12"/>
        <item x="26"/>
        <item x="30"/>
        <item x="28"/>
        <item x="25"/>
        <item x="10"/>
        <item x="11"/>
        <item x="15"/>
        <item x="16"/>
        <item x="17"/>
        <item x="18"/>
        <item x="19"/>
        <item x="20"/>
        <item x="21"/>
        <item x="22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343">
        <item x="83"/>
        <item x="15"/>
        <item x="93"/>
        <item x="27"/>
        <item x="75"/>
        <item x="70"/>
        <item x="20"/>
        <item x="37"/>
        <item x="31"/>
        <item x="56"/>
        <item x="8"/>
        <item x="68"/>
        <item x="259"/>
        <item x="78"/>
        <item x="341"/>
        <item x="13"/>
        <item x="26"/>
        <item x="22"/>
        <item x="50"/>
        <item x="154"/>
        <item x="87"/>
        <item x="24"/>
        <item x="51"/>
        <item x="275"/>
        <item x="148"/>
        <item x="47"/>
        <item x="23"/>
        <item x="139"/>
        <item x="30"/>
        <item x="149"/>
        <item x="2"/>
        <item x="7"/>
        <item x="165"/>
        <item x="10"/>
        <item x="18"/>
        <item x="57"/>
        <item x="101"/>
        <item x="69"/>
        <item x="0"/>
        <item x="1"/>
        <item x="3"/>
        <item x="4"/>
        <item x="5"/>
        <item x="6"/>
        <item x="9"/>
        <item x="11"/>
        <item x="12"/>
        <item x="14"/>
        <item x="16"/>
        <item x="17"/>
        <item x="19"/>
        <item x="21"/>
        <item x="25"/>
        <item x="28"/>
        <item x="29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8"/>
        <item x="49"/>
        <item x="52"/>
        <item x="53"/>
        <item x="54"/>
        <item x="55"/>
        <item x="58"/>
        <item x="59"/>
        <item x="60"/>
        <item x="61"/>
        <item x="62"/>
        <item x="63"/>
        <item x="64"/>
        <item x="65"/>
        <item x="66"/>
        <item x="67"/>
        <item x="71"/>
        <item x="72"/>
        <item x="73"/>
        <item x="74"/>
        <item x="76"/>
        <item x="77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8"/>
        <item x="279"/>
        <item x="280"/>
        <item x="277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compact="0" showAll="0">
      <items count="650">
        <item x="15"/>
        <item x="648"/>
        <item x="126"/>
        <item x="92"/>
        <item x="131"/>
        <item x="428"/>
        <item x="214"/>
        <item x="123"/>
        <item x="476"/>
        <item x="266"/>
        <item x="393"/>
        <item x="451"/>
        <item x="111"/>
        <item x="344"/>
        <item x="274"/>
        <item x="326"/>
        <item x="458"/>
        <item x="89"/>
        <item x="392"/>
        <item x="299"/>
        <item x="471"/>
        <item x="354"/>
        <item x="417"/>
        <item x="243"/>
        <item x="181"/>
        <item x="192"/>
        <item x="412"/>
        <item x="51"/>
        <item x="205"/>
        <item x="237"/>
        <item x="366"/>
        <item x="113"/>
        <item x="256"/>
        <item x="204"/>
        <item x="310"/>
        <item x="328"/>
        <item x="137"/>
        <item x="445"/>
        <item x="382"/>
        <item x="29"/>
        <item x="370"/>
        <item x="498"/>
        <item x="120"/>
        <item x="303"/>
        <item x="332"/>
        <item x="322"/>
        <item x="410"/>
        <item x="304"/>
        <item x="146"/>
        <item x="464"/>
        <item x="202"/>
        <item x="404"/>
        <item x="387"/>
        <item x="108"/>
        <item x="139"/>
        <item x="101"/>
        <item x="491"/>
        <item x="169"/>
        <item x="433"/>
        <item x="435"/>
        <item x="407"/>
        <item x="254"/>
        <item x="461"/>
        <item x="74"/>
        <item x="453"/>
        <item x="121"/>
        <item x="437"/>
        <item x="488"/>
        <item x="331"/>
        <item x="278"/>
        <item x="466"/>
        <item x="4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9"/>
        <item x="110"/>
        <item x="112"/>
        <item x="114"/>
        <item x="115"/>
        <item x="116"/>
        <item x="117"/>
        <item x="118"/>
        <item x="119"/>
        <item x="122"/>
        <item x="124"/>
        <item x="125"/>
        <item x="127"/>
        <item x="128"/>
        <item x="129"/>
        <item x="130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5"/>
        <item x="276"/>
        <item x="277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7"/>
        <item x="329"/>
        <item x="330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8"/>
        <item x="389"/>
        <item x="390"/>
        <item x="391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8"/>
        <item x="409"/>
        <item x="411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4"/>
        <item x="436"/>
        <item x="438"/>
        <item x="439"/>
        <item x="440"/>
        <item x="441"/>
        <item x="442"/>
        <item x="443"/>
        <item x="444"/>
        <item x="446"/>
        <item x="447"/>
        <item x="449"/>
        <item x="450"/>
        <item x="452"/>
        <item x="454"/>
        <item x="455"/>
        <item x="456"/>
        <item x="457"/>
        <item x="459"/>
        <item x="460"/>
        <item x="462"/>
        <item x="463"/>
        <item x="465"/>
        <item x="467"/>
        <item x="468"/>
        <item x="469"/>
        <item x="470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2"/>
        <item x="493"/>
        <item x="494"/>
        <item x="495"/>
        <item x="496"/>
        <item x="49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60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t="default"/>
      </items>
    </pivotField>
    <pivotField compact="0" showAll="0">
      <items count="43">
        <item x="1"/>
        <item x="0"/>
        <item x="2"/>
        <item x="13"/>
        <item x="16"/>
        <item x="14"/>
        <item x="18"/>
        <item x="3"/>
        <item x="41"/>
        <item x="27"/>
        <item x="5"/>
        <item x="15"/>
        <item x="17"/>
        <item x="8"/>
        <item x="4"/>
        <item x="6"/>
        <item x="7"/>
        <item x="9"/>
        <item x="10"/>
        <item x="11"/>
        <item x="12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numFmtId="10" showAll="0">
      <items count="121">
        <item x="0"/>
        <item x="8"/>
        <item x="5"/>
        <item x="40"/>
        <item x="22"/>
        <item x="34"/>
        <item x="42"/>
        <item x="27"/>
        <item x="33"/>
        <item x="77"/>
        <item x="48"/>
        <item x="119"/>
        <item x="31"/>
        <item x="30"/>
        <item x="19"/>
        <item x="43"/>
        <item x="55"/>
        <item x="24"/>
        <item x="53"/>
        <item x="44"/>
        <item x="57"/>
        <item x="10"/>
        <item x="75"/>
        <item x="61"/>
        <item x="4"/>
        <item x="36"/>
        <item x="12"/>
        <item x="32"/>
        <item x="26"/>
        <item x="47"/>
        <item x="49"/>
        <item x="37"/>
        <item x="28"/>
        <item x="35"/>
        <item x="58"/>
        <item x="23"/>
        <item x="71"/>
        <item x="18"/>
        <item x="21"/>
        <item x="11"/>
        <item x="20"/>
        <item x="14"/>
        <item x="45"/>
        <item x="25"/>
        <item x="62"/>
        <item x="76"/>
        <item x="13"/>
        <item x="9"/>
        <item x="56"/>
        <item x="41"/>
        <item x="29"/>
        <item x="64"/>
        <item x="54"/>
        <item x="73"/>
        <item x="60"/>
        <item x="69"/>
        <item x="52"/>
        <item x="46"/>
        <item x="1"/>
        <item x="65"/>
        <item x="66"/>
        <item x="6"/>
        <item x="7"/>
        <item x="2"/>
        <item x="3"/>
        <item x="15"/>
        <item x="16"/>
        <item x="17"/>
        <item x="38"/>
        <item x="39"/>
        <item x="50"/>
        <item x="51"/>
        <item x="59"/>
        <item x="63"/>
        <item x="67"/>
        <item x="68"/>
        <item x="70"/>
        <item x="72"/>
        <item x="74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>
      <items count="48">
        <item x="2"/>
        <item x="5"/>
        <item x="12"/>
        <item x="4"/>
        <item x="7"/>
        <item x="1"/>
        <item x="39"/>
        <item x="46"/>
        <item x="3"/>
        <item x="10"/>
        <item x="11"/>
        <item x="9"/>
        <item x="18"/>
        <item x="13"/>
        <item x="0"/>
        <item x="6"/>
        <item x="8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t="default"/>
      </items>
    </pivotField>
    <pivotField compact="0" showAll="0">
      <items count="49">
        <item x="2"/>
        <item x="11"/>
        <item x="3"/>
        <item x="5"/>
        <item x="10"/>
        <item x="1"/>
        <item x="47"/>
        <item x="6"/>
        <item x="12"/>
        <item x="13"/>
        <item x="37"/>
        <item x="9"/>
        <item x="8"/>
        <item x="0"/>
        <item x="4"/>
        <item x="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dataField="1" dragToCol="0" dragToPage="0" dragToRow="0" compact="0" showAll="0"/>
    <pivotField dataField="1" dragToCol="0" dragToPage="0" dragToRow="0" compact="0" showAll="0"/>
    <pivotField dataField="1" dragToCol="0" dragToPage="0" dragToRow="0" compact="0" showAll="0"/>
    <pivotField dragToCol="0" dragToPage="0" dragToRow="0" compact="0" showAll="0"/>
    <pivotField dragToCol="0" dragToPage="0" dragToRow="0" compact="0" showAll="0"/>
    <pivotField dataField="1" dragToCol="0" dragToPage="0" dragToRow="0" compact="0" showAll="0"/>
    <pivotField dragToCol="0" dragToPage="0" dragToRow="0" compact="0" showAll="0"/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361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 消费" fld="10" baseField="0" baseItem="318"/>
    <dataField name=" 展现量" fld="11" baseField="0" baseItem="318"/>
    <dataField name=" 点击量" fld="12" baseField="0" baseItem="318"/>
    <dataField name="  点击率" fld="28" baseField="0" baseItem="318"/>
    <dataField name=" 点击成本" fld="29" baseField="0" baseItem="318"/>
    <dataField name=" 千展费用" fld="30" baseField="0" baseItem="318"/>
    <dataField name=" 点赞" fld="16" baseField="0" baseItem="318"/>
    <dataField name=" 评论" fld="17" baseField="0" baseItem="318"/>
    <dataField name=" 收藏" fld="18" baseField="0" baseItem="318"/>
    <dataField name=" 关注" fld="19" baseField="0" baseItem="318"/>
    <dataField name=" 分享" fld="20" baseField="0" baseItem="318"/>
    <dataField name=" 互动量" fld="21" baseField="0" baseItem="318"/>
    <dataField name=" 互动成本" fld="33" baseField="0" baseItem="318"/>
  </dataFields>
  <formats count="104">
    <format dxfId="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5">
      <pivotArea type="all" dataOnly="0" outline="0" fieldPosition="0"/>
    </format>
    <format dxfId="16">
      <pivotArea type="all" dataOnly="0" outline="0" fieldPosition="0"/>
    </format>
    <format dxfId="17">
      <pivotArea type="all" dataOnly="0" outline="0" fieldPosition="0"/>
    </format>
    <format dxfId="18">
      <pivotArea type="all" dataOnly="0" outline="0" fieldPosition="0"/>
    </format>
    <format dxfId="19">
      <pivotArea type="all" dataOnly="0" outline="0" fieldPosition="0"/>
    </format>
    <format dxfId="2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4">
      <pivotArea field="0" type="button" dataOnly="0" labelOnly="1" outline="0" fieldPosition="0"/>
    </format>
    <format dxfId="25">
      <pivotArea dataOnly="0" labelOnly="1" fieldPosition="0">
        <references count="1">
          <reference field="4294967294" count="1">
            <x v="0"/>
          </reference>
        </references>
      </pivotArea>
    </format>
    <format dxfId="26">
      <pivotArea dataOnly="0" labelOnly="1" fieldPosition="0">
        <references count="1">
          <reference field="4294967294" count="1">
            <x v="1"/>
          </reference>
        </references>
      </pivotArea>
    </format>
    <format dxfId="27">
      <pivotArea dataOnly="0" labelOnly="1" fieldPosition="0">
        <references count="1">
          <reference field="4294967294" count="1">
            <x v="2"/>
          </reference>
        </references>
      </pivotArea>
    </format>
    <format dxfId="28">
      <pivotArea dataOnly="0" labelOnly="1" fieldPosition="0">
        <references count="1">
          <reference field="4294967294" count="1">
            <x v="3"/>
          </reference>
        </references>
      </pivotArea>
    </format>
    <format dxfId="29">
      <pivotArea dataOnly="0" labelOnly="1" fieldPosition="0">
        <references count="1">
          <reference field="4294967294" count="1">
            <x v="4"/>
          </reference>
        </references>
      </pivotArea>
    </format>
    <format dxfId="30">
      <pivotArea dataOnly="0" labelOnly="1" fieldPosition="0">
        <references count="1">
          <reference field="4294967294" count="1">
            <x v="5"/>
          </reference>
        </references>
      </pivotArea>
    </format>
    <format dxfId="31">
      <pivotArea dataOnly="0" labelOnly="1" fieldPosition="0">
        <references count="1">
          <reference field="4294967294" count="1">
            <x v="6"/>
          </reference>
        </references>
      </pivotArea>
    </format>
    <format dxfId="32">
      <pivotArea dataOnly="0" labelOnly="1" fieldPosition="0">
        <references count="1">
          <reference field="4294967294" count="1">
            <x v="7"/>
          </reference>
        </references>
      </pivotArea>
    </format>
    <format dxfId="33">
      <pivotArea dataOnly="0" labelOnly="1" fieldPosition="0">
        <references count="1">
          <reference field="4294967294" count="1">
            <x v="8"/>
          </reference>
        </references>
      </pivotArea>
    </format>
    <format dxfId="34">
      <pivotArea dataOnly="0" labelOnly="1" fieldPosition="0">
        <references count="1">
          <reference field="4294967294" count="1">
            <x v="9"/>
          </reference>
        </references>
      </pivotArea>
    </format>
    <format dxfId="35">
      <pivotArea dataOnly="0" labelOnly="1" fieldPosition="0">
        <references count="1">
          <reference field="4294967294" count="1">
            <x v="10"/>
          </reference>
        </references>
      </pivotArea>
    </format>
    <format dxfId="36">
      <pivotArea dataOnly="0" labelOnly="1" fieldPosition="0">
        <references count="1">
          <reference field="4294967294" count="1">
            <x v="11"/>
          </reference>
        </references>
      </pivotArea>
    </format>
    <format dxfId="37">
      <pivotArea dataOnly="0" labelOnly="1" fieldPosition="0">
        <references count="1">
          <reference field="4294967294" count="1">
            <x v="12"/>
          </reference>
        </references>
      </pivotArea>
    </format>
    <format dxfId="38">
      <pivotArea dataOnly="0" labelOnly="1" grandRow="1" fieldPosition="0"/>
    </format>
    <format dxfId="39">
      <pivotArea grandRow="1" collapsedLevelsAreSubtotals="1" fieldPosition="0"/>
    </format>
    <format dxfId="40">
      <pivotArea dataOnly="0" labelOnly="1" fieldPosition="0">
        <references count="1">
          <reference field="4294967294" count="1">
            <x v="3"/>
          </reference>
        </references>
      </pivotArea>
    </format>
    <format dxfId="4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3">
      <pivotArea dataOnly="0" labelOnly="1" grandRow="1" fieldPosition="0"/>
    </format>
    <format dxfId="44">
      <pivotArea grandRow="1" collapsedLevelsAreSubtotals="1" fieldPosition="0"/>
    </format>
    <format dxfId="45">
      <pivotArea dataOnly="0" labelOnly="1" grandRow="1" fieldPosition="0"/>
    </format>
    <format dxfId="46">
      <pivotArea grandRow="1" collapsedLevelsAreSubtotals="1" fieldPosition="0"/>
    </format>
    <format dxfId="47">
      <pivotArea dataOnly="0" labelOnly="1" fieldPosition="0">
        <references count="1">
          <reference field="0" count="1">
            <x v="328"/>
          </reference>
        </references>
      </pivotArea>
    </format>
    <format dxfId="48">
      <pivotArea dataOnly="0" labelOnly="1" fieldPosition="0">
        <references count="1">
          <reference field="0" count="1">
            <x v="329"/>
          </reference>
        </references>
      </pivotArea>
    </format>
    <format dxfId="49">
      <pivotArea dataOnly="0" labelOnly="1" fieldPosition="0">
        <references count="1">
          <reference field="0" count="1">
            <x v="330"/>
          </reference>
        </references>
      </pivotArea>
    </format>
    <format dxfId="50">
      <pivotArea dataOnly="0" labelOnly="1" fieldPosition="0">
        <references count="1">
          <reference field="0" count="1">
            <x v="331"/>
          </reference>
        </references>
      </pivotArea>
    </format>
    <format dxfId="51">
      <pivotArea dataOnly="0" labelOnly="1" fieldPosition="0">
        <references count="1">
          <reference field="0" count="1">
            <x v="332"/>
          </reference>
        </references>
      </pivotArea>
    </format>
    <format dxfId="52">
      <pivotArea dataOnly="0" labelOnly="1" fieldPosition="0">
        <references count="1">
          <reference field="0" count="1">
            <x v="333"/>
          </reference>
        </references>
      </pivotArea>
    </format>
    <format dxfId="53">
      <pivotArea dataOnly="0" labelOnly="1" fieldPosition="0">
        <references count="1">
          <reference field="0" count="1">
            <x v="334"/>
          </reference>
        </references>
      </pivotArea>
    </format>
    <format dxfId="54">
      <pivotArea dataOnly="0" labelOnly="1" fieldPosition="0">
        <references count="1">
          <reference field="0" count="1">
            <x v="335"/>
          </reference>
        </references>
      </pivotArea>
    </format>
    <format dxfId="55">
      <pivotArea dataOnly="0" labelOnly="1" fieldPosition="0">
        <references count="1">
          <reference field="0" count="1">
            <x v="336"/>
          </reference>
        </references>
      </pivotArea>
    </format>
    <format dxfId="56">
      <pivotArea dataOnly="0" labelOnly="1" fieldPosition="0">
        <references count="1">
          <reference field="0" count="1">
            <x v="337"/>
          </reference>
        </references>
      </pivotArea>
    </format>
    <format dxfId="57">
      <pivotArea dataOnly="0" labelOnly="1" fieldPosition="0">
        <references count="1">
          <reference field="0" count="1">
            <x v="338"/>
          </reference>
        </references>
      </pivotArea>
    </format>
    <format dxfId="58">
      <pivotArea dataOnly="0" labelOnly="1" fieldPosition="0">
        <references count="1">
          <reference field="0" count="1">
            <x v="339"/>
          </reference>
        </references>
      </pivotArea>
    </format>
    <format dxfId="59">
      <pivotArea dataOnly="0" labelOnly="1" fieldPosition="0">
        <references count="1">
          <reference field="0" count="1">
            <x v="340"/>
          </reference>
        </references>
      </pivotArea>
    </format>
    <format dxfId="60">
      <pivotArea dataOnly="0" labelOnly="1" fieldPosition="0">
        <references count="1">
          <reference field="0" count="1">
            <x v="341"/>
          </reference>
        </references>
      </pivotArea>
    </format>
    <format dxfId="61">
      <pivotArea dataOnly="0" labelOnly="1" fieldPosition="0">
        <references count="1">
          <reference field="0" count="1">
            <x v="342"/>
          </reference>
        </references>
      </pivotArea>
    </format>
    <format dxfId="62">
      <pivotArea dataOnly="0" labelOnly="1" fieldPosition="0">
        <references count="1">
          <reference field="0" count="1">
            <x v="361"/>
          </reference>
        </references>
      </pivotArea>
    </format>
    <format dxfId="63">
      <pivotArea collapsedLevelsAreSubtotals="1" fieldPosition="0">
        <references count="1">
          <reference field="0" count="1" selected="0">
            <x v="328"/>
          </reference>
        </references>
      </pivotArea>
    </format>
    <format dxfId="64">
      <pivotArea collapsedLevelsAreSubtotals="1" fieldPosition="0">
        <references count="1">
          <reference field="0" count="1" selected="0">
            <x v="329"/>
          </reference>
        </references>
      </pivotArea>
    </format>
    <format dxfId="65">
      <pivotArea collapsedLevelsAreSubtotals="1" fieldPosition="0">
        <references count="1">
          <reference field="0" count="1" selected="0">
            <x v="330"/>
          </reference>
        </references>
      </pivotArea>
    </format>
    <format dxfId="66">
      <pivotArea collapsedLevelsAreSubtotals="1" fieldPosition="0">
        <references count="1">
          <reference field="0" count="1" selected="0">
            <x v="331"/>
          </reference>
        </references>
      </pivotArea>
    </format>
    <format dxfId="67">
      <pivotArea collapsedLevelsAreSubtotals="1" fieldPosition="0">
        <references count="1">
          <reference field="0" count="1" selected="0">
            <x v="332"/>
          </reference>
        </references>
      </pivotArea>
    </format>
    <format dxfId="68">
      <pivotArea collapsedLevelsAreSubtotals="1" fieldPosition="0">
        <references count="1">
          <reference field="0" count="1" selected="0">
            <x v="333"/>
          </reference>
        </references>
      </pivotArea>
    </format>
    <format dxfId="69">
      <pivotArea collapsedLevelsAreSubtotals="1" fieldPosition="0">
        <references count="1">
          <reference field="0" count="1" selected="0">
            <x v="334"/>
          </reference>
        </references>
      </pivotArea>
    </format>
    <format dxfId="70">
      <pivotArea collapsedLevelsAreSubtotals="1" fieldPosition="0">
        <references count="1">
          <reference field="0" count="1" selected="0">
            <x v="335"/>
          </reference>
        </references>
      </pivotArea>
    </format>
    <format dxfId="71">
      <pivotArea collapsedLevelsAreSubtotals="1" fieldPosition="0">
        <references count="1">
          <reference field="0" count="1" selected="0">
            <x v="336"/>
          </reference>
        </references>
      </pivotArea>
    </format>
    <format dxfId="72">
      <pivotArea collapsedLevelsAreSubtotals="1" fieldPosition="0">
        <references count="1">
          <reference field="0" count="1" selected="0">
            <x v="337"/>
          </reference>
        </references>
      </pivotArea>
    </format>
    <format dxfId="73">
      <pivotArea collapsedLevelsAreSubtotals="1" fieldPosition="0">
        <references count="1">
          <reference field="0" count="1" selected="0">
            <x v="338"/>
          </reference>
        </references>
      </pivotArea>
    </format>
    <format dxfId="74">
      <pivotArea collapsedLevelsAreSubtotals="1" fieldPosition="0">
        <references count="1">
          <reference field="0" count="1" selected="0">
            <x v="339"/>
          </reference>
        </references>
      </pivotArea>
    </format>
    <format dxfId="75">
      <pivotArea collapsedLevelsAreSubtotals="1" fieldPosition="0">
        <references count="1">
          <reference field="0" count="1" selected="0">
            <x v="340"/>
          </reference>
        </references>
      </pivotArea>
    </format>
    <format dxfId="76">
      <pivotArea collapsedLevelsAreSubtotals="1" fieldPosition="0">
        <references count="1">
          <reference field="0" count="1" selected="0">
            <x v="341"/>
          </reference>
        </references>
      </pivotArea>
    </format>
    <format dxfId="77">
      <pivotArea collapsedLevelsAreSubtotals="1" fieldPosition="0">
        <references count="1">
          <reference field="0" count="1" selected="0">
            <x v="342"/>
          </reference>
        </references>
      </pivotArea>
    </format>
    <format dxfId="78">
      <pivotArea collapsedLevelsAreSubtotals="1" fieldPosition="0">
        <references count="1">
          <reference field="0" count="1" selected="0">
            <x v="361"/>
          </reference>
        </references>
      </pivotArea>
    </format>
    <format dxfId="79">
      <pivotArea dataOnly="0" labelOnly="1" fieldPosition="0">
        <references count="1">
          <reference field="4294967294" count="1">
            <x v="3"/>
          </reference>
        </references>
      </pivotArea>
    </format>
    <format dxfId="8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81">
      <pivotArea dataOnly="0" labelOnly="1" grandRow="1" fieldPosition="0"/>
    </format>
    <format dxfId="82">
      <pivotArea grandRow="1" collapsedLevelsAreSubtotals="1" fieldPosition="0"/>
    </format>
    <format dxfId="83">
      <pivotArea type="all" dataOnly="0" outline="0" fieldPosition="0"/>
    </format>
    <format dxfId="84">
      <pivotArea field="0" type="button" dataOnly="0" labelOnly="1" outline="0" fieldPosition="0"/>
    </format>
    <format dxfId="85">
      <pivotArea dataOnly="0" labelOnly="1" fieldPosition="0">
        <references count="1">
          <reference field="4294967294" count="1">
            <x v="0"/>
          </reference>
        </references>
      </pivotArea>
    </format>
    <format dxfId="86">
      <pivotArea dataOnly="0" labelOnly="1" fieldPosition="0">
        <references count="1">
          <reference field="4294967294" count="1">
            <x v="1"/>
          </reference>
        </references>
      </pivotArea>
    </format>
    <format dxfId="87">
      <pivotArea dataOnly="0" labelOnly="1" fieldPosition="0">
        <references count="1">
          <reference field="4294967294" count="1">
            <x v="2"/>
          </reference>
        </references>
      </pivotArea>
    </format>
    <format dxfId="88">
      <pivotArea dataOnly="0" labelOnly="1" fieldPosition="0">
        <references count="1">
          <reference field="4294967294" count="1">
            <x v="3"/>
          </reference>
        </references>
      </pivotArea>
    </format>
    <format dxfId="89">
      <pivotArea dataOnly="0" labelOnly="1" fieldPosition="0">
        <references count="1">
          <reference field="4294967294" count="1">
            <x v="4"/>
          </reference>
        </references>
      </pivotArea>
    </format>
    <format dxfId="90">
      <pivotArea dataOnly="0" labelOnly="1" fieldPosition="0">
        <references count="1">
          <reference field="4294967294" count="1">
            <x v="5"/>
          </reference>
        </references>
      </pivotArea>
    </format>
    <format dxfId="91">
      <pivotArea dataOnly="0" labelOnly="1" fieldPosition="0">
        <references count="1">
          <reference field="4294967294" count="1">
            <x v="6"/>
          </reference>
        </references>
      </pivotArea>
    </format>
    <format dxfId="92">
      <pivotArea dataOnly="0" labelOnly="1" fieldPosition="0">
        <references count="1">
          <reference field="4294967294" count="1">
            <x v="7"/>
          </reference>
        </references>
      </pivotArea>
    </format>
    <format dxfId="93">
      <pivotArea dataOnly="0" labelOnly="1" fieldPosition="0">
        <references count="1">
          <reference field="4294967294" count="1">
            <x v="8"/>
          </reference>
        </references>
      </pivotArea>
    </format>
    <format dxfId="94">
      <pivotArea dataOnly="0" labelOnly="1" fieldPosition="0">
        <references count="1">
          <reference field="4294967294" count="1">
            <x v="9"/>
          </reference>
        </references>
      </pivotArea>
    </format>
    <format dxfId="95">
      <pivotArea dataOnly="0" labelOnly="1" fieldPosition="0">
        <references count="1">
          <reference field="4294967294" count="1">
            <x v="10"/>
          </reference>
        </references>
      </pivotArea>
    </format>
    <format dxfId="96">
      <pivotArea dataOnly="0" labelOnly="1" fieldPosition="0">
        <references count="1">
          <reference field="4294967294" count="1">
            <x v="11"/>
          </reference>
        </references>
      </pivotArea>
    </format>
    <format dxfId="97">
      <pivotArea dataOnly="0" labelOnly="1" fieldPosition="0">
        <references count="1">
          <reference field="4294967294" count="1">
            <x v="12"/>
          </reference>
        </references>
      </pivotArea>
    </format>
    <format dxfId="98">
      <pivotArea dataOnly="0" labelOnly="1" fieldPosition="0">
        <references count="1">
          <reference field="4294967294" count="1">
            <x v="3"/>
          </reference>
        </references>
      </pivotArea>
    </format>
    <format dxfId="9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00">
      <pivotArea dataOnly="0" labelOnly="1" fieldPosition="0">
        <references count="1">
          <reference field="4294967294" count="1">
            <x v="7"/>
          </reference>
        </references>
      </pivotArea>
    </format>
    <format dxfId="10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02">
      <pivotArea dataOnly="0" labelOnly="1" fieldPosition="0">
        <references count="1">
          <reference field="4294967294" count="1">
            <x v="12"/>
          </reference>
        </references>
      </pivotArea>
    </format>
    <format dxfId="103">
      <pivotArea collapsedLevelsAreSubtotals="1" fieldPosition="0">
        <references count="1">
          <reference field="4294967294" count="1" selected="0">
            <x v="12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3:U185" firstHeaderRow="0" firstDataRow="1" firstDataCol="8"/>
  <pivotFields count="40">
    <pivotField axis="axisRow" compact="0" sortType="descending" outline="0" subtotalTop="0" multipleItemSelectionAllowed="1" numFmtId="14" showAll="0">
      <items count="172">
        <item h="1" x="170"/>
        <item h="1" x="169"/>
        <item h="1" x="168"/>
        <item h="1" x="167"/>
        <item h="1" x="166"/>
        <item h="1" x="165"/>
        <item h="1" x="164"/>
        <item h="1" x="163"/>
        <item h="1" x="162"/>
        <item h="1" x="161"/>
        <item h="1" x="160"/>
        <item h="1" x="159"/>
        <item h="1" x="158"/>
        <item h="1"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h="1" x="143"/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h="1" x="132"/>
        <item h="1" x="131"/>
        <item h="1" x="130"/>
        <item h="1" x="129"/>
        <item h="1" x="128"/>
        <item h="1" x="127"/>
        <item h="1" x="126"/>
        <item h="1" x="125"/>
        <item h="1" x="124"/>
        <item h="1" x="123"/>
        <item h="1" x="122"/>
        <item h="1" x="121"/>
        <item h="1" x="120"/>
        <item h="1" x="119"/>
        <item h="1" x="118"/>
        <item h="1" x="117"/>
        <item h="1" x="116"/>
        <item h="1" x="115"/>
        <item h="1" x="114"/>
        <item h="1" x="113"/>
        <item h="1" x="112"/>
        <item h="1" x="111"/>
        <item h="1" x="110"/>
        <item h="1" x="109"/>
        <item h="1" x="108"/>
        <item h="1" x="107"/>
        <item h="1" x="106"/>
        <item h="1" x="105"/>
        <item h="1" x="104"/>
        <item h="1" x="103"/>
        <item h="1" x="102"/>
        <item h="1" x="101"/>
        <item h="1" x="100"/>
        <item h="1" x="99"/>
        <item h="1" x="98"/>
        <item h="1" x="97"/>
        <item h="1" x="96"/>
        <item h="1" x="95"/>
        <item h="1" x="94"/>
        <item h="1" x="93"/>
        <item h="1" x="92"/>
        <item h="1" x="91"/>
        <item h="1" x="90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h="1" x="157"/>
        <item t="default"/>
      </items>
    </pivotField>
    <pivotField compact="0" outline="0" subtotalTop="0" showAll="0">
      <items count="198">
        <item x="196"/>
        <item x="69"/>
        <item x="93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9"/>
        <item x="20"/>
        <item x="128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outline="0" subtotalTop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9"/>
        <item x="21"/>
        <item x="82"/>
        <item x="169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axis="axisRow" compact="0" defaultSubtotal="0" outline="0" subtotalTop="0" showAll="0">
      <items count="3">
        <item x="1"/>
        <item x="0"/>
        <item x="2"/>
      </items>
    </pivotField>
    <pivotField axis="axisRow" compact="0" outline="0" subtotalTop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3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outline="0" subtotalTop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outline="0" subtotalTop="0" showAll="0"/>
    <pivotField dataField="1" compact="0" outline="0" subtotalTop="0" showAll="0">
      <items count="919">
        <item x="220"/>
        <item x="917"/>
        <item x="136"/>
        <item x="679"/>
        <item x="105"/>
        <item x="44"/>
        <item x="61"/>
        <item x="212"/>
        <item x="428"/>
        <item x="18"/>
        <item x="8"/>
        <item x="437"/>
        <item x="109"/>
        <item x="340"/>
        <item x="55"/>
        <item x="670"/>
        <item x="33"/>
        <item x="626"/>
        <item x="171"/>
        <item x="458"/>
        <item x="385"/>
        <item x="640"/>
        <item x="332"/>
        <item x="533"/>
        <item x="462"/>
        <item x="39"/>
        <item x="464"/>
        <item x="138"/>
        <item x="542"/>
        <item x="643"/>
        <item x="89"/>
        <item x="307"/>
        <item x="148"/>
        <item x="5"/>
        <item x="250"/>
        <item x="341"/>
        <item x="555"/>
        <item x="630"/>
        <item x="0"/>
        <item x="1"/>
        <item x="2"/>
        <item x="3"/>
        <item x="4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4"/>
        <item x="675"/>
        <item x="676"/>
        <item x="677"/>
        <item x="678"/>
        <item x="680"/>
        <item x="681"/>
        <item x="682"/>
        <item x="30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t="default"/>
      </items>
    </pivotField>
    <pivotField dataField="1" compact="0" outline="0" subtotalTop="0" showAll="0">
      <items count="931">
        <item x="467"/>
        <item x="226"/>
        <item x="96"/>
        <item x="78"/>
        <item x="558"/>
        <item x="929"/>
        <item x="141"/>
        <item x="304"/>
        <item x="75"/>
        <item x="257"/>
        <item x="303"/>
        <item x="459"/>
        <item x="555"/>
        <item x="353"/>
        <item x="24"/>
        <item x="294"/>
        <item x="292"/>
        <item x="559"/>
        <item x="540"/>
        <item x="701"/>
        <item x="179"/>
        <item x="594"/>
        <item x="343"/>
        <item x="460"/>
        <item x="584"/>
        <item x="305"/>
        <item x="123"/>
        <item x="412"/>
        <item x="527"/>
        <item x="513"/>
        <item x="589"/>
        <item x="702"/>
        <item x="334"/>
        <item x="264"/>
        <item x="37"/>
        <item x="693"/>
        <item x="85"/>
        <item x="93"/>
        <item x="171"/>
        <item x="70"/>
        <item x="263"/>
        <item x="357"/>
        <item x="117"/>
        <item x="383"/>
        <item x="443"/>
        <item x="516"/>
        <item x="571"/>
        <item x="484"/>
        <item x="377"/>
        <item x="19"/>
        <item x="439"/>
        <item x="20"/>
        <item x="198"/>
        <item x="674"/>
        <item x="4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5"/>
        <item x="26"/>
        <item x="27"/>
        <item x="28"/>
        <item x="29"/>
        <item x="31"/>
        <item x="32"/>
        <item x="33"/>
        <item x="34"/>
        <item x="35"/>
        <item x="36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3"/>
        <item x="74"/>
        <item x="76"/>
        <item x="77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0"/>
        <item x="351"/>
        <item x="352"/>
        <item x="354"/>
        <item x="355"/>
        <item x="356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63"/>
        <item x="464"/>
        <item x="465"/>
        <item x="466"/>
        <item x="468"/>
        <item x="469"/>
        <item x="470"/>
        <item x="471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1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4"/>
        <item x="695"/>
        <item x="696"/>
        <item x="697"/>
        <item x="698"/>
        <item x="699"/>
        <item x="700"/>
        <item x="55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30"/>
        <item x="40"/>
        <item x="63"/>
        <item x="79"/>
        <item x="156"/>
        <item x="237"/>
        <item x="333"/>
        <item x="473"/>
        <item x="515"/>
        <item x="592"/>
        <item x="636"/>
        <item x="685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t="default"/>
      </items>
    </pivotField>
    <pivotField dataField="1" compact="0" outline="0" subtotalTop="0" showAll="0">
      <items count="776">
        <item x="72"/>
        <item x="24"/>
        <item x="15"/>
        <item x="342"/>
        <item x="456"/>
        <item x="38"/>
        <item x="73"/>
        <item x="199"/>
        <item x="304"/>
        <item x="560"/>
        <item x="396"/>
        <item x="180"/>
        <item x="440"/>
        <item x="507"/>
        <item x="247"/>
        <item x="565"/>
        <item x="131"/>
        <item x="406"/>
        <item x="85"/>
        <item x="249"/>
        <item x="273"/>
        <item x="354"/>
        <item x="94"/>
        <item x="288"/>
        <item x="61"/>
        <item x="27"/>
        <item x="113"/>
        <item x="286"/>
        <item x="543"/>
        <item x="307"/>
        <item x="355"/>
        <item x="301"/>
        <item x="276"/>
        <item x="528"/>
        <item x="37"/>
        <item x="318"/>
        <item x="132"/>
        <item x="70"/>
        <item x="167"/>
        <item x="308"/>
        <item x="774"/>
        <item x="272"/>
        <item x="532"/>
        <item x="280"/>
        <item x="78"/>
        <item x="292"/>
        <item x="348"/>
        <item x="405"/>
        <item x="579"/>
        <item x="495"/>
        <item x="539"/>
        <item x="87"/>
        <item x="19"/>
        <item x="20"/>
        <item x="214"/>
        <item x="130"/>
        <item x="319"/>
        <item x="309"/>
        <item x="277"/>
        <item x="142"/>
        <item x="388"/>
        <item x="314"/>
        <item x="8"/>
        <item x="586"/>
        <item x="433"/>
        <item x="486"/>
        <item x="564"/>
        <item x="380"/>
        <item x="344"/>
        <item x="58"/>
        <item x="93"/>
        <item x="156"/>
        <item x="36"/>
        <item x="161"/>
        <item x="223"/>
        <item x="401"/>
        <item x="541"/>
        <item x="397"/>
        <item x="587"/>
        <item x="45"/>
        <item x="28"/>
        <item x="382"/>
        <item x="124"/>
        <item x="120"/>
        <item x="35"/>
        <item x="485"/>
        <item x="248"/>
        <item x="241"/>
        <item x="453"/>
        <item x="274"/>
        <item x="312"/>
        <item x="509"/>
        <item x="282"/>
        <item x="576"/>
        <item x="581"/>
        <item x="457"/>
        <item x="278"/>
        <item x="349"/>
        <item x="525"/>
        <item x="374"/>
        <item x="526"/>
        <item x="306"/>
        <item x="540"/>
        <item x="392"/>
        <item x="65"/>
        <item x="240"/>
        <item x="408"/>
        <item x="71"/>
        <item x="79"/>
        <item x="359"/>
        <item x="315"/>
        <item x="279"/>
        <item x="239"/>
        <item x="30"/>
        <item x="290"/>
        <item x="548"/>
        <item x="118"/>
        <item x="519"/>
        <item x="591"/>
        <item x="140"/>
        <item x="265"/>
        <item x="18"/>
        <item x="10"/>
        <item x="480"/>
        <item x="227"/>
        <item x="100"/>
        <item x="52"/>
        <item x="596"/>
        <item x="74"/>
        <item x="202"/>
        <item x="182"/>
        <item x="2"/>
        <item x="32"/>
        <item x="242"/>
        <item x="92"/>
        <item x="313"/>
        <item x="295"/>
        <item x="497"/>
        <item x="255"/>
        <item x="316"/>
        <item x="578"/>
        <item x="529"/>
        <item x="471"/>
        <item x="211"/>
        <item x="99"/>
        <item x="25"/>
        <item x="506"/>
        <item x="443"/>
        <item x="243"/>
        <item x="424"/>
        <item x="90"/>
        <item x="346"/>
        <item x="421"/>
        <item x="169"/>
        <item x="594"/>
        <item x="481"/>
        <item x="66"/>
        <item x="186"/>
        <item x="229"/>
        <item x="597"/>
        <item x="402"/>
        <item x="547"/>
        <item x="383"/>
        <item x="474"/>
        <item x="589"/>
        <item x="0"/>
        <item x="1"/>
        <item x="3"/>
        <item x="4"/>
        <item x="5"/>
        <item x="6"/>
        <item x="7"/>
        <item x="9"/>
        <item x="11"/>
        <item x="12"/>
        <item x="13"/>
        <item x="14"/>
        <item x="16"/>
        <item x="17"/>
        <item x="21"/>
        <item x="22"/>
        <item x="23"/>
        <item x="26"/>
        <item x="31"/>
        <item x="33"/>
        <item x="34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3"/>
        <item x="54"/>
        <item x="55"/>
        <item x="56"/>
        <item x="57"/>
        <item x="59"/>
        <item x="60"/>
        <item x="62"/>
        <item x="63"/>
        <item x="64"/>
        <item x="67"/>
        <item x="68"/>
        <item x="69"/>
        <item x="75"/>
        <item x="76"/>
        <item x="77"/>
        <item x="80"/>
        <item x="81"/>
        <item x="82"/>
        <item x="83"/>
        <item x="84"/>
        <item x="86"/>
        <item x="88"/>
        <item x="89"/>
        <item x="91"/>
        <item x="95"/>
        <item x="96"/>
        <item x="97"/>
        <item x="98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9"/>
        <item x="121"/>
        <item x="122"/>
        <item x="123"/>
        <item x="125"/>
        <item x="126"/>
        <item x="127"/>
        <item x="128"/>
        <item x="129"/>
        <item x="133"/>
        <item x="134"/>
        <item x="135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2"/>
        <item x="163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5"/>
        <item x="206"/>
        <item x="207"/>
        <item x="208"/>
        <item x="209"/>
        <item x="210"/>
        <item x="212"/>
        <item x="213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8"/>
        <item x="230"/>
        <item x="231"/>
        <item x="232"/>
        <item x="233"/>
        <item x="234"/>
        <item x="235"/>
        <item x="236"/>
        <item x="237"/>
        <item x="238"/>
        <item x="244"/>
        <item x="245"/>
        <item x="246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5"/>
        <item x="281"/>
        <item x="283"/>
        <item x="284"/>
        <item x="285"/>
        <item x="287"/>
        <item x="289"/>
        <item x="291"/>
        <item x="293"/>
        <item x="294"/>
        <item x="296"/>
        <item x="297"/>
        <item x="298"/>
        <item x="299"/>
        <item x="300"/>
        <item x="302"/>
        <item x="303"/>
        <item x="305"/>
        <item x="310"/>
        <item x="311"/>
        <item x="317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5"/>
        <item x="347"/>
        <item x="350"/>
        <item x="351"/>
        <item x="352"/>
        <item x="353"/>
        <item x="356"/>
        <item x="357"/>
        <item x="358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1"/>
        <item x="384"/>
        <item x="385"/>
        <item x="386"/>
        <item x="387"/>
        <item x="389"/>
        <item x="390"/>
        <item x="391"/>
        <item x="393"/>
        <item x="394"/>
        <item x="395"/>
        <item x="398"/>
        <item x="399"/>
        <item x="400"/>
        <item x="403"/>
        <item x="404"/>
        <item x="407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5"/>
        <item x="426"/>
        <item x="427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5"/>
        <item x="476"/>
        <item x="477"/>
        <item x="478"/>
        <item x="479"/>
        <item x="482"/>
        <item x="483"/>
        <item x="484"/>
        <item x="487"/>
        <item x="488"/>
        <item x="489"/>
        <item x="490"/>
        <item x="491"/>
        <item x="492"/>
        <item x="493"/>
        <item x="494"/>
        <item x="496"/>
        <item x="498"/>
        <item x="499"/>
        <item x="500"/>
        <item x="501"/>
        <item x="502"/>
        <item x="503"/>
        <item x="504"/>
        <item x="505"/>
        <item x="508"/>
        <item x="510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7"/>
        <item x="530"/>
        <item x="531"/>
        <item x="533"/>
        <item x="534"/>
        <item x="535"/>
        <item x="536"/>
        <item x="537"/>
        <item x="538"/>
        <item x="542"/>
        <item x="544"/>
        <item x="545"/>
        <item x="546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80"/>
        <item x="582"/>
        <item x="583"/>
        <item x="584"/>
        <item x="585"/>
        <item x="588"/>
        <item x="590"/>
        <item x="592"/>
        <item x="593"/>
        <item x="595"/>
        <item x="29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t="default"/>
      </items>
    </pivotField>
    <pivotField compact="0" outline="0" subtotalTop="0" numFmtId="10" showAll="0">
      <items count="607">
        <item x="476"/>
        <item x="85"/>
        <item x="227"/>
        <item x="318"/>
        <item x="406"/>
        <item x="437"/>
        <item x="316"/>
        <item x="454"/>
        <item x="381"/>
        <item x="152"/>
        <item x="449"/>
        <item x="453"/>
        <item x="210"/>
        <item x="160"/>
        <item x="321"/>
        <item x="335"/>
        <item x="398"/>
        <item x="291"/>
        <item x="341"/>
        <item x="361"/>
        <item x="402"/>
        <item x="416"/>
        <item x="423"/>
        <item x="442"/>
        <item x="359"/>
        <item x="282"/>
        <item x="450"/>
        <item x="331"/>
        <item x="244"/>
        <item x="10"/>
        <item x="451"/>
        <item x="153"/>
        <item x="360"/>
        <item x="211"/>
        <item x="459"/>
        <item x="285"/>
        <item x="605"/>
        <item x="393"/>
        <item x="363"/>
        <item x="395"/>
        <item x="209"/>
        <item x="205"/>
        <item x="323"/>
        <item x="161"/>
        <item x="198"/>
        <item x="334"/>
        <item x="199"/>
        <item x="78"/>
        <item x="191"/>
        <item x="352"/>
        <item x="445"/>
        <item x="158"/>
        <item x="372"/>
        <item x="123"/>
        <item x="302"/>
        <item x="457"/>
        <item x="444"/>
        <item x="167"/>
        <item x="480"/>
        <item x="267"/>
        <item x="309"/>
        <item x="412"/>
        <item x="96"/>
        <item x="222"/>
        <item x="168"/>
        <item x="23"/>
        <item x="145"/>
        <item x="438"/>
        <item x="113"/>
        <item x="278"/>
        <item x="464"/>
        <item x="409"/>
        <item x="344"/>
        <item x="87"/>
        <item x="154"/>
        <item x="364"/>
        <item x="146"/>
        <item x="410"/>
        <item x="232"/>
        <item x="299"/>
        <item x="223"/>
        <item x="252"/>
        <item x="385"/>
        <item x="280"/>
        <item x="77"/>
        <item x="4"/>
        <item x="208"/>
        <item x="329"/>
        <item x="137"/>
        <item x="119"/>
        <item x="306"/>
        <item x="384"/>
        <item x="234"/>
        <item x="376"/>
        <item x="108"/>
        <item x="411"/>
        <item x="460"/>
        <item x="415"/>
        <item x="8"/>
        <item x="374"/>
        <item x="202"/>
        <item x="266"/>
        <item x="224"/>
        <item x="324"/>
        <item x="102"/>
        <item x="29"/>
        <item x="297"/>
        <item x="294"/>
        <item x="304"/>
        <item x="347"/>
        <item x="377"/>
        <item x="225"/>
        <item x="394"/>
        <item x="390"/>
        <item x="268"/>
        <item x="357"/>
        <item x="213"/>
        <item x="313"/>
        <item x="254"/>
        <item x="434"/>
        <item x="474"/>
        <item x="351"/>
        <item x="162"/>
        <item x="311"/>
        <item x="429"/>
        <item x="174"/>
        <item x="28"/>
        <item x="84"/>
        <item x="314"/>
        <item x="414"/>
        <item x="420"/>
        <item x="290"/>
        <item x="433"/>
        <item x="413"/>
        <item x="301"/>
        <item x="286"/>
        <item x="260"/>
        <item x="289"/>
        <item x="369"/>
        <item x="404"/>
        <item x="447"/>
        <item x="264"/>
        <item x="82"/>
        <item x="274"/>
        <item x="367"/>
        <item x="452"/>
        <item x="265"/>
        <item x="219"/>
        <item x="9"/>
        <item x="446"/>
        <item x="386"/>
        <item x="320"/>
        <item x="462"/>
        <item x="484"/>
        <item x="233"/>
        <item x="159"/>
        <item x="330"/>
        <item x="349"/>
        <item x="458"/>
        <item x="203"/>
        <item x="440"/>
        <item x="391"/>
        <item x="72"/>
        <item x="370"/>
        <item x="46"/>
        <item x="308"/>
        <item x="269"/>
        <item x="109"/>
        <item x="2"/>
        <item x="270"/>
        <item x="216"/>
        <item x="277"/>
        <item x="456"/>
        <item x="263"/>
        <item x="401"/>
        <item x="475"/>
        <item x="187"/>
        <item x="383"/>
        <item x="317"/>
        <item x="238"/>
        <item x="112"/>
        <item x="65"/>
        <item x="443"/>
        <item x="195"/>
        <item x="284"/>
        <item x="439"/>
        <item x="240"/>
        <item x="422"/>
        <item x="365"/>
        <item x="295"/>
        <item x="24"/>
        <item x="149"/>
        <item x="343"/>
        <item x="380"/>
        <item x="140"/>
        <item x="192"/>
        <item x="188"/>
        <item x="408"/>
        <item x="134"/>
        <item x="298"/>
        <item x="197"/>
        <item x="325"/>
        <item x="427"/>
        <item x="25"/>
        <item x="418"/>
        <item x="292"/>
        <item x="346"/>
        <item x="355"/>
        <item x="362"/>
        <item x="76"/>
        <item x="95"/>
        <item x="368"/>
        <item x="34"/>
        <item x="350"/>
        <item x="71"/>
        <item x="328"/>
        <item x="288"/>
        <item x="326"/>
        <item x="366"/>
        <item x="115"/>
        <item x="130"/>
        <item x="358"/>
        <item x="448"/>
        <item x="407"/>
        <item x="196"/>
        <item x="53"/>
        <item x="339"/>
        <item x="172"/>
        <item x="155"/>
        <item x="283"/>
        <item x="256"/>
        <item x="287"/>
        <item x="132"/>
        <item x="388"/>
        <item x="39"/>
        <item x="419"/>
        <item x="332"/>
        <item x="175"/>
        <item x="296"/>
        <item x="239"/>
        <item x="483"/>
        <item x="473"/>
        <item x="97"/>
        <item x="124"/>
        <item x="156"/>
        <item x="166"/>
        <item x="204"/>
        <item x="435"/>
        <item x="281"/>
        <item x="41"/>
        <item x="481"/>
        <item x="471"/>
        <item x="431"/>
        <item x="63"/>
        <item x="69"/>
        <item x="3"/>
        <item x="472"/>
        <item x="185"/>
        <item x="436"/>
        <item x="111"/>
        <item x="14"/>
        <item x="482"/>
        <item x="217"/>
        <item x="88"/>
        <item x="47"/>
        <item x="104"/>
        <item x="336"/>
        <item x="405"/>
        <item x="424"/>
        <item x="303"/>
        <item x="428"/>
        <item x="305"/>
        <item x="272"/>
        <item x="378"/>
        <item x="135"/>
        <item x="147"/>
        <item x="315"/>
        <item x="257"/>
        <item x="79"/>
        <item x="218"/>
        <item x="121"/>
        <item x="173"/>
        <item x="148"/>
        <item x="241"/>
        <item x="312"/>
        <item x="138"/>
        <item x="399"/>
        <item x="0"/>
        <item x="1"/>
        <item x="5"/>
        <item x="6"/>
        <item x="7"/>
        <item x="11"/>
        <item x="12"/>
        <item x="13"/>
        <item x="15"/>
        <item x="16"/>
        <item x="17"/>
        <item x="18"/>
        <item x="19"/>
        <item x="20"/>
        <item x="21"/>
        <item x="22"/>
        <item x="26"/>
        <item x="27"/>
        <item x="31"/>
        <item x="32"/>
        <item x="33"/>
        <item x="35"/>
        <item x="36"/>
        <item x="37"/>
        <item x="38"/>
        <item x="40"/>
        <item x="42"/>
        <item x="43"/>
        <item x="44"/>
        <item x="45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6"/>
        <item x="67"/>
        <item x="68"/>
        <item x="70"/>
        <item x="73"/>
        <item x="74"/>
        <item x="75"/>
        <item x="80"/>
        <item x="81"/>
        <item x="83"/>
        <item x="86"/>
        <item x="89"/>
        <item x="90"/>
        <item x="91"/>
        <item x="92"/>
        <item x="93"/>
        <item x="94"/>
        <item x="98"/>
        <item x="99"/>
        <item x="100"/>
        <item x="101"/>
        <item x="103"/>
        <item x="105"/>
        <item x="106"/>
        <item x="107"/>
        <item x="110"/>
        <item x="114"/>
        <item x="116"/>
        <item x="117"/>
        <item x="118"/>
        <item x="120"/>
        <item x="122"/>
        <item x="125"/>
        <item x="126"/>
        <item x="127"/>
        <item x="128"/>
        <item x="129"/>
        <item x="131"/>
        <item x="133"/>
        <item x="136"/>
        <item x="139"/>
        <item x="141"/>
        <item x="142"/>
        <item x="143"/>
        <item x="144"/>
        <item x="150"/>
        <item x="151"/>
        <item x="157"/>
        <item x="163"/>
        <item x="164"/>
        <item x="165"/>
        <item x="169"/>
        <item x="170"/>
        <item x="171"/>
        <item x="176"/>
        <item x="177"/>
        <item x="178"/>
        <item x="179"/>
        <item x="180"/>
        <item x="181"/>
        <item x="182"/>
        <item x="183"/>
        <item x="184"/>
        <item x="186"/>
        <item x="189"/>
        <item x="190"/>
        <item x="193"/>
        <item x="194"/>
        <item x="200"/>
        <item x="201"/>
        <item x="206"/>
        <item x="207"/>
        <item x="212"/>
        <item x="214"/>
        <item x="215"/>
        <item x="220"/>
        <item x="221"/>
        <item x="226"/>
        <item x="228"/>
        <item x="229"/>
        <item x="230"/>
        <item x="231"/>
        <item x="235"/>
        <item x="236"/>
        <item x="237"/>
        <item x="242"/>
        <item x="243"/>
        <item x="245"/>
        <item x="246"/>
        <item x="247"/>
        <item x="248"/>
        <item x="249"/>
        <item x="250"/>
        <item x="251"/>
        <item x="253"/>
        <item x="255"/>
        <item x="258"/>
        <item x="259"/>
        <item x="261"/>
        <item x="262"/>
        <item x="271"/>
        <item x="273"/>
        <item x="275"/>
        <item x="276"/>
        <item x="279"/>
        <item x="293"/>
        <item x="300"/>
        <item x="307"/>
        <item x="310"/>
        <item x="319"/>
        <item x="322"/>
        <item x="327"/>
        <item x="333"/>
        <item x="337"/>
        <item x="338"/>
        <item x="340"/>
        <item x="342"/>
        <item x="345"/>
        <item x="348"/>
        <item x="353"/>
        <item x="354"/>
        <item x="356"/>
        <item x="371"/>
        <item x="373"/>
        <item x="375"/>
        <item x="379"/>
        <item x="382"/>
        <item x="387"/>
        <item x="389"/>
        <item x="392"/>
        <item x="396"/>
        <item x="397"/>
        <item x="400"/>
        <item x="403"/>
        <item x="417"/>
        <item x="421"/>
        <item x="425"/>
        <item x="426"/>
        <item x="430"/>
        <item x="432"/>
        <item x="441"/>
        <item x="455"/>
        <item x="461"/>
        <item x="463"/>
        <item x="465"/>
        <item x="466"/>
        <item x="467"/>
        <item x="468"/>
        <item x="469"/>
        <item x="470"/>
        <item x="477"/>
        <item x="478"/>
        <item x="479"/>
        <item x="485"/>
        <item x="30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compact="0" outline="0" subtotalTop="0" showAll="0">
      <items count="115">
        <item x="33"/>
        <item x="80"/>
        <item x="49"/>
        <item x="72"/>
        <item x="57"/>
        <item x="46"/>
        <item x="98"/>
        <item x="22"/>
        <item x="63"/>
        <item x="15"/>
        <item x="14"/>
        <item x="99"/>
        <item x="40"/>
        <item x="44"/>
        <item x="104"/>
        <item x="71"/>
        <item x="75"/>
        <item x="19"/>
        <item x="48"/>
        <item x="95"/>
        <item x="56"/>
        <item x="31"/>
        <item x="34"/>
        <item x="27"/>
        <item x="17"/>
        <item x="20"/>
        <item x="62"/>
        <item x="47"/>
        <item x="103"/>
        <item x="53"/>
        <item x="24"/>
        <item x="64"/>
        <item x="7"/>
        <item x="51"/>
        <item x="97"/>
        <item x="8"/>
        <item x="3"/>
        <item x="66"/>
        <item x="74"/>
        <item x="36"/>
        <item x="113"/>
        <item x="41"/>
        <item x="42"/>
        <item x="73"/>
        <item x="32"/>
        <item x="30"/>
        <item x="58"/>
        <item x="83"/>
        <item x="0"/>
        <item x="12"/>
        <item x="81"/>
        <item x="35"/>
        <item x="55"/>
        <item x="21"/>
        <item x="78"/>
        <item x="79"/>
        <item x="54"/>
        <item x="10"/>
        <item x="26"/>
        <item x="82"/>
        <item x="52"/>
        <item x="43"/>
        <item x="76"/>
        <item x="50"/>
        <item x="23"/>
        <item x="25"/>
        <item x="45"/>
        <item x="77"/>
        <item x="38"/>
        <item x="101"/>
        <item x="29"/>
        <item x="59"/>
        <item x="18"/>
        <item x="89"/>
        <item x="102"/>
        <item x="28"/>
        <item x="60"/>
        <item x="94"/>
        <item x="85"/>
        <item x="88"/>
        <item x="105"/>
        <item x="96"/>
        <item x="91"/>
        <item x="68"/>
        <item x="84"/>
        <item x="1"/>
        <item x="69"/>
        <item x="6"/>
        <item x="2"/>
        <item x="9"/>
        <item x="5"/>
        <item x="4"/>
        <item x="37"/>
        <item x="100"/>
        <item x="67"/>
        <item x="39"/>
        <item x="70"/>
        <item x="92"/>
        <item x="65"/>
        <item x="90"/>
        <item x="11"/>
        <item x="13"/>
        <item x="61"/>
        <item x="86"/>
        <item x="87"/>
        <item x="93"/>
        <item x="16"/>
        <item x="106"/>
        <item x="107"/>
        <item x="108"/>
        <item x="109"/>
        <item x="110"/>
        <item x="111"/>
        <item x="112"/>
        <item t="default"/>
      </items>
    </pivotField>
    <pivotField compact="0" outline="0" subtotalTop="0" showAll="0">
      <items count="820">
        <item x="359"/>
        <item x="255"/>
        <item x="326"/>
        <item x="185"/>
        <item x="347"/>
        <item x="237"/>
        <item x="462"/>
        <item x="315"/>
        <item x="818"/>
        <item x="505"/>
        <item x="495"/>
        <item x="479"/>
        <item x="320"/>
        <item x="544"/>
        <item x="163"/>
        <item x="520"/>
        <item x="108"/>
        <item x="375"/>
        <item x="236"/>
        <item x="361"/>
        <item x="546"/>
        <item x="437"/>
        <item x="555"/>
        <item x="610"/>
        <item x="550"/>
        <item x="88"/>
        <item x="283"/>
        <item x="148"/>
        <item x="161"/>
        <item x="514"/>
        <item x="411"/>
        <item x="540"/>
        <item x="483"/>
        <item x="142"/>
        <item x="454"/>
        <item x="485"/>
        <item x="466"/>
        <item x="431"/>
        <item x="511"/>
        <item x="342"/>
        <item x="390"/>
        <item x="545"/>
        <item x="504"/>
        <item x="609"/>
        <item x="223"/>
        <item x="175"/>
        <item x="585"/>
        <item x="606"/>
        <item x="370"/>
        <item x="381"/>
        <item x="449"/>
        <item x="16"/>
        <item x="17"/>
        <item x="147"/>
        <item x="508"/>
        <item x="230"/>
        <item x="386"/>
        <item x="489"/>
        <item x="196"/>
        <item x="180"/>
        <item x="241"/>
        <item x="334"/>
        <item x="33"/>
        <item x="332"/>
        <item x="336"/>
        <item x="293"/>
        <item x="49"/>
        <item x="266"/>
        <item x="25"/>
        <item x="136"/>
        <item x="254"/>
        <item x="216"/>
        <item x="172"/>
        <item x="358"/>
        <item x="303"/>
        <item x="126"/>
        <item x="480"/>
        <item x="357"/>
        <item x="267"/>
        <item x="349"/>
        <item x="40"/>
        <item x="65"/>
        <item x="496"/>
        <item x="558"/>
        <item x="190"/>
        <item x="350"/>
        <item x="123"/>
        <item x="522"/>
        <item x="348"/>
        <item x="577"/>
        <item x="27"/>
        <item x="89"/>
        <item x="189"/>
        <item x="513"/>
        <item x="90"/>
        <item x="181"/>
        <item x="81"/>
        <item x="331"/>
        <item x="471"/>
        <item x="265"/>
        <item x="469"/>
        <item x="145"/>
        <item x="203"/>
        <item x="72"/>
        <item x="198"/>
        <item x="76"/>
        <item x="53"/>
        <item x="195"/>
        <item x="239"/>
        <item x="372"/>
        <item x="9"/>
        <item x="517"/>
        <item x="475"/>
        <item x="154"/>
        <item x="562"/>
        <item x="548"/>
        <item x="256"/>
        <item x="602"/>
        <item x="402"/>
        <item x="83"/>
        <item x="351"/>
        <item x="353"/>
        <item x="159"/>
        <item x="231"/>
        <item x="468"/>
        <item x="490"/>
        <item x="371"/>
        <item x="212"/>
        <item x="448"/>
        <item x="539"/>
        <item x="71"/>
        <item x="153"/>
        <item x="481"/>
        <item x="425"/>
        <item x="536"/>
        <item x="412"/>
        <item x="261"/>
        <item x="302"/>
        <item x="15"/>
        <item x="214"/>
        <item x="339"/>
        <item x="482"/>
        <item x="61"/>
        <item x="66"/>
        <item x="156"/>
        <item x="46"/>
        <item x="491"/>
        <item x="300"/>
        <item x="576"/>
        <item x="170"/>
        <item x="5"/>
        <item x="270"/>
        <item x="129"/>
        <item x="414"/>
        <item x="143"/>
        <item x="583"/>
        <item x="116"/>
        <item x="242"/>
        <item x="304"/>
        <item x="507"/>
        <item x="202"/>
        <item x="226"/>
        <item x="1"/>
        <item x="292"/>
        <item x="118"/>
        <item x="472"/>
        <item x="168"/>
        <item x="295"/>
        <item x="404"/>
        <item x="140"/>
        <item x="360"/>
        <item x="75"/>
        <item x="316"/>
        <item x="452"/>
        <item x="299"/>
        <item x="384"/>
        <item x="467"/>
        <item x="327"/>
        <item x="246"/>
        <item x="171"/>
        <item x="141"/>
        <item x="565"/>
        <item x="554"/>
        <item x="69"/>
        <item x="497"/>
        <item x="244"/>
        <item x="589"/>
        <item x="374"/>
        <item x="38"/>
        <item x="400"/>
        <item x="39"/>
        <item x="382"/>
        <item x="335"/>
        <item x="6"/>
        <item x="95"/>
        <item x="186"/>
        <item x="35"/>
        <item x="164"/>
        <item x="432"/>
        <item x="284"/>
        <item x="0"/>
        <item x="376"/>
        <item x="42"/>
        <item x="369"/>
        <item x="403"/>
        <item x="529"/>
        <item x="587"/>
        <item x="248"/>
        <item x="26"/>
        <item x="11"/>
        <item x="177"/>
        <item x="182"/>
        <item x="173"/>
        <item x="537"/>
        <item x="312"/>
        <item x="208"/>
        <item x="518"/>
        <item x="109"/>
        <item x="608"/>
        <item x="586"/>
        <item x="14"/>
        <item x="345"/>
        <item x="243"/>
        <item x="373"/>
        <item x="281"/>
        <item x="31"/>
        <item x="144"/>
        <item x="155"/>
        <item x="280"/>
        <item x="112"/>
        <item x="557"/>
        <item x="130"/>
        <item x="575"/>
        <item x="464"/>
        <item x="445"/>
        <item x="277"/>
        <item x="7"/>
        <item x="96"/>
        <item x="492"/>
        <item x="183"/>
        <item x="225"/>
        <item x="398"/>
        <item x="474"/>
        <item x="193"/>
        <item x="534"/>
        <item x="559"/>
        <item x="531"/>
        <item x="405"/>
        <item x="590"/>
        <item x="493"/>
        <item x="399"/>
        <item x="395"/>
        <item x="561"/>
        <item x="570"/>
        <item x="247"/>
        <item x="567"/>
        <item x="442"/>
        <item x="199"/>
        <item x="578"/>
        <item x="80"/>
        <item x="530"/>
        <item x="191"/>
        <item x="97"/>
        <item x="470"/>
        <item x="3"/>
        <item x="337"/>
        <item x="377"/>
        <item x="240"/>
        <item x="603"/>
        <item x="588"/>
        <item x="569"/>
        <item x="229"/>
        <item x="379"/>
        <item x="2"/>
        <item x="4"/>
        <item x="8"/>
        <item x="10"/>
        <item x="12"/>
        <item x="13"/>
        <item x="18"/>
        <item x="19"/>
        <item x="20"/>
        <item x="21"/>
        <item x="22"/>
        <item x="23"/>
        <item x="24"/>
        <item x="28"/>
        <item x="30"/>
        <item x="32"/>
        <item x="34"/>
        <item x="36"/>
        <item x="37"/>
        <item x="41"/>
        <item x="43"/>
        <item x="44"/>
        <item x="45"/>
        <item x="47"/>
        <item x="48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7"/>
        <item x="68"/>
        <item x="70"/>
        <item x="73"/>
        <item x="74"/>
        <item x="77"/>
        <item x="78"/>
        <item x="79"/>
        <item x="82"/>
        <item x="84"/>
        <item x="85"/>
        <item x="86"/>
        <item x="87"/>
        <item x="91"/>
        <item x="92"/>
        <item x="93"/>
        <item x="94"/>
        <item x="98"/>
        <item x="99"/>
        <item x="100"/>
        <item x="101"/>
        <item x="102"/>
        <item x="103"/>
        <item x="104"/>
        <item x="105"/>
        <item x="106"/>
        <item x="107"/>
        <item x="110"/>
        <item x="111"/>
        <item x="113"/>
        <item x="114"/>
        <item x="115"/>
        <item x="117"/>
        <item x="119"/>
        <item x="120"/>
        <item x="121"/>
        <item x="122"/>
        <item x="124"/>
        <item x="125"/>
        <item x="127"/>
        <item x="128"/>
        <item x="131"/>
        <item x="132"/>
        <item x="133"/>
        <item x="134"/>
        <item x="135"/>
        <item x="137"/>
        <item x="138"/>
        <item x="139"/>
        <item x="146"/>
        <item x="149"/>
        <item x="150"/>
        <item x="151"/>
        <item x="152"/>
        <item x="157"/>
        <item x="158"/>
        <item x="160"/>
        <item x="162"/>
        <item x="165"/>
        <item x="166"/>
        <item x="167"/>
        <item x="169"/>
        <item x="174"/>
        <item x="176"/>
        <item x="178"/>
        <item x="179"/>
        <item x="184"/>
        <item x="187"/>
        <item x="188"/>
        <item x="192"/>
        <item x="194"/>
        <item x="197"/>
        <item x="200"/>
        <item x="201"/>
        <item x="204"/>
        <item x="205"/>
        <item x="206"/>
        <item x="207"/>
        <item x="209"/>
        <item x="210"/>
        <item x="211"/>
        <item x="213"/>
        <item x="215"/>
        <item x="217"/>
        <item x="218"/>
        <item x="219"/>
        <item x="220"/>
        <item x="221"/>
        <item x="222"/>
        <item x="224"/>
        <item x="227"/>
        <item x="228"/>
        <item x="232"/>
        <item x="233"/>
        <item x="234"/>
        <item x="235"/>
        <item x="238"/>
        <item x="245"/>
        <item x="249"/>
        <item x="250"/>
        <item x="251"/>
        <item x="252"/>
        <item x="253"/>
        <item x="257"/>
        <item x="258"/>
        <item x="259"/>
        <item x="260"/>
        <item x="262"/>
        <item x="263"/>
        <item x="264"/>
        <item x="268"/>
        <item x="269"/>
        <item x="271"/>
        <item x="272"/>
        <item x="273"/>
        <item x="274"/>
        <item x="275"/>
        <item x="276"/>
        <item x="278"/>
        <item x="279"/>
        <item x="282"/>
        <item x="285"/>
        <item x="286"/>
        <item x="287"/>
        <item x="288"/>
        <item x="289"/>
        <item x="290"/>
        <item x="291"/>
        <item x="294"/>
        <item x="296"/>
        <item x="297"/>
        <item x="298"/>
        <item x="301"/>
        <item x="305"/>
        <item x="306"/>
        <item x="307"/>
        <item x="308"/>
        <item x="309"/>
        <item x="310"/>
        <item x="311"/>
        <item x="313"/>
        <item x="314"/>
        <item x="317"/>
        <item x="318"/>
        <item x="319"/>
        <item x="321"/>
        <item x="322"/>
        <item x="323"/>
        <item x="324"/>
        <item x="325"/>
        <item x="328"/>
        <item x="329"/>
        <item x="330"/>
        <item x="333"/>
        <item x="338"/>
        <item x="340"/>
        <item x="341"/>
        <item x="343"/>
        <item x="344"/>
        <item x="346"/>
        <item x="352"/>
        <item x="354"/>
        <item x="355"/>
        <item x="356"/>
        <item x="362"/>
        <item x="363"/>
        <item x="364"/>
        <item x="365"/>
        <item x="366"/>
        <item x="367"/>
        <item x="368"/>
        <item x="378"/>
        <item x="380"/>
        <item x="383"/>
        <item x="385"/>
        <item x="387"/>
        <item x="388"/>
        <item x="389"/>
        <item x="391"/>
        <item x="392"/>
        <item x="393"/>
        <item x="394"/>
        <item x="396"/>
        <item x="397"/>
        <item x="401"/>
        <item x="406"/>
        <item x="407"/>
        <item x="408"/>
        <item x="409"/>
        <item x="410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3"/>
        <item x="434"/>
        <item x="435"/>
        <item x="436"/>
        <item x="438"/>
        <item x="439"/>
        <item x="440"/>
        <item x="441"/>
        <item x="443"/>
        <item x="444"/>
        <item x="446"/>
        <item x="447"/>
        <item x="450"/>
        <item x="451"/>
        <item x="453"/>
        <item x="455"/>
        <item x="456"/>
        <item x="457"/>
        <item x="458"/>
        <item x="459"/>
        <item x="460"/>
        <item x="461"/>
        <item x="463"/>
        <item x="465"/>
        <item x="473"/>
        <item x="476"/>
        <item x="477"/>
        <item x="478"/>
        <item x="484"/>
        <item x="486"/>
        <item x="487"/>
        <item x="488"/>
        <item x="494"/>
        <item x="498"/>
        <item x="499"/>
        <item x="500"/>
        <item x="501"/>
        <item x="502"/>
        <item x="503"/>
        <item x="506"/>
        <item x="509"/>
        <item x="510"/>
        <item x="512"/>
        <item x="515"/>
        <item x="516"/>
        <item x="519"/>
        <item x="521"/>
        <item x="523"/>
        <item x="524"/>
        <item x="525"/>
        <item x="526"/>
        <item x="527"/>
        <item x="528"/>
        <item x="532"/>
        <item x="533"/>
        <item x="535"/>
        <item x="538"/>
        <item x="541"/>
        <item x="542"/>
        <item x="543"/>
        <item x="547"/>
        <item x="549"/>
        <item x="551"/>
        <item x="552"/>
        <item x="553"/>
        <item x="556"/>
        <item x="560"/>
        <item x="563"/>
        <item x="564"/>
        <item x="566"/>
        <item x="568"/>
        <item x="571"/>
        <item x="572"/>
        <item x="573"/>
        <item x="574"/>
        <item x="579"/>
        <item x="580"/>
        <item x="581"/>
        <item x="582"/>
        <item x="584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4"/>
        <item x="605"/>
        <item x="607"/>
        <item x="611"/>
        <item x="612"/>
        <item x="613"/>
        <item x="614"/>
        <item x="29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dataField="1" compact="0" outline="0" subtotalTop="0" showAll="0">
      <items count="254">
        <item x="26"/>
        <item x="15"/>
        <item x="18"/>
        <item x="194"/>
        <item x="41"/>
        <item x="8"/>
        <item x="21"/>
        <item x="22"/>
        <item x="23"/>
        <item x="252"/>
        <item x="0"/>
        <item x="13"/>
        <item x="7"/>
        <item x="177"/>
        <item x="125"/>
        <item x="2"/>
        <item x="161"/>
        <item x="63"/>
        <item x="35"/>
        <item x="14"/>
        <item x="46"/>
        <item x="1"/>
        <item x="3"/>
        <item x="4"/>
        <item x="5"/>
        <item x="6"/>
        <item x="9"/>
        <item x="10"/>
        <item x="11"/>
        <item x="12"/>
        <item x="16"/>
        <item x="17"/>
        <item x="19"/>
        <item x="20"/>
        <item x="24"/>
        <item x="25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outline="0" subtotalTop="0" showAll="0">
      <items count="29">
        <item x="2"/>
        <item x="0"/>
        <item x="1"/>
        <item x="7"/>
        <item x="6"/>
        <item x="10"/>
        <item x="27"/>
        <item x="3"/>
        <item x="4"/>
        <item x="5"/>
        <item x="8"/>
        <item x="11"/>
        <item x="15"/>
        <item x="19"/>
        <item x="9"/>
        <item x="12"/>
        <item x="13"/>
        <item x="14"/>
        <item x="16"/>
        <item x="17"/>
        <item x="18"/>
        <item x="20"/>
        <item x="21"/>
        <item x="22"/>
        <item x="23"/>
        <item x="24"/>
        <item x="25"/>
        <item x="26"/>
        <item t="default"/>
      </items>
    </pivotField>
    <pivotField dataField="1" compact="0" outline="0" subtotalTop="0" showAll="0">
      <items count="179">
        <item x="14"/>
        <item x="24"/>
        <item x="50"/>
        <item x="42"/>
        <item x="177"/>
        <item x="19"/>
        <item x="89"/>
        <item x="22"/>
        <item x="90"/>
        <item x="49"/>
        <item x="8"/>
        <item x="20"/>
        <item x="103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5"/>
        <item x="16"/>
        <item x="17"/>
        <item x="18"/>
        <item x="21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outline="0" subtotalTop="0" showAll="0">
      <items count="66">
        <item x="3"/>
        <item x="11"/>
        <item x="5"/>
        <item x="64"/>
        <item x="18"/>
        <item x="0"/>
        <item x="56"/>
        <item x="9"/>
        <item x="1"/>
        <item x="12"/>
        <item x="4"/>
        <item x="6"/>
        <item x="13"/>
        <item x="2"/>
        <item x="7"/>
        <item x="8"/>
        <item x="10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t="default"/>
      </items>
    </pivotField>
    <pivotField dataField="1" compact="0" outline="0" subtotalTop="0" showAll="0">
      <items count="46">
        <item x="2"/>
        <item x="3"/>
        <item x="1"/>
        <item x="4"/>
        <item x="23"/>
        <item x="0"/>
        <item x="13"/>
        <item x="5"/>
        <item x="44"/>
        <item x="14"/>
        <item x="7"/>
        <item x="6"/>
        <item x="29"/>
        <item x="9"/>
        <item x="8"/>
        <item x="24"/>
        <item x="27"/>
        <item x="33"/>
        <item x="12"/>
        <item x="26"/>
        <item x="30"/>
        <item x="28"/>
        <item x="25"/>
        <item x="10"/>
        <item x="11"/>
        <item x="15"/>
        <item x="16"/>
        <item x="17"/>
        <item x="18"/>
        <item x="19"/>
        <item x="20"/>
        <item x="21"/>
        <item x="22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outline="0" subtotalTop="0" showAll="0">
      <items count="343">
        <item x="83"/>
        <item x="15"/>
        <item x="93"/>
        <item x="27"/>
        <item x="75"/>
        <item x="70"/>
        <item x="20"/>
        <item x="37"/>
        <item x="31"/>
        <item x="56"/>
        <item x="8"/>
        <item x="68"/>
        <item x="259"/>
        <item x="78"/>
        <item x="341"/>
        <item x="13"/>
        <item x="26"/>
        <item x="22"/>
        <item x="50"/>
        <item x="154"/>
        <item x="87"/>
        <item x="24"/>
        <item x="51"/>
        <item x="275"/>
        <item x="148"/>
        <item x="47"/>
        <item x="23"/>
        <item x="139"/>
        <item x="30"/>
        <item x="149"/>
        <item x="2"/>
        <item x="7"/>
        <item x="165"/>
        <item x="10"/>
        <item x="18"/>
        <item x="57"/>
        <item x="101"/>
        <item x="69"/>
        <item x="0"/>
        <item x="1"/>
        <item x="3"/>
        <item x="4"/>
        <item x="5"/>
        <item x="6"/>
        <item x="9"/>
        <item x="11"/>
        <item x="12"/>
        <item x="14"/>
        <item x="16"/>
        <item x="17"/>
        <item x="19"/>
        <item x="21"/>
        <item x="25"/>
        <item x="28"/>
        <item x="29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8"/>
        <item x="49"/>
        <item x="52"/>
        <item x="53"/>
        <item x="54"/>
        <item x="55"/>
        <item x="58"/>
        <item x="59"/>
        <item x="60"/>
        <item x="61"/>
        <item x="62"/>
        <item x="63"/>
        <item x="64"/>
        <item x="65"/>
        <item x="66"/>
        <item x="67"/>
        <item x="71"/>
        <item x="72"/>
        <item x="73"/>
        <item x="74"/>
        <item x="76"/>
        <item x="77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8"/>
        <item x="279"/>
        <item x="280"/>
        <item x="277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compact="0" outline="0" subtotalTop="0" showAll="0">
      <items count="650">
        <item x="15"/>
        <item x="648"/>
        <item x="126"/>
        <item x="92"/>
        <item x="131"/>
        <item x="428"/>
        <item x="214"/>
        <item x="123"/>
        <item x="476"/>
        <item x="266"/>
        <item x="393"/>
        <item x="451"/>
        <item x="111"/>
        <item x="344"/>
        <item x="274"/>
        <item x="326"/>
        <item x="458"/>
        <item x="89"/>
        <item x="392"/>
        <item x="299"/>
        <item x="471"/>
        <item x="354"/>
        <item x="417"/>
        <item x="243"/>
        <item x="181"/>
        <item x="192"/>
        <item x="412"/>
        <item x="51"/>
        <item x="205"/>
        <item x="237"/>
        <item x="366"/>
        <item x="113"/>
        <item x="256"/>
        <item x="204"/>
        <item x="310"/>
        <item x="328"/>
        <item x="137"/>
        <item x="445"/>
        <item x="382"/>
        <item x="29"/>
        <item x="370"/>
        <item x="498"/>
        <item x="120"/>
        <item x="303"/>
        <item x="332"/>
        <item x="322"/>
        <item x="410"/>
        <item x="304"/>
        <item x="146"/>
        <item x="464"/>
        <item x="202"/>
        <item x="404"/>
        <item x="387"/>
        <item x="108"/>
        <item x="139"/>
        <item x="101"/>
        <item x="491"/>
        <item x="169"/>
        <item x="433"/>
        <item x="435"/>
        <item x="407"/>
        <item x="254"/>
        <item x="461"/>
        <item x="74"/>
        <item x="453"/>
        <item x="121"/>
        <item x="437"/>
        <item x="488"/>
        <item x="331"/>
        <item x="278"/>
        <item x="466"/>
        <item x="4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9"/>
        <item x="110"/>
        <item x="112"/>
        <item x="114"/>
        <item x="115"/>
        <item x="116"/>
        <item x="117"/>
        <item x="118"/>
        <item x="119"/>
        <item x="122"/>
        <item x="124"/>
        <item x="125"/>
        <item x="127"/>
        <item x="128"/>
        <item x="129"/>
        <item x="130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5"/>
        <item x="276"/>
        <item x="277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7"/>
        <item x="329"/>
        <item x="330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8"/>
        <item x="389"/>
        <item x="390"/>
        <item x="391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8"/>
        <item x="409"/>
        <item x="411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4"/>
        <item x="436"/>
        <item x="438"/>
        <item x="439"/>
        <item x="440"/>
        <item x="441"/>
        <item x="442"/>
        <item x="443"/>
        <item x="444"/>
        <item x="446"/>
        <item x="447"/>
        <item x="449"/>
        <item x="450"/>
        <item x="452"/>
        <item x="454"/>
        <item x="455"/>
        <item x="456"/>
        <item x="457"/>
        <item x="459"/>
        <item x="460"/>
        <item x="462"/>
        <item x="463"/>
        <item x="465"/>
        <item x="467"/>
        <item x="468"/>
        <item x="469"/>
        <item x="470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2"/>
        <item x="493"/>
        <item x="494"/>
        <item x="495"/>
        <item x="496"/>
        <item x="49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60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t="default"/>
      </items>
    </pivotField>
    <pivotField compact="0" outline="0" subtotalTop="0" showAll="0">
      <items count="43">
        <item x="1"/>
        <item x="0"/>
        <item x="2"/>
        <item x="13"/>
        <item x="16"/>
        <item x="14"/>
        <item x="18"/>
        <item x="3"/>
        <item x="41"/>
        <item x="27"/>
        <item x="5"/>
        <item x="15"/>
        <item x="17"/>
        <item x="8"/>
        <item x="4"/>
        <item x="6"/>
        <item x="7"/>
        <item x="9"/>
        <item x="10"/>
        <item x="11"/>
        <item x="12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ubtotalTop="0" numFmtId="10" showAll="0">
      <items count="121">
        <item x="0"/>
        <item x="8"/>
        <item x="5"/>
        <item x="40"/>
        <item x="22"/>
        <item x="34"/>
        <item x="42"/>
        <item x="27"/>
        <item x="33"/>
        <item x="77"/>
        <item x="48"/>
        <item x="119"/>
        <item x="31"/>
        <item x="30"/>
        <item x="19"/>
        <item x="43"/>
        <item x="55"/>
        <item x="24"/>
        <item x="53"/>
        <item x="44"/>
        <item x="57"/>
        <item x="10"/>
        <item x="75"/>
        <item x="61"/>
        <item x="4"/>
        <item x="36"/>
        <item x="12"/>
        <item x="32"/>
        <item x="26"/>
        <item x="47"/>
        <item x="49"/>
        <item x="37"/>
        <item x="28"/>
        <item x="35"/>
        <item x="58"/>
        <item x="23"/>
        <item x="71"/>
        <item x="18"/>
        <item x="21"/>
        <item x="11"/>
        <item x="20"/>
        <item x="14"/>
        <item x="45"/>
        <item x="25"/>
        <item x="62"/>
        <item x="76"/>
        <item x="13"/>
        <item x="9"/>
        <item x="56"/>
        <item x="41"/>
        <item x="29"/>
        <item x="64"/>
        <item x="54"/>
        <item x="73"/>
        <item x="60"/>
        <item x="69"/>
        <item x="52"/>
        <item x="46"/>
        <item x="1"/>
        <item x="65"/>
        <item x="66"/>
        <item x="6"/>
        <item x="7"/>
        <item x="2"/>
        <item x="3"/>
        <item x="15"/>
        <item x="16"/>
        <item x="17"/>
        <item x="38"/>
        <item x="39"/>
        <item x="50"/>
        <item x="51"/>
        <item x="59"/>
        <item x="63"/>
        <item x="67"/>
        <item x="68"/>
        <item x="70"/>
        <item x="72"/>
        <item x="74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outline="0" subtotalTop="0" showAll="0">
      <items count="48">
        <item x="2"/>
        <item x="5"/>
        <item x="12"/>
        <item x="4"/>
        <item x="7"/>
        <item x="1"/>
        <item x="39"/>
        <item x="46"/>
        <item x="3"/>
        <item x="10"/>
        <item x="11"/>
        <item x="9"/>
        <item x="18"/>
        <item x="13"/>
        <item x="0"/>
        <item x="6"/>
        <item x="8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t="default"/>
      </items>
    </pivotField>
    <pivotField compact="0" outline="0" subtotalTop="0" showAll="0">
      <items count="49">
        <item x="2"/>
        <item x="11"/>
        <item x="3"/>
        <item x="5"/>
        <item x="10"/>
        <item x="1"/>
        <item x="47"/>
        <item x="6"/>
        <item x="12"/>
        <item x="13"/>
        <item x="37"/>
        <item x="9"/>
        <item x="8"/>
        <item x="0"/>
        <item x="4"/>
        <item x="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axis="axisRow" compact="0" defaultSubtotal="0" outline="0" subtotalTop="0" multipleItemSelectionAllowed="1" showAll="0">
      <items count="123">
        <item x="10"/>
        <item x="95"/>
        <item x="58"/>
        <item x="16"/>
        <item x="33"/>
        <item x="44"/>
        <item x="63"/>
        <item x="61"/>
        <item x="9"/>
        <item x="40"/>
        <item x="1"/>
        <item x="77"/>
        <item x="88"/>
        <item x="62"/>
        <item x="43"/>
        <item x="89"/>
        <item x="55"/>
        <item x="35"/>
        <item x="12"/>
        <item x="6"/>
        <item x="13"/>
        <item x="49"/>
        <item x="60"/>
        <item x="111"/>
        <item x="112"/>
        <item x="94"/>
        <item x="113"/>
        <item x="84"/>
        <item x="48"/>
        <item x="5"/>
        <item x="11"/>
        <item x="110"/>
        <item x="38"/>
        <item x="22"/>
        <item x="73"/>
        <item x="20"/>
        <item x="64"/>
        <item x="7"/>
        <item x="79"/>
        <item x="107"/>
        <item x="81"/>
        <item x="24"/>
        <item x="23"/>
        <item x="93"/>
        <item x="103"/>
        <item x="108"/>
        <item x="69"/>
        <item x="34"/>
        <item x="27"/>
        <item x="31"/>
        <item x="100"/>
        <item x="76"/>
        <item x="2"/>
        <item x="59"/>
        <item x="18"/>
        <item x="65"/>
        <item x="32"/>
        <item x="99"/>
        <item x="4"/>
        <item x="42"/>
        <item x="8"/>
        <item x="37"/>
        <item x="105"/>
        <item x="29"/>
        <item x="78"/>
        <item x="53"/>
        <item x="57"/>
        <item x="90"/>
        <item x="19"/>
        <item x="3"/>
        <item x="101"/>
        <item x="51"/>
        <item x="109"/>
        <item x="68"/>
        <item x="15"/>
        <item x="85"/>
        <item x="45"/>
        <item x="41"/>
        <item x="21"/>
        <item x="39"/>
        <item x="52"/>
        <item x="66"/>
        <item x="67"/>
        <item x="86"/>
        <item x="72"/>
        <item x="14"/>
        <item x="17"/>
        <item x="70"/>
        <item x="30"/>
        <item x="102"/>
        <item x="104"/>
        <item x="28"/>
        <item x="83"/>
        <item x="36"/>
        <item x="56"/>
        <item x="26"/>
        <item x="25"/>
        <item x="97"/>
        <item x="71"/>
        <item x="92"/>
        <item x="80"/>
        <item x="98"/>
        <item x="74"/>
        <item x="106"/>
        <item x="91"/>
        <item x="75"/>
        <item x="46"/>
        <item x="0"/>
        <item x="50"/>
        <item x="54"/>
        <item x="87"/>
        <item x="47"/>
        <item x="82"/>
        <item x="96"/>
        <item x="122"/>
        <item x="114"/>
        <item x="116"/>
        <item x="117"/>
        <item x="115"/>
        <item x="118"/>
        <item x="119"/>
        <item x="120"/>
        <item x="121"/>
      </items>
    </pivotField>
    <pivotField axis="axisRow" compact="0" outline="0" subtotalTop="0" multipleItemSelectionAllowed="1" showAll="0">
      <items count="6">
        <item x="0"/>
        <item x="1"/>
        <item x="2"/>
        <item h="1" x="3"/>
        <item h="1" m="1" x="4"/>
        <item t="default"/>
      </items>
    </pivotField>
    <pivotField axis="axisRow" compact="0" defaultSubtotal="0" outline="0" subtotalTop="0" multipleItemSelectionAllowed="1" showAll="0">
      <items count="24">
        <item x="10"/>
        <item x="17"/>
        <item x="15"/>
        <item x="4"/>
        <item x="8"/>
        <item x="9"/>
        <item x="1"/>
        <item x="6"/>
        <item x="13"/>
        <item x="16"/>
        <item x="0"/>
        <item x="14"/>
        <item x="2"/>
        <item x="3"/>
        <item x="5"/>
        <item x="7"/>
        <item x="11"/>
        <item x="12"/>
        <item x="23"/>
        <item x="18"/>
        <item x="19"/>
        <item x="20"/>
        <item x="21"/>
        <item x="22"/>
      </items>
    </pivotField>
    <pivotField axis="axisRow" compact="0" defaultSubtotal="0" outline="0" subtotalTop="0" showAll="0">
      <items count="12">
        <item x="6"/>
        <item x="4"/>
        <item x="8"/>
        <item x="0"/>
        <item x="5"/>
        <item x="1"/>
        <item x="2"/>
        <item x="7"/>
        <item x="3"/>
        <item x="10"/>
        <item m="1" x="11"/>
        <item x="9"/>
      </items>
    </pivotField>
    <pivotField axis="axisRow" compact="0" defaultSubtotal="0" outline="0" subtotalTop="0" showAll="0">
      <items count="127">
        <item x="31"/>
        <item x="9"/>
        <item x="114"/>
        <item x="92"/>
        <item x="25"/>
        <item x="1"/>
        <item x="84"/>
        <item x="40"/>
        <item x="109"/>
        <item x="63"/>
        <item x="14"/>
        <item x="107"/>
        <item x="34"/>
        <item x="69"/>
        <item x="43"/>
        <item x="55"/>
        <item x="98"/>
        <item x="41"/>
        <item x="103"/>
        <item x="8"/>
        <item x="19"/>
        <item x="7"/>
        <item x="66"/>
        <item x="96"/>
        <item x="33"/>
        <item x="3"/>
        <item x="26"/>
        <item x="37"/>
        <item x="56"/>
        <item x="15"/>
        <item x="50"/>
        <item x="48"/>
        <item x="57"/>
        <item x="0"/>
        <item x="21"/>
        <item x="85"/>
        <item x="13"/>
        <item x="95"/>
        <item x="71"/>
        <item x="16"/>
        <item x="59"/>
        <item x="6"/>
        <item x="11"/>
        <item x="116"/>
        <item x="101"/>
        <item x="2"/>
        <item x="100"/>
        <item x="65"/>
        <item x="108"/>
        <item x="76"/>
        <item x="89"/>
        <item x="106"/>
        <item x="22"/>
        <item x="62"/>
        <item x="113"/>
        <item x="18"/>
        <item x="70"/>
        <item x="75"/>
        <item x="64"/>
        <item x="61"/>
        <item x="29"/>
        <item x="39"/>
        <item x="54"/>
        <item x="115"/>
        <item x="4"/>
        <item x="23"/>
        <item x="99"/>
        <item x="5"/>
        <item x="12"/>
        <item x="105"/>
        <item x="77"/>
        <item x="86"/>
        <item x="60"/>
        <item x="53"/>
        <item x="45"/>
        <item x="97"/>
        <item x="83"/>
        <item x="78"/>
        <item x="44"/>
        <item x="49"/>
        <item x="117"/>
        <item x="94"/>
        <item x="35"/>
        <item x="17"/>
        <item x="28"/>
        <item x="36"/>
        <item x="80"/>
        <item x="10"/>
        <item x="81"/>
        <item x="79"/>
        <item x="88"/>
        <item x="90"/>
        <item x="82"/>
        <item x="58"/>
        <item x="112"/>
        <item x="110"/>
        <item x="27"/>
        <item x="30"/>
        <item x="93"/>
        <item x="47"/>
        <item x="104"/>
        <item x="102"/>
        <item x="32"/>
        <item x="24"/>
        <item x="74"/>
        <item x="46"/>
        <item x="20"/>
        <item x="111"/>
        <item x="42"/>
        <item x="72"/>
        <item x="68"/>
        <item x="73"/>
        <item x="52"/>
        <item x="87"/>
        <item x="51"/>
        <item x="91"/>
        <item x="38"/>
        <item x="67"/>
        <item x="125"/>
        <item m="1" x="126"/>
        <item x="119"/>
        <item x="120"/>
        <item x="118"/>
        <item x="121"/>
        <item x="122"/>
        <item x="123"/>
        <item x="124"/>
      </items>
    </pivotField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</pivotFields>
  <rowFields count="8">
    <field x="0"/>
    <field x="28"/>
    <field x="3"/>
    <field x="27"/>
    <field x="30"/>
    <field x="29"/>
    <field x="31"/>
    <field x="4"/>
  </rowFields>
  <rowItems count="182">
    <i>
      <x v="14"/>
      <x/>
      <x/>
      <x v="22"/>
      <x v="4"/>
      <x v="9"/>
      <x v="53"/>
      <x v="63"/>
    </i>
    <i r="3">
      <x v="49"/>
      <x v="4"/>
      <x v="11"/>
      <x v="99"/>
      <x v="48"/>
    </i>
    <i r="3">
      <x v="87"/>
      <x v="4"/>
      <x v="11"/>
      <x v="109"/>
      <x v="73"/>
    </i>
    <i r="2">
      <x v="1"/>
      <x v="12"/>
      <x/>
      <x v="10"/>
      <x v="91"/>
      <x v="91"/>
    </i>
    <i r="3">
      <x v="87"/>
      <x v="4"/>
      <x v="11"/>
      <x v="109"/>
      <x v="73"/>
    </i>
    <i r="3">
      <x v="97"/>
      <x v="4"/>
      <x v="11"/>
      <x v="66"/>
      <x v="100"/>
    </i>
    <i r="3">
      <x v="98"/>
      <x v="4"/>
      <x v="11"/>
      <x v="111"/>
      <x v="74"/>
    </i>
    <i r="3">
      <x v="101"/>
      <x/>
      <x v="10"/>
      <x v="46"/>
      <x v="101"/>
    </i>
    <i r="3">
      <x v="104"/>
      <x v="3"/>
      <x v="20"/>
      <x v="98"/>
      <x v="94"/>
    </i>
    <i t="default" r="1">
      <x/>
    </i>
    <i r="1">
      <x v="1"/>
      <x/>
      <x v="8"/>
      <x v="6"/>
      <x v="13"/>
      <x v="1"/>
      <x v="10"/>
    </i>
    <i r="3">
      <x v="75"/>
      <x v="6"/>
      <x v="19"/>
      <x v="113"/>
      <x v="88"/>
    </i>
    <i r="2">
      <x v="1"/>
      <x v="57"/>
      <x v="6"/>
      <x v="13"/>
      <x v="44"/>
      <x v="102"/>
    </i>
    <i t="default" r="1">
      <x v="1"/>
    </i>
    <i r="1">
      <x v="2"/>
      <x v="1"/>
      <x v="50"/>
      <x v="7"/>
      <x v="21"/>
      <x v="18"/>
      <x v="104"/>
    </i>
    <i t="default" r="1">
      <x v="2"/>
    </i>
    <i t="default">
      <x v="14"/>
    </i>
    <i>
      <x v="15"/>
      <x/>
      <x/>
      <x v="22"/>
      <x v="4"/>
      <x v="9"/>
      <x v="53"/>
      <x v="63"/>
    </i>
    <i r="3">
      <x v="87"/>
      <x v="4"/>
      <x v="11"/>
      <x v="109"/>
      <x v="73"/>
    </i>
    <i r="2">
      <x v="1"/>
      <x v="12"/>
      <x/>
      <x v="10"/>
      <x v="91"/>
      <x v="91"/>
    </i>
    <i r="3">
      <x v="27"/>
      <x/>
      <x v="10"/>
      <x v="71"/>
      <x v="87"/>
    </i>
    <i r="3">
      <x v="87"/>
      <x v="4"/>
      <x v="11"/>
      <x v="109"/>
      <x v="73"/>
    </i>
    <i r="3">
      <x v="97"/>
      <x v="4"/>
      <x v="11"/>
      <x v="66"/>
      <x v="100"/>
    </i>
    <i r="3">
      <x v="98"/>
      <x v="4"/>
      <x v="11"/>
      <x v="111"/>
      <x v="74"/>
    </i>
    <i r="3">
      <x v="101"/>
      <x/>
      <x v="10"/>
      <x v="46"/>
      <x v="101"/>
    </i>
    <i r="3">
      <x v="104"/>
      <x v="3"/>
      <x v="20"/>
      <x v="98"/>
      <x v="94"/>
    </i>
    <i t="default" r="1">
      <x/>
    </i>
    <i r="1">
      <x v="1"/>
      <x/>
      <x v="8"/>
      <x v="6"/>
      <x v="13"/>
      <x v="1"/>
      <x v="10"/>
    </i>
    <i r="3">
      <x v="75"/>
      <x v="6"/>
      <x v="19"/>
      <x v="113"/>
      <x v="88"/>
    </i>
    <i r="2">
      <x v="1"/>
      <x v="25"/>
      <x v="6"/>
      <x v="13"/>
      <x v="23"/>
      <x v="97"/>
    </i>
    <i r="3">
      <x v="57"/>
      <x v="6"/>
      <x v="13"/>
      <x v="44"/>
      <x v="102"/>
    </i>
    <i r="3">
      <x v="75"/>
      <x v="6"/>
      <x v="19"/>
      <x v="113"/>
      <x v="88"/>
    </i>
    <i t="default" r="1">
      <x v="1"/>
    </i>
    <i r="1">
      <x v="2"/>
      <x/>
      <x v="113"/>
      <x v="7"/>
      <x v="21"/>
      <x v="101"/>
      <x v="103"/>
    </i>
    <i t="default" r="1">
      <x v="2"/>
    </i>
    <i t="default">
      <x v="15"/>
    </i>
    <i>
      <x v="16"/>
      <x/>
      <x/>
      <x v="22"/>
      <x v="4"/>
      <x v="9"/>
      <x v="53"/>
      <x v="63"/>
    </i>
    <i r="3">
      <x v="87"/>
      <x v="4"/>
      <x v="11"/>
      <x v="109"/>
      <x v="73"/>
    </i>
    <i r="3">
      <x v="113"/>
      <x v="3"/>
      <x v="10"/>
      <x v="16"/>
      <x v="99"/>
    </i>
    <i r="2">
      <x v="1"/>
      <x v="1"/>
      <x v="4"/>
      <x v="11"/>
      <x v="75"/>
      <x v="98"/>
    </i>
    <i r="3">
      <x v="12"/>
      <x/>
      <x v="10"/>
      <x v="91"/>
      <x v="91"/>
    </i>
    <i r="3">
      <x v="87"/>
      <x v="4"/>
      <x v="11"/>
      <x v="109"/>
      <x v="73"/>
    </i>
    <i r="3">
      <x v="98"/>
      <x v="4"/>
      <x v="11"/>
      <x v="111"/>
      <x v="74"/>
    </i>
    <i r="3">
      <x v="104"/>
      <x v="3"/>
      <x v="20"/>
      <x v="98"/>
      <x v="94"/>
    </i>
    <i t="default" r="1">
      <x/>
    </i>
    <i r="1">
      <x v="1"/>
      <x/>
      <x v="8"/>
      <x v="6"/>
      <x v="13"/>
      <x v="1"/>
      <x v="10"/>
    </i>
    <i r="2">
      <x v="1"/>
      <x v="25"/>
      <x v="6"/>
      <x v="13"/>
      <x v="23"/>
      <x v="97"/>
    </i>
    <i r="3">
      <x v="67"/>
      <x v="6"/>
      <x v="13"/>
      <x v="3"/>
      <x v="93"/>
    </i>
    <i r="3">
      <x v="75"/>
      <x v="6"/>
      <x v="19"/>
      <x v="113"/>
      <x v="88"/>
    </i>
    <i t="default" r="1">
      <x v="1"/>
    </i>
    <i t="default">
      <x v="16"/>
    </i>
    <i>
      <x v="17"/>
      <x/>
      <x/>
      <x v="22"/>
      <x v="4"/>
      <x v="9"/>
      <x v="53"/>
      <x v="63"/>
    </i>
    <i r="3">
      <x v="87"/>
      <x v="4"/>
      <x v="11"/>
      <x v="109"/>
      <x v="73"/>
    </i>
    <i r="3">
      <x v="98"/>
      <x v="4"/>
      <x v="11"/>
      <x v="111"/>
      <x v="74"/>
    </i>
    <i r="2">
      <x v="1"/>
      <x v="1"/>
      <x v="4"/>
      <x v="11"/>
      <x v="75"/>
      <x v="98"/>
    </i>
    <i r="3">
      <x v="15"/>
      <x v="4"/>
      <x v="11"/>
      <x v="115"/>
      <x v="92"/>
    </i>
    <i r="3">
      <x v="27"/>
      <x/>
      <x v="10"/>
      <x v="71"/>
      <x v="87"/>
    </i>
    <i r="3">
      <x v="73"/>
      <x v="4"/>
      <x v="11"/>
      <x v="56"/>
      <x v="71"/>
    </i>
    <i r="3">
      <x v="87"/>
      <x v="4"/>
      <x v="11"/>
      <x v="109"/>
      <x v="73"/>
    </i>
    <i r="3">
      <x v="98"/>
      <x v="4"/>
      <x v="11"/>
      <x v="111"/>
      <x v="74"/>
    </i>
    <i r="3">
      <x v="99"/>
      <x/>
      <x v="10"/>
      <x v="81"/>
      <x v="95"/>
    </i>
    <i r="3">
      <x v="104"/>
      <x v="3"/>
      <x v="20"/>
      <x v="98"/>
      <x v="94"/>
    </i>
    <i t="default" r="1">
      <x/>
    </i>
    <i r="1">
      <x v="1"/>
      <x v="1"/>
      <x v="25"/>
      <x v="6"/>
      <x v="13"/>
      <x v="23"/>
      <x v="97"/>
    </i>
    <i r="3">
      <x v="43"/>
      <x v="6"/>
      <x v="13"/>
      <x v="37"/>
      <x v="96"/>
    </i>
    <i r="3">
      <x v="67"/>
      <x v="6"/>
      <x v="13"/>
      <x v="3"/>
      <x v="93"/>
    </i>
    <i t="default" r="1">
      <x v="1"/>
    </i>
    <i t="default">
      <x v="17"/>
    </i>
    <i>
      <x v="18"/>
      <x/>
      <x/>
      <x v="22"/>
      <x v="4"/>
      <x v="9"/>
      <x v="53"/>
      <x v="63"/>
    </i>
    <i r="3">
      <x v="98"/>
      <x v="4"/>
      <x v="11"/>
      <x v="111"/>
      <x v="74"/>
    </i>
    <i r="2">
      <x v="1"/>
      <x v="15"/>
      <x v="4"/>
      <x v="11"/>
      <x v="115"/>
      <x v="92"/>
    </i>
    <i r="3">
      <x v="27"/>
      <x/>
      <x v="10"/>
      <x v="71"/>
      <x v="87"/>
    </i>
    <i r="3">
      <x v="87"/>
      <x v="4"/>
      <x v="11"/>
      <x v="109"/>
      <x v="73"/>
    </i>
    <i r="3">
      <x v="98"/>
      <x v="4"/>
      <x v="11"/>
      <x v="111"/>
      <x v="74"/>
    </i>
    <i r="3">
      <x v="99"/>
      <x/>
      <x v="10"/>
      <x v="81"/>
      <x v="95"/>
    </i>
    <i r="3">
      <x v="104"/>
      <x v="3"/>
      <x v="20"/>
      <x v="98"/>
      <x v="94"/>
    </i>
    <i r="3">
      <x v="110"/>
      <x/>
      <x v="10"/>
      <x v="50"/>
      <x v="90"/>
    </i>
    <i t="default" r="1">
      <x/>
    </i>
    <i r="1">
      <x v="1"/>
      <x v="1"/>
      <x v="25"/>
      <x v="6"/>
      <x v="13"/>
      <x v="23"/>
      <x v="97"/>
    </i>
    <i r="3">
      <x v="43"/>
      <x v="6"/>
      <x v="13"/>
      <x v="37"/>
      <x v="96"/>
    </i>
    <i t="default" r="1">
      <x v="1"/>
    </i>
    <i t="default">
      <x v="18"/>
    </i>
    <i>
      <x v="19"/>
      <x/>
      <x v="1"/>
      <x v="12"/>
      <x/>
      <x v="10"/>
      <x v="91"/>
      <x v="91"/>
    </i>
    <i r="3">
      <x v="15"/>
      <x v="4"/>
      <x v="11"/>
      <x v="115"/>
      <x v="92"/>
    </i>
    <i r="3">
      <x v="27"/>
      <x/>
      <x v="10"/>
      <x v="71"/>
      <x v="87"/>
    </i>
    <i r="3">
      <x v="73"/>
      <x v="4"/>
      <x v="11"/>
      <x v="56"/>
      <x v="71"/>
    </i>
    <i r="3">
      <x v="80"/>
      <x v="4"/>
      <x v="2"/>
      <x v="62"/>
      <x v="55"/>
    </i>
    <i r="3">
      <x v="92"/>
      <x v="4"/>
      <x v="11"/>
      <x v="35"/>
      <x v="86"/>
    </i>
    <i t="default" r="1">
      <x/>
    </i>
    <i r="1">
      <x v="1"/>
      <x v="1"/>
      <x v="8"/>
      <x v="6"/>
      <x v="13"/>
      <x v="1"/>
      <x v="10"/>
    </i>
    <i t="default" r="1">
      <x v="1"/>
    </i>
    <i t="default">
      <x v="19"/>
    </i>
    <i>
      <x v="20"/>
      <x/>
      <x/>
      <x v="106"/>
      <x v="4"/>
      <x v="11"/>
      <x v="105"/>
      <x v="47"/>
    </i>
    <i r="2">
      <x v="1"/>
      <x v="12"/>
      <x/>
      <x v="10"/>
      <x v="91"/>
      <x v="91"/>
    </i>
    <i r="3">
      <x v="15"/>
      <x v="4"/>
      <x v="11"/>
      <x v="115"/>
      <x v="92"/>
    </i>
    <i r="3">
      <x v="73"/>
      <x v="4"/>
      <x v="11"/>
      <x v="56"/>
      <x v="71"/>
    </i>
    <i r="3">
      <x v="92"/>
      <x v="4"/>
      <x v="11"/>
      <x v="35"/>
      <x v="86"/>
    </i>
    <i t="default" r="1">
      <x/>
    </i>
    <i t="default">
      <x v="20"/>
    </i>
    <i>
      <x v="21"/>
      <x/>
      <x/>
      <x v="22"/>
      <x v="4"/>
      <x v="9"/>
      <x v="53"/>
      <x v="63"/>
    </i>
    <i r="3">
      <x v="106"/>
      <x v="4"/>
      <x v="11"/>
      <x v="105"/>
      <x v="47"/>
    </i>
    <i r="2">
      <x v="1"/>
      <x v="15"/>
      <x v="4"/>
      <x v="11"/>
      <x v="115"/>
      <x v="92"/>
    </i>
    <i r="3">
      <x v="27"/>
      <x/>
      <x v="10"/>
      <x v="71"/>
      <x v="87"/>
    </i>
    <i r="3">
      <x v="73"/>
      <x v="4"/>
      <x v="11"/>
      <x v="56"/>
      <x v="71"/>
    </i>
    <i r="3">
      <x v="87"/>
      <x v="4"/>
      <x v="11"/>
      <x v="109"/>
      <x v="73"/>
    </i>
    <i r="3">
      <x v="98"/>
      <x v="4"/>
      <x v="11"/>
      <x v="111"/>
      <x v="74"/>
    </i>
    <i r="3">
      <x v="111"/>
      <x v="4"/>
      <x v="11"/>
      <x v="31"/>
      <x v="49"/>
    </i>
    <i t="default" r="1">
      <x/>
    </i>
    <i r="1">
      <x v="1"/>
      <x/>
      <x v="75"/>
      <x v="6"/>
      <x v="19"/>
      <x v="113"/>
      <x v="88"/>
    </i>
    <i r="2">
      <x v="1"/>
      <x v="40"/>
      <x v="6"/>
      <x v="13"/>
      <x v="76"/>
      <x v="84"/>
    </i>
    <i r="3">
      <x v="67"/>
      <x v="6"/>
      <x v="13"/>
      <x v="3"/>
      <x v="93"/>
    </i>
    <i t="default" r="1">
      <x v="1"/>
    </i>
    <i t="default">
      <x v="21"/>
    </i>
    <i>
      <x v="22"/>
      <x/>
      <x/>
      <x v="22"/>
      <x v="4"/>
      <x v="9"/>
      <x v="53"/>
      <x v="63"/>
    </i>
    <i r="3">
      <x v="106"/>
      <x v="4"/>
      <x v="11"/>
      <x v="105"/>
      <x v="47"/>
    </i>
    <i r="2">
      <x v="1"/>
      <x v="15"/>
      <x v="4"/>
      <x v="11"/>
      <x v="115"/>
      <x v="92"/>
    </i>
    <i r="3">
      <x v="73"/>
      <x v="4"/>
      <x v="11"/>
      <x v="56"/>
      <x v="71"/>
    </i>
    <i r="3">
      <x v="87"/>
      <x v="4"/>
      <x v="11"/>
      <x v="109"/>
      <x v="73"/>
    </i>
    <i r="3">
      <x v="92"/>
      <x v="4"/>
      <x v="11"/>
      <x v="35"/>
      <x v="86"/>
    </i>
    <i r="3">
      <x v="98"/>
      <x v="4"/>
      <x v="11"/>
      <x v="111"/>
      <x v="74"/>
    </i>
    <i r="3">
      <x v="110"/>
      <x/>
      <x v="10"/>
      <x v="50"/>
      <x v="90"/>
    </i>
    <i t="default" r="1">
      <x/>
    </i>
    <i r="1">
      <x v="1"/>
      <x/>
      <x v="8"/>
      <x v="6"/>
      <x v="13"/>
      <x v="1"/>
      <x v="10"/>
    </i>
    <i r="3">
      <x v="75"/>
      <x v="6"/>
      <x v="19"/>
      <x v="113"/>
      <x v="88"/>
    </i>
    <i r="2">
      <x v="1"/>
      <x v="40"/>
      <x v="6"/>
      <x v="13"/>
      <x v="76"/>
      <x v="84"/>
    </i>
    <i r="3">
      <x v="67"/>
      <x v="6"/>
      <x v="13"/>
      <x v="3"/>
      <x v="93"/>
    </i>
    <i r="3">
      <x v="83"/>
      <x v="6"/>
      <x v="13"/>
      <x v="90"/>
      <x v="89"/>
    </i>
    <i t="default" r="1">
      <x v="1"/>
    </i>
    <i t="default">
      <x v="22"/>
    </i>
    <i>
      <x v="23"/>
      <x/>
      <x/>
      <x v="22"/>
      <x v="4"/>
      <x v="9"/>
      <x v="53"/>
      <x v="63"/>
    </i>
    <i r="3">
      <x v="37"/>
      <x v="3"/>
      <x v="7"/>
      <x v="21"/>
      <x v="8"/>
    </i>
    <i r="3">
      <x v="106"/>
      <x v="4"/>
      <x v="11"/>
      <x v="105"/>
      <x v="47"/>
    </i>
    <i r="2">
      <x v="1"/>
      <x v="12"/>
      <x/>
      <x v="10"/>
      <x v="91"/>
      <x v="91"/>
    </i>
    <i r="3">
      <x v="15"/>
      <x v="4"/>
      <x v="11"/>
      <x v="115"/>
      <x v="92"/>
    </i>
    <i r="3">
      <x v="73"/>
      <x v="4"/>
      <x v="11"/>
      <x v="56"/>
      <x v="71"/>
    </i>
    <i r="3">
      <x v="87"/>
      <x v="4"/>
      <x v="11"/>
      <x v="109"/>
      <x v="73"/>
    </i>
    <i r="3">
      <x v="92"/>
      <x v="4"/>
      <x v="11"/>
      <x v="35"/>
      <x v="86"/>
    </i>
    <i r="3">
      <x v="98"/>
      <x v="4"/>
      <x v="11"/>
      <x v="111"/>
      <x v="74"/>
    </i>
    <i r="3">
      <x v="110"/>
      <x/>
      <x v="10"/>
      <x v="50"/>
      <x v="90"/>
    </i>
    <i t="default" r="1">
      <x/>
    </i>
    <i r="1">
      <x v="1"/>
      <x/>
      <x v="8"/>
      <x v="6"/>
      <x v="13"/>
      <x v="1"/>
      <x v="10"/>
    </i>
    <i r="3">
      <x v="75"/>
      <x v="6"/>
      <x v="19"/>
      <x v="113"/>
      <x v="88"/>
    </i>
    <i r="2">
      <x v="1"/>
      <x v="40"/>
      <x v="6"/>
      <x v="13"/>
      <x v="76"/>
      <x v="84"/>
    </i>
    <i r="3">
      <x v="83"/>
      <x v="6"/>
      <x v="13"/>
      <x v="90"/>
      <x v="89"/>
    </i>
    <i t="default" r="1">
      <x v="1"/>
    </i>
    <i t="default">
      <x v="23"/>
    </i>
    <i>
      <x v="24"/>
      <x/>
      <x/>
      <x v="22"/>
      <x v="4"/>
      <x v="9"/>
      <x v="53"/>
      <x v="63"/>
    </i>
    <i r="3">
      <x v="37"/>
      <x v="3"/>
      <x v="7"/>
      <x v="21"/>
      <x v="8"/>
    </i>
    <i r="3">
      <x v="106"/>
      <x v="4"/>
      <x v="11"/>
      <x v="105"/>
      <x v="47"/>
    </i>
    <i r="2">
      <x v="1"/>
      <x v="12"/>
      <x/>
      <x v="10"/>
      <x v="91"/>
      <x v="91"/>
    </i>
    <i r="3">
      <x v="27"/>
      <x/>
      <x v="10"/>
      <x v="71"/>
      <x v="87"/>
    </i>
    <i r="3">
      <x v="73"/>
      <x v="4"/>
      <x v="11"/>
      <x v="56"/>
      <x v="71"/>
    </i>
    <i r="3">
      <x v="87"/>
      <x v="4"/>
      <x v="11"/>
      <x v="109"/>
      <x v="73"/>
    </i>
    <i r="3">
      <x v="92"/>
      <x v="4"/>
      <x v="11"/>
      <x v="35"/>
      <x v="86"/>
    </i>
    <i r="3">
      <x v="98"/>
      <x v="4"/>
      <x v="11"/>
      <x v="111"/>
      <x v="74"/>
    </i>
    <i r="3">
      <x v="110"/>
      <x/>
      <x v="10"/>
      <x v="50"/>
      <x v="90"/>
    </i>
    <i t="default" r="1">
      <x/>
    </i>
    <i r="1">
      <x v="1"/>
      <x/>
      <x v="8"/>
      <x v="6"/>
      <x v="13"/>
      <x v="1"/>
      <x v="10"/>
    </i>
    <i r="3">
      <x v="40"/>
      <x v="6"/>
      <x v="13"/>
      <x v="76"/>
      <x v="84"/>
    </i>
    <i r="3">
      <x v="75"/>
      <x v="6"/>
      <x v="19"/>
      <x v="113"/>
      <x v="88"/>
    </i>
    <i r="2">
      <x v="1"/>
      <x v="8"/>
      <x v="6"/>
      <x v="13"/>
      <x v="1"/>
      <x v="10"/>
    </i>
    <i r="3">
      <x v="40"/>
      <x v="6"/>
      <x v="13"/>
      <x v="76"/>
      <x v="84"/>
    </i>
    <i r="3">
      <x v="83"/>
      <x v="6"/>
      <x v="13"/>
      <x v="90"/>
      <x v="89"/>
    </i>
    <i t="default" r="1">
      <x v="1"/>
    </i>
    <i t="default">
      <x v="24"/>
    </i>
    <i>
      <x v="25"/>
      <x/>
      <x/>
      <x v="22"/>
      <x v="4"/>
      <x v="9"/>
      <x v="53"/>
      <x v="63"/>
    </i>
    <i r="3">
      <x v="37"/>
      <x v="3"/>
      <x v="7"/>
      <x v="21"/>
      <x v="8"/>
    </i>
    <i r="3">
      <x v="106"/>
      <x v="4"/>
      <x v="11"/>
      <x v="105"/>
      <x v="47"/>
    </i>
    <i r="2">
      <x v="1"/>
      <x v="22"/>
      <x v="4"/>
      <x v="9"/>
      <x v="53"/>
      <x v="63"/>
    </i>
    <i r="3">
      <x v="27"/>
      <x/>
      <x v="10"/>
      <x v="71"/>
      <x v="87"/>
    </i>
    <i r="3">
      <x v="73"/>
      <x v="4"/>
      <x v="11"/>
      <x v="56"/>
      <x v="71"/>
    </i>
    <i r="3">
      <x v="82"/>
      <x v="4"/>
      <x v="11"/>
      <x v="13"/>
      <x v="70"/>
    </i>
    <i r="3">
      <x v="87"/>
      <x v="4"/>
      <x v="11"/>
      <x v="109"/>
      <x v="73"/>
    </i>
    <i r="3">
      <x v="92"/>
      <x v="4"/>
      <x v="11"/>
      <x v="35"/>
      <x v="86"/>
    </i>
    <i r="3">
      <x v="98"/>
      <x v="4"/>
      <x v="11"/>
      <x v="111"/>
      <x v="74"/>
    </i>
    <i t="default" r="1">
      <x/>
    </i>
    <i r="1">
      <x v="1"/>
      <x/>
      <x v="8"/>
      <x v="6"/>
      <x v="13"/>
      <x v="1"/>
      <x v="10"/>
    </i>
    <i r="3">
      <x v="40"/>
      <x v="6"/>
      <x v="13"/>
      <x v="76"/>
      <x v="84"/>
    </i>
    <i r="3">
      <x v="75"/>
      <x v="6"/>
      <x v="19"/>
      <x v="113"/>
      <x v="88"/>
    </i>
    <i r="2">
      <x v="1"/>
      <x v="8"/>
      <x v="6"/>
      <x v="13"/>
      <x v="1"/>
      <x v="10"/>
    </i>
    <i t="default" r="1">
      <x v="1"/>
    </i>
    <i t="default">
      <x v="25"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 消费" fld="10" baseField="0" baseItem="170"/>
    <dataField name=" 展现量" fld="11" baseField="0" baseItem="170"/>
    <dataField name=" 点击量" fld="12" baseField="0" baseItem="170"/>
    <dataField name="  点击率" fld="32" baseField="0" baseItem="170"/>
    <dataField name=" 点击成本" fld="33" baseField="0" baseItem="170"/>
    <dataField name=" 千展费用" fld="34" baseField="0" baseItem="170"/>
    <dataField name=" 点赞" fld="16" baseField="0" baseItem="170"/>
    <dataField name=" 评论" fld="17" baseField="0" baseItem="170"/>
    <dataField name=" 收藏" fld="18" baseField="0" baseItem="170"/>
    <dataField name=" 关注" fld="19" baseField="0" baseItem="170"/>
    <dataField name=" 分享" fld="20" baseField="0" baseItem="170"/>
    <dataField name=" 互动量" fld="21" baseField="0" baseItem="170"/>
    <dataField name=" 互动成本" fld="37" baseField="0" baseItem="170"/>
  </dataFields>
  <formats count="109">
    <format dxfId="10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0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0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0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11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119">
      <pivotArea type="all" dataOnly="0" outline="0" fieldPosition="0"/>
    </format>
    <format dxfId="120">
      <pivotArea type="all" dataOnly="0" outline="0" fieldPosition="0"/>
    </format>
    <format dxfId="121">
      <pivotArea type="all" dataOnly="0" outline="0" fieldPosition="0"/>
    </format>
    <format dxfId="122">
      <pivotArea type="all" dataOnly="0" outline="0" fieldPosition="0"/>
    </format>
    <format dxfId="123">
      <pivotArea type="all" dataOnly="0" outline="0" fieldPosition="0"/>
    </format>
    <format dxfId="124">
      <pivotArea field="0" type="button" dataOnly="0" labelOnly="1" outline="0" fieldPosition="0"/>
    </format>
    <format dxfId="125">
      <pivotArea dataOnly="0" labelOnly="1" fieldPosition="0">
        <references count="1">
          <reference field="4294967294" count="1">
            <x v="0"/>
          </reference>
        </references>
      </pivotArea>
    </format>
    <format dxfId="126">
      <pivotArea dataOnly="0" labelOnly="1" fieldPosition="0">
        <references count="1">
          <reference field="4294967294" count="1">
            <x v="1"/>
          </reference>
        </references>
      </pivotArea>
    </format>
    <format dxfId="127">
      <pivotArea dataOnly="0" labelOnly="1" fieldPosition="0">
        <references count="1">
          <reference field="4294967294" count="1">
            <x v="2"/>
          </reference>
        </references>
      </pivotArea>
    </format>
    <format dxfId="128">
      <pivotArea dataOnly="0" labelOnly="1" fieldPosition="0">
        <references count="1">
          <reference field="4294967294" count="1">
            <x v="3"/>
          </reference>
        </references>
      </pivotArea>
    </format>
    <format dxfId="129">
      <pivotArea dataOnly="0" labelOnly="1" fieldPosition="0">
        <references count="1">
          <reference field="4294967294" count="1">
            <x v="4"/>
          </reference>
        </references>
      </pivotArea>
    </format>
    <format dxfId="130">
      <pivotArea dataOnly="0" labelOnly="1" fieldPosition="0">
        <references count="1">
          <reference field="4294967294" count="1">
            <x v="5"/>
          </reference>
        </references>
      </pivotArea>
    </format>
    <format dxfId="131">
      <pivotArea dataOnly="0" labelOnly="1" fieldPosition="0">
        <references count="1">
          <reference field="4294967294" count="1">
            <x v="6"/>
          </reference>
        </references>
      </pivotArea>
    </format>
    <format dxfId="132">
      <pivotArea dataOnly="0" labelOnly="1" fieldPosition="0">
        <references count="1">
          <reference field="4294967294" count="1">
            <x v="7"/>
          </reference>
        </references>
      </pivotArea>
    </format>
    <format dxfId="133">
      <pivotArea dataOnly="0" labelOnly="1" fieldPosition="0">
        <references count="1">
          <reference field="4294967294" count="1">
            <x v="8"/>
          </reference>
        </references>
      </pivotArea>
    </format>
    <format dxfId="134">
      <pivotArea dataOnly="0" labelOnly="1" fieldPosition="0">
        <references count="1">
          <reference field="4294967294" count="1">
            <x v="9"/>
          </reference>
        </references>
      </pivotArea>
    </format>
    <format dxfId="135">
      <pivotArea dataOnly="0" labelOnly="1" fieldPosition="0">
        <references count="1">
          <reference field="4294967294" count="1">
            <x v="10"/>
          </reference>
        </references>
      </pivotArea>
    </format>
    <format dxfId="136">
      <pivotArea dataOnly="0" labelOnly="1" fieldPosition="0">
        <references count="1">
          <reference field="4294967294" count="1">
            <x v="11"/>
          </reference>
        </references>
      </pivotArea>
    </format>
    <format dxfId="137">
      <pivotArea dataOnly="0" labelOnly="1" grandRow="1" fieldPosition="0"/>
    </format>
    <format dxfId="138">
      <pivotArea grandRow="1" collapsedLevelsAreSubtotals="1" fieldPosition="0"/>
    </format>
    <format dxfId="139">
      <pivotArea dataOnly="0" labelOnly="1" fieldPosition="0">
        <references count="1">
          <reference field="4294967294" count="1">
            <x v="3"/>
          </reference>
        </references>
      </pivotArea>
    </format>
    <format dxfId="14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41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42">
      <pivotArea dataOnly="0" labelOnly="1" grandRow="1" fieldPosition="0"/>
    </format>
    <format dxfId="143">
      <pivotArea grandRow="1" collapsedLevelsAreSubtotals="1" fieldPosition="0"/>
    </format>
    <format dxfId="144">
      <pivotArea dataOnly="0" labelOnly="1" grandRow="1" fieldPosition="0"/>
    </format>
    <format dxfId="145">
      <pivotArea grandRow="1" collapsedLevelsAreSubtotals="1" fieldPosition="0"/>
    </format>
    <format dxfId="146">
      <pivotArea dataOnly="0" labelOnly="1" fieldPosition="0">
        <references count="1">
          <reference field="0" count="1">
            <x v="0"/>
          </reference>
        </references>
      </pivotArea>
    </format>
    <format dxfId="147">
      <pivotArea collapsedLevelsAreSubtotals="1" fieldPosition="0">
        <references count="1">
          <reference field="0" count="1" selected="0">
            <x v="0"/>
          </reference>
        </references>
      </pivotArea>
    </format>
    <format dxfId="148">
      <pivotArea dataOnly="0" labelOnly="1" fieldPosition="0">
        <references count="1">
          <reference field="4294967294" count="1">
            <x v="3"/>
          </reference>
        </references>
      </pivotArea>
    </format>
    <format dxfId="14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50">
      <pivotArea dataOnly="0" labelOnly="1" grandRow="1" fieldPosition="0"/>
    </format>
    <format dxfId="151">
      <pivotArea grandRow="1" collapsedLevelsAreSubtotals="1" fieldPosition="0"/>
    </format>
    <format dxfId="152">
      <pivotArea type="all" dataOnly="0" outline="0" fieldPosition="0"/>
    </format>
    <format dxfId="153">
      <pivotArea field="0" type="button" dataOnly="0" labelOnly="1" outline="0" fieldPosition="0"/>
    </format>
    <format dxfId="154">
      <pivotArea dataOnly="0" labelOnly="1" fieldPosition="0">
        <references count="1">
          <reference field="4294967294" count="1">
            <x v="0"/>
          </reference>
        </references>
      </pivotArea>
    </format>
    <format dxfId="155">
      <pivotArea dataOnly="0" labelOnly="1" fieldPosition="0">
        <references count="1">
          <reference field="4294967294" count="1">
            <x v="1"/>
          </reference>
        </references>
      </pivotArea>
    </format>
    <format dxfId="156">
      <pivotArea dataOnly="0" labelOnly="1" fieldPosition="0">
        <references count="1">
          <reference field="4294967294" count="1">
            <x v="2"/>
          </reference>
        </references>
      </pivotArea>
    </format>
    <format dxfId="157">
      <pivotArea dataOnly="0" labelOnly="1" fieldPosition="0">
        <references count="1">
          <reference field="4294967294" count="1">
            <x v="3"/>
          </reference>
        </references>
      </pivotArea>
    </format>
    <format dxfId="158">
      <pivotArea dataOnly="0" labelOnly="1" fieldPosition="0">
        <references count="1">
          <reference field="4294967294" count="1">
            <x v="4"/>
          </reference>
        </references>
      </pivotArea>
    </format>
    <format dxfId="159">
      <pivotArea dataOnly="0" labelOnly="1" fieldPosition="0">
        <references count="1">
          <reference field="4294967294" count="1">
            <x v="5"/>
          </reference>
        </references>
      </pivotArea>
    </format>
    <format dxfId="160">
      <pivotArea dataOnly="0" labelOnly="1" fieldPosition="0">
        <references count="1">
          <reference field="4294967294" count="1">
            <x v="6"/>
          </reference>
        </references>
      </pivotArea>
    </format>
    <format dxfId="161">
      <pivotArea dataOnly="0" labelOnly="1" fieldPosition="0">
        <references count="1">
          <reference field="4294967294" count="1">
            <x v="7"/>
          </reference>
        </references>
      </pivotArea>
    </format>
    <format dxfId="162">
      <pivotArea dataOnly="0" labelOnly="1" fieldPosition="0">
        <references count="1">
          <reference field="4294967294" count="1">
            <x v="8"/>
          </reference>
        </references>
      </pivotArea>
    </format>
    <format dxfId="163">
      <pivotArea dataOnly="0" labelOnly="1" fieldPosition="0">
        <references count="1">
          <reference field="4294967294" count="1">
            <x v="9"/>
          </reference>
        </references>
      </pivotArea>
    </format>
    <format dxfId="164">
      <pivotArea dataOnly="0" labelOnly="1" fieldPosition="0">
        <references count="1">
          <reference field="4294967294" count="1">
            <x v="10"/>
          </reference>
        </references>
      </pivotArea>
    </format>
    <format dxfId="165">
      <pivotArea dataOnly="0" labelOnly="1" fieldPosition="0">
        <references count="1">
          <reference field="4294967294" count="1">
            <x v="11"/>
          </reference>
        </references>
      </pivotArea>
    </format>
    <format dxfId="166">
      <pivotArea dataOnly="0" labelOnly="1" fieldPosition="0">
        <references count="1">
          <reference field="4294967294" count="1">
            <x v="3"/>
          </reference>
        </references>
      </pivotArea>
    </format>
    <format dxfId="16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168">
      <pivotArea dataOnly="0" labelOnly="1" fieldPosition="0">
        <references count="1">
          <reference field="4294967294" count="1">
            <x v="7"/>
          </reference>
        </references>
      </pivotArea>
    </format>
    <format dxfId="169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170">
      <pivotArea field="7" type="button" dataOnly="0" labelOnly="1" outline="0" fieldPosition="0"/>
    </format>
    <format dxfId="171">
      <pivotArea field="3" type="button" dataOnly="0" labelOnly="1" outline="0" fieldPosition="0"/>
    </format>
    <format dxfId="172">
      <pivotArea dataOnly="0" labelOnly="1" fieldPosition="0">
        <references count="1">
          <reference field="4294967294" count="1">
            <x v="12"/>
          </reference>
        </references>
      </pivotArea>
    </format>
    <format dxfId="173">
      <pivotArea field="28" type="button" dataOnly="0" labelOnly="1" outline="0" fieldPosition="0"/>
    </format>
    <format dxfId="174">
      <pivotArea type="all" dataOnly="0" outline="0" fieldPosition="0"/>
    </format>
    <format dxfId="175">
      <pivotArea type="all" dataOnly="0" outline="0" fieldPosition="0"/>
    </format>
    <format dxfId="176">
      <pivotArea dataOnly="0" labelOnly="1" fieldPosition="0">
        <references count="1">
          <reference field="4294967294" count="1">
            <x v="12"/>
          </reference>
        </references>
      </pivotArea>
    </format>
    <format dxfId="17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78">
      <pivotArea dataOnly="0" labelOnly="1" fieldPosition="0">
        <references count="1">
          <reference field="4294967294" count="1">
            <x v="12"/>
          </reference>
        </references>
      </pivotArea>
    </format>
    <format dxfId="17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80">
      <pivotArea dataOnly="0" labelOnly="1" fieldPosition="0">
        <references count="1">
          <reference field="4294967294" count="1">
            <x v="12"/>
          </reference>
        </references>
      </pivotArea>
    </format>
    <format dxfId="18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82">
      <pivotArea dataOnly="0" labelOnly="1" fieldPosition="0">
        <references count="1">
          <reference field="4294967294" count="1">
            <x v="12"/>
          </reference>
        </references>
      </pivotArea>
    </format>
    <format dxfId="183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84">
      <pivotArea dataOnly="0" labelOnly="1" fieldPosition="0">
        <references count="1">
          <reference field="4294967294" count="1">
            <x v="12"/>
          </reference>
        </references>
      </pivotArea>
    </format>
    <format dxfId="18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86">
      <pivotArea dataOnly="0" labelOnly="1" fieldPosition="0">
        <references count="1">
          <reference field="4294967294" count="1">
            <x v="12"/>
          </reference>
        </references>
      </pivotArea>
    </format>
    <format dxfId="18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88">
      <pivotArea dataOnly="0" labelOnly="1" fieldPosition="0">
        <references count="1">
          <reference field="4294967294" count="1">
            <x v="12"/>
          </reference>
        </references>
      </pivotArea>
    </format>
    <format dxfId="18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90">
      <pivotArea dataOnly="0" labelOnly="1" fieldPosition="0">
        <references count="1">
          <reference field="4294967294" count="1">
            <x v="12"/>
          </reference>
        </references>
      </pivotArea>
    </format>
    <format dxfId="191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192">
      <pivotArea field="0" type="button" dataOnly="0" labelOnly="1" outline="0" fieldPosition="0"/>
    </format>
    <format dxfId="193">
      <pivotArea field="28" type="button" dataOnly="0" labelOnly="1" outline="0" fieldPosition="0"/>
    </format>
    <format dxfId="194">
      <pivotArea field="3" type="button" dataOnly="0" labelOnly="1" outline="0" fieldPosition="0"/>
    </format>
    <format dxfId="195">
      <pivotArea dataOnly="0" labelOnly="1" fieldPosition="0">
        <references count="1">
          <reference field="4294967294" count="1">
            <x v="0"/>
          </reference>
        </references>
      </pivotArea>
    </format>
    <format dxfId="196">
      <pivotArea dataOnly="0" labelOnly="1" fieldPosition="0">
        <references count="1">
          <reference field="4294967294" count="1">
            <x v="1"/>
          </reference>
        </references>
      </pivotArea>
    </format>
    <format dxfId="197">
      <pivotArea dataOnly="0" labelOnly="1" fieldPosition="0">
        <references count="1">
          <reference field="4294967294" count="1">
            <x v="2"/>
          </reference>
        </references>
      </pivotArea>
    </format>
    <format dxfId="198">
      <pivotArea dataOnly="0" labelOnly="1" fieldPosition="0">
        <references count="1">
          <reference field="4294967294" count="1">
            <x v="3"/>
          </reference>
        </references>
      </pivotArea>
    </format>
    <format dxfId="199">
      <pivotArea dataOnly="0" labelOnly="1" fieldPosition="0">
        <references count="1">
          <reference field="4294967294" count="1">
            <x v="4"/>
          </reference>
        </references>
      </pivotArea>
    </format>
    <format dxfId="200">
      <pivotArea dataOnly="0" labelOnly="1" fieldPosition="0">
        <references count="1">
          <reference field="4294967294" count="1">
            <x v="5"/>
          </reference>
        </references>
      </pivotArea>
    </format>
    <format dxfId="201">
      <pivotArea dataOnly="0" labelOnly="1" fieldPosition="0">
        <references count="1">
          <reference field="4294967294" count="1">
            <x v="6"/>
          </reference>
        </references>
      </pivotArea>
    </format>
    <format dxfId="202">
      <pivotArea dataOnly="0" labelOnly="1" fieldPosition="0">
        <references count="1">
          <reference field="4294967294" count="1">
            <x v="7"/>
          </reference>
        </references>
      </pivotArea>
    </format>
    <format dxfId="203">
      <pivotArea dataOnly="0" labelOnly="1" fieldPosition="0">
        <references count="1">
          <reference field="4294967294" count="1">
            <x v="8"/>
          </reference>
        </references>
      </pivotArea>
    </format>
    <format dxfId="204">
      <pivotArea dataOnly="0" labelOnly="1" fieldPosition="0">
        <references count="1">
          <reference field="4294967294" count="1">
            <x v="9"/>
          </reference>
        </references>
      </pivotArea>
    </format>
    <format dxfId="205">
      <pivotArea dataOnly="0" labelOnly="1" fieldPosition="0">
        <references count="1">
          <reference field="4294967294" count="1">
            <x v="10"/>
          </reference>
        </references>
      </pivotArea>
    </format>
    <format dxfId="206">
      <pivotArea dataOnly="0" labelOnly="1" fieldPosition="0">
        <references count="1">
          <reference field="4294967294" count="1">
            <x v="11"/>
          </reference>
        </references>
      </pivotArea>
    </format>
    <format dxfId="207">
      <pivotArea dataOnly="0" labelOnly="1" fieldPosition="0">
        <references count="1">
          <reference field="4294967294" count="1">
            <x v="12"/>
          </reference>
        </references>
      </pivotArea>
    </format>
    <format dxfId="208">
      <pivotArea field="29" type="button" dataOnly="0" labelOnly="1" outline="0" fieldPosition="0"/>
    </format>
    <format dxfId="209">
      <pivotArea field="30" type="button" dataOnly="0" labelOnly="1" outline="0" fieldPosition="0"/>
    </format>
    <format dxfId="210">
      <pivotArea field="27" type="button" dataOnly="0" labelOnly="1" outline="0" fieldPosition="0"/>
    </format>
    <format dxfId="211">
      <pivotArea field="31" type="button" dataOnly="0" labelOnly="1" outline="0" fieldPosition="0"/>
    </format>
    <format dxfId="212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3" autoFormatId="1" applyNumberFormats="0" applyBorderFormats="0" applyFontFormats="0" applyPatternFormats="0" applyAlignmentFormats="0" applyWidthHeightFormats="1" dataCaption="值" updatedVersion="5" minRefreshableVersion="3" createdVersion="5" mergeItem="1" colGrandTotals="0" compact="0" indent="0" compactData="0" showDrill="1" multipleFieldFilters="0">
  <location ref="A4:Q51" firstHeaderRow="0" firstDataRow="1" firstDataCol="3"/>
  <pivotFields count="40">
    <pivotField axis="axisRow" compact="0" sortType="ascending" defaultSubtotal="0" outline="0" subtotalTop="0" multipleItemSelectionAllowed="1" numFmtId="14" showAll="0">
      <items count="171">
        <item h="1" x="157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h="1" x="170"/>
      </items>
    </pivotField>
    <pivotField compact="0" defaultSubtotal="0" outline="0" subtotalTop="0" showAll="0">
      <items count="197">
        <item x="196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9"/>
        <item x="2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</items>
    </pivotField>
    <pivotField compact="0" defaultSubtotal="0" outline="0" subtotalTop="0" showAll="0">
      <items count="257">
        <item x="256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9"/>
        <item x="21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</items>
    </pivotField>
    <pivotField compact="0" defaultSubtotal="0" outline="0" subtotalTop="0" multipleItemSelectionAllowed="1" showAll="0">
      <items count="3">
        <item x="1"/>
        <item h="1" x="0"/>
        <item h="1" x="2"/>
      </items>
    </pivotField>
    <pivotField compact="0" defaultSubtotal="0" outline="0" subtotalTop="0" showAll="0">
      <items count="126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compact="0" defaultSubtotal="0" outline="0" subtotalTop="0" showAll="0">
      <items count="228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"/>
        <item x="18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</items>
    </pivotField>
    <pivotField compact="0" defaultSubtotal="0" outline="0" subtotalTop="0" showAll="0">
      <items count="228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"/>
        <item x="18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</items>
    </pivotField>
    <pivotField compact="0" defaultSubtotal="0" outline="0" subtotalTop="0" showAll="0">
      <items count="229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</items>
    </pivotField>
    <pivotField compact="0" defaultSubtotal="0" outline="0" subtotalTop="0" showAll="0">
      <items count="227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</items>
    </pivotField>
    <pivotField compact="0" outline="0" subtotalTop="0" showAll="0">
      <items count="3">
        <item x="0"/>
        <item x="1"/>
        <item t="default"/>
      </items>
    </pivotField>
    <pivotField dataField="1" compact="0" defaultSubtotal="0" outline="0" subtotalTop="0" showAll="0">
      <items count="918">
        <item x="220"/>
        <item x="917"/>
        <item x="136"/>
        <item x="105"/>
        <item x="44"/>
        <item x="61"/>
        <item x="212"/>
        <item x="18"/>
        <item x="8"/>
        <item x="109"/>
        <item x="55"/>
        <item x="33"/>
        <item x="171"/>
        <item x="39"/>
        <item x="138"/>
        <item x="89"/>
        <item x="148"/>
        <item x="5"/>
        <item x="250"/>
        <item x="0"/>
        <item x="1"/>
        <item x="2"/>
        <item x="3"/>
        <item x="4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</items>
    </pivotField>
    <pivotField dataField="1" compact="0" defaultSubtotal="0" outline="0" subtotalTop="0" showAll="0">
      <items count="930">
        <item x="226"/>
        <item x="96"/>
        <item x="78"/>
        <item x="929"/>
        <item x="141"/>
        <item x="304"/>
        <item x="75"/>
        <item x="257"/>
        <item x="303"/>
        <item x="24"/>
        <item x="294"/>
        <item x="292"/>
        <item x="179"/>
        <item x="305"/>
        <item x="123"/>
        <item x="264"/>
        <item x="37"/>
        <item x="85"/>
        <item x="93"/>
        <item x="171"/>
        <item x="70"/>
        <item x="263"/>
        <item x="117"/>
        <item x="19"/>
        <item x="20"/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5"/>
        <item x="26"/>
        <item x="27"/>
        <item x="28"/>
        <item x="29"/>
        <item x="31"/>
        <item x="32"/>
        <item x="33"/>
        <item x="34"/>
        <item x="35"/>
        <item x="36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3"/>
        <item x="74"/>
        <item x="76"/>
        <item x="77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6"/>
        <item x="307"/>
        <item x="308"/>
        <item x="309"/>
        <item x="55"/>
        <item x="30"/>
        <item x="40"/>
        <item x="63"/>
        <item x="79"/>
        <item x="156"/>
        <item x="237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</items>
    </pivotField>
    <pivotField dataField="1" compact="0" defaultSubtotal="0" outline="0" subtotalTop="0" showAll="0">
      <items count="775">
        <item x="72"/>
        <item x="24"/>
        <item x="15"/>
        <item x="38"/>
        <item x="73"/>
        <item x="199"/>
        <item x="180"/>
        <item x="247"/>
        <item x="131"/>
        <item x="85"/>
        <item x="249"/>
        <item x="273"/>
        <item x="94"/>
        <item x="61"/>
        <item x="27"/>
        <item x="113"/>
        <item x="276"/>
        <item x="37"/>
        <item x="132"/>
        <item x="70"/>
        <item x="167"/>
        <item x="774"/>
        <item x="272"/>
        <item x="78"/>
        <item x="87"/>
        <item x="19"/>
        <item x="20"/>
        <item x="214"/>
        <item x="130"/>
        <item x="277"/>
        <item x="142"/>
        <item x="8"/>
        <item x="58"/>
        <item x="93"/>
        <item x="156"/>
        <item x="36"/>
        <item x="161"/>
        <item x="223"/>
        <item x="45"/>
        <item x="28"/>
        <item x="124"/>
        <item x="120"/>
        <item x="35"/>
        <item x="248"/>
        <item x="241"/>
        <item x="274"/>
        <item x="278"/>
        <item x="65"/>
        <item x="240"/>
        <item x="71"/>
        <item x="79"/>
        <item x="279"/>
        <item x="239"/>
        <item x="30"/>
        <item x="118"/>
        <item x="140"/>
        <item x="265"/>
        <item x="18"/>
        <item x="10"/>
        <item x="227"/>
        <item x="100"/>
        <item x="52"/>
        <item x="74"/>
        <item x="202"/>
        <item x="182"/>
        <item x="2"/>
        <item x="32"/>
        <item x="242"/>
        <item x="92"/>
        <item x="255"/>
        <item x="211"/>
        <item x="99"/>
        <item x="25"/>
        <item x="243"/>
        <item x="90"/>
        <item x="169"/>
        <item x="66"/>
        <item x="186"/>
        <item x="229"/>
        <item x="0"/>
        <item x="1"/>
        <item x="3"/>
        <item x="4"/>
        <item x="5"/>
        <item x="6"/>
        <item x="7"/>
        <item x="9"/>
        <item x="11"/>
        <item x="12"/>
        <item x="13"/>
        <item x="14"/>
        <item x="16"/>
        <item x="17"/>
        <item x="21"/>
        <item x="22"/>
        <item x="23"/>
        <item x="26"/>
        <item x="31"/>
        <item x="33"/>
        <item x="34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3"/>
        <item x="54"/>
        <item x="55"/>
        <item x="56"/>
        <item x="57"/>
        <item x="59"/>
        <item x="60"/>
        <item x="62"/>
        <item x="63"/>
        <item x="64"/>
        <item x="67"/>
        <item x="68"/>
        <item x="69"/>
        <item x="75"/>
        <item x="76"/>
        <item x="77"/>
        <item x="80"/>
        <item x="81"/>
        <item x="82"/>
        <item x="83"/>
        <item x="84"/>
        <item x="86"/>
        <item x="88"/>
        <item x="89"/>
        <item x="91"/>
        <item x="95"/>
        <item x="96"/>
        <item x="97"/>
        <item x="98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9"/>
        <item x="121"/>
        <item x="122"/>
        <item x="123"/>
        <item x="125"/>
        <item x="126"/>
        <item x="127"/>
        <item x="128"/>
        <item x="129"/>
        <item x="133"/>
        <item x="134"/>
        <item x="135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2"/>
        <item x="163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5"/>
        <item x="206"/>
        <item x="207"/>
        <item x="208"/>
        <item x="209"/>
        <item x="210"/>
        <item x="212"/>
        <item x="213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8"/>
        <item x="230"/>
        <item x="231"/>
        <item x="232"/>
        <item x="233"/>
        <item x="234"/>
        <item x="235"/>
        <item x="236"/>
        <item x="237"/>
        <item x="238"/>
        <item x="244"/>
        <item x="245"/>
        <item x="246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5"/>
        <item x="2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</items>
    </pivotField>
    <pivotField compact="0" defaultSubtotal="0" outline="0" subtotalTop="0" numFmtId="10" showAll="0">
      <items count="606">
        <item x="85"/>
        <item x="227"/>
        <item x="152"/>
        <item x="210"/>
        <item x="160"/>
        <item x="244"/>
        <item x="10"/>
        <item x="153"/>
        <item x="211"/>
        <item x="605"/>
        <item x="209"/>
        <item x="205"/>
        <item x="161"/>
        <item x="198"/>
        <item x="199"/>
        <item x="78"/>
        <item x="191"/>
        <item x="158"/>
        <item x="123"/>
        <item x="167"/>
        <item x="96"/>
        <item x="222"/>
        <item x="168"/>
        <item x="23"/>
        <item x="145"/>
        <item x="113"/>
        <item x="87"/>
        <item x="154"/>
        <item x="146"/>
        <item x="232"/>
        <item x="223"/>
        <item x="252"/>
        <item x="77"/>
        <item x="4"/>
        <item x="208"/>
        <item x="137"/>
        <item x="119"/>
        <item x="234"/>
        <item x="108"/>
        <item x="8"/>
        <item x="202"/>
        <item x="224"/>
        <item x="102"/>
        <item x="29"/>
        <item x="225"/>
        <item x="213"/>
        <item x="254"/>
        <item x="162"/>
        <item x="174"/>
        <item x="28"/>
        <item x="84"/>
        <item x="260"/>
        <item x="82"/>
        <item x="219"/>
        <item x="9"/>
        <item x="233"/>
        <item x="159"/>
        <item x="203"/>
        <item x="72"/>
        <item x="46"/>
        <item x="109"/>
        <item x="2"/>
        <item x="216"/>
        <item x="187"/>
        <item x="238"/>
        <item x="112"/>
        <item x="65"/>
        <item x="195"/>
        <item x="240"/>
        <item x="24"/>
        <item x="149"/>
        <item x="140"/>
        <item x="192"/>
        <item x="188"/>
        <item x="134"/>
        <item x="197"/>
        <item x="25"/>
        <item x="76"/>
        <item x="95"/>
        <item x="34"/>
        <item x="71"/>
        <item x="115"/>
        <item x="130"/>
        <item x="196"/>
        <item x="53"/>
        <item x="172"/>
        <item x="155"/>
        <item x="256"/>
        <item x="132"/>
        <item x="39"/>
        <item x="175"/>
        <item x="239"/>
        <item x="97"/>
        <item x="124"/>
        <item x="156"/>
        <item x="166"/>
        <item x="204"/>
        <item x="41"/>
        <item x="63"/>
        <item x="69"/>
        <item x="3"/>
        <item x="185"/>
        <item x="111"/>
        <item x="14"/>
        <item x="217"/>
        <item x="88"/>
        <item x="47"/>
        <item x="104"/>
        <item x="135"/>
        <item x="147"/>
        <item x="257"/>
        <item x="79"/>
        <item x="218"/>
        <item x="121"/>
        <item x="173"/>
        <item x="148"/>
        <item x="241"/>
        <item x="138"/>
        <item x="0"/>
        <item x="1"/>
        <item x="5"/>
        <item x="6"/>
        <item x="7"/>
        <item x="11"/>
        <item x="12"/>
        <item x="13"/>
        <item x="15"/>
        <item x="16"/>
        <item x="17"/>
        <item x="18"/>
        <item x="19"/>
        <item x="20"/>
        <item x="21"/>
        <item x="22"/>
        <item x="26"/>
        <item x="27"/>
        <item x="31"/>
        <item x="32"/>
        <item x="33"/>
        <item x="35"/>
        <item x="36"/>
        <item x="37"/>
        <item x="38"/>
        <item x="40"/>
        <item x="42"/>
        <item x="43"/>
        <item x="44"/>
        <item x="45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6"/>
        <item x="67"/>
        <item x="68"/>
        <item x="70"/>
        <item x="73"/>
        <item x="74"/>
        <item x="75"/>
        <item x="80"/>
        <item x="81"/>
        <item x="83"/>
        <item x="86"/>
        <item x="89"/>
        <item x="90"/>
        <item x="91"/>
        <item x="92"/>
        <item x="93"/>
        <item x="94"/>
        <item x="98"/>
        <item x="99"/>
        <item x="100"/>
        <item x="101"/>
        <item x="103"/>
        <item x="105"/>
        <item x="106"/>
        <item x="107"/>
        <item x="110"/>
        <item x="114"/>
        <item x="116"/>
        <item x="117"/>
        <item x="118"/>
        <item x="120"/>
        <item x="122"/>
        <item x="125"/>
        <item x="126"/>
        <item x="127"/>
        <item x="128"/>
        <item x="129"/>
        <item x="131"/>
        <item x="133"/>
        <item x="136"/>
        <item x="139"/>
        <item x="141"/>
        <item x="142"/>
        <item x="143"/>
        <item x="144"/>
        <item x="150"/>
        <item x="151"/>
        <item x="157"/>
        <item x="163"/>
        <item x="164"/>
        <item x="165"/>
        <item x="169"/>
        <item x="170"/>
        <item x="171"/>
        <item x="176"/>
        <item x="177"/>
        <item x="178"/>
        <item x="179"/>
        <item x="180"/>
        <item x="181"/>
        <item x="182"/>
        <item x="183"/>
        <item x="184"/>
        <item x="186"/>
        <item x="189"/>
        <item x="190"/>
        <item x="193"/>
        <item x="194"/>
        <item x="200"/>
        <item x="201"/>
        <item x="206"/>
        <item x="207"/>
        <item x="212"/>
        <item x="214"/>
        <item x="215"/>
        <item x="220"/>
        <item x="221"/>
        <item x="226"/>
        <item x="228"/>
        <item x="229"/>
        <item x="230"/>
        <item x="231"/>
        <item x="235"/>
        <item x="236"/>
        <item x="237"/>
        <item x="242"/>
        <item x="243"/>
        <item x="245"/>
        <item x="246"/>
        <item x="247"/>
        <item x="248"/>
        <item x="249"/>
        <item x="250"/>
        <item x="251"/>
        <item x="253"/>
        <item x="255"/>
        <item x="258"/>
        <item x="259"/>
        <item x="261"/>
        <item x="262"/>
        <item x="30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</items>
    </pivotField>
    <pivotField compact="0" defaultSubtotal="0" outline="0" subtotalTop="0" showAll="0">
      <items count="114">
        <item x="33"/>
        <item x="49"/>
        <item x="72"/>
        <item x="57"/>
        <item x="46"/>
        <item x="22"/>
        <item x="63"/>
        <item x="15"/>
        <item x="14"/>
        <item x="40"/>
        <item x="44"/>
        <item x="71"/>
        <item x="19"/>
        <item x="48"/>
        <item x="56"/>
        <item x="31"/>
        <item x="34"/>
        <item x="27"/>
        <item x="17"/>
        <item x="20"/>
        <item x="62"/>
        <item x="47"/>
        <item x="53"/>
        <item x="24"/>
        <item x="64"/>
        <item x="7"/>
        <item x="51"/>
        <item x="8"/>
        <item x="3"/>
        <item x="66"/>
        <item x="36"/>
        <item x="113"/>
        <item x="41"/>
        <item x="42"/>
        <item x="32"/>
        <item x="30"/>
        <item x="58"/>
        <item x="0"/>
        <item x="12"/>
        <item x="35"/>
        <item x="55"/>
        <item x="21"/>
        <item x="54"/>
        <item x="10"/>
        <item x="26"/>
        <item x="52"/>
        <item x="43"/>
        <item x="50"/>
        <item x="23"/>
        <item x="25"/>
        <item x="45"/>
        <item x="38"/>
        <item x="29"/>
        <item x="59"/>
        <item x="18"/>
        <item x="28"/>
        <item x="60"/>
        <item x="68"/>
        <item x="1"/>
        <item x="69"/>
        <item x="6"/>
        <item x="2"/>
        <item x="9"/>
        <item x="5"/>
        <item x="4"/>
        <item x="37"/>
        <item x="67"/>
        <item x="39"/>
        <item x="70"/>
        <item x="65"/>
        <item x="11"/>
        <item x="13"/>
        <item x="61"/>
        <item x="16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</items>
    </pivotField>
    <pivotField compact="0" defaultSubtotal="0" outline="0" subtotalTop="0" showAll="0">
      <items count="819">
        <item x="255"/>
        <item x="185"/>
        <item x="237"/>
        <item x="818"/>
        <item x="163"/>
        <item x="108"/>
        <item x="236"/>
        <item x="88"/>
        <item x="283"/>
        <item x="148"/>
        <item x="161"/>
        <item x="142"/>
        <item x="223"/>
        <item x="175"/>
        <item x="16"/>
        <item x="17"/>
        <item x="147"/>
        <item x="230"/>
        <item x="196"/>
        <item x="180"/>
        <item x="241"/>
        <item x="33"/>
        <item x="49"/>
        <item x="266"/>
        <item x="25"/>
        <item x="136"/>
        <item x="254"/>
        <item x="216"/>
        <item x="172"/>
        <item x="126"/>
        <item x="267"/>
        <item x="40"/>
        <item x="65"/>
        <item x="190"/>
        <item x="123"/>
        <item x="27"/>
        <item x="89"/>
        <item x="189"/>
        <item x="90"/>
        <item x="181"/>
        <item x="81"/>
        <item x="265"/>
        <item x="145"/>
        <item x="203"/>
        <item x="72"/>
        <item x="198"/>
        <item x="76"/>
        <item x="53"/>
        <item x="195"/>
        <item x="239"/>
        <item x="9"/>
        <item x="154"/>
        <item x="256"/>
        <item x="83"/>
        <item x="159"/>
        <item x="231"/>
        <item x="212"/>
        <item x="71"/>
        <item x="153"/>
        <item x="261"/>
        <item x="15"/>
        <item x="214"/>
        <item x="61"/>
        <item x="66"/>
        <item x="156"/>
        <item x="46"/>
        <item x="170"/>
        <item x="5"/>
        <item x="270"/>
        <item x="129"/>
        <item x="143"/>
        <item x="116"/>
        <item x="242"/>
        <item x="202"/>
        <item x="226"/>
        <item x="1"/>
        <item x="118"/>
        <item x="168"/>
        <item x="140"/>
        <item x="75"/>
        <item x="246"/>
        <item x="171"/>
        <item x="141"/>
        <item x="69"/>
        <item x="244"/>
        <item x="38"/>
        <item x="39"/>
        <item x="6"/>
        <item x="95"/>
        <item x="186"/>
        <item x="35"/>
        <item x="164"/>
        <item x="284"/>
        <item x="0"/>
        <item x="42"/>
        <item x="248"/>
        <item x="26"/>
        <item x="11"/>
        <item x="177"/>
        <item x="182"/>
        <item x="173"/>
        <item x="208"/>
        <item x="109"/>
        <item x="14"/>
        <item x="243"/>
        <item x="281"/>
        <item x="31"/>
        <item x="144"/>
        <item x="155"/>
        <item x="280"/>
        <item x="112"/>
        <item x="130"/>
        <item x="277"/>
        <item x="7"/>
        <item x="96"/>
        <item x="183"/>
        <item x="225"/>
        <item x="193"/>
        <item x="247"/>
        <item x="199"/>
        <item x="80"/>
        <item x="191"/>
        <item x="97"/>
        <item x="3"/>
        <item x="240"/>
        <item x="229"/>
        <item x="2"/>
        <item x="4"/>
        <item x="8"/>
        <item x="10"/>
        <item x="12"/>
        <item x="13"/>
        <item x="18"/>
        <item x="19"/>
        <item x="20"/>
        <item x="21"/>
        <item x="22"/>
        <item x="23"/>
        <item x="24"/>
        <item x="28"/>
        <item x="30"/>
        <item x="32"/>
        <item x="34"/>
        <item x="36"/>
        <item x="37"/>
        <item x="41"/>
        <item x="43"/>
        <item x="44"/>
        <item x="45"/>
        <item x="47"/>
        <item x="48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7"/>
        <item x="68"/>
        <item x="70"/>
        <item x="73"/>
        <item x="74"/>
        <item x="77"/>
        <item x="78"/>
        <item x="79"/>
        <item x="82"/>
        <item x="84"/>
        <item x="85"/>
        <item x="86"/>
        <item x="87"/>
        <item x="91"/>
        <item x="92"/>
        <item x="93"/>
        <item x="94"/>
        <item x="98"/>
        <item x="99"/>
        <item x="100"/>
        <item x="101"/>
        <item x="102"/>
        <item x="103"/>
        <item x="104"/>
        <item x="105"/>
        <item x="106"/>
        <item x="107"/>
        <item x="110"/>
        <item x="111"/>
        <item x="113"/>
        <item x="114"/>
        <item x="115"/>
        <item x="117"/>
        <item x="119"/>
        <item x="120"/>
        <item x="121"/>
        <item x="122"/>
        <item x="124"/>
        <item x="125"/>
        <item x="127"/>
        <item x="128"/>
        <item x="131"/>
        <item x="132"/>
        <item x="133"/>
        <item x="134"/>
        <item x="135"/>
        <item x="137"/>
        <item x="138"/>
        <item x="139"/>
        <item x="146"/>
        <item x="149"/>
        <item x="150"/>
        <item x="151"/>
        <item x="152"/>
        <item x="157"/>
        <item x="158"/>
        <item x="160"/>
        <item x="162"/>
        <item x="165"/>
        <item x="166"/>
        <item x="167"/>
        <item x="169"/>
        <item x="174"/>
        <item x="176"/>
        <item x="178"/>
        <item x="179"/>
        <item x="184"/>
        <item x="187"/>
        <item x="188"/>
        <item x="192"/>
        <item x="194"/>
        <item x="197"/>
        <item x="200"/>
        <item x="201"/>
        <item x="204"/>
        <item x="205"/>
        <item x="206"/>
        <item x="207"/>
        <item x="209"/>
        <item x="210"/>
        <item x="211"/>
        <item x="213"/>
        <item x="215"/>
        <item x="217"/>
        <item x="218"/>
        <item x="219"/>
        <item x="220"/>
        <item x="221"/>
        <item x="222"/>
        <item x="224"/>
        <item x="227"/>
        <item x="228"/>
        <item x="232"/>
        <item x="233"/>
        <item x="234"/>
        <item x="235"/>
        <item x="238"/>
        <item x="245"/>
        <item x="249"/>
        <item x="250"/>
        <item x="251"/>
        <item x="252"/>
        <item x="253"/>
        <item x="257"/>
        <item x="258"/>
        <item x="259"/>
        <item x="260"/>
        <item x="262"/>
        <item x="263"/>
        <item x="264"/>
        <item x="268"/>
        <item x="269"/>
        <item x="271"/>
        <item x="272"/>
        <item x="273"/>
        <item x="274"/>
        <item x="275"/>
        <item x="276"/>
        <item x="278"/>
        <item x="279"/>
        <item x="282"/>
        <item x="285"/>
        <item x="286"/>
        <item x="287"/>
        <item x="288"/>
        <item x="29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</items>
    </pivotField>
    <pivotField dataField="1" compact="0" defaultSubtotal="0" outline="0" subtotalTop="0" showAll="0">
      <items count="253">
        <item x="26"/>
        <item x="15"/>
        <item x="18"/>
        <item x="41"/>
        <item x="8"/>
        <item x="21"/>
        <item x="22"/>
        <item x="23"/>
        <item x="252"/>
        <item x="0"/>
        <item x="13"/>
        <item x="7"/>
        <item x="125"/>
        <item x="2"/>
        <item x="63"/>
        <item x="35"/>
        <item x="14"/>
        <item x="46"/>
        <item x="1"/>
        <item x="3"/>
        <item x="4"/>
        <item x="5"/>
        <item x="6"/>
        <item x="9"/>
        <item x="10"/>
        <item x="11"/>
        <item x="12"/>
        <item x="16"/>
        <item x="17"/>
        <item x="19"/>
        <item x="20"/>
        <item x="24"/>
        <item x="25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</items>
    </pivotField>
    <pivotField dataField="1" compact="0" defaultSubtotal="0" outline="0" subtotalTop="0" showAll="0">
      <items count="28">
        <item x="2"/>
        <item x="0"/>
        <item x="1"/>
        <item x="7"/>
        <item x="6"/>
        <item x="10"/>
        <item x="27"/>
        <item x="3"/>
        <item x="4"/>
        <item x="5"/>
        <item x="8"/>
        <item x="11"/>
        <item x="15"/>
        <item x="19"/>
        <item x="9"/>
        <item x="12"/>
        <item x="13"/>
        <item x="14"/>
        <item x="16"/>
        <item x="17"/>
        <item x="18"/>
        <item x="20"/>
        <item x="21"/>
        <item x="22"/>
        <item x="23"/>
        <item x="24"/>
        <item x="25"/>
        <item x="26"/>
      </items>
    </pivotField>
    <pivotField dataField="1" compact="0" defaultSubtotal="0" outline="0" subtotalTop="0" showAll="0">
      <items count="178">
        <item x="14"/>
        <item x="24"/>
        <item x="50"/>
        <item x="42"/>
        <item x="177"/>
        <item x="19"/>
        <item x="89"/>
        <item x="22"/>
        <item x="90"/>
        <item x="49"/>
        <item x="8"/>
        <item x="20"/>
        <item x="103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5"/>
        <item x="16"/>
        <item x="17"/>
        <item x="18"/>
        <item x="21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</items>
    </pivotField>
    <pivotField dataField="1" compact="0" defaultSubtotal="0" outline="0" subtotalTop="0" showAll="0">
      <items count="65">
        <item x="3"/>
        <item x="11"/>
        <item x="5"/>
        <item x="64"/>
        <item x="18"/>
        <item x="0"/>
        <item x="9"/>
        <item x="1"/>
        <item x="12"/>
        <item x="4"/>
        <item x="6"/>
        <item x="13"/>
        <item x="2"/>
        <item x="7"/>
        <item x="8"/>
        <item x="10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compact="0" defaultSubtotal="0" outline="0" subtotalTop="0" showAll="0">
      <items count="45">
        <item x="2"/>
        <item x="3"/>
        <item x="1"/>
        <item x="4"/>
        <item x="23"/>
        <item x="0"/>
        <item x="13"/>
        <item x="5"/>
        <item x="44"/>
        <item x="14"/>
        <item x="7"/>
        <item x="6"/>
        <item x="29"/>
        <item x="9"/>
        <item x="8"/>
        <item x="24"/>
        <item x="27"/>
        <item x="12"/>
        <item x="26"/>
        <item x="30"/>
        <item x="28"/>
        <item x="25"/>
        <item x="10"/>
        <item x="11"/>
        <item x="15"/>
        <item x="16"/>
        <item x="17"/>
        <item x="18"/>
        <item x="19"/>
        <item x="20"/>
        <item x="21"/>
        <item x="22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dataField="1" compact="0" defaultSubtotal="0" outline="0" subtotalTop="0" showAll="0">
      <items count="342">
        <item x="83"/>
        <item x="15"/>
        <item x="93"/>
        <item x="27"/>
        <item x="75"/>
        <item x="70"/>
        <item x="20"/>
        <item x="37"/>
        <item x="31"/>
        <item x="56"/>
        <item x="8"/>
        <item x="68"/>
        <item x="78"/>
        <item x="341"/>
        <item x="13"/>
        <item x="26"/>
        <item x="22"/>
        <item x="50"/>
        <item x="154"/>
        <item x="87"/>
        <item x="24"/>
        <item x="51"/>
        <item x="148"/>
        <item x="47"/>
        <item x="23"/>
        <item x="139"/>
        <item x="30"/>
        <item x="149"/>
        <item x="2"/>
        <item x="7"/>
        <item x="165"/>
        <item x="10"/>
        <item x="18"/>
        <item x="57"/>
        <item x="101"/>
        <item x="69"/>
        <item x="0"/>
        <item x="1"/>
        <item x="3"/>
        <item x="4"/>
        <item x="5"/>
        <item x="6"/>
        <item x="9"/>
        <item x="11"/>
        <item x="12"/>
        <item x="14"/>
        <item x="16"/>
        <item x="17"/>
        <item x="19"/>
        <item x="21"/>
        <item x="25"/>
        <item x="28"/>
        <item x="29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8"/>
        <item x="49"/>
        <item x="52"/>
        <item x="53"/>
        <item x="54"/>
        <item x="55"/>
        <item x="58"/>
        <item x="59"/>
        <item x="60"/>
        <item x="61"/>
        <item x="62"/>
        <item x="63"/>
        <item x="64"/>
        <item x="65"/>
        <item x="66"/>
        <item x="67"/>
        <item x="71"/>
        <item x="72"/>
        <item x="73"/>
        <item x="74"/>
        <item x="76"/>
        <item x="77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</items>
    </pivotField>
    <pivotField compact="0" defaultSubtotal="0" outline="0" subtotalTop="0" showAll="0">
      <items count="649">
        <item x="15"/>
        <item x="648"/>
        <item x="126"/>
        <item x="92"/>
        <item x="131"/>
        <item x="214"/>
        <item x="123"/>
        <item x="111"/>
        <item x="89"/>
        <item x="243"/>
        <item x="181"/>
        <item x="192"/>
        <item x="51"/>
        <item x="205"/>
        <item x="237"/>
        <item x="113"/>
        <item x="204"/>
        <item x="137"/>
        <item x="29"/>
        <item x="120"/>
        <item x="146"/>
        <item x="202"/>
        <item x="108"/>
        <item x="139"/>
        <item x="101"/>
        <item x="169"/>
        <item x="74"/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9"/>
        <item x="110"/>
        <item x="112"/>
        <item x="114"/>
        <item x="115"/>
        <item x="116"/>
        <item x="117"/>
        <item x="118"/>
        <item x="119"/>
        <item x="122"/>
        <item x="124"/>
        <item x="125"/>
        <item x="127"/>
        <item x="128"/>
        <item x="129"/>
        <item x="130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</items>
    </pivotField>
    <pivotField compact="0" defaultSubtotal="0" outline="0" subtotalTop="0" showAll="0">
      <items count="42">
        <item x="1"/>
        <item x="0"/>
        <item x="2"/>
        <item x="3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compact="0" defaultSubtotal="0" outline="0" subtotalTop="0" numFmtId="10" showAll="0">
      <items count="120">
        <item x="0"/>
        <item x="5"/>
        <item x="119"/>
        <item x="4"/>
        <item x="1"/>
        <item x="6"/>
        <item x="2"/>
        <item x="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</items>
    </pivotField>
    <pivotField compact="0" defaultSubtotal="0" outline="0" subtotalTop="0" showAll="0">
      <items count="47">
        <item x="2"/>
        <item x="5"/>
        <item x="12"/>
        <item x="4"/>
        <item x="7"/>
        <item x="1"/>
        <item x="46"/>
        <item x="3"/>
        <item x="10"/>
        <item x="11"/>
        <item x="9"/>
        <item x="18"/>
        <item x="13"/>
        <item x="0"/>
        <item x="6"/>
        <item x="8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compact="0" defaultSubtotal="0" outline="0" subtotalTop="0" showAll="0">
      <items count="48">
        <item x="2"/>
        <item x="11"/>
        <item x="3"/>
        <item x="5"/>
        <item x="10"/>
        <item x="1"/>
        <item x="47"/>
        <item x="6"/>
        <item x="12"/>
        <item x="13"/>
        <item x="9"/>
        <item x="8"/>
        <item x="0"/>
        <item x="4"/>
        <item x="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  <pivotField compact="0" defaultSubtotal="0" outline="0" subtotalTop="0" showAll="0">
      <items count="123">
        <item x="10"/>
        <item x="95"/>
        <item x="58"/>
        <item x="16"/>
        <item x="33"/>
        <item x="44"/>
        <item x="63"/>
        <item x="61"/>
        <item x="9"/>
        <item x="40"/>
        <item x="1"/>
        <item x="77"/>
        <item x="88"/>
        <item x="62"/>
        <item x="43"/>
        <item x="89"/>
        <item x="55"/>
        <item x="35"/>
        <item x="12"/>
        <item x="6"/>
        <item x="13"/>
        <item x="49"/>
        <item x="60"/>
        <item x="111"/>
        <item x="112"/>
        <item x="94"/>
        <item x="113"/>
        <item x="84"/>
        <item x="48"/>
        <item x="5"/>
        <item x="11"/>
        <item x="110"/>
        <item x="38"/>
        <item x="22"/>
        <item x="73"/>
        <item x="20"/>
        <item x="64"/>
        <item x="7"/>
        <item x="79"/>
        <item x="107"/>
        <item x="81"/>
        <item x="24"/>
        <item x="23"/>
        <item x="93"/>
        <item x="103"/>
        <item x="108"/>
        <item x="69"/>
        <item x="34"/>
        <item x="27"/>
        <item x="31"/>
        <item x="100"/>
        <item x="76"/>
        <item x="2"/>
        <item x="59"/>
        <item x="18"/>
        <item x="65"/>
        <item x="32"/>
        <item x="99"/>
        <item x="4"/>
        <item x="42"/>
        <item x="8"/>
        <item x="37"/>
        <item x="105"/>
        <item x="29"/>
        <item x="78"/>
        <item x="53"/>
        <item x="57"/>
        <item x="90"/>
        <item x="19"/>
        <item x="3"/>
        <item x="101"/>
        <item x="51"/>
        <item x="109"/>
        <item x="68"/>
        <item x="15"/>
        <item x="85"/>
        <item x="45"/>
        <item x="41"/>
        <item x="21"/>
        <item x="39"/>
        <item x="52"/>
        <item x="66"/>
        <item x="67"/>
        <item x="86"/>
        <item x="72"/>
        <item x="14"/>
        <item x="17"/>
        <item x="70"/>
        <item x="30"/>
        <item x="102"/>
        <item x="104"/>
        <item x="28"/>
        <item x="83"/>
        <item x="36"/>
        <item x="56"/>
        <item x="26"/>
        <item x="25"/>
        <item x="97"/>
        <item x="71"/>
        <item x="92"/>
        <item x="80"/>
        <item x="98"/>
        <item x="74"/>
        <item x="106"/>
        <item x="91"/>
        <item x="75"/>
        <item x="46"/>
        <item x="0"/>
        <item x="50"/>
        <item x="54"/>
        <item x="87"/>
        <item x="47"/>
        <item x="82"/>
        <item x="96"/>
        <item x="122"/>
        <item x="114"/>
        <item x="115"/>
        <item x="116"/>
        <item x="117"/>
        <item x="118"/>
        <item x="119"/>
        <item x="120"/>
        <item x="121"/>
      </items>
    </pivotField>
    <pivotField axis="axisRow" compact="0" defaultSubtotal="0" outline="0" subtotalTop="0" multipleItemSelectionAllowed="1" showAll="0">
      <items count="4">
        <item x="3"/>
        <item x="0"/>
        <item x="1"/>
        <item x="2"/>
      </items>
    </pivotField>
    <pivotField compact="0" defaultSubtotal="0" outline="0" subtotalTop="0" multipleItemSelectionAllowed="1" showAll="0">
      <items count="23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xis="axisRow" compact="0" outline="0" subtotalTop="0" multipleItemSelectionAllowed="1" showAll="0">
      <items count="12">
        <item x="7"/>
        <item x="1"/>
        <item x="2"/>
        <item x="3"/>
        <item m="1" x="9"/>
        <item x="4"/>
        <item x="6"/>
        <item m="1" x="10"/>
        <item x="5"/>
        <item m="1" x="8"/>
        <item x="0"/>
        <item t="default"/>
      </items>
    </pivotField>
    <pivotField compact="0" outline="0" subtotalTop="0" showAll="0">
      <items count="127">
        <item x="31"/>
        <item x="9"/>
        <item x="118"/>
        <item x="114"/>
        <item x="92"/>
        <item x="25"/>
        <item x="1"/>
        <item x="84"/>
        <item x="40"/>
        <item x="109"/>
        <item x="63"/>
        <item x="14"/>
        <item x="107"/>
        <item x="120"/>
        <item x="124"/>
        <item x="34"/>
        <item x="69"/>
        <item x="43"/>
        <item x="55"/>
        <item x="98"/>
        <item x="41"/>
        <item x="103"/>
        <item x="8"/>
        <item x="19"/>
        <item x="7"/>
        <item x="66"/>
        <item x="96"/>
        <item x="33"/>
        <item x="3"/>
        <item x="26"/>
        <item x="37"/>
        <item x="56"/>
        <item x="15"/>
        <item x="50"/>
        <item x="48"/>
        <item x="57"/>
        <item x="0"/>
        <item x="21"/>
        <item x="85"/>
        <item x="13"/>
        <item x="95"/>
        <item x="71"/>
        <item x="122"/>
        <item x="16"/>
        <item x="59"/>
        <item x="6"/>
        <item x="11"/>
        <item x="116"/>
        <item x="101"/>
        <item x="2"/>
        <item x="100"/>
        <item x="65"/>
        <item x="108"/>
        <item x="76"/>
        <item x="89"/>
        <item x="106"/>
        <item x="22"/>
        <item x="121"/>
        <item x="62"/>
        <item x="113"/>
        <item x="18"/>
        <item x="70"/>
        <item x="75"/>
        <item x="64"/>
        <item x="61"/>
        <item x="29"/>
        <item x="39"/>
        <item x="54"/>
        <item x="115"/>
        <item x="4"/>
        <item x="23"/>
        <item x="99"/>
        <item x="5"/>
        <item x="12"/>
        <item x="105"/>
        <item x="77"/>
        <item x="86"/>
        <item x="60"/>
        <item x="53"/>
        <item x="45"/>
        <item x="97"/>
        <item x="83"/>
        <item x="78"/>
        <item x="44"/>
        <item x="49"/>
        <item x="117"/>
        <item x="94"/>
        <item x="35"/>
        <item x="17"/>
        <item x="28"/>
        <item x="36"/>
        <item x="80"/>
        <item x="10"/>
        <item x="81"/>
        <item x="79"/>
        <item x="88"/>
        <item x="90"/>
        <item x="82"/>
        <item x="58"/>
        <item x="112"/>
        <item x="110"/>
        <item x="27"/>
        <item x="30"/>
        <item x="93"/>
        <item x="47"/>
        <item x="123"/>
        <item x="104"/>
        <item x="102"/>
        <item x="32"/>
        <item x="24"/>
        <item x="74"/>
        <item x="46"/>
        <item x="20"/>
        <item x="111"/>
        <item x="42"/>
        <item x="72"/>
        <item x="68"/>
        <item x="73"/>
        <item x="52"/>
        <item x="87"/>
        <item x="51"/>
        <item x="91"/>
        <item x="38"/>
        <item x="119"/>
        <item x="67"/>
        <item x="125"/>
        <item t="default"/>
      </items>
    </pivotField>
    <pivotField dataField="1" dragToCol="0" dragToPage="0" dragToRow="0" compact="0" defaultSubtotal="0" outline="0" subtotalTop="0" showAll="0"/>
    <pivotField dataField="1" dragToCol="0" dragToPage="0" dragToRow="0" compact="0" defaultSubtotal="0" outline="0" subtotalTop="0" showAll="0"/>
    <pivotField dataField="1" dragToCol="0" dragToPage="0" dragToRow="0" compact="0" defaultSubtotal="0" outline="0" subtotalTop="0" showAll="0"/>
    <pivotField dragToCol="0" dragToPage="0" dragToRow="0" compact="0" defaultSubtotal="0" outline="0" subtotalTop="0" showAll="0"/>
    <pivotField dragToCol="0" dragToPage="0" dragToRow="0" compact="0" defaultSubtotal="0" outline="0" subtotalTop="0" showAll="0"/>
    <pivotField dataField="1" dragToCol="0" dragToPage="0" dragToRow="0" compact="0" defaultSubtotal="0" outline="0" subtotalTop="0" showAll="0"/>
    <pivotField dragToCol="0" dragToPage="0" dragToRow="0" compact="0" defaultSubtotal="0" outline="0" subtotalTop="0" showAll="0"/>
    <pivotField dataField="1" dragToCol="0" dragToPage="0" dragToRow="0" compact="0" defaultSubtotal="0" outline="0" subtotalTop="0" showAll="0"/>
  </pivotFields>
  <rowFields count="3">
    <field x="0"/>
    <field x="28"/>
    <field x="30"/>
  </rowFields>
  <rowItems count="47">
    <i>
      <x v="156"/>
      <x v="1"/>
      <x v="5"/>
    </i>
    <i r="2">
      <x v="8"/>
    </i>
    <i r="2">
      <x v="10"/>
    </i>
    <i r="1">
      <x v="2"/>
      <x v="2"/>
    </i>
    <i r="1">
      <x v="3"/>
      <x v="6"/>
    </i>
    <i>
      <x v="157"/>
      <x v="1"/>
      <x v="5"/>
    </i>
    <i r="2">
      <x v="8"/>
    </i>
    <i r="1">
      <x v="2"/>
      <x v="2"/>
    </i>
    <i>
      <x v="158"/>
      <x v="1"/>
      <x v="5"/>
    </i>
    <i r="1">
      <x v="3"/>
      <x v="6"/>
    </i>
    <i>
      <x v="159"/>
      <x v="1"/>
      <x v="5"/>
    </i>
    <i r="1">
      <x v="3"/>
      <x v="6"/>
    </i>
    <i>
      <x v="160"/>
      <x v="1"/>
      <x v="5"/>
    </i>
    <i r="2">
      <x v="8"/>
    </i>
    <i r="1">
      <x v="3"/>
      <x v="6"/>
    </i>
    <i>
      <x v="161"/>
      <x v="1"/>
      <x v="5"/>
    </i>
    <i r="2">
      <x v="8"/>
    </i>
    <i r="1">
      <x v="3"/>
      <x v="6"/>
    </i>
    <i>
      <x v="162"/>
      <x v="1"/>
      <x v="5"/>
    </i>
    <i r="2">
      <x v="8"/>
    </i>
    <i r="2">
      <x v="10"/>
    </i>
    <i r="1">
      <x v="3"/>
      <x v="6"/>
    </i>
    <i>
      <x v="163"/>
      <x v="1"/>
      <x v="5"/>
    </i>
    <i r="2">
      <x v="8"/>
    </i>
    <i r="2">
      <x v="10"/>
    </i>
    <i r="1">
      <x v="3"/>
      <x v="6"/>
    </i>
    <i>
      <x v="164"/>
      <x v="1"/>
      <x v="5"/>
    </i>
    <i r="2">
      <x v="8"/>
    </i>
    <i r="1">
      <x v="3"/>
      <x v="6"/>
    </i>
    <i>
      <x v="165"/>
      <x v="1"/>
      <x v="5"/>
    </i>
    <i r="2">
      <x v="8"/>
    </i>
    <i r="1">
      <x v="3"/>
      <x v="6"/>
    </i>
    <i>
      <x v="166"/>
      <x v="1"/>
      <x v="5"/>
    </i>
    <i r="2">
      <x v="8"/>
    </i>
    <i r="2">
      <x v="10"/>
    </i>
    <i r="1">
      <x v="3"/>
      <x v="6"/>
    </i>
    <i>
      <x v="167"/>
      <x v="1"/>
      <x v="5"/>
    </i>
    <i r="2">
      <x v="8"/>
    </i>
    <i r="1">
      <x v="3"/>
      <x v="6"/>
    </i>
    <i>
      <x v="168"/>
      <x v="1"/>
      <x v="5"/>
    </i>
    <i r="2">
      <x v="8"/>
    </i>
    <i r="1">
      <x v="2"/>
      <x v="2"/>
    </i>
    <i r="1">
      <x v="3"/>
      <x v="6"/>
    </i>
    <i>
      <x v="169"/>
      <x v="1"/>
      <x v="5"/>
    </i>
    <i r="2">
      <x v="8"/>
    </i>
    <i r="1">
      <x v="3"/>
      <x v="6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 消费" fld="10" baseField="0" baseItem="1"/>
    <dataField name=" 展现量" fld="11" baseField="0" baseItem="1"/>
    <dataField name=" 点击量" fld="12" baseField="0" baseItem="1"/>
    <dataField name="  点击率" fld="32" baseField="0" baseItem="1"/>
    <dataField name=" 点击成本" fld="33" baseField="0" baseItem="1"/>
    <dataField name=" 千展费用" fld="34" baseField="0" baseItem="1"/>
    <dataField name=" 点赞" fld="16" baseField="0" baseItem="1"/>
    <dataField name=" 评论" fld="17" baseField="0" baseItem="1"/>
    <dataField name=" 收藏" fld="18" baseField="0" baseItem="1"/>
    <dataField name=" 关注" fld="19" baseField="0" baseItem="1"/>
    <dataField name=" 分享" fld="20" baseField="0" baseItem="1"/>
    <dataField name=" 互动量" fld="21" baseField="0" baseItem="1"/>
    <dataField name=" 互动成本" fld="37" baseField="0" baseItem="1"/>
    <dataField name=" 互动率" fld="39" baseField="0" baseItem="1"/>
  </dataFields>
  <formats count="129">
    <format dxfId="21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14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1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1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2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2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22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5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228">
      <pivotArea type="all" dataOnly="0" outline="0" fieldPosition="0"/>
    </format>
    <format dxfId="229">
      <pivotArea type="all" dataOnly="0" outline="0" fieldPosition="0"/>
    </format>
    <format dxfId="230">
      <pivotArea type="all" dataOnly="0" outline="0" fieldPosition="0"/>
    </format>
    <format dxfId="231">
      <pivotArea type="all" dataOnly="0" outline="0" fieldPosition="0"/>
    </format>
    <format dxfId="232">
      <pivotArea type="all" dataOnly="0" outline="0" fieldPosition="0"/>
    </format>
    <format dxfId="233">
      <pivotArea field="0" type="button" dataOnly="0" labelOnly="1" outline="0" fieldPosition="0"/>
    </format>
    <format dxfId="234">
      <pivotArea dataOnly="0" labelOnly="1" fieldPosition="0">
        <references count="1">
          <reference field="4294967294" count="1">
            <x v="0"/>
          </reference>
        </references>
      </pivotArea>
    </format>
    <format dxfId="235">
      <pivotArea dataOnly="0" labelOnly="1" fieldPosition="0">
        <references count="1">
          <reference field="4294967294" count="1">
            <x v="1"/>
          </reference>
        </references>
      </pivotArea>
    </format>
    <format dxfId="236">
      <pivotArea dataOnly="0" labelOnly="1" fieldPosition="0">
        <references count="1">
          <reference field="4294967294" count="1">
            <x v="2"/>
          </reference>
        </references>
      </pivotArea>
    </format>
    <format dxfId="237">
      <pivotArea dataOnly="0" labelOnly="1" fieldPosition="0">
        <references count="1">
          <reference field="4294967294" count="1">
            <x v="3"/>
          </reference>
        </references>
      </pivotArea>
    </format>
    <format dxfId="238">
      <pivotArea dataOnly="0" labelOnly="1" fieldPosition="0">
        <references count="1">
          <reference field="4294967294" count="1">
            <x v="4"/>
          </reference>
        </references>
      </pivotArea>
    </format>
    <format dxfId="239">
      <pivotArea dataOnly="0" labelOnly="1" fieldPosition="0">
        <references count="1">
          <reference field="4294967294" count="1">
            <x v="5"/>
          </reference>
        </references>
      </pivotArea>
    </format>
    <format dxfId="240">
      <pivotArea dataOnly="0" labelOnly="1" fieldPosition="0">
        <references count="1">
          <reference field="4294967294" count="1">
            <x v="6"/>
          </reference>
        </references>
      </pivotArea>
    </format>
    <format dxfId="241">
      <pivotArea dataOnly="0" labelOnly="1" fieldPosition="0">
        <references count="1">
          <reference field="4294967294" count="1">
            <x v="7"/>
          </reference>
        </references>
      </pivotArea>
    </format>
    <format dxfId="242">
      <pivotArea dataOnly="0" labelOnly="1" fieldPosition="0">
        <references count="1">
          <reference field="4294967294" count="1">
            <x v="8"/>
          </reference>
        </references>
      </pivotArea>
    </format>
    <format dxfId="243">
      <pivotArea dataOnly="0" labelOnly="1" fieldPosition="0">
        <references count="1">
          <reference field="4294967294" count="1">
            <x v="9"/>
          </reference>
        </references>
      </pivotArea>
    </format>
    <format dxfId="244">
      <pivotArea dataOnly="0" labelOnly="1" fieldPosition="0">
        <references count="1">
          <reference field="4294967294" count="1">
            <x v="10"/>
          </reference>
        </references>
      </pivotArea>
    </format>
    <format dxfId="245">
      <pivotArea dataOnly="0" labelOnly="1" fieldPosition="0">
        <references count="1">
          <reference field="4294967294" count="1">
            <x v="11"/>
          </reference>
        </references>
      </pivotArea>
    </format>
    <format dxfId="246">
      <pivotArea dataOnly="0" labelOnly="1" grandRow="1" fieldPosition="0"/>
    </format>
    <format dxfId="247">
      <pivotArea grandRow="1" collapsedLevelsAreSubtotals="1" fieldPosition="0"/>
    </format>
    <format dxfId="248">
      <pivotArea dataOnly="0" labelOnly="1" fieldPosition="0">
        <references count="1">
          <reference field="4294967294" count="1">
            <x v="3"/>
          </reference>
        </references>
      </pivotArea>
    </format>
    <format dxfId="249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50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51">
      <pivotArea dataOnly="0" labelOnly="1" grandRow="1" fieldPosition="0"/>
    </format>
    <format dxfId="252">
      <pivotArea grandRow="1" collapsedLevelsAreSubtotals="1" fieldPosition="0"/>
    </format>
    <format dxfId="253">
      <pivotArea dataOnly="0" labelOnly="1" grandRow="1" fieldPosition="0"/>
    </format>
    <format dxfId="254">
      <pivotArea grandRow="1" collapsedLevelsAreSubtotals="1" fieldPosition="0"/>
    </format>
    <format dxfId="255">
      <pivotArea dataOnly="0" labelOnly="1" fieldPosition="0">
        <references count="1">
          <reference field="0" count="1">
            <x v="170"/>
          </reference>
        </references>
      </pivotArea>
    </format>
    <format dxfId="256">
      <pivotArea collapsedLevelsAreSubtotals="1" fieldPosition="0">
        <references count="1">
          <reference field="0" count="1" selected="0">
            <x v="170"/>
          </reference>
        </references>
      </pivotArea>
    </format>
    <format dxfId="257">
      <pivotArea dataOnly="0" labelOnly="1" fieldPosition="0">
        <references count="1">
          <reference field="4294967294" count="1">
            <x v="3"/>
          </reference>
        </references>
      </pivotArea>
    </format>
    <format dxfId="25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59">
      <pivotArea dataOnly="0" labelOnly="1" grandRow="1" fieldPosition="0"/>
    </format>
    <format dxfId="260">
      <pivotArea grandRow="1" collapsedLevelsAreSubtotals="1" fieldPosition="0"/>
    </format>
    <format dxfId="261">
      <pivotArea type="all" dataOnly="0" outline="0" fieldPosition="0"/>
    </format>
    <format dxfId="262">
      <pivotArea field="0" type="button" dataOnly="0" labelOnly="1" outline="0" fieldPosition="0"/>
    </format>
    <format dxfId="263">
      <pivotArea dataOnly="0" labelOnly="1" fieldPosition="0">
        <references count="1">
          <reference field="4294967294" count="1">
            <x v="0"/>
          </reference>
        </references>
      </pivotArea>
    </format>
    <format dxfId="264">
      <pivotArea dataOnly="0" labelOnly="1" fieldPosition="0">
        <references count="1">
          <reference field="4294967294" count="1">
            <x v="1"/>
          </reference>
        </references>
      </pivotArea>
    </format>
    <format dxfId="265">
      <pivotArea dataOnly="0" labelOnly="1" fieldPosition="0">
        <references count="1">
          <reference field="4294967294" count="1">
            <x v="2"/>
          </reference>
        </references>
      </pivotArea>
    </format>
    <format dxfId="266">
      <pivotArea dataOnly="0" labelOnly="1" fieldPosition="0">
        <references count="1">
          <reference field="4294967294" count="1">
            <x v="3"/>
          </reference>
        </references>
      </pivotArea>
    </format>
    <format dxfId="267">
      <pivotArea dataOnly="0" labelOnly="1" fieldPosition="0">
        <references count="1">
          <reference field="4294967294" count="1">
            <x v="4"/>
          </reference>
        </references>
      </pivotArea>
    </format>
    <format dxfId="268">
      <pivotArea dataOnly="0" labelOnly="1" fieldPosition="0">
        <references count="1">
          <reference field="4294967294" count="1">
            <x v="5"/>
          </reference>
        </references>
      </pivotArea>
    </format>
    <format dxfId="269">
      <pivotArea dataOnly="0" labelOnly="1" fieldPosition="0">
        <references count="1">
          <reference field="4294967294" count="1">
            <x v="6"/>
          </reference>
        </references>
      </pivotArea>
    </format>
    <format dxfId="270">
      <pivotArea dataOnly="0" labelOnly="1" fieldPosition="0">
        <references count="1">
          <reference field="4294967294" count="1">
            <x v="7"/>
          </reference>
        </references>
      </pivotArea>
    </format>
    <format dxfId="271">
      <pivotArea dataOnly="0" labelOnly="1" fieldPosition="0">
        <references count="1">
          <reference field="4294967294" count="1">
            <x v="8"/>
          </reference>
        </references>
      </pivotArea>
    </format>
    <format dxfId="272">
      <pivotArea dataOnly="0" labelOnly="1" fieldPosition="0">
        <references count="1">
          <reference field="4294967294" count="1">
            <x v="9"/>
          </reference>
        </references>
      </pivotArea>
    </format>
    <format dxfId="273">
      <pivotArea dataOnly="0" labelOnly="1" fieldPosition="0">
        <references count="1">
          <reference field="4294967294" count="1">
            <x v="10"/>
          </reference>
        </references>
      </pivotArea>
    </format>
    <format dxfId="274">
      <pivotArea dataOnly="0" labelOnly="1" fieldPosition="0">
        <references count="1">
          <reference field="4294967294" count="1">
            <x v="11"/>
          </reference>
        </references>
      </pivotArea>
    </format>
    <format dxfId="275">
      <pivotArea dataOnly="0" labelOnly="1" fieldPosition="0">
        <references count="1">
          <reference field="4294967294" count="1">
            <x v="3"/>
          </reference>
        </references>
      </pivotArea>
    </format>
    <format dxfId="27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277">
      <pivotArea dataOnly="0" labelOnly="1" fieldPosition="0">
        <references count="1">
          <reference field="4294967294" count="1">
            <x v="7"/>
          </reference>
        </references>
      </pivotArea>
    </format>
    <format dxfId="278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279">
      <pivotArea field="7" type="button" dataOnly="0" labelOnly="1" outline="0" fieldPosition="0"/>
    </format>
    <format dxfId="280">
      <pivotArea field="3" type="button" dataOnly="0" labelOnly="1" outline="0" fieldPosition="0"/>
    </format>
    <format dxfId="281">
      <pivotArea dataOnly="0" labelOnly="1" fieldPosition="0">
        <references count="1">
          <reference field="4294967294" count="1">
            <x v="12"/>
          </reference>
        </references>
      </pivotArea>
    </format>
    <format dxfId="282">
      <pivotArea field="28" type="button" dataOnly="0" labelOnly="1" outline="0" fieldPosition="0"/>
    </format>
    <format dxfId="283">
      <pivotArea type="all" dataOnly="0" outline="0" fieldPosition="0"/>
    </format>
    <format dxfId="284">
      <pivotArea type="all" dataOnly="0" outline="0" fieldPosition="0"/>
    </format>
    <format dxfId="285">
      <pivotArea dataOnly="0" labelOnly="1" fieldPosition="0">
        <references count="1">
          <reference field="4294967294" count="1">
            <x v="12"/>
          </reference>
        </references>
      </pivotArea>
    </format>
    <format dxfId="28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87">
      <pivotArea dataOnly="0" labelOnly="1" fieldPosition="0">
        <references count="1">
          <reference field="4294967294" count="1">
            <x v="12"/>
          </reference>
        </references>
      </pivotArea>
    </format>
    <format dxfId="28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89">
      <pivotArea dataOnly="0" labelOnly="1" fieldPosition="0">
        <references count="1">
          <reference field="4294967294" count="1">
            <x v="12"/>
          </reference>
        </references>
      </pivotArea>
    </format>
    <format dxfId="29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91">
      <pivotArea dataOnly="0" labelOnly="1" fieldPosition="0">
        <references count="1">
          <reference field="4294967294" count="1">
            <x v="12"/>
          </reference>
        </references>
      </pivotArea>
    </format>
    <format dxfId="292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93">
      <pivotArea dataOnly="0" labelOnly="1" fieldPosition="0">
        <references count="1">
          <reference field="4294967294" count="1">
            <x v="12"/>
          </reference>
        </references>
      </pivotArea>
    </format>
    <format dxfId="294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95">
      <pivotArea dataOnly="0" labelOnly="1" fieldPosition="0">
        <references count="1">
          <reference field="4294967294" count="1">
            <x v="12"/>
          </reference>
        </references>
      </pivotArea>
    </format>
    <format dxfId="296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97">
      <pivotArea dataOnly="0" labelOnly="1" fieldPosition="0">
        <references count="1">
          <reference field="4294967294" count="1">
            <x v="12"/>
          </reference>
        </references>
      </pivotArea>
    </format>
    <format dxfId="298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299">
      <pivotArea dataOnly="0" labelOnly="1" fieldPosition="0">
        <references count="1">
          <reference field="4294967294" count="1">
            <x v="12"/>
          </reference>
        </references>
      </pivotArea>
    </format>
    <format dxfId="300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301">
      <pivotArea field="0" type="button" dataOnly="0" labelOnly="1" outline="0" fieldPosition="0"/>
    </format>
    <format dxfId="302">
      <pivotArea field="28" type="button" dataOnly="0" labelOnly="1" outline="0" fieldPosition="0"/>
    </format>
    <format dxfId="303">
      <pivotArea field="3" type="button" dataOnly="0" labelOnly="1" outline="0" fieldPosition="0"/>
    </format>
    <format dxfId="304">
      <pivotArea dataOnly="0" labelOnly="1" fieldPosition="0">
        <references count="1">
          <reference field="4294967294" count="1">
            <x v="0"/>
          </reference>
        </references>
      </pivotArea>
    </format>
    <format dxfId="305">
      <pivotArea dataOnly="0" labelOnly="1" fieldPosition="0">
        <references count="1">
          <reference field="4294967294" count="1">
            <x v="1"/>
          </reference>
        </references>
      </pivotArea>
    </format>
    <format dxfId="306">
      <pivotArea dataOnly="0" labelOnly="1" fieldPosition="0">
        <references count="1">
          <reference field="4294967294" count="1">
            <x v="2"/>
          </reference>
        </references>
      </pivotArea>
    </format>
    <format dxfId="307">
      <pivotArea dataOnly="0" labelOnly="1" fieldPosition="0">
        <references count="1">
          <reference field="4294967294" count="1">
            <x v="3"/>
          </reference>
        </references>
      </pivotArea>
    </format>
    <format dxfId="308">
      <pivotArea dataOnly="0" labelOnly="1" fieldPosition="0">
        <references count="1">
          <reference field="4294967294" count="1">
            <x v="4"/>
          </reference>
        </references>
      </pivotArea>
    </format>
    <format dxfId="309">
      <pivotArea dataOnly="0" labelOnly="1" fieldPosition="0">
        <references count="1">
          <reference field="4294967294" count="1">
            <x v="5"/>
          </reference>
        </references>
      </pivotArea>
    </format>
    <format dxfId="310">
      <pivotArea dataOnly="0" labelOnly="1" fieldPosition="0">
        <references count="1">
          <reference field="4294967294" count="1">
            <x v="6"/>
          </reference>
        </references>
      </pivotArea>
    </format>
    <format dxfId="311">
      <pivotArea dataOnly="0" labelOnly="1" fieldPosition="0">
        <references count="1">
          <reference field="4294967294" count="1">
            <x v="7"/>
          </reference>
        </references>
      </pivotArea>
    </format>
    <format dxfId="312">
      <pivotArea dataOnly="0" labelOnly="1" fieldPosition="0">
        <references count="1">
          <reference field="4294967294" count="1">
            <x v="8"/>
          </reference>
        </references>
      </pivotArea>
    </format>
    <format dxfId="313">
      <pivotArea dataOnly="0" labelOnly="1" fieldPosition="0">
        <references count="1">
          <reference field="4294967294" count="1">
            <x v="9"/>
          </reference>
        </references>
      </pivotArea>
    </format>
    <format dxfId="314">
      <pivotArea dataOnly="0" labelOnly="1" fieldPosition="0">
        <references count="1">
          <reference field="4294967294" count="1">
            <x v="10"/>
          </reference>
        </references>
      </pivotArea>
    </format>
    <format dxfId="315">
      <pivotArea dataOnly="0" labelOnly="1" fieldPosition="0">
        <references count="1">
          <reference field="4294967294" count="1">
            <x v="11"/>
          </reference>
        </references>
      </pivotArea>
    </format>
    <format dxfId="316">
      <pivotArea dataOnly="0" labelOnly="1" fieldPosition="0">
        <references count="1">
          <reference field="4294967294" count="1">
            <x v="12"/>
          </reference>
        </references>
      </pivotArea>
    </format>
    <format dxfId="317">
      <pivotArea field="29" type="button" dataOnly="0" labelOnly="1" outline="0" fieldPosition="0"/>
    </format>
    <format dxfId="318">
      <pivotArea dataOnly="0" labelOnly="1" outline="0" fieldPosition="0">
        <references count="1">
          <reference field="0" count="0"/>
        </references>
      </pivotArea>
    </format>
    <format dxfId="319">
      <pivotArea field="29" type="button" dataOnly="0" labelOnly="1" outline="0" fieldPosition="0"/>
    </format>
    <format dxfId="320">
      <pivotArea dataOnly="0" labelOnly="1" fieldPosition="0">
        <references count="1">
          <reference field="4294967294" count="1">
            <x v="0"/>
          </reference>
        </references>
      </pivotArea>
    </format>
    <format dxfId="321">
      <pivotArea dataOnly="0" labelOnly="1" fieldPosition="0">
        <references count="1">
          <reference field="4294967294" count="1">
            <x v="1"/>
          </reference>
        </references>
      </pivotArea>
    </format>
    <format dxfId="322">
      <pivotArea dataOnly="0" labelOnly="1" fieldPosition="0">
        <references count="1">
          <reference field="4294967294" count="1">
            <x v="2"/>
          </reference>
        </references>
      </pivotArea>
    </format>
    <format dxfId="323">
      <pivotArea dataOnly="0" labelOnly="1" fieldPosition="0">
        <references count="1">
          <reference field="4294967294" count="1">
            <x v="3"/>
          </reference>
        </references>
      </pivotArea>
    </format>
    <format dxfId="324">
      <pivotArea dataOnly="0" labelOnly="1" fieldPosition="0">
        <references count="1">
          <reference field="4294967294" count="1">
            <x v="4"/>
          </reference>
        </references>
      </pivotArea>
    </format>
    <format dxfId="325">
      <pivotArea dataOnly="0" labelOnly="1" fieldPosition="0">
        <references count="1">
          <reference field="4294967294" count="1">
            <x v="5"/>
          </reference>
        </references>
      </pivotArea>
    </format>
    <format dxfId="326">
      <pivotArea dataOnly="0" labelOnly="1" fieldPosition="0">
        <references count="1">
          <reference field="4294967294" count="1">
            <x v="6"/>
          </reference>
        </references>
      </pivotArea>
    </format>
    <format dxfId="327">
      <pivotArea dataOnly="0" labelOnly="1" fieldPosition="0">
        <references count="1">
          <reference field="4294967294" count="1">
            <x v="7"/>
          </reference>
        </references>
      </pivotArea>
    </format>
    <format dxfId="328">
      <pivotArea dataOnly="0" labelOnly="1" fieldPosition="0">
        <references count="1">
          <reference field="4294967294" count="1">
            <x v="8"/>
          </reference>
        </references>
      </pivotArea>
    </format>
    <format dxfId="329">
      <pivotArea dataOnly="0" labelOnly="1" fieldPosition="0">
        <references count="1">
          <reference field="4294967294" count="1">
            <x v="9"/>
          </reference>
        </references>
      </pivotArea>
    </format>
    <format dxfId="330">
      <pivotArea dataOnly="0" labelOnly="1" fieldPosition="0">
        <references count="1">
          <reference field="4294967294" count="1">
            <x v="10"/>
          </reference>
        </references>
      </pivotArea>
    </format>
    <format dxfId="331">
      <pivotArea dataOnly="0" labelOnly="1" fieldPosition="0">
        <references count="1">
          <reference field="4294967294" count="1">
            <x v="11"/>
          </reference>
        </references>
      </pivotArea>
    </format>
    <format dxfId="332">
      <pivotArea dataOnly="0" labelOnly="1" fieldPosition="0">
        <references count="1">
          <reference field="4294967294" count="1">
            <x v="12"/>
          </reference>
        </references>
      </pivotArea>
    </format>
    <format dxfId="333">
      <pivotArea dataOnly="0" labelOnly="1" fieldPosition="0">
        <references count="1">
          <reference field="4294967294" count="1">
            <x v="13"/>
          </reference>
        </references>
      </pivotArea>
    </format>
    <format dxfId="334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335">
      <pivotArea dataOnly="0" labelOnly="1" fieldPosition="0">
        <references count="1">
          <reference field="4294967294" count="1">
            <x v="13"/>
          </reference>
        </references>
      </pivotArea>
    </format>
    <format dxfId="336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337">
      <pivotArea dataOnly="0" labelOnly="1" fieldPosition="0">
        <references count="1">
          <reference field="4294967294" count="1">
            <x v="13"/>
          </reference>
        </references>
      </pivotArea>
    </format>
    <format dxfId="338">
      <pivotArea field="30" type="button" dataOnly="0" labelOnly="1" outline="0" fieldPosition="0"/>
    </format>
    <format dxfId="339">
      <pivotArea field="27" type="button" dataOnly="0" labelOnly="1" outline="0" fieldPosition="0"/>
    </format>
    <format dxfId="340">
      <pivotArea field="31" type="button" dataOnly="0" labelOnly="1" outline="0" fieldPosition="0"/>
    </format>
    <format dxfId="341">
      <pivotArea field="4" type="button" dataOnly="0" labelOnly="1" outline="0" fieldPosition="0"/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B107" firstHeaderRow="1" firstDataRow="1" firstDataCol="1" rowPageCount="2" colPageCount="1"/>
  <pivotFields count="39">
    <pivotField axis="axisRow" compact="0" sortType="ascending" outline="0" subtotalTop="0" multipleItemSelectionAllowed="1" numFmtId="14" showAll="0">
      <items count="172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outline="0" subtotalTop="0" showAll="0">
      <items count="198">
        <item x="196"/>
        <item x="69"/>
        <item x="93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9"/>
        <item x="20"/>
        <item x="128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outline="0" subtotalTop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9"/>
        <item x="21"/>
        <item x="82"/>
        <item x="169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outline="0" subtotalTop="0" multipleItemSelectionAllowed="1" showAll="0">
      <items count="4">
        <item x="1"/>
        <item x="0"/>
        <item x="2"/>
        <item t="default"/>
      </items>
    </pivotField>
    <pivotField compact="0" outline="0" subtotalTop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3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outline="0" subtotalTop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outline="0" subtotalTop="0" showAll="0">
      <items count="3">
        <item x="0"/>
        <item x="1"/>
        <item t="default"/>
      </items>
    </pivotField>
    <pivotField dataField="1" compact="0" outline="0" subtotalTop="0" showAll="0">
      <items count="919">
        <item x="220"/>
        <item x="917"/>
        <item x="136"/>
        <item x="679"/>
        <item x="105"/>
        <item x="44"/>
        <item x="61"/>
        <item x="212"/>
        <item x="428"/>
        <item x="18"/>
        <item x="8"/>
        <item x="437"/>
        <item x="109"/>
        <item x="340"/>
        <item x="55"/>
        <item x="670"/>
        <item x="33"/>
        <item x="626"/>
        <item x="171"/>
        <item x="458"/>
        <item x="385"/>
        <item x="640"/>
        <item x="332"/>
        <item x="533"/>
        <item x="462"/>
        <item x="39"/>
        <item x="464"/>
        <item x="138"/>
        <item x="542"/>
        <item x="643"/>
        <item x="89"/>
        <item x="307"/>
        <item x="148"/>
        <item x="5"/>
        <item x="250"/>
        <item x="341"/>
        <item x="555"/>
        <item x="630"/>
        <item x="0"/>
        <item x="1"/>
        <item x="2"/>
        <item x="3"/>
        <item x="4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4"/>
        <item x="675"/>
        <item x="676"/>
        <item x="677"/>
        <item x="678"/>
        <item x="680"/>
        <item x="681"/>
        <item x="682"/>
        <item x="30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t="default"/>
      </items>
    </pivotField>
    <pivotField compact="0" outline="0" subtotalTop="0" showAll="0">
      <items count="931">
        <item x="467"/>
        <item x="226"/>
        <item x="96"/>
        <item x="78"/>
        <item x="558"/>
        <item x="929"/>
        <item x="141"/>
        <item x="304"/>
        <item x="75"/>
        <item x="257"/>
        <item x="303"/>
        <item x="459"/>
        <item x="555"/>
        <item x="353"/>
        <item x="24"/>
        <item x="294"/>
        <item x="292"/>
        <item x="559"/>
        <item x="540"/>
        <item x="701"/>
        <item x="179"/>
        <item x="594"/>
        <item x="343"/>
        <item x="460"/>
        <item x="584"/>
        <item x="305"/>
        <item x="123"/>
        <item x="412"/>
        <item x="527"/>
        <item x="513"/>
        <item x="589"/>
        <item x="702"/>
        <item x="334"/>
        <item x="264"/>
        <item x="37"/>
        <item x="693"/>
        <item x="85"/>
        <item x="93"/>
        <item x="171"/>
        <item x="70"/>
        <item x="263"/>
        <item x="357"/>
        <item x="117"/>
        <item x="383"/>
        <item x="443"/>
        <item x="516"/>
        <item x="571"/>
        <item x="484"/>
        <item x="377"/>
        <item x="19"/>
        <item x="439"/>
        <item x="20"/>
        <item x="198"/>
        <item x="674"/>
        <item x="4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5"/>
        <item x="26"/>
        <item x="27"/>
        <item x="28"/>
        <item x="29"/>
        <item x="31"/>
        <item x="32"/>
        <item x="33"/>
        <item x="34"/>
        <item x="35"/>
        <item x="36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3"/>
        <item x="74"/>
        <item x="76"/>
        <item x="77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0"/>
        <item x="351"/>
        <item x="352"/>
        <item x="354"/>
        <item x="355"/>
        <item x="356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63"/>
        <item x="464"/>
        <item x="465"/>
        <item x="466"/>
        <item x="468"/>
        <item x="469"/>
        <item x="470"/>
        <item x="471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1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4"/>
        <item x="695"/>
        <item x="696"/>
        <item x="697"/>
        <item x="698"/>
        <item x="699"/>
        <item x="700"/>
        <item x="55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30"/>
        <item x="40"/>
        <item x="63"/>
        <item x="79"/>
        <item x="156"/>
        <item x="237"/>
        <item x="333"/>
        <item x="473"/>
        <item x="515"/>
        <item x="592"/>
        <item x="636"/>
        <item x="685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t="default"/>
      </items>
    </pivotField>
    <pivotField compact="0" outline="0" subtotalTop="0" showAll="0">
      <items count="776">
        <item x="72"/>
        <item x="24"/>
        <item x="15"/>
        <item x="342"/>
        <item x="456"/>
        <item x="38"/>
        <item x="73"/>
        <item x="199"/>
        <item x="304"/>
        <item x="560"/>
        <item x="396"/>
        <item x="180"/>
        <item x="440"/>
        <item x="507"/>
        <item x="247"/>
        <item x="565"/>
        <item x="131"/>
        <item x="406"/>
        <item x="85"/>
        <item x="249"/>
        <item x="273"/>
        <item x="354"/>
        <item x="94"/>
        <item x="288"/>
        <item x="61"/>
        <item x="27"/>
        <item x="113"/>
        <item x="286"/>
        <item x="543"/>
        <item x="307"/>
        <item x="355"/>
        <item x="301"/>
        <item x="276"/>
        <item x="528"/>
        <item x="37"/>
        <item x="318"/>
        <item x="132"/>
        <item x="70"/>
        <item x="167"/>
        <item x="308"/>
        <item x="774"/>
        <item x="272"/>
        <item x="532"/>
        <item x="280"/>
        <item x="78"/>
        <item x="292"/>
        <item x="348"/>
        <item x="405"/>
        <item x="579"/>
        <item x="495"/>
        <item x="539"/>
        <item x="87"/>
        <item x="19"/>
        <item x="20"/>
        <item x="214"/>
        <item x="130"/>
        <item x="319"/>
        <item x="309"/>
        <item x="277"/>
        <item x="142"/>
        <item x="388"/>
        <item x="314"/>
        <item x="8"/>
        <item x="586"/>
        <item x="433"/>
        <item x="486"/>
        <item x="564"/>
        <item x="380"/>
        <item x="344"/>
        <item x="58"/>
        <item x="93"/>
        <item x="156"/>
        <item x="36"/>
        <item x="161"/>
        <item x="223"/>
        <item x="401"/>
        <item x="541"/>
        <item x="397"/>
        <item x="587"/>
        <item x="45"/>
        <item x="28"/>
        <item x="382"/>
        <item x="124"/>
        <item x="120"/>
        <item x="35"/>
        <item x="485"/>
        <item x="248"/>
        <item x="241"/>
        <item x="453"/>
        <item x="274"/>
        <item x="312"/>
        <item x="509"/>
        <item x="282"/>
        <item x="576"/>
        <item x="581"/>
        <item x="457"/>
        <item x="278"/>
        <item x="349"/>
        <item x="525"/>
        <item x="374"/>
        <item x="526"/>
        <item x="306"/>
        <item x="540"/>
        <item x="392"/>
        <item x="65"/>
        <item x="240"/>
        <item x="408"/>
        <item x="71"/>
        <item x="79"/>
        <item x="359"/>
        <item x="315"/>
        <item x="279"/>
        <item x="239"/>
        <item x="30"/>
        <item x="290"/>
        <item x="548"/>
        <item x="118"/>
        <item x="519"/>
        <item x="591"/>
        <item x="140"/>
        <item x="265"/>
        <item x="18"/>
        <item x="10"/>
        <item x="480"/>
        <item x="227"/>
        <item x="100"/>
        <item x="52"/>
        <item x="596"/>
        <item x="74"/>
        <item x="202"/>
        <item x="182"/>
        <item x="2"/>
        <item x="32"/>
        <item x="242"/>
        <item x="92"/>
        <item x="313"/>
        <item x="295"/>
        <item x="497"/>
        <item x="255"/>
        <item x="316"/>
        <item x="578"/>
        <item x="529"/>
        <item x="471"/>
        <item x="211"/>
        <item x="99"/>
        <item x="25"/>
        <item x="506"/>
        <item x="443"/>
        <item x="243"/>
        <item x="424"/>
        <item x="90"/>
        <item x="346"/>
        <item x="421"/>
        <item x="169"/>
        <item x="594"/>
        <item x="481"/>
        <item x="66"/>
        <item x="186"/>
        <item x="229"/>
        <item x="597"/>
        <item x="402"/>
        <item x="547"/>
        <item x="383"/>
        <item x="474"/>
        <item x="589"/>
        <item x="0"/>
        <item x="1"/>
        <item x="3"/>
        <item x="4"/>
        <item x="5"/>
        <item x="6"/>
        <item x="7"/>
        <item x="9"/>
        <item x="11"/>
        <item x="12"/>
        <item x="13"/>
        <item x="14"/>
        <item x="16"/>
        <item x="17"/>
        <item x="21"/>
        <item x="22"/>
        <item x="23"/>
        <item x="26"/>
        <item x="31"/>
        <item x="33"/>
        <item x="34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3"/>
        <item x="54"/>
        <item x="55"/>
        <item x="56"/>
        <item x="57"/>
        <item x="59"/>
        <item x="60"/>
        <item x="62"/>
        <item x="63"/>
        <item x="64"/>
        <item x="67"/>
        <item x="68"/>
        <item x="69"/>
        <item x="75"/>
        <item x="76"/>
        <item x="77"/>
        <item x="80"/>
        <item x="81"/>
        <item x="82"/>
        <item x="83"/>
        <item x="84"/>
        <item x="86"/>
        <item x="88"/>
        <item x="89"/>
        <item x="91"/>
        <item x="95"/>
        <item x="96"/>
        <item x="97"/>
        <item x="98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9"/>
        <item x="121"/>
        <item x="122"/>
        <item x="123"/>
        <item x="125"/>
        <item x="126"/>
        <item x="127"/>
        <item x="128"/>
        <item x="129"/>
        <item x="133"/>
        <item x="134"/>
        <item x="135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2"/>
        <item x="163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5"/>
        <item x="206"/>
        <item x="207"/>
        <item x="208"/>
        <item x="209"/>
        <item x="210"/>
        <item x="212"/>
        <item x="213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8"/>
        <item x="230"/>
        <item x="231"/>
        <item x="232"/>
        <item x="233"/>
        <item x="234"/>
        <item x="235"/>
        <item x="236"/>
        <item x="237"/>
        <item x="238"/>
        <item x="244"/>
        <item x="245"/>
        <item x="246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5"/>
        <item x="281"/>
        <item x="283"/>
        <item x="284"/>
        <item x="285"/>
        <item x="287"/>
        <item x="289"/>
        <item x="291"/>
        <item x="293"/>
        <item x="294"/>
        <item x="296"/>
        <item x="297"/>
        <item x="298"/>
        <item x="299"/>
        <item x="300"/>
        <item x="302"/>
        <item x="303"/>
        <item x="305"/>
        <item x="310"/>
        <item x="311"/>
        <item x="317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5"/>
        <item x="347"/>
        <item x="350"/>
        <item x="351"/>
        <item x="352"/>
        <item x="353"/>
        <item x="356"/>
        <item x="357"/>
        <item x="358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1"/>
        <item x="384"/>
        <item x="385"/>
        <item x="386"/>
        <item x="387"/>
        <item x="389"/>
        <item x="390"/>
        <item x="391"/>
        <item x="393"/>
        <item x="394"/>
        <item x="395"/>
        <item x="398"/>
        <item x="399"/>
        <item x="400"/>
        <item x="403"/>
        <item x="404"/>
        <item x="407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5"/>
        <item x="426"/>
        <item x="427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5"/>
        <item x="476"/>
        <item x="477"/>
        <item x="478"/>
        <item x="479"/>
        <item x="482"/>
        <item x="483"/>
        <item x="484"/>
        <item x="487"/>
        <item x="488"/>
        <item x="489"/>
        <item x="490"/>
        <item x="491"/>
        <item x="492"/>
        <item x="493"/>
        <item x="494"/>
        <item x="496"/>
        <item x="498"/>
        <item x="499"/>
        <item x="500"/>
        <item x="501"/>
        <item x="502"/>
        <item x="503"/>
        <item x="504"/>
        <item x="505"/>
        <item x="508"/>
        <item x="510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7"/>
        <item x="530"/>
        <item x="531"/>
        <item x="533"/>
        <item x="534"/>
        <item x="535"/>
        <item x="536"/>
        <item x="537"/>
        <item x="538"/>
        <item x="542"/>
        <item x="544"/>
        <item x="545"/>
        <item x="546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80"/>
        <item x="582"/>
        <item x="583"/>
        <item x="584"/>
        <item x="585"/>
        <item x="588"/>
        <item x="590"/>
        <item x="592"/>
        <item x="593"/>
        <item x="595"/>
        <item x="29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t="default"/>
      </items>
    </pivotField>
    <pivotField compact="0" outline="0" subtotalTop="0" numFmtId="10" showAll="0">
      <items count="607">
        <item x="476"/>
        <item x="85"/>
        <item x="227"/>
        <item x="318"/>
        <item x="406"/>
        <item x="437"/>
        <item x="316"/>
        <item x="454"/>
        <item x="381"/>
        <item x="152"/>
        <item x="449"/>
        <item x="453"/>
        <item x="210"/>
        <item x="160"/>
        <item x="321"/>
        <item x="335"/>
        <item x="398"/>
        <item x="291"/>
        <item x="341"/>
        <item x="361"/>
        <item x="402"/>
        <item x="416"/>
        <item x="423"/>
        <item x="442"/>
        <item x="359"/>
        <item x="282"/>
        <item x="450"/>
        <item x="331"/>
        <item x="244"/>
        <item x="10"/>
        <item x="451"/>
        <item x="153"/>
        <item x="360"/>
        <item x="211"/>
        <item x="459"/>
        <item x="285"/>
        <item x="605"/>
        <item x="393"/>
        <item x="363"/>
        <item x="395"/>
        <item x="209"/>
        <item x="205"/>
        <item x="323"/>
        <item x="161"/>
        <item x="198"/>
        <item x="334"/>
        <item x="199"/>
        <item x="78"/>
        <item x="191"/>
        <item x="352"/>
        <item x="445"/>
        <item x="158"/>
        <item x="372"/>
        <item x="123"/>
        <item x="302"/>
        <item x="457"/>
        <item x="444"/>
        <item x="167"/>
        <item x="480"/>
        <item x="267"/>
        <item x="309"/>
        <item x="412"/>
        <item x="96"/>
        <item x="222"/>
        <item x="168"/>
        <item x="23"/>
        <item x="145"/>
        <item x="438"/>
        <item x="113"/>
        <item x="278"/>
        <item x="464"/>
        <item x="409"/>
        <item x="344"/>
        <item x="87"/>
        <item x="154"/>
        <item x="364"/>
        <item x="146"/>
        <item x="410"/>
        <item x="232"/>
        <item x="299"/>
        <item x="223"/>
        <item x="252"/>
        <item x="385"/>
        <item x="280"/>
        <item x="77"/>
        <item x="4"/>
        <item x="208"/>
        <item x="329"/>
        <item x="137"/>
        <item x="119"/>
        <item x="306"/>
        <item x="384"/>
        <item x="234"/>
        <item x="376"/>
        <item x="108"/>
        <item x="411"/>
        <item x="460"/>
        <item x="415"/>
        <item x="8"/>
        <item x="374"/>
        <item x="202"/>
        <item x="266"/>
        <item x="224"/>
        <item x="324"/>
        <item x="102"/>
        <item x="29"/>
        <item x="297"/>
        <item x="294"/>
        <item x="304"/>
        <item x="347"/>
        <item x="377"/>
        <item x="225"/>
        <item x="394"/>
        <item x="390"/>
        <item x="268"/>
        <item x="357"/>
        <item x="213"/>
        <item x="313"/>
        <item x="254"/>
        <item x="434"/>
        <item x="474"/>
        <item x="351"/>
        <item x="162"/>
        <item x="311"/>
        <item x="429"/>
        <item x="174"/>
        <item x="28"/>
        <item x="84"/>
        <item x="314"/>
        <item x="414"/>
        <item x="420"/>
        <item x="290"/>
        <item x="433"/>
        <item x="413"/>
        <item x="301"/>
        <item x="286"/>
        <item x="260"/>
        <item x="289"/>
        <item x="369"/>
        <item x="404"/>
        <item x="447"/>
        <item x="264"/>
        <item x="82"/>
        <item x="274"/>
        <item x="367"/>
        <item x="452"/>
        <item x="265"/>
        <item x="219"/>
        <item x="9"/>
        <item x="446"/>
        <item x="386"/>
        <item x="320"/>
        <item x="462"/>
        <item x="484"/>
        <item x="233"/>
        <item x="159"/>
        <item x="330"/>
        <item x="349"/>
        <item x="458"/>
        <item x="203"/>
        <item x="440"/>
        <item x="391"/>
        <item x="72"/>
        <item x="370"/>
        <item x="46"/>
        <item x="308"/>
        <item x="269"/>
        <item x="109"/>
        <item x="2"/>
        <item x="270"/>
        <item x="216"/>
        <item x="277"/>
        <item x="456"/>
        <item x="263"/>
        <item x="401"/>
        <item x="475"/>
        <item x="187"/>
        <item x="383"/>
        <item x="317"/>
        <item x="238"/>
        <item x="112"/>
        <item x="65"/>
        <item x="443"/>
        <item x="195"/>
        <item x="284"/>
        <item x="439"/>
        <item x="240"/>
        <item x="422"/>
        <item x="365"/>
        <item x="295"/>
        <item x="24"/>
        <item x="149"/>
        <item x="343"/>
        <item x="380"/>
        <item x="140"/>
        <item x="192"/>
        <item x="188"/>
        <item x="408"/>
        <item x="134"/>
        <item x="298"/>
        <item x="197"/>
        <item x="325"/>
        <item x="427"/>
        <item x="25"/>
        <item x="418"/>
        <item x="292"/>
        <item x="346"/>
        <item x="355"/>
        <item x="362"/>
        <item x="76"/>
        <item x="95"/>
        <item x="368"/>
        <item x="34"/>
        <item x="350"/>
        <item x="71"/>
        <item x="328"/>
        <item x="288"/>
        <item x="326"/>
        <item x="366"/>
        <item x="115"/>
        <item x="130"/>
        <item x="358"/>
        <item x="448"/>
        <item x="407"/>
        <item x="196"/>
        <item x="53"/>
        <item x="339"/>
        <item x="172"/>
        <item x="155"/>
        <item x="283"/>
        <item x="256"/>
        <item x="287"/>
        <item x="132"/>
        <item x="388"/>
        <item x="39"/>
        <item x="419"/>
        <item x="332"/>
        <item x="175"/>
        <item x="296"/>
        <item x="239"/>
        <item x="483"/>
        <item x="473"/>
        <item x="97"/>
        <item x="124"/>
        <item x="156"/>
        <item x="166"/>
        <item x="204"/>
        <item x="435"/>
        <item x="281"/>
        <item x="41"/>
        <item x="481"/>
        <item x="471"/>
        <item x="431"/>
        <item x="63"/>
        <item x="69"/>
        <item x="3"/>
        <item x="472"/>
        <item x="185"/>
        <item x="436"/>
        <item x="111"/>
        <item x="14"/>
        <item x="482"/>
        <item x="217"/>
        <item x="88"/>
        <item x="47"/>
        <item x="104"/>
        <item x="336"/>
        <item x="405"/>
        <item x="424"/>
        <item x="303"/>
        <item x="428"/>
        <item x="305"/>
        <item x="272"/>
        <item x="378"/>
        <item x="135"/>
        <item x="147"/>
        <item x="315"/>
        <item x="257"/>
        <item x="79"/>
        <item x="218"/>
        <item x="121"/>
        <item x="173"/>
        <item x="148"/>
        <item x="241"/>
        <item x="312"/>
        <item x="138"/>
        <item x="399"/>
        <item x="0"/>
        <item x="1"/>
        <item x="5"/>
        <item x="6"/>
        <item x="7"/>
        <item x="11"/>
        <item x="12"/>
        <item x="13"/>
        <item x="15"/>
        <item x="16"/>
        <item x="17"/>
        <item x="18"/>
        <item x="19"/>
        <item x="20"/>
        <item x="21"/>
        <item x="22"/>
        <item x="26"/>
        <item x="27"/>
        <item x="31"/>
        <item x="32"/>
        <item x="33"/>
        <item x="35"/>
        <item x="36"/>
        <item x="37"/>
        <item x="38"/>
        <item x="40"/>
        <item x="42"/>
        <item x="43"/>
        <item x="44"/>
        <item x="45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6"/>
        <item x="67"/>
        <item x="68"/>
        <item x="70"/>
        <item x="73"/>
        <item x="74"/>
        <item x="75"/>
        <item x="80"/>
        <item x="81"/>
        <item x="83"/>
        <item x="86"/>
        <item x="89"/>
        <item x="90"/>
        <item x="91"/>
        <item x="92"/>
        <item x="93"/>
        <item x="94"/>
        <item x="98"/>
        <item x="99"/>
        <item x="100"/>
        <item x="101"/>
        <item x="103"/>
        <item x="105"/>
        <item x="106"/>
        <item x="107"/>
        <item x="110"/>
        <item x="114"/>
        <item x="116"/>
        <item x="117"/>
        <item x="118"/>
        <item x="120"/>
        <item x="122"/>
        <item x="125"/>
        <item x="126"/>
        <item x="127"/>
        <item x="128"/>
        <item x="129"/>
        <item x="131"/>
        <item x="133"/>
        <item x="136"/>
        <item x="139"/>
        <item x="141"/>
        <item x="142"/>
        <item x="143"/>
        <item x="144"/>
        <item x="150"/>
        <item x="151"/>
        <item x="157"/>
        <item x="163"/>
        <item x="164"/>
        <item x="165"/>
        <item x="169"/>
        <item x="170"/>
        <item x="171"/>
        <item x="176"/>
        <item x="177"/>
        <item x="178"/>
        <item x="179"/>
        <item x="180"/>
        <item x="181"/>
        <item x="182"/>
        <item x="183"/>
        <item x="184"/>
        <item x="186"/>
        <item x="189"/>
        <item x="190"/>
        <item x="193"/>
        <item x="194"/>
        <item x="200"/>
        <item x="201"/>
        <item x="206"/>
        <item x="207"/>
        <item x="212"/>
        <item x="214"/>
        <item x="215"/>
        <item x="220"/>
        <item x="221"/>
        <item x="226"/>
        <item x="228"/>
        <item x="229"/>
        <item x="230"/>
        <item x="231"/>
        <item x="235"/>
        <item x="236"/>
        <item x="237"/>
        <item x="242"/>
        <item x="243"/>
        <item x="245"/>
        <item x="246"/>
        <item x="247"/>
        <item x="248"/>
        <item x="249"/>
        <item x="250"/>
        <item x="251"/>
        <item x="253"/>
        <item x="255"/>
        <item x="258"/>
        <item x="259"/>
        <item x="261"/>
        <item x="262"/>
        <item x="271"/>
        <item x="273"/>
        <item x="275"/>
        <item x="276"/>
        <item x="279"/>
        <item x="293"/>
        <item x="300"/>
        <item x="307"/>
        <item x="310"/>
        <item x="319"/>
        <item x="322"/>
        <item x="327"/>
        <item x="333"/>
        <item x="337"/>
        <item x="338"/>
        <item x="340"/>
        <item x="342"/>
        <item x="345"/>
        <item x="348"/>
        <item x="353"/>
        <item x="354"/>
        <item x="356"/>
        <item x="371"/>
        <item x="373"/>
        <item x="375"/>
        <item x="379"/>
        <item x="382"/>
        <item x="387"/>
        <item x="389"/>
        <item x="392"/>
        <item x="396"/>
        <item x="397"/>
        <item x="400"/>
        <item x="403"/>
        <item x="417"/>
        <item x="421"/>
        <item x="425"/>
        <item x="426"/>
        <item x="430"/>
        <item x="432"/>
        <item x="441"/>
        <item x="455"/>
        <item x="461"/>
        <item x="463"/>
        <item x="465"/>
        <item x="466"/>
        <item x="467"/>
        <item x="468"/>
        <item x="469"/>
        <item x="470"/>
        <item x="477"/>
        <item x="478"/>
        <item x="479"/>
        <item x="485"/>
        <item x="30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compact="0" outline="0" subtotalTop="0" showAll="0">
      <items count="115">
        <item x="33"/>
        <item x="80"/>
        <item x="49"/>
        <item x="72"/>
        <item x="57"/>
        <item x="46"/>
        <item x="98"/>
        <item x="22"/>
        <item x="63"/>
        <item x="15"/>
        <item x="14"/>
        <item x="99"/>
        <item x="40"/>
        <item x="44"/>
        <item x="104"/>
        <item x="71"/>
        <item x="75"/>
        <item x="19"/>
        <item x="48"/>
        <item x="95"/>
        <item x="56"/>
        <item x="31"/>
        <item x="34"/>
        <item x="27"/>
        <item x="17"/>
        <item x="20"/>
        <item x="62"/>
        <item x="47"/>
        <item x="103"/>
        <item x="53"/>
        <item x="24"/>
        <item x="64"/>
        <item x="7"/>
        <item x="51"/>
        <item x="97"/>
        <item x="8"/>
        <item x="3"/>
        <item x="66"/>
        <item x="74"/>
        <item x="36"/>
        <item x="113"/>
        <item x="41"/>
        <item x="42"/>
        <item x="73"/>
        <item x="32"/>
        <item x="30"/>
        <item x="58"/>
        <item x="83"/>
        <item x="0"/>
        <item x="12"/>
        <item x="81"/>
        <item x="35"/>
        <item x="55"/>
        <item x="21"/>
        <item x="78"/>
        <item x="79"/>
        <item x="54"/>
        <item x="10"/>
        <item x="26"/>
        <item x="82"/>
        <item x="52"/>
        <item x="43"/>
        <item x="76"/>
        <item x="50"/>
        <item x="23"/>
        <item x="25"/>
        <item x="45"/>
        <item x="77"/>
        <item x="38"/>
        <item x="101"/>
        <item x="29"/>
        <item x="59"/>
        <item x="18"/>
        <item x="89"/>
        <item x="102"/>
        <item x="28"/>
        <item x="60"/>
        <item x="94"/>
        <item x="85"/>
        <item x="88"/>
        <item x="105"/>
        <item x="96"/>
        <item x="91"/>
        <item x="68"/>
        <item x="84"/>
        <item x="1"/>
        <item x="69"/>
        <item x="6"/>
        <item x="2"/>
        <item x="9"/>
        <item x="5"/>
        <item x="4"/>
        <item x="37"/>
        <item x="100"/>
        <item x="67"/>
        <item x="39"/>
        <item x="70"/>
        <item x="92"/>
        <item x="65"/>
        <item x="90"/>
        <item x="11"/>
        <item x="13"/>
        <item x="61"/>
        <item x="86"/>
        <item x="87"/>
        <item x="93"/>
        <item x="16"/>
        <item x="106"/>
        <item x="107"/>
        <item x="108"/>
        <item x="109"/>
        <item x="110"/>
        <item x="111"/>
        <item x="112"/>
        <item t="default"/>
      </items>
    </pivotField>
    <pivotField compact="0" outline="0" subtotalTop="0" showAll="0">
      <items count="820">
        <item x="359"/>
        <item x="255"/>
        <item x="326"/>
        <item x="185"/>
        <item x="347"/>
        <item x="237"/>
        <item x="462"/>
        <item x="315"/>
        <item x="818"/>
        <item x="505"/>
        <item x="495"/>
        <item x="479"/>
        <item x="320"/>
        <item x="544"/>
        <item x="163"/>
        <item x="520"/>
        <item x="108"/>
        <item x="375"/>
        <item x="236"/>
        <item x="361"/>
        <item x="546"/>
        <item x="437"/>
        <item x="555"/>
        <item x="610"/>
        <item x="550"/>
        <item x="88"/>
        <item x="283"/>
        <item x="148"/>
        <item x="161"/>
        <item x="514"/>
        <item x="411"/>
        <item x="540"/>
        <item x="483"/>
        <item x="142"/>
        <item x="454"/>
        <item x="485"/>
        <item x="466"/>
        <item x="431"/>
        <item x="511"/>
        <item x="342"/>
        <item x="390"/>
        <item x="545"/>
        <item x="504"/>
        <item x="609"/>
        <item x="223"/>
        <item x="175"/>
        <item x="585"/>
        <item x="606"/>
        <item x="370"/>
        <item x="381"/>
        <item x="449"/>
        <item x="16"/>
        <item x="17"/>
        <item x="147"/>
        <item x="508"/>
        <item x="230"/>
        <item x="386"/>
        <item x="489"/>
        <item x="196"/>
        <item x="180"/>
        <item x="241"/>
        <item x="334"/>
        <item x="33"/>
        <item x="332"/>
        <item x="336"/>
        <item x="293"/>
        <item x="49"/>
        <item x="266"/>
        <item x="25"/>
        <item x="136"/>
        <item x="254"/>
        <item x="216"/>
        <item x="172"/>
        <item x="358"/>
        <item x="303"/>
        <item x="126"/>
        <item x="480"/>
        <item x="357"/>
        <item x="267"/>
        <item x="349"/>
        <item x="40"/>
        <item x="65"/>
        <item x="496"/>
        <item x="558"/>
        <item x="190"/>
        <item x="350"/>
        <item x="123"/>
        <item x="522"/>
        <item x="348"/>
        <item x="577"/>
        <item x="27"/>
        <item x="89"/>
        <item x="189"/>
        <item x="513"/>
        <item x="90"/>
        <item x="181"/>
        <item x="81"/>
        <item x="331"/>
        <item x="471"/>
        <item x="265"/>
        <item x="469"/>
        <item x="145"/>
        <item x="203"/>
        <item x="72"/>
        <item x="198"/>
        <item x="76"/>
        <item x="53"/>
        <item x="195"/>
        <item x="239"/>
        <item x="372"/>
        <item x="9"/>
        <item x="517"/>
        <item x="475"/>
        <item x="154"/>
        <item x="562"/>
        <item x="548"/>
        <item x="256"/>
        <item x="602"/>
        <item x="402"/>
        <item x="83"/>
        <item x="351"/>
        <item x="353"/>
        <item x="159"/>
        <item x="231"/>
        <item x="468"/>
        <item x="490"/>
        <item x="371"/>
        <item x="212"/>
        <item x="448"/>
        <item x="539"/>
        <item x="71"/>
        <item x="153"/>
        <item x="481"/>
        <item x="425"/>
        <item x="536"/>
        <item x="412"/>
        <item x="261"/>
        <item x="302"/>
        <item x="15"/>
        <item x="214"/>
        <item x="339"/>
        <item x="482"/>
        <item x="61"/>
        <item x="66"/>
        <item x="156"/>
        <item x="46"/>
        <item x="491"/>
        <item x="300"/>
        <item x="576"/>
        <item x="170"/>
        <item x="5"/>
        <item x="270"/>
        <item x="129"/>
        <item x="414"/>
        <item x="143"/>
        <item x="583"/>
        <item x="116"/>
        <item x="242"/>
        <item x="304"/>
        <item x="507"/>
        <item x="202"/>
        <item x="226"/>
        <item x="1"/>
        <item x="292"/>
        <item x="118"/>
        <item x="472"/>
        <item x="168"/>
        <item x="295"/>
        <item x="404"/>
        <item x="140"/>
        <item x="360"/>
        <item x="75"/>
        <item x="316"/>
        <item x="452"/>
        <item x="299"/>
        <item x="384"/>
        <item x="467"/>
        <item x="327"/>
        <item x="246"/>
        <item x="171"/>
        <item x="141"/>
        <item x="565"/>
        <item x="554"/>
        <item x="69"/>
        <item x="497"/>
        <item x="244"/>
        <item x="589"/>
        <item x="374"/>
        <item x="38"/>
        <item x="400"/>
        <item x="39"/>
        <item x="382"/>
        <item x="335"/>
        <item x="6"/>
        <item x="95"/>
        <item x="186"/>
        <item x="35"/>
        <item x="164"/>
        <item x="432"/>
        <item x="284"/>
        <item x="0"/>
        <item x="376"/>
        <item x="42"/>
        <item x="369"/>
        <item x="403"/>
        <item x="529"/>
        <item x="587"/>
        <item x="248"/>
        <item x="26"/>
        <item x="11"/>
        <item x="177"/>
        <item x="182"/>
        <item x="173"/>
        <item x="537"/>
        <item x="312"/>
        <item x="208"/>
        <item x="518"/>
        <item x="109"/>
        <item x="608"/>
        <item x="586"/>
        <item x="14"/>
        <item x="345"/>
        <item x="243"/>
        <item x="373"/>
        <item x="281"/>
        <item x="31"/>
        <item x="144"/>
        <item x="155"/>
        <item x="280"/>
        <item x="112"/>
        <item x="557"/>
        <item x="130"/>
        <item x="575"/>
        <item x="464"/>
        <item x="445"/>
        <item x="277"/>
        <item x="7"/>
        <item x="96"/>
        <item x="492"/>
        <item x="183"/>
        <item x="225"/>
        <item x="398"/>
        <item x="474"/>
        <item x="193"/>
        <item x="534"/>
        <item x="559"/>
        <item x="531"/>
        <item x="405"/>
        <item x="590"/>
        <item x="493"/>
        <item x="399"/>
        <item x="395"/>
        <item x="561"/>
        <item x="570"/>
        <item x="247"/>
        <item x="567"/>
        <item x="442"/>
        <item x="199"/>
        <item x="578"/>
        <item x="80"/>
        <item x="530"/>
        <item x="191"/>
        <item x="97"/>
        <item x="470"/>
        <item x="3"/>
        <item x="337"/>
        <item x="377"/>
        <item x="240"/>
        <item x="603"/>
        <item x="588"/>
        <item x="569"/>
        <item x="229"/>
        <item x="379"/>
        <item x="2"/>
        <item x="4"/>
        <item x="8"/>
        <item x="10"/>
        <item x="12"/>
        <item x="13"/>
        <item x="18"/>
        <item x="19"/>
        <item x="20"/>
        <item x="21"/>
        <item x="22"/>
        <item x="23"/>
        <item x="24"/>
        <item x="28"/>
        <item x="30"/>
        <item x="32"/>
        <item x="34"/>
        <item x="36"/>
        <item x="37"/>
        <item x="41"/>
        <item x="43"/>
        <item x="44"/>
        <item x="45"/>
        <item x="47"/>
        <item x="48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7"/>
        <item x="68"/>
        <item x="70"/>
        <item x="73"/>
        <item x="74"/>
        <item x="77"/>
        <item x="78"/>
        <item x="79"/>
        <item x="82"/>
        <item x="84"/>
        <item x="85"/>
        <item x="86"/>
        <item x="87"/>
        <item x="91"/>
        <item x="92"/>
        <item x="93"/>
        <item x="94"/>
        <item x="98"/>
        <item x="99"/>
        <item x="100"/>
        <item x="101"/>
        <item x="102"/>
        <item x="103"/>
        <item x="104"/>
        <item x="105"/>
        <item x="106"/>
        <item x="107"/>
        <item x="110"/>
        <item x="111"/>
        <item x="113"/>
        <item x="114"/>
        <item x="115"/>
        <item x="117"/>
        <item x="119"/>
        <item x="120"/>
        <item x="121"/>
        <item x="122"/>
        <item x="124"/>
        <item x="125"/>
        <item x="127"/>
        <item x="128"/>
        <item x="131"/>
        <item x="132"/>
        <item x="133"/>
        <item x="134"/>
        <item x="135"/>
        <item x="137"/>
        <item x="138"/>
        <item x="139"/>
        <item x="146"/>
        <item x="149"/>
        <item x="150"/>
        <item x="151"/>
        <item x="152"/>
        <item x="157"/>
        <item x="158"/>
        <item x="160"/>
        <item x="162"/>
        <item x="165"/>
        <item x="166"/>
        <item x="167"/>
        <item x="169"/>
        <item x="174"/>
        <item x="176"/>
        <item x="178"/>
        <item x="179"/>
        <item x="184"/>
        <item x="187"/>
        <item x="188"/>
        <item x="192"/>
        <item x="194"/>
        <item x="197"/>
        <item x="200"/>
        <item x="201"/>
        <item x="204"/>
        <item x="205"/>
        <item x="206"/>
        <item x="207"/>
        <item x="209"/>
        <item x="210"/>
        <item x="211"/>
        <item x="213"/>
        <item x="215"/>
        <item x="217"/>
        <item x="218"/>
        <item x="219"/>
        <item x="220"/>
        <item x="221"/>
        <item x="222"/>
        <item x="224"/>
        <item x="227"/>
        <item x="228"/>
        <item x="232"/>
        <item x="233"/>
        <item x="234"/>
        <item x="235"/>
        <item x="238"/>
        <item x="245"/>
        <item x="249"/>
        <item x="250"/>
        <item x="251"/>
        <item x="252"/>
        <item x="253"/>
        <item x="257"/>
        <item x="258"/>
        <item x="259"/>
        <item x="260"/>
        <item x="262"/>
        <item x="263"/>
        <item x="264"/>
        <item x="268"/>
        <item x="269"/>
        <item x="271"/>
        <item x="272"/>
        <item x="273"/>
        <item x="274"/>
        <item x="275"/>
        <item x="276"/>
        <item x="278"/>
        <item x="279"/>
        <item x="282"/>
        <item x="285"/>
        <item x="286"/>
        <item x="287"/>
        <item x="288"/>
        <item x="289"/>
        <item x="290"/>
        <item x="291"/>
        <item x="294"/>
        <item x="296"/>
        <item x="297"/>
        <item x="298"/>
        <item x="301"/>
        <item x="305"/>
        <item x="306"/>
        <item x="307"/>
        <item x="308"/>
        <item x="309"/>
        <item x="310"/>
        <item x="311"/>
        <item x="313"/>
        <item x="314"/>
        <item x="317"/>
        <item x="318"/>
        <item x="319"/>
        <item x="321"/>
        <item x="322"/>
        <item x="323"/>
        <item x="324"/>
        <item x="325"/>
        <item x="328"/>
        <item x="329"/>
        <item x="330"/>
        <item x="333"/>
        <item x="338"/>
        <item x="340"/>
        <item x="341"/>
        <item x="343"/>
        <item x="344"/>
        <item x="346"/>
        <item x="352"/>
        <item x="354"/>
        <item x="355"/>
        <item x="356"/>
        <item x="362"/>
        <item x="363"/>
        <item x="364"/>
        <item x="365"/>
        <item x="366"/>
        <item x="367"/>
        <item x="368"/>
        <item x="378"/>
        <item x="380"/>
        <item x="383"/>
        <item x="385"/>
        <item x="387"/>
        <item x="388"/>
        <item x="389"/>
        <item x="391"/>
        <item x="392"/>
        <item x="393"/>
        <item x="394"/>
        <item x="396"/>
        <item x="397"/>
        <item x="401"/>
        <item x="406"/>
        <item x="407"/>
        <item x="408"/>
        <item x="409"/>
        <item x="410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3"/>
        <item x="434"/>
        <item x="435"/>
        <item x="436"/>
        <item x="438"/>
        <item x="439"/>
        <item x="440"/>
        <item x="441"/>
        <item x="443"/>
        <item x="444"/>
        <item x="446"/>
        <item x="447"/>
        <item x="450"/>
        <item x="451"/>
        <item x="453"/>
        <item x="455"/>
        <item x="456"/>
        <item x="457"/>
        <item x="458"/>
        <item x="459"/>
        <item x="460"/>
        <item x="461"/>
        <item x="463"/>
        <item x="465"/>
        <item x="473"/>
        <item x="476"/>
        <item x="477"/>
        <item x="478"/>
        <item x="484"/>
        <item x="486"/>
        <item x="487"/>
        <item x="488"/>
        <item x="494"/>
        <item x="498"/>
        <item x="499"/>
        <item x="500"/>
        <item x="501"/>
        <item x="502"/>
        <item x="503"/>
        <item x="506"/>
        <item x="509"/>
        <item x="510"/>
        <item x="512"/>
        <item x="515"/>
        <item x="516"/>
        <item x="519"/>
        <item x="521"/>
        <item x="523"/>
        <item x="524"/>
        <item x="525"/>
        <item x="526"/>
        <item x="527"/>
        <item x="528"/>
        <item x="532"/>
        <item x="533"/>
        <item x="535"/>
        <item x="538"/>
        <item x="541"/>
        <item x="542"/>
        <item x="543"/>
        <item x="547"/>
        <item x="549"/>
        <item x="551"/>
        <item x="552"/>
        <item x="553"/>
        <item x="556"/>
        <item x="560"/>
        <item x="563"/>
        <item x="564"/>
        <item x="566"/>
        <item x="568"/>
        <item x="571"/>
        <item x="572"/>
        <item x="573"/>
        <item x="574"/>
        <item x="579"/>
        <item x="580"/>
        <item x="581"/>
        <item x="582"/>
        <item x="584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4"/>
        <item x="605"/>
        <item x="607"/>
        <item x="611"/>
        <item x="612"/>
        <item x="613"/>
        <item x="614"/>
        <item x="29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compact="0" outline="0" subtotalTop="0" showAll="0">
      <items count="254">
        <item x="26"/>
        <item x="15"/>
        <item x="18"/>
        <item x="194"/>
        <item x="41"/>
        <item x="8"/>
        <item x="21"/>
        <item x="22"/>
        <item x="23"/>
        <item x="252"/>
        <item x="0"/>
        <item x="13"/>
        <item x="7"/>
        <item x="177"/>
        <item x="125"/>
        <item x="2"/>
        <item x="161"/>
        <item x="63"/>
        <item x="35"/>
        <item x="14"/>
        <item x="46"/>
        <item x="1"/>
        <item x="3"/>
        <item x="4"/>
        <item x="5"/>
        <item x="6"/>
        <item x="9"/>
        <item x="10"/>
        <item x="11"/>
        <item x="12"/>
        <item x="16"/>
        <item x="17"/>
        <item x="19"/>
        <item x="20"/>
        <item x="24"/>
        <item x="25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outline="0" subtotalTop="0" showAll="0">
      <items count="29">
        <item x="2"/>
        <item x="0"/>
        <item x="1"/>
        <item x="7"/>
        <item x="6"/>
        <item x="10"/>
        <item x="27"/>
        <item x="3"/>
        <item x="4"/>
        <item x="5"/>
        <item x="8"/>
        <item x="11"/>
        <item x="15"/>
        <item x="19"/>
        <item x="9"/>
        <item x="12"/>
        <item x="13"/>
        <item x="14"/>
        <item x="16"/>
        <item x="17"/>
        <item x="18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179">
        <item x="14"/>
        <item x="24"/>
        <item x="50"/>
        <item x="42"/>
        <item x="177"/>
        <item x="19"/>
        <item x="89"/>
        <item x="22"/>
        <item x="90"/>
        <item x="49"/>
        <item x="8"/>
        <item x="20"/>
        <item x="103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5"/>
        <item x="16"/>
        <item x="17"/>
        <item x="18"/>
        <item x="21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outline="0" subtotalTop="0" showAll="0">
      <items count="66">
        <item x="3"/>
        <item x="11"/>
        <item x="5"/>
        <item x="64"/>
        <item x="18"/>
        <item x="0"/>
        <item x="56"/>
        <item x="9"/>
        <item x="1"/>
        <item x="12"/>
        <item x="4"/>
        <item x="6"/>
        <item x="13"/>
        <item x="2"/>
        <item x="7"/>
        <item x="8"/>
        <item x="10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t="default"/>
      </items>
    </pivotField>
    <pivotField compact="0" outline="0" subtotalTop="0" showAll="0">
      <items count="46">
        <item x="2"/>
        <item x="3"/>
        <item x="1"/>
        <item x="4"/>
        <item x="23"/>
        <item x="0"/>
        <item x="13"/>
        <item x="5"/>
        <item x="44"/>
        <item x="14"/>
        <item x="7"/>
        <item x="6"/>
        <item x="29"/>
        <item x="9"/>
        <item x="8"/>
        <item x="24"/>
        <item x="27"/>
        <item x="33"/>
        <item x="12"/>
        <item x="26"/>
        <item x="30"/>
        <item x="28"/>
        <item x="25"/>
        <item x="10"/>
        <item x="11"/>
        <item x="15"/>
        <item x="16"/>
        <item x="17"/>
        <item x="18"/>
        <item x="19"/>
        <item x="20"/>
        <item x="21"/>
        <item x="22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outline="0" subtotalTop="0" showAll="0">
      <items count="343">
        <item x="83"/>
        <item x="15"/>
        <item x="93"/>
        <item x="27"/>
        <item x="75"/>
        <item x="70"/>
        <item x="20"/>
        <item x="37"/>
        <item x="31"/>
        <item x="56"/>
        <item x="8"/>
        <item x="68"/>
        <item x="259"/>
        <item x="78"/>
        <item x="341"/>
        <item x="13"/>
        <item x="26"/>
        <item x="22"/>
        <item x="50"/>
        <item x="154"/>
        <item x="87"/>
        <item x="24"/>
        <item x="51"/>
        <item x="275"/>
        <item x="148"/>
        <item x="47"/>
        <item x="23"/>
        <item x="139"/>
        <item x="30"/>
        <item x="149"/>
        <item x="2"/>
        <item x="7"/>
        <item x="165"/>
        <item x="10"/>
        <item x="18"/>
        <item x="57"/>
        <item x="101"/>
        <item x="69"/>
        <item x="0"/>
        <item x="1"/>
        <item x="3"/>
        <item x="4"/>
        <item x="5"/>
        <item x="6"/>
        <item x="9"/>
        <item x="11"/>
        <item x="12"/>
        <item x="14"/>
        <item x="16"/>
        <item x="17"/>
        <item x="19"/>
        <item x="21"/>
        <item x="25"/>
        <item x="28"/>
        <item x="29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8"/>
        <item x="49"/>
        <item x="52"/>
        <item x="53"/>
        <item x="54"/>
        <item x="55"/>
        <item x="58"/>
        <item x="59"/>
        <item x="60"/>
        <item x="61"/>
        <item x="62"/>
        <item x="63"/>
        <item x="64"/>
        <item x="65"/>
        <item x="66"/>
        <item x="67"/>
        <item x="71"/>
        <item x="72"/>
        <item x="73"/>
        <item x="74"/>
        <item x="76"/>
        <item x="77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8"/>
        <item x="279"/>
        <item x="280"/>
        <item x="277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compact="0" outline="0" subtotalTop="0" showAll="0">
      <items count="650">
        <item x="15"/>
        <item x="648"/>
        <item x="126"/>
        <item x="92"/>
        <item x="131"/>
        <item x="428"/>
        <item x="214"/>
        <item x="123"/>
        <item x="476"/>
        <item x="266"/>
        <item x="393"/>
        <item x="451"/>
        <item x="111"/>
        <item x="344"/>
        <item x="274"/>
        <item x="326"/>
        <item x="458"/>
        <item x="89"/>
        <item x="392"/>
        <item x="299"/>
        <item x="471"/>
        <item x="354"/>
        <item x="417"/>
        <item x="243"/>
        <item x="181"/>
        <item x="192"/>
        <item x="412"/>
        <item x="51"/>
        <item x="205"/>
        <item x="237"/>
        <item x="366"/>
        <item x="113"/>
        <item x="256"/>
        <item x="204"/>
        <item x="310"/>
        <item x="328"/>
        <item x="137"/>
        <item x="445"/>
        <item x="382"/>
        <item x="29"/>
        <item x="370"/>
        <item x="498"/>
        <item x="120"/>
        <item x="303"/>
        <item x="332"/>
        <item x="322"/>
        <item x="410"/>
        <item x="304"/>
        <item x="146"/>
        <item x="464"/>
        <item x="202"/>
        <item x="404"/>
        <item x="387"/>
        <item x="108"/>
        <item x="139"/>
        <item x="101"/>
        <item x="491"/>
        <item x="169"/>
        <item x="433"/>
        <item x="435"/>
        <item x="407"/>
        <item x="254"/>
        <item x="461"/>
        <item x="74"/>
        <item x="453"/>
        <item x="121"/>
        <item x="437"/>
        <item x="488"/>
        <item x="331"/>
        <item x="278"/>
        <item x="466"/>
        <item x="4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9"/>
        <item x="110"/>
        <item x="112"/>
        <item x="114"/>
        <item x="115"/>
        <item x="116"/>
        <item x="117"/>
        <item x="118"/>
        <item x="119"/>
        <item x="122"/>
        <item x="124"/>
        <item x="125"/>
        <item x="127"/>
        <item x="128"/>
        <item x="129"/>
        <item x="130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5"/>
        <item x="276"/>
        <item x="277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7"/>
        <item x="329"/>
        <item x="330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8"/>
        <item x="389"/>
        <item x="390"/>
        <item x="391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8"/>
        <item x="409"/>
        <item x="411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4"/>
        <item x="436"/>
        <item x="438"/>
        <item x="439"/>
        <item x="440"/>
        <item x="441"/>
        <item x="442"/>
        <item x="443"/>
        <item x="444"/>
        <item x="446"/>
        <item x="447"/>
        <item x="449"/>
        <item x="450"/>
        <item x="452"/>
        <item x="454"/>
        <item x="455"/>
        <item x="456"/>
        <item x="457"/>
        <item x="459"/>
        <item x="460"/>
        <item x="462"/>
        <item x="463"/>
        <item x="465"/>
        <item x="467"/>
        <item x="468"/>
        <item x="469"/>
        <item x="470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2"/>
        <item x="493"/>
        <item x="494"/>
        <item x="495"/>
        <item x="496"/>
        <item x="49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60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t="default"/>
      </items>
    </pivotField>
    <pivotField compact="0" outline="0" subtotalTop="0" showAll="0">
      <items count="43">
        <item x="1"/>
        <item x="0"/>
        <item x="2"/>
        <item x="13"/>
        <item x="16"/>
        <item x="14"/>
        <item x="18"/>
        <item x="3"/>
        <item x="41"/>
        <item x="27"/>
        <item x="5"/>
        <item x="15"/>
        <item x="17"/>
        <item x="8"/>
        <item x="4"/>
        <item x="6"/>
        <item x="7"/>
        <item x="9"/>
        <item x="10"/>
        <item x="11"/>
        <item x="12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ubtotalTop="0" numFmtId="10" showAll="0">
      <items count="121">
        <item x="0"/>
        <item x="8"/>
        <item x="5"/>
        <item x="40"/>
        <item x="22"/>
        <item x="34"/>
        <item x="42"/>
        <item x="27"/>
        <item x="33"/>
        <item x="77"/>
        <item x="48"/>
        <item x="119"/>
        <item x="31"/>
        <item x="30"/>
        <item x="19"/>
        <item x="43"/>
        <item x="55"/>
        <item x="24"/>
        <item x="53"/>
        <item x="44"/>
        <item x="57"/>
        <item x="10"/>
        <item x="75"/>
        <item x="61"/>
        <item x="4"/>
        <item x="36"/>
        <item x="12"/>
        <item x="32"/>
        <item x="26"/>
        <item x="47"/>
        <item x="49"/>
        <item x="37"/>
        <item x="28"/>
        <item x="35"/>
        <item x="58"/>
        <item x="23"/>
        <item x="71"/>
        <item x="18"/>
        <item x="21"/>
        <item x="11"/>
        <item x="20"/>
        <item x="14"/>
        <item x="45"/>
        <item x="25"/>
        <item x="62"/>
        <item x="76"/>
        <item x="13"/>
        <item x="9"/>
        <item x="56"/>
        <item x="41"/>
        <item x="29"/>
        <item x="64"/>
        <item x="54"/>
        <item x="73"/>
        <item x="60"/>
        <item x="69"/>
        <item x="52"/>
        <item x="46"/>
        <item x="1"/>
        <item x="65"/>
        <item x="66"/>
        <item x="6"/>
        <item x="7"/>
        <item x="2"/>
        <item x="3"/>
        <item x="15"/>
        <item x="16"/>
        <item x="17"/>
        <item x="38"/>
        <item x="39"/>
        <item x="50"/>
        <item x="51"/>
        <item x="59"/>
        <item x="63"/>
        <item x="67"/>
        <item x="68"/>
        <item x="70"/>
        <item x="72"/>
        <item x="74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outline="0" subtotalTop="0" showAll="0">
      <items count="48">
        <item x="2"/>
        <item x="5"/>
        <item x="12"/>
        <item x="4"/>
        <item x="7"/>
        <item x="1"/>
        <item x="39"/>
        <item x="46"/>
        <item x="3"/>
        <item x="10"/>
        <item x="11"/>
        <item x="9"/>
        <item x="18"/>
        <item x="13"/>
        <item x="0"/>
        <item x="6"/>
        <item x="8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t="default"/>
      </items>
    </pivotField>
    <pivotField compact="0" outline="0" subtotalTop="0" showAll="0">
      <items count="49">
        <item x="2"/>
        <item x="11"/>
        <item x="3"/>
        <item x="5"/>
        <item x="10"/>
        <item x="1"/>
        <item x="47"/>
        <item x="6"/>
        <item x="12"/>
        <item x="13"/>
        <item x="37"/>
        <item x="9"/>
        <item x="8"/>
        <item x="0"/>
        <item x="4"/>
        <item x="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ubtotalTop="0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22"/>
        <item x="114"/>
        <item x="115"/>
        <item x="116"/>
        <item x="117"/>
        <item x="118"/>
        <item x="119"/>
        <item x="120"/>
        <item x="121"/>
        <item t="default"/>
      </items>
    </pivotField>
    <pivotField axis="axisPage" compact="0" outline="0" subtotalTop="0" multipleItemSelectionAllowed="1" showAll="0">
      <items count="5">
        <item x="0"/>
        <item h="1" x="1"/>
        <item h="1" x="2"/>
        <item h="1" x="3"/>
        <item t="default"/>
      </items>
    </pivotField>
    <pivotField compact="0" outline="0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3"/>
        <item x="19"/>
        <item x="20"/>
        <item x="21"/>
        <item x="22"/>
        <item t="default"/>
      </items>
    </pivotField>
    <pivotField axis="axisPage" compact="0" outline="0" subtotalTop="0" multipleItemSelectionAllowed="1" showAll="0">
      <items count="12">
        <item x="0"/>
        <item h="1" x="1"/>
        <item h="1" x="2"/>
        <item h="1" x="3"/>
        <item x="4"/>
        <item h="1" x="5"/>
        <item x="6"/>
        <item h="1" x="7"/>
        <item x="8"/>
        <item h="1" x="10"/>
        <item x="9"/>
        <item t="default"/>
      </items>
    </pivotField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2"/>
    </i>
    <i>
      <x v="43"/>
    </i>
    <i>
      <x v="44"/>
    </i>
    <i>
      <x v="45"/>
    </i>
    <i>
      <x v="46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61"/>
    </i>
    <i>
      <x v="62"/>
    </i>
    <i>
      <x v="63"/>
    </i>
    <i>
      <x v="72"/>
    </i>
    <i>
      <x v="84"/>
    </i>
    <i>
      <x v="85"/>
    </i>
    <i>
      <x v="86"/>
    </i>
    <i>
      <x v="87"/>
    </i>
    <i>
      <x v="88"/>
    </i>
    <i>
      <x v="92"/>
    </i>
    <i>
      <x v="10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</rowItems>
  <colItems count="1">
    <i/>
  </colItems>
  <pageFields count="2">
    <pageField fld="28"/>
    <pageField fld="30"/>
  </pageFields>
  <dataFields count="1">
    <dataField name=" 消费" fld="10" baseField="0" baseItem="0"/>
  </dataFields>
  <formats count="26">
    <format dxfId="342">
      <pivotArea type="all" dataOnly="0" outline="0" fieldPosition="0"/>
    </format>
    <format dxfId="343">
      <pivotArea type="all" dataOnly="0" outline="0" fieldPosition="0"/>
    </format>
    <format dxfId="344">
      <pivotArea type="all" dataOnly="0" outline="0" fieldPosition="0"/>
    </format>
    <format dxfId="345">
      <pivotArea type="all" dataOnly="0" outline="0" fieldPosition="0"/>
    </format>
    <format dxfId="346">
      <pivotArea type="all" dataOnly="0" outline="0" fieldPosition="0"/>
    </format>
    <format dxfId="347">
      <pivotArea field="0" type="button" dataOnly="0" labelOnly="1" outline="0" fieldPosition="0"/>
    </format>
    <format dxfId="348">
      <pivotArea dataOnly="0" labelOnly="1" fieldPosition="0">
        <references count="1">
          <reference field="4294967294" count="1">
            <x v="0"/>
          </reference>
        </references>
      </pivotArea>
    </format>
    <format dxfId="349">
      <pivotArea dataOnly="0" labelOnly="1" grandRow="1" fieldPosition="0"/>
    </format>
    <format dxfId="350">
      <pivotArea grandRow="1" collapsedLevelsAreSubtotals="1" fieldPosition="0"/>
    </format>
    <format dxfId="351">
      <pivotArea dataOnly="0" labelOnly="1" grandRow="1" fieldPosition="0"/>
    </format>
    <format dxfId="352">
      <pivotArea grandRow="1" collapsedLevelsAreSubtotals="1" fieldPosition="0"/>
    </format>
    <format dxfId="353">
      <pivotArea dataOnly="0" labelOnly="1" grandRow="1" fieldPosition="0"/>
    </format>
    <format dxfId="354">
      <pivotArea grandRow="1" collapsedLevelsAreSubtotals="1" fieldPosition="0"/>
    </format>
    <format dxfId="355">
      <pivotArea dataOnly="0" labelOnly="1" fieldPosition="0">
        <references count="1">
          <reference field="0" count="1">
            <x v="170"/>
          </reference>
        </references>
      </pivotArea>
    </format>
    <format dxfId="356">
      <pivotArea collapsedLevelsAreSubtotals="1" fieldPosition="0">
        <references count="1">
          <reference field="0" count="1" selected="0">
            <x v="170"/>
          </reference>
        </references>
      </pivotArea>
    </format>
    <format dxfId="357">
      <pivotArea dataOnly="0" labelOnly="1" grandRow="1" fieldPosition="0"/>
    </format>
    <format dxfId="358">
      <pivotArea grandRow="1" collapsedLevelsAreSubtotals="1" fieldPosition="0"/>
    </format>
    <format dxfId="359">
      <pivotArea type="all" dataOnly="0" outline="0" fieldPosition="0"/>
    </format>
    <format dxfId="360">
      <pivotArea field="0" type="button" dataOnly="0" labelOnly="1" outline="0" fieldPosition="0"/>
    </format>
    <format dxfId="361">
      <pivotArea dataOnly="0" labelOnly="1" fieldPosition="0">
        <references count="1">
          <reference field="4294967294" count="1">
            <x v="0"/>
          </reference>
        </references>
      </pivotArea>
    </format>
    <format dxfId="362">
      <pivotArea field="7" type="button" dataOnly="0" labelOnly="1" outline="0" fieldPosition="0"/>
    </format>
    <format dxfId="363">
      <pivotArea field="3" type="button" dataOnly="0" labelOnly="1" outline="0" fieldPosition="0"/>
    </format>
    <format dxfId="364">
      <pivotArea field="4" type="button" dataOnly="0" labelOnly="1" outline="0" fieldPosition="0"/>
    </format>
    <format dxfId="365">
      <pivotArea field="28" type="button" dataOnly="0" labelOnly="1" outline="0" fieldPosition="0"/>
    </format>
    <format dxfId="366">
      <pivotArea dataOnly="0" labelOnly="1" outline="0" fieldPosition="0">
        <references count="1">
          <reference field="28" count="0"/>
        </references>
      </pivotArea>
    </format>
    <format dxfId="367">
      <pivotArea dataOnly="0" labelOnly="1" outline="0" fieldPosition="0">
        <references count="1">
          <reference field="28" count="0"/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B119" firstHeaderRow="1" firstDataRow="1" firstDataCol="1" rowPageCount="2" colPageCount="1"/>
  <pivotFields count="39">
    <pivotField axis="axisRow" compact="0" sortType="ascending" outline="0" subtotalTop="0" multipleItemSelectionAllowed="1" numFmtId="14" showAll="0">
      <items count="172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outline="0" subtotalTop="0" showAll="0">
      <items count="198">
        <item x="196"/>
        <item x="69"/>
        <item x="93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9"/>
        <item x="20"/>
        <item x="128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outline="0" subtotalTop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9"/>
        <item x="21"/>
        <item x="82"/>
        <item x="169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outline="0" subtotalTop="0" multipleItemSelectionAllowed="1" showAll="0">
      <items count="4">
        <item x="1"/>
        <item x="0"/>
        <item x="2"/>
        <item t="default"/>
      </items>
    </pivotField>
    <pivotField compact="0" outline="0" subtotalTop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3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outline="0" subtotalTop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outline="0" subtotalTop="0" showAll="0">
      <items count="3">
        <item x="0"/>
        <item x="1"/>
        <item t="default"/>
      </items>
    </pivotField>
    <pivotField dataField="1" compact="0" outline="0" subtotalTop="0" showAll="0">
      <items count="919">
        <item x="220"/>
        <item x="917"/>
        <item x="136"/>
        <item x="679"/>
        <item x="105"/>
        <item x="44"/>
        <item x="61"/>
        <item x="212"/>
        <item x="428"/>
        <item x="18"/>
        <item x="8"/>
        <item x="437"/>
        <item x="109"/>
        <item x="340"/>
        <item x="55"/>
        <item x="670"/>
        <item x="33"/>
        <item x="626"/>
        <item x="171"/>
        <item x="458"/>
        <item x="385"/>
        <item x="640"/>
        <item x="332"/>
        <item x="533"/>
        <item x="462"/>
        <item x="39"/>
        <item x="464"/>
        <item x="138"/>
        <item x="542"/>
        <item x="643"/>
        <item x="89"/>
        <item x="307"/>
        <item x="148"/>
        <item x="5"/>
        <item x="250"/>
        <item x="341"/>
        <item x="555"/>
        <item x="630"/>
        <item x="0"/>
        <item x="1"/>
        <item x="2"/>
        <item x="3"/>
        <item x="4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4"/>
        <item x="675"/>
        <item x="676"/>
        <item x="677"/>
        <item x="678"/>
        <item x="680"/>
        <item x="681"/>
        <item x="682"/>
        <item x="30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t="default"/>
      </items>
    </pivotField>
    <pivotField compact="0" outline="0" subtotalTop="0" showAll="0">
      <items count="931">
        <item x="467"/>
        <item x="226"/>
        <item x="96"/>
        <item x="78"/>
        <item x="558"/>
        <item x="929"/>
        <item x="141"/>
        <item x="304"/>
        <item x="75"/>
        <item x="257"/>
        <item x="303"/>
        <item x="459"/>
        <item x="555"/>
        <item x="353"/>
        <item x="24"/>
        <item x="294"/>
        <item x="292"/>
        <item x="559"/>
        <item x="540"/>
        <item x="701"/>
        <item x="179"/>
        <item x="594"/>
        <item x="343"/>
        <item x="460"/>
        <item x="584"/>
        <item x="305"/>
        <item x="123"/>
        <item x="412"/>
        <item x="527"/>
        <item x="513"/>
        <item x="589"/>
        <item x="702"/>
        <item x="334"/>
        <item x="264"/>
        <item x="37"/>
        <item x="693"/>
        <item x="85"/>
        <item x="93"/>
        <item x="171"/>
        <item x="70"/>
        <item x="263"/>
        <item x="357"/>
        <item x="117"/>
        <item x="383"/>
        <item x="443"/>
        <item x="516"/>
        <item x="571"/>
        <item x="484"/>
        <item x="377"/>
        <item x="19"/>
        <item x="439"/>
        <item x="20"/>
        <item x="198"/>
        <item x="674"/>
        <item x="4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5"/>
        <item x="26"/>
        <item x="27"/>
        <item x="28"/>
        <item x="29"/>
        <item x="31"/>
        <item x="32"/>
        <item x="33"/>
        <item x="34"/>
        <item x="35"/>
        <item x="36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3"/>
        <item x="74"/>
        <item x="76"/>
        <item x="77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0"/>
        <item x="351"/>
        <item x="352"/>
        <item x="354"/>
        <item x="355"/>
        <item x="356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63"/>
        <item x="464"/>
        <item x="465"/>
        <item x="466"/>
        <item x="468"/>
        <item x="469"/>
        <item x="470"/>
        <item x="471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1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4"/>
        <item x="695"/>
        <item x="696"/>
        <item x="697"/>
        <item x="698"/>
        <item x="699"/>
        <item x="700"/>
        <item x="55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30"/>
        <item x="40"/>
        <item x="63"/>
        <item x="79"/>
        <item x="156"/>
        <item x="237"/>
        <item x="333"/>
        <item x="473"/>
        <item x="515"/>
        <item x="592"/>
        <item x="636"/>
        <item x="685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t="default"/>
      </items>
    </pivotField>
    <pivotField compact="0" outline="0" subtotalTop="0" showAll="0">
      <items count="776">
        <item x="72"/>
        <item x="24"/>
        <item x="15"/>
        <item x="342"/>
        <item x="456"/>
        <item x="38"/>
        <item x="73"/>
        <item x="199"/>
        <item x="304"/>
        <item x="560"/>
        <item x="396"/>
        <item x="180"/>
        <item x="440"/>
        <item x="507"/>
        <item x="247"/>
        <item x="565"/>
        <item x="131"/>
        <item x="406"/>
        <item x="85"/>
        <item x="249"/>
        <item x="273"/>
        <item x="354"/>
        <item x="94"/>
        <item x="288"/>
        <item x="61"/>
        <item x="27"/>
        <item x="113"/>
        <item x="286"/>
        <item x="543"/>
        <item x="307"/>
        <item x="355"/>
        <item x="301"/>
        <item x="276"/>
        <item x="528"/>
        <item x="37"/>
        <item x="318"/>
        <item x="132"/>
        <item x="70"/>
        <item x="167"/>
        <item x="308"/>
        <item x="774"/>
        <item x="272"/>
        <item x="532"/>
        <item x="280"/>
        <item x="78"/>
        <item x="292"/>
        <item x="348"/>
        <item x="405"/>
        <item x="579"/>
        <item x="495"/>
        <item x="539"/>
        <item x="87"/>
        <item x="19"/>
        <item x="20"/>
        <item x="214"/>
        <item x="130"/>
        <item x="319"/>
        <item x="309"/>
        <item x="277"/>
        <item x="142"/>
        <item x="388"/>
        <item x="314"/>
        <item x="8"/>
        <item x="586"/>
        <item x="433"/>
        <item x="486"/>
        <item x="564"/>
        <item x="380"/>
        <item x="344"/>
        <item x="58"/>
        <item x="93"/>
        <item x="156"/>
        <item x="36"/>
        <item x="161"/>
        <item x="223"/>
        <item x="401"/>
        <item x="541"/>
        <item x="397"/>
        <item x="587"/>
        <item x="45"/>
        <item x="28"/>
        <item x="382"/>
        <item x="124"/>
        <item x="120"/>
        <item x="35"/>
        <item x="485"/>
        <item x="248"/>
        <item x="241"/>
        <item x="453"/>
        <item x="274"/>
        <item x="312"/>
        <item x="509"/>
        <item x="282"/>
        <item x="576"/>
        <item x="581"/>
        <item x="457"/>
        <item x="278"/>
        <item x="349"/>
        <item x="525"/>
        <item x="374"/>
        <item x="526"/>
        <item x="306"/>
        <item x="540"/>
        <item x="392"/>
        <item x="65"/>
        <item x="240"/>
        <item x="408"/>
        <item x="71"/>
        <item x="79"/>
        <item x="359"/>
        <item x="315"/>
        <item x="279"/>
        <item x="239"/>
        <item x="30"/>
        <item x="290"/>
        <item x="548"/>
        <item x="118"/>
        <item x="519"/>
        <item x="591"/>
        <item x="140"/>
        <item x="265"/>
        <item x="18"/>
        <item x="10"/>
        <item x="480"/>
        <item x="227"/>
        <item x="100"/>
        <item x="52"/>
        <item x="596"/>
        <item x="74"/>
        <item x="202"/>
        <item x="182"/>
        <item x="2"/>
        <item x="32"/>
        <item x="242"/>
        <item x="92"/>
        <item x="313"/>
        <item x="295"/>
        <item x="497"/>
        <item x="255"/>
        <item x="316"/>
        <item x="578"/>
        <item x="529"/>
        <item x="471"/>
        <item x="211"/>
        <item x="99"/>
        <item x="25"/>
        <item x="506"/>
        <item x="443"/>
        <item x="243"/>
        <item x="424"/>
        <item x="90"/>
        <item x="346"/>
        <item x="421"/>
        <item x="169"/>
        <item x="594"/>
        <item x="481"/>
        <item x="66"/>
        <item x="186"/>
        <item x="229"/>
        <item x="597"/>
        <item x="402"/>
        <item x="547"/>
        <item x="383"/>
        <item x="474"/>
        <item x="589"/>
        <item x="0"/>
        <item x="1"/>
        <item x="3"/>
        <item x="4"/>
        <item x="5"/>
        <item x="6"/>
        <item x="7"/>
        <item x="9"/>
        <item x="11"/>
        <item x="12"/>
        <item x="13"/>
        <item x="14"/>
        <item x="16"/>
        <item x="17"/>
        <item x="21"/>
        <item x="22"/>
        <item x="23"/>
        <item x="26"/>
        <item x="31"/>
        <item x="33"/>
        <item x="34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3"/>
        <item x="54"/>
        <item x="55"/>
        <item x="56"/>
        <item x="57"/>
        <item x="59"/>
        <item x="60"/>
        <item x="62"/>
        <item x="63"/>
        <item x="64"/>
        <item x="67"/>
        <item x="68"/>
        <item x="69"/>
        <item x="75"/>
        <item x="76"/>
        <item x="77"/>
        <item x="80"/>
        <item x="81"/>
        <item x="82"/>
        <item x="83"/>
        <item x="84"/>
        <item x="86"/>
        <item x="88"/>
        <item x="89"/>
        <item x="91"/>
        <item x="95"/>
        <item x="96"/>
        <item x="97"/>
        <item x="98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9"/>
        <item x="121"/>
        <item x="122"/>
        <item x="123"/>
        <item x="125"/>
        <item x="126"/>
        <item x="127"/>
        <item x="128"/>
        <item x="129"/>
        <item x="133"/>
        <item x="134"/>
        <item x="135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2"/>
        <item x="163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5"/>
        <item x="206"/>
        <item x="207"/>
        <item x="208"/>
        <item x="209"/>
        <item x="210"/>
        <item x="212"/>
        <item x="213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8"/>
        <item x="230"/>
        <item x="231"/>
        <item x="232"/>
        <item x="233"/>
        <item x="234"/>
        <item x="235"/>
        <item x="236"/>
        <item x="237"/>
        <item x="238"/>
        <item x="244"/>
        <item x="245"/>
        <item x="246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5"/>
        <item x="281"/>
        <item x="283"/>
        <item x="284"/>
        <item x="285"/>
        <item x="287"/>
        <item x="289"/>
        <item x="291"/>
        <item x="293"/>
        <item x="294"/>
        <item x="296"/>
        <item x="297"/>
        <item x="298"/>
        <item x="299"/>
        <item x="300"/>
        <item x="302"/>
        <item x="303"/>
        <item x="305"/>
        <item x="310"/>
        <item x="311"/>
        <item x="317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5"/>
        <item x="347"/>
        <item x="350"/>
        <item x="351"/>
        <item x="352"/>
        <item x="353"/>
        <item x="356"/>
        <item x="357"/>
        <item x="358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1"/>
        <item x="384"/>
        <item x="385"/>
        <item x="386"/>
        <item x="387"/>
        <item x="389"/>
        <item x="390"/>
        <item x="391"/>
        <item x="393"/>
        <item x="394"/>
        <item x="395"/>
        <item x="398"/>
        <item x="399"/>
        <item x="400"/>
        <item x="403"/>
        <item x="404"/>
        <item x="407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5"/>
        <item x="426"/>
        <item x="427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5"/>
        <item x="476"/>
        <item x="477"/>
        <item x="478"/>
        <item x="479"/>
        <item x="482"/>
        <item x="483"/>
        <item x="484"/>
        <item x="487"/>
        <item x="488"/>
        <item x="489"/>
        <item x="490"/>
        <item x="491"/>
        <item x="492"/>
        <item x="493"/>
        <item x="494"/>
        <item x="496"/>
        <item x="498"/>
        <item x="499"/>
        <item x="500"/>
        <item x="501"/>
        <item x="502"/>
        <item x="503"/>
        <item x="504"/>
        <item x="505"/>
        <item x="508"/>
        <item x="510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7"/>
        <item x="530"/>
        <item x="531"/>
        <item x="533"/>
        <item x="534"/>
        <item x="535"/>
        <item x="536"/>
        <item x="537"/>
        <item x="538"/>
        <item x="542"/>
        <item x="544"/>
        <item x="545"/>
        <item x="546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80"/>
        <item x="582"/>
        <item x="583"/>
        <item x="584"/>
        <item x="585"/>
        <item x="588"/>
        <item x="590"/>
        <item x="592"/>
        <item x="593"/>
        <item x="595"/>
        <item x="29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t="default"/>
      </items>
    </pivotField>
    <pivotField compact="0" outline="0" subtotalTop="0" numFmtId="10" showAll="0">
      <items count="607">
        <item x="476"/>
        <item x="85"/>
        <item x="227"/>
        <item x="318"/>
        <item x="406"/>
        <item x="437"/>
        <item x="316"/>
        <item x="454"/>
        <item x="381"/>
        <item x="152"/>
        <item x="449"/>
        <item x="453"/>
        <item x="210"/>
        <item x="160"/>
        <item x="321"/>
        <item x="335"/>
        <item x="398"/>
        <item x="291"/>
        <item x="341"/>
        <item x="361"/>
        <item x="402"/>
        <item x="416"/>
        <item x="423"/>
        <item x="442"/>
        <item x="359"/>
        <item x="282"/>
        <item x="450"/>
        <item x="331"/>
        <item x="244"/>
        <item x="10"/>
        <item x="451"/>
        <item x="153"/>
        <item x="360"/>
        <item x="211"/>
        <item x="459"/>
        <item x="285"/>
        <item x="605"/>
        <item x="393"/>
        <item x="363"/>
        <item x="395"/>
        <item x="209"/>
        <item x="205"/>
        <item x="323"/>
        <item x="161"/>
        <item x="198"/>
        <item x="334"/>
        <item x="199"/>
        <item x="78"/>
        <item x="191"/>
        <item x="352"/>
        <item x="445"/>
        <item x="158"/>
        <item x="372"/>
        <item x="123"/>
        <item x="302"/>
        <item x="457"/>
        <item x="444"/>
        <item x="167"/>
        <item x="480"/>
        <item x="267"/>
        <item x="309"/>
        <item x="412"/>
        <item x="96"/>
        <item x="222"/>
        <item x="168"/>
        <item x="23"/>
        <item x="145"/>
        <item x="438"/>
        <item x="113"/>
        <item x="278"/>
        <item x="464"/>
        <item x="409"/>
        <item x="344"/>
        <item x="87"/>
        <item x="154"/>
        <item x="364"/>
        <item x="146"/>
        <item x="410"/>
        <item x="232"/>
        <item x="299"/>
        <item x="223"/>
        <item x="252"/>
        <item x="385"/>
        <item x="280"/>
        <item x="77"/>
        <item x="4"/>
        <item x="208"/>
        <item x="329"/>
        <item x="137"/>
        <item x="119"/>
        <item x="306"/>
        <item x="384"/>
        <item x="234"/>
        <item x="376"/>
        <item x="108"/>
        <item x="411"/>
        <item x="460"/>
        <item x="415"/>
        <item x="8"/>
        <item x="374"/>
        <item x="202"/>
        <item x="266"/>
        <item x="224"/>
        <item x="324"/>
        <item x="102"/>
        <item x="29"/>
        <item x="297"/>
        <item x="294"/>
        <item x="304"/>
        <item x="347"/>
        <item x="377"/>
        <item x="225"/>
        <item x="394"/>
        <item x="390"/>
        <item x="268"/>
        <item x="357"/>
        <item x="213"/>
        <item x="313"/>
        <item x="254"/>
        <item x="434"/>
        <item x="474"/>
        <item x="351"/>
        <item x="162"/>
        <item x="311"/>
        <item x="429"/>
        <item x="174"/>
        <item x="28"/>
        <item x="84"/>
        <item x="314"/>
        <item x="414"/>
        <item x="420"/>
        <item x="290"/>
        <item x="433"/>
        <item x="413"/>
        <item x="301"/>
        <item x="286"/>
        <item x="260"/>
        <item x="289"/>
        <item x="369"/>
        <item x="404"/>
        <item x="447"/>
        <item x="264"/>
        <item x="82"/>
        <item x="274"/>
        <item x="367"/>
        <item x="452"/>
        <item x="265"/>
        <item x="219"/>
        <item x="9"/>
        <item x="446"/>
        <item x="386"/>
        <item x="320"/>
        <item x="462"/>
        <item x="484"/>
        <item x="233"/>
        <item x="159"/>
        <item x="330"/>
        <item x="349"/>
        <item x="458"/>
        <item x="203"/>
        <item x="440"/>
        <item x="391"/>
        <item x="72"/>
        <item x="370"/>
        <item x="46"/>
        <item x="308"/>
        <item x="269"/>
        <item x="109"/>
        <item x="2"/>
        <item x="270"/>
        <item x="216"/>
        <item x="277"/>
        <item x="456"/>
        <item x="263"/>
        <item x="401"/>
        <item x="475"/>
        <item x="187"/>
        <item x="383"/>
        <item x="317"/>
        <item x="238"/>
        <item x="112"/>
        <item x="65"/>
        <item x="443"/>
        <item x="195"/>
        <item x="284"/>
        <item x="439"/>
        <item x="240"/>
        <item x="422"/>
        <item x="365"/>
        <item x="295"/>
        <item x="24"/>
        <item x="149"/>
        <item x="343"/>
        <item x="380"/>
        <item x="140"/>
        <item x="192"/>
        <item x="188"/>
        <item x="408"/>
        <item x="134"/>
        <item x="298"/>
        <item x="197"/>
        <item x="325"/>
        <item x="427"/>
        <item x="25"/>
        <item x="418"/>
        <item x="292"/>
        <item x="346"/>
        <item x="355"/>
        <item x="362"/>
        <item x="76"/>
        <item x="95"/>
        <item x="368"/>
        <item x="34"/>
        <item x="350"/>
        <item x="71"/>
        <item x="328"/>
        <item x="288"/>
        <item x="326"/>
        <item x="366"/>
        <item x="115"/>
        <item x="130"/>
        <item x="358"/>
        <item x="448"/>
        <item x="407"/>
        <item x="196"/>
        <item x="53"/>
        <item x="339"/>
        <item x="172"/>
        <item x="155"/>
        <item x="283"/>
        <item x="256"/>
        <item x="287"/>
        <item x="132"/>
        <item x="388"/>
        <item x="39"/>
        <item x="419"/>
        <item x="332"/>
        <item x="175"/>
        <item x="296"/>
        <item x="239"/>
        <item x="483"/>
        <item x="473"/>
        <item x="97"/>
        <item x="124"/>
        <item x="156"/>
        <item x="166"/>
        <item x="204"/>
        <item x="435"/>
        <item x="281"/>
        <item x="41"/>
        <item x="481"/>
        <item x="471"/>
        <item x="431"/>
        <item x="63"/>
        <item x="69"/>
        <item x="3"/>
        <item x="472"/>
        <item x="185"/>
        <item x="436"/>
        <item x="111"/>
        <item x="14"/>
        <item x="482"/>
        <item x="217"/>
        <item x="88"/>
        <item x="47"/>
        <item x="104"/>
        <item x="336"/>
        <item x="405"/>
        <item x="424"/>
        <item x="303"/>
        <item x="428"/>
        <item x="305"/>
        <item x="272"/>
        <item x="378"/>
        <item x="135"/>
        <item x="147"/>
        <item x="315"/>
        <item x="257"/>
        <item x="79"/>
        <item x="218"/>
        <item x="121"/>
        <item x="173"/>
        <item x="148"/>
        <item x="241"/>
        <item x="312"/>
        <item x="138"/>
        <item x="399"/>
        <item x="0"/>
        <item x="1"/>
        <item x="5"/>
        <item x="6"/>
        <item x="7"/>
        <item x="11"/>
        <item x="12"/>
        <item x="13"/>
        <item x="15"/>
        <item x="16"/>
        <item x="17"/>
        <item x="18"/>
        <item x="19"/>
        <item x="20"/>
        <item x="21"/>
        <item x="22"/>
        <item x="26"/>
        <item x="27"/>
        <item x="31"/>
        <item x="32"/>
        <item x="33"/>
        <item x="35"/>
        <item x="36"/>
        <item x="37"/>
        <item x="38"/>
        <item x="40"/>
        <item x="42"/>
        <item x="43"/>
        <item x="44"/>
        <item x="45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6"/>
        <item x="67"/>
        <item x="68"/>
        <item x="70"/>
        <item x="73"/>
        <item x="74"/>
        <item x="75"/>
        <item x="80"/>
        <item x="81"/>
        <item x="83"/>
        <item x="86"/>
        <item x="89"/>
        <item x="90"/>
        <item x="91"/>
        <item x="92"/>
        <item x="93"/>
        <item x="94"/>
        <item x="98"/>
        <item x="99"/>
        <item x="100"/>
        <item x="101"/>
        <item x="103"/>
        <item x="105"/>
        <item x="106"/>
        <item x="107"/>
        <item x="110"/>
        <item x="114"/>
        <item x="116"/>
        <item x="117"/>
        <item x="118"/>
        <item x="120"/>
        <item x="122"/>
        <item x="125"/>
        <item x="126"/>
        <item x="127"/>
        <item x="128"/>
        <item x="129"/>
        <item x="131"/>
        <item x="133"/>
        <item x="136"/>
        <item x="139"/>
        <item x="141"/>
        <item x="142"/>
        <item x="143"/>
        <item x="144"/>
        <item x="150"/>
        <item x="151"/>
        <item x="157"/>
        <item x="163"/>
        <item x="164"/>
        <item x="165"/>
        <item x="169"/>
        <item x="170"/>
        <item x="171"/>
        <item x="176"/>
        <item x="177"/>
        <item x="178"/>
        <item x="179"/>
        <item x="180"/>
        <item x="181"/>
        <item x="182"/>
        <item x="183"/>
        <item x="184"/>
        <item x="186"/>
        <item x="189"/>
        <item x="190"/>
        <item x="193"/>
        <item x="194"/>
        <item x="200"/>
        <item x="201"/>
        <item x="206"/>
        <item x="207"/>
        <item x="212"/>
        <item x="214"/>
        <item x="215"/>
        <item x="220"/>
        <item x="221"/>
        <item x="226"/>
        <item x="228"/>
        <item x="229"/>
        <item x="230"/>
        <item x="231"/>
        <item x="235"/>
        <item x="236"/>
        <item x="237"/>
        <item x="242"/>
        <item x="243"/>
        <item x="245"/>
        <item x="246"/>
        <item x="247"/>
        <item x="248"/>
        <item x="249"/>
        <item x="250"/>
        <item x="251"/>
        <item x="253"/>
        <item x="255"/>
        <item x="258"/>
        <item x="259"/>
        <item x="261"/>
        <item x="262"/>
        <item x="271"/>
        <item x="273"/>
        <item x="275"/>
        <item x="276"/>
        <item x="279"/>
        <item x="293"/>
        <item x="300"/>
        <item x="307"/>
        <item x="310"/>
        <item x="319"/>
        <item x="322"/>
        <item x="327"/>
        <item x="333"/>
        <item x="337"/>
        <item x="338"/>
        <item x="340"/>
        <item x="342"/>
        <item x="345"/>
        <item x="348"/>
        <item x="353"/>
        <item x="354"/>
        <item x="356"/>
        <item x="371"/>
        <item x="373"/>
        <item x="375"/>
        <item x="379"/>
        <item x="382"/>
        <item x="387"/>
        <item x="389"/>
        <item x="392"/>
        <item x="396"/>
        <item x="397"/>
        <item x="400"/>
        <item x="403"/>
        <item x="417"/>
        <item x="421"/>
        <item x="425"/>
        <item x="426"/>
        <item x="430"/>
        <item x="432"/>
        <item x="441"/>
        <item x="455"/>
        <item x="461"/>
        <item x="463"/>
        <item x="465"/>
        <item x="466"/>
        <item x="467"/>
        <item x="468"/>
        <item x="469"/>
        <item x="470"/>
        <item x="477"/>
        <item x="478"/>
        <item x="479"/>
        <item x="485"/>
        <item x="30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compact="0" outline="0" subtotalTop="0" showAll="0">
      <items count="115">
        <item x="33"/>
        <item x="80"/>
        <item x="49"/>
        <item x="72"/>
        <item x="57"/>
        <item x="46"/>
        <item x="98"/>
        <item x="22"/>
        <item x="63"/>
        <item x="15"/>
        <item x="14"/>
        <item x="99"/>
        <item x="40"/>
        <item x="44"/>
        <item x="104"/>
        <item x="71"/>
        <item x="75"/>
        <item x="19"/>
        <item x="48"/>
        <item x="95"/>
        <item x="56"/>
        <item x="31"/>
        <item x="34"/>
        <item x="27"/>
        <item x="17"/>
        <item x="20"/>
        <item x="62"/>
        <item x="47"/>
        <item x="103"/>
        <item x="53"/>
        <item x="24"/>
        <item x="64"/>
        <item x="7"/>
        <item x="51"/>
        <item x="97"/>
        <item x="8"/>
        <item x="3"/>
        <item x="66"/>
        <item x="74"/>
        <item x="36"/>
        <item x="113"/>
        <item x="41"/>
        <item x="42"/>
        <item x="73"/>
        <item x="32"/>
        <item x="30"/>
        <item x="58"/>
        <item x="83"/>
        <item x="0"/>
        <item x="12"/>
        <item x="81"/>
        <item x="35"/>
        <item x="55"/>
        <item x="21"/>
        <item x="78"/>
        <item x="79"/>
        <item x="54"/>
        <item x="10"/>
        <item x="26"/>
        <item x="82"/>
        <item x="52"/>
        <item x="43"/>
        <item x="76"/>
        <item x="50"/>
        <item x="23"/>
        <item x="25"/>
        <item x="45"/>
        <item x="77"/>
        <item x="38"/>
        <item x="101"/>
        <item x="29"/>
        <item x="59"/>
        <item x="18"/>
        <item x="89"/>
        <item x="102"/>
        <item x="28"/>
        <item x="60"/>
        <item x="94"/>
        <item x="85"/>
        <item x="88"/>
        <item x="105"/>
        <item x="96"/>
        <item x="91"/>
        <item x="68"/>
        <item x="84"/>
        <item x="1"/>
        <item x="69"/>
        <item x="6"/>
        <item x="2"/>
        <item x="9"/>
        <item x="5"/>
        <item x="4"/>
        <item x="37"/>
        <item x="100"/>
        <item x="67"/>
        <item x="39"/>
        <item x="70"/>
        <item x="92"/>
        <item x="65"/>
        <item x="90"/>
        <item x="11"/>
        <item x="13"/>
        <item x="61"/>
        <item x="86"/>
        <item x="87"/>
        <item x="93"/>
        <item x="16"/>
        <item x="106"/>
        <item x="107"/>
        <item x="108"/>
        <item x="109"/>
        <item x="110"/>
        <item x="111"/>
        <item x="112"/>
        <item t="default"/>
      </items>
    </pivotField>
    <pivotField compact="0" outline="0" subtotalTop="0" showAll="0">
      <items count="820">
        <item x="359"/>
        <item x="255"/>
        <item x="326"/>
        <item x="185"/>
        <item x="347"/>
        <item x="237"/>
        <item x="462"/>
        <item x="315"/>
        <item x="818"/>
        <item x="505"/>
        <item x="495"/>
        <item x="479"/>
        <item x="320"/>
        <item x="544"/>
        <item x="163"/>
        <item x="520"/>
        <item x="108"/>
        <item x="375"/>
        <item x="236"/>
        <item x="361"/>
        <item x="546"/>
        <item x="437"/>
        <item x="555"/>
        <item x="610"/>
        <item x="550"/>
        <item x="88"/>
        <item x="283"/>
        <item x="148"/>
        <item x="161"/>
        <item x="514"/>
        <item x="411"/>
        <item x="540"/>
        <item x="483"/>
        <item x="142"/>
        <item x="454"/>
        <item x="485"/>
        <item x="466"/>
        <item x="431"/>
        <item x="511"/>
        <item x="342"/>
        <item x="390"/>
        <item x="545"/>
        <item x="504"/>
        <item x="609"/>
        <item x="223"/>
        <item x="175"/>
        <item x="585"/>
        <item x="606"/>
        <item x="370"/>
        <item x="381"/>
        <item x="449"/>
        <item x="16"/>
        <item x="17"/>
        <item x="147"/>
        <item x="508"/>
        <item x="230"/>
        <item x="386"/>
        <item x="489"/>
        <item x="196"/>
        <item x="180"/>
        <item x="241"/>
        <item x="334"/>
        <item x="33"/>
        <item x="332"/>
        <item x="336"/>
        <item x="293"/>
        <item x="49"/>
        <item x="266"/>
        <item x="25"/>
        <item x="136"/>
        <item x="254"/>
        <item x="216"/>
        <item x="172"/>
        <item x="358"/>
        <item x="303"/>
        <item x="126"/>
        <item x="480"/>
        <item x="357"/>
        <item x="267"/>
        <item x="349"/>
        <item x="40"/>
        <item x="65"/>
        <item x="496"/>
        <item x="558"/>
        <item x="190"/>
        <item x="350"/>
        <item x="123"/>
        <item x="522"/>
        <item x="348"/>
        <item x="577"/>
        <item x="27"/>
        <item x="89"/>
        <item x="189"/>
        <item x="513"/>
        <item x="90"/>
        <item x="181"/>
        <item x="81"/>
        <item x="331"/>
        <item x="471"/>
        <item x="265"/>
        <item x="469"/>
        <item x="145"/>
        <item x="203"/>
        <item x="72"/>
        <item x="198"/>
        <item x="76"/>
        <item x="53"/>
        <item x="195"/>
        <item x="239"/>
        <item x="372"/>
        <item x="9"/>
        <item x="517"/>
        <item x="475"/>
        <item x="154"/>
        <item x="562"/>
        <item x="548"/>
        <item x="256"/>
        <item x="602"/>
        <item x="402"/>
        <item x="83"/>
        <item x="351"/>
        <item x="353"/>
        <item x="159"/>
        <item x="231"/>
        <item x="468"/>
        <item x="490"/>
        <item x="371"/>
        <item x="212"/>
        <item x="448"/>
        <item x="539"/>
        <item x="71"/>
        <item x="153"/>
        <item x="481"/>
        <item x="425"/>
        <item x="536"/>
        <item x="412"/>
        <item x="261"/>
        <item x="302"/>
        <item x="15"/>
        <item x="214"/>
        <item x="339"/>
        <item x="482"/>
        <item x="61"/>
        <item x="66"/>
        <item x="156"/>
        <item x="46"/>
        <item x="491"/>
        <item x="300"/>
        <item x="576"/>
        <item x="170"/>
        <item x="5"/>
        <item x="270"/>
        <item x="129"/>
        <item x="414"/>
        <item x="143"/>
        <item x="583"/>
        <item x="116"/>
        <item x="242"/>
        <item x="304"/>
        <item x="507"/>
        <item x="202"/>
        <item x="226"/>
        <item x="1"/>
        <item x="292"/>
        <item x="118"/>
        <item x="472"/>
        <item x="168"/>
        <item x="295"/>
        <item x="404"/>
        <item x="140"/>
        <item x="360"/>
        <item x="75"/>
        <item x="316"/>
        <item x="452"/>
        <item x="299"/>
        <item x="384"/>
        <item x="467"/>
        <item x="327"/>
        <item x="246"/>
        <item x="171"/>
        <item x="141"/>
        <item x="565"/>
        <item x="554"/>
        <item x="69"/>
        <item x="497"/>
        <item x="244"/>
        <item x="589"/>
        <item x="374"/>
        <item x="38"/>
        <item x="400"/>
        <item x="39"/>
        <item x="382"/>
        <item x="335"/>
        <item x="6"/>
        <item x="95"/>
        <item x="186"/>
        <item x="35"/>
        <item x="164"/>
        <item x="432"/>
        <item x="284"/>
        <item x="0"/>
        <item x="376"/>
        <item x="42"/>
        <item x="369"/>
        <item x="403"/>
        <item x="529"/>
        <item x="587"/>
        <item x="248"/>
        <item x="26"/>
        <item x="11"/>
        <item x="177"/>
        <item x="182"/>
        <item x="173"/>
        <item x="537"/>
        <item x="312"/>
        <item x="208"/>
        <item x="518"/>
        <item x="109"/>
        <item x="608"/>
        <item x="586"/>
        <item x="14"/>
        <item x="345"/>
        <item x="243"/>
        <item x="373"/>
        <item x="281"/>
        <item x="31"/>
        <item x="144"/>
        <item x="155"/>
        <item x="280"/>
        <item x="112"/>
        <item x="557"/>
        <item x="130"/>
        <item x="575"/>
        <item x="464"/>
        <item x="445"/>
        <item x="277"/>
        <item x="7"/>
        <item x="96"/>
        <item x="492"/>
        <item x="183"/>
        <item x="225"/>
        <item x="398"/>
        <item x="474"/>
        <item x="193"/>
        <item x="534"/>
        <item x="559"/>
        <item x="531"/>
        <item x="405"/>
        <item x="590"/>
        <item x="493"/>
        <item x="399"/>
        <item x="395"/>
        <item x="561"/>
        <item x="570"/>
        <item x="247"/>
        <item x="567"/>
        <item x="442"/>
        <item x="199"/>
        <item x="578"/>
        <item x="80"/>
        <item x="530"/>
        <item x="191"/>
        <item x="97"/>
        <item x="470"/>
        <item x="3"/>
        <item x="337"/>
        <item x="377"/>
        <item x="240"/>
        <item x="603"/>
        <item x="588"/>
        <item x="569"/>
        <item x="229"/>
        <item x="379"/>
        <item x="2"/>
        <item x="4"/>
        <item x="8"/>
        <item x="10"/>
        <item x="12"/>
        <item x="13"/>
        <item x="18"/>
        <item x="19"/>
        <item x="20"/>
        <item x="21"/>
        <item x="22"/>
        <item x="23"/>
        <item x="24"/>
        <item x="28"/>
        <item x="30"/>
        <item x="32"/>
        <item x="34"/>
        <item x="36"/>
        <item x="37"/>
        <item x="41"/>
        <item x="43"/>
        <item x="44"/>
        <item x="45"/>
        <item x="47"/>
        <item x="48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7"/>
        <item x="68"/>
        <item x="70"/>
        <item x="73"/>
        <item x="74"/>
        <item x="77"/>
        <item x="78"/>
        <item x="79"/>
        <item x="82"/>
        <item x="84"/>
        <item x="85"/>
        <item x="86"/>
        <item x="87"/>
        <item x="91"/>
        <item x="92"/>
        <item x="93"/>
        <item x="94"/>
        <item x="98"/>
        <item x="99"/>
        <item x="100"/>
        <item x="101"/>
        <item x="102"/>
        <item x="103"/>
        <item x="104"/>
        <item x="105"/>
        <item x="106"/>
        <item x="107"/>
        <item x="110"/>
        <item x="111"/>
        <item x="113"/>
        <item x="114"/>
        <item x="115"/>
        <item x="117"/>
        <item x="119"/>
        <item x="120"/>
        <item x="121"/>
        <item x="122"/>
        <item x="124"/>
        <item x="125"/>
        <item x="127"/>
        <item x="128"/>
        <item x="131"/>
        <item x="132"/>
        <item x="133"/>
        <item x="134"/>
        <item x="135"/>
        <item x="137"/>
        <item x="138"/>
        <item x="139"/>
        <item x="146"/>
        <item x="149"/>
        <item x="150"/>
        <item x="151"/>
        <item x="152"/>
        <item x="157"/>
        <item x="158"/>
        <item x="160"/>
        <item x="162"/>
        <item x="165"/>
        <item x="166"/>
        <item x="167"/>
        <item x="169"/>
        <item x="174"/>
        <item x="176"/>
        <item x="178"/>
        <item x="179"/>
        <item x="184"/>
        <item x="187"/>
        <item x="188"/>
        <item x="192"/>
        <item x="194"/>
        <item x="197"/>
        <item x="200"/>
        <item x="201"/>
        <item x="204"/>
        <item x="205"/>
        <item x="206"/>
        <item x="207"/>
        <item x="209"/>
        <item x="210"/>
        <item x="211"/>
        <item x="213"/>
        <item x="215"/>
        <item x="217"/>
        <item x="218"/>
        <item x="219"/>
        <item x="220"/>
        <item x="221"/>
        <item x="222"/>
        <item x="224"/>
        <item x="227"/>
        <item x="228"/>
        <item x="232"/>
        <item x="233"/>
        <item x="234"/>
        <item x="235"/>
        <item x="238"/>
        <item x="245"/>
        <item x="249"/>
        <item x="250"/>
        <item x="251"/>
        <item x="252"/>
        <item x="253"/>
        <item x="257"/>
        <item x="258"/>
        <item x="259"/>
        <item x="260"/>
        <item x="262"/>
        <item x="263"/>
        <item x="264"/>
        <item x="268"/>
        <item x="269"/>
        <item x="271"/>
        <item x="272"/>
        <item x="273"/>
        <item x="274"/>
        <item x="275"/>
        <item x="276"/>
        <item x="278"/>
        <item x="279"/>
        <item x="282"/>
        <item x="285"/>
        <item x="286"/>
        <item x="287"/>
        <item x="288"/>
        <item x="289"/>
        <item x="290"/>
        <item x="291"/>
        <item x="294"/>
        <item x="296"/>
        <item x="297"/>
        <item x="298"/>
        <item x="301"/>
        <item x="305"/>
        <item x="306"/>
        <item x="307"/>
        <item x="308"/>
        <item x="309"/>
        <item x="310"/>
        <item x="311"/>
        <item x="313"/>
        <item x="314"/>
        <item x="317"/>
        <item x="318"/>
        <item x="319"/>
        <item x="321"/>
        <item x="322"/>
        <item x="323"/>
        <item x="324"/>
        <item x="325"/>
        <item x="328"/>
        <item x="329"/>
        <item x="330"/>
        <item x="333"/>
        <item x="338"/>
        <item x="340"/>
        <item x="341"/>
        <item x="343"/>
        <item x="344"/>
        <item x="346"/>
        <item x="352"/>
        <item x="354"/>
        <item x="355"/>
        <item x="356"/>
        <item x="362"/>
        <item x="363"/>
        <item x="364"/>
        <item x="365"/>
        <item x="366"/>
        <item x="367"/>
        <item x="368"/>
        <item x="378"/>
        <item x="380"/>
        <item x="383"/>
        <item x="385"/>
        <item x="387"/>
        <item x="388"/>
        <item x="389"/>
        <item x="391"/>
        <item x="392"/>
        <item x="393"/>
        <item x="394"/>
        <item x="396"/>
        <item x="397"/>
        <item x="401"/>
        <item x="406"/>
        <item x="407"/>
        <item x="408"/>
        <item x="409"/>
        <item x="410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3"/>
        <item x="434"/>
        <item x="435"/>
        <item x="436"/>
        <item x="438"/>
        <item x="439"/>
        <item x="440"/>
        <item x="441"/>
        <item x="443"/>
        <item x="444"/>
        <item x="446"/>
        <item x="447"/>
        <item x="450"/>
        <item x="451"/>
        <item x="453"/>
        <item x="455"/>
        <item x="456"/>
        <item x="457"/>
        <item x="458"/>
        <item x="459"/>
        <item x="460"/>
        <item x="461"/>
        <item x="463"/>
        <item x="465"/>
        <item x="473"/>
        <item x="476"/>
        <item x="477"/>
        <item x="478"/>
        <item x="484"/>
        <item x="486"/>
        <item x="487"/>
        <item x="488"/>
        <item x="494"/>
        <item x="498"/>
        <item x="499"/>
        <item x="500"/>
        <item x="501"/>
        <item x="502"/>
        <item x="503"/>
        <item x="506"/>
        <item x="509"/>
        <item x="510"/>
        <item x="512"/>
        <item x="515"/>
        <item x="516"/>
        <item x="519"/>
        <item x="521"/>
        <item x="523"/>
        <item x="524"/>
        <item x="525"/>
        <item x="526"/>
        <item x="527"/>
        <item x="528"/>
        <item x="532"/>
        <item x="533"/>
        <item x="535"/>
        <item x="538"/>
        <item x="541"/>
        <item x="542"/>
        <item x="543"/>
        <item x="547"/>
        <item x="549"/>
        <item x="551"/>
        <item x="552"/>
        <item x="553"/>
        <item x="556"/>
        <item x="560"/>
        <item x="563"/>
        <item x="564"/>
        <item x="566"/>
        <item x="568"/>
        <item x="571"/>
        <item x="572"/>
        <item x="573"/>
        <item x="574"/>
        <item x="579"/>
        <item x="580"/>
        <item x="581"/>
        <item x="582"/>
        <item x="584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4"/>
        <item x="605"/>
        <item x="607"/>
        <item x="611"/>
        <item x="612"/>
        <item x="613"/>
        <item x="614"/>
        <item x="29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compact="0" outline="0" subtotalTop="0" showAll="0">
      <items count="254">
        <item x="26"/>
        <item x="15"/>
        <item x="18"/>
        <item x="194"/>
        <item x="41"/>
        <item x="8"/>
        <item x="21"/>
        <item x="22"/>
        <item x="23"/>
        <item x="252"/>
        <item x="0"/>
        <item x="13"/>
        <item x="7"/>
        <item x="177"/>
        <item x="125"/>
        <item x="2"/>
        <item x="161"/>
        <item x="63"/>
        <item x="35"/>
        <item x="14"/>
        <item x="46"/>
        <item x="1"/>
        <item x="3"/>
        <item x="4"/>
        <item x="5"/>
        <item x="6"/>
        <item x="9"/>
        <item x="10"/>
        <item x="11"/>
        <item x="12"/>
        <item x="16"/>
        <item x="17"/>
        <item x="19"/>
        <item x="20"/>
        <item x="24"/>
        <item x="25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outline="0" subtotalTop="0" showAll="0">
      <items count="29">
        <item x="2"/>
        <item x="0"/>
        <item x="1"/>
        <item x="7"/>
        <item x="6"/>
        <item x="10"/>
        <item x="27"/>
        <item x="3"/>
        <item x="4"/>
        <item x="5"/>
        <item x="8"/>
        <item x="11"/>
        <item x="15"/>
        <item x="19"/>
        <item x="9"/>
        <item x="12"/>
        <item x="13"/>
        <item x="14"/>
        <item x="16"/>
        <item x="17"/>
        <item x="18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179">
        <item x="14"/>
        <item x="24"/>
        <item x="50"/>
        <item x="42"/>
        <item x="177"/>
        <item x="19"/>
        <item x="89"/>
        <item x="22"/>
        <item x="90"/>
        <item x="49"/>
        <item x="8"/>
        <item x="20"/>
        <item x="103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5"/>
        <item x="16"/>
        <item x="17"/>
        <item x="18"/>
        <item x="21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outline="0" subtotalTop="0" showAll="0">
      <items count="66">
        <item x="3"/>
        <item x="11"/>
        <item x="5"/>
        <item x="64"/>
        <item x="18"/>
        <item x="0"/>
        <item x="56"/>
        <item x="9"/>
        <item x="1"/>
        <item x="12"/>
        <item x="4"/>
        <item x="6"/>
        <item x="13"/>
        <item x="2"/>
        <item x="7"/>
        <item x="8"/>
        <item x="10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t="default"/>
      </items>
    </pivotField>
    <pivotField compact="0" outline="0" subtotalTop="0" showAll="0">
      <items count="46">
        <item x="2"/>
        <item x="3"/>
        <item x="1"/>
        <item x="4"/>
        <item x="23"/>
        <item x="0"/>
        <item x="13"/>
        <item x="5"/>
        <item x="44"/>
        <item x="14"/>
        <item x="7"/>
        <item x="6"/>
        <item x="29"/>
        <item x="9"/>
        <item x="8"/>
        <item x="24"/>
        <item x="27"/>
        <item x="33"/>
        <item x="12"/>
        <item x="26"/>
        <item x="30"/>
        <item x="28"/>
        <item x="25"/>
        <item x="10"/>
        <item x="11"/>
        <item x="15"/>
        <item x="16"/>
        <item x="17"/>
        <item x="18"/>
        <item x="19"/>
        <item x="20"/>
        <item x="21"/>
        <item x="22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outline="0" subtotalTop="0" showAll="0">
      <items count="343">
        <item x="83"/>
        <item x="15"/>
        <item x="93"/>
        <item x="27"/>
        <item x="75"/>
        <item x="70"/>
        <item x="20"/>
        <item x="37"/>
        <item x="31"/>
        <item x="56"/>
        <item x="8"/>
        <item x="68"/>
        <item x="259"/>
        <item x="78"/>
        <item x="341"/>
        <item x="13"/>
        <item x="26"/>
        <item x="22"/>
        <item x="50"/>
        <item x="154"/>
        <item x="87"/>
        <item x="24"/>
        <item x="51"/>
        <item x="275"/>
        <item x="148"/>
        <item x="47"/>
        <item x="23"/>
        <item x="139"/>
        <item x="30"/>
        <item x="149"/>
        <item x="2"/>
        <item x="7"/>
        <item x="165"/>
        <item x="10"/>
        <item x="18"/>
        <item x="57"/>
        <item x="101"/>
        <item x="69"/>
        <item x="0"/>
        <item x="1"/>
        <item x="3"/>
        <item x="4"/>
        <item x="5"/>
        <item x="6"/>
        <item x="9"/>
        <item x="11"/>
        <item x="12"/>
        <item x="14"/>
        <item x="16"/>
        <item x="17"/>
        <item x="19"/>
        <item x="21"/>
        <item x="25"/>
        <item x="28"/>
        <item x="29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8"/>
        <item x="49"/>
        <item x="52"/>
        <item x="53"/>
        <item x="54"/>
        <item x="55"/>
        <item x="58"/>
        <item x="59"/>
        <item x="60"/>
        <item x="61"/>
        <item x="62"/>
        <item x="63"/>
        <item x="64"/>
        <item x="65"/>
        <item x="66"/>
        <item x="67"/>
        <item x="71"/>
        <item x="72"/>
        <item x="73"/>
        <item x="74"/>
        <item x="76"/>
        <item x="77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8"/>
        <item x="279"/>
        <item x="280"/>
        <item x="277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compact="0" outline="0" subtotalTop="0" showAll="0">
      <items count="650">
        <item x="15"/>
        <item x="648"/>
        <item x="126"/>
        <item x="92"/>
        <item x="131"/>
        <item x="428"/>
        <item x="214"/>
        <item x="123"/>
        <item x="476"/>
        <item x="266"/>
        <item x="393"/>
        <item x="451"/>
        <item x="111"/>
        <item x="344"/>
        <item x="274"/>
        <item x="326"/>
        <item x="458"/>
        <item x="89"/>
        <item x="392"/>
        <item x="299"/>
        <item x="471"/>
        <item x="354"/>
        <item x="417"/>
        <item x="243"/>
        <item x="181"/>
        <item x="192"/>
        <item x="412"/>
        <item x="51"/>
        <item x="205"/>
        <item x="237"/>
        <item x="366"/>
        <item x="113"/>
        <item x="256"/>
        <item x="204"/>
        <item x="310"/>
        <item x="328"/>
        <item x="137"/>
        <item x="445"/>
        <item x="382"/>
        <item x="29"/>
        <item x="370"/>
        <item x="498"/>
        <item x="120"/>
        <item x="303"/>
        <item x="332"/>
        <item x="322"/>
        <item x="410"/>
        <item x="304"/>
        <item x="146"/>
        <item x="464"/>
        <item x="202"/>
        <item x="404"/>
        <item x="387"/>
        <item x="108"/>
        <item x="139"/>
        <item x="101"/>
        <item x="491"/>
        <item x="169"/>
        <item x="433"/>
        <item x="435"/>
        <item x="407"/>
        <item x="254"/>
        <item x="461"/>
        <item x="74"/>
        <item x="453"/>
        <item x="121"/>
        <item x="437"/>
        <item x="488"/>
        <item x="331"/>
        <item x="278"/>
        <item x="466"/>
        <item x="4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9"/>
        <item x="110"/>
        <item x="112"/>
        <item x="114"/>
        <item x="115"/>
        <item x="116"/>
        <item x="117"/>
        <item x="118"/>
        <item x="119"/>
        <item x="122"/>
        <item x="124"/>
        <item x="125"/>
        <item x="127"/>
        <item x="128"/>
        <item x="129"/>
        <item x="130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5"/>
        <item x="276"/>
        <item x="277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7"/>
        <item x="329"/>
        <item x="330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8"/>
        <item x="389"/>
        <item x="390"/>
        <item x="391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8"/>
        <item x="409"/>
        <item x="411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4"/>
        <item x="436"/>
        <item x="438"/>
        <item x="439"/>
        <item x="440"/>
        <item x="441"/>
        <item x="442"/>
        <item x="443"/>
        <item x="444"/>
        <item x="446"/>
        <item x="447"/>
        <item x="449"/>
        <item x="450"/>
        <item x="452"/>
        <item x="454"/>
        <item x="455"/>
        <item x="456"/>
        <item x="457"/>
        <item x="459"/>
        <item x="460"/>
        <item x="462"/>
        <item x="463"/>
        <item x="465"/>
        <item x="467"/>
        <item x="468"/>
        <item x="469"/>
        <item x="470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2"/>
        <item x="493"/>
        <item x="494"/>
        <item x="495"/>
        <item x="496"/>
        <item x="49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60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t="default"/>
      </items>
    </pivotField>
    <pivotField compact="0" outline="0" subtotalTop="0" showAll="0">
      <items count="43">
        <item x="1"/>
        <item x="0"/>
        <item x="2"/>
        <item x="13"/>
        <item x="16"/>
        <item x="14"/>
        <item x="18"/>
        <item x="3"/>
        <item x="41"/>
        <item x="27"/>
        <item x="5"/>
        <item x="15"/>
        <item x="17"/>
        <item x="8"/>
        <item x="4"/>
        <item x="6"/>
        <item x="7"/>
        <item x="9"/>
        <item x="10"/>
        <item x="11"/>
        <item x="12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ubtotalTop="0" numFmtId="10" showAll="0">
      <items count="121">
        <item x="0"/>
        <item x="8"/>
        <item x="5"/>
        <item x="40"/>
        <item x="22"/>
        <item x="34"/>
        <item x="42"/>
        <item x="27"/>
        <item x="33"/>
        <item x="77"/>
        <item x="48"/>
        <item x="119"/>
        <item x="31"/>
        <item x="30"/>
        <item x="19"/>
        <item x="43"/>
        <item x="55"/>
        <item x="24"/>
        <item x="53"/>
        <item x="44"/>
        <item x="57"/>
        <item x="10"/>
        <item x="75"/>
        <item x="61"/>
        <item x="4"/>
        <item x="36"/>
        <item x="12"/>
        <item x="32"/>
        <item x="26"/>
        <item x="47"/>
        <item x="49"/>
        <item x="37"/>
        <item x="28"/>
        <item x="35"/>
        <item x="58"/>
        <item x="23"/>
        <item x="71"/>
        <item x="18"/>
        <item x="21"/>
        <item x="11"/>
        <item x="20"/>
        <item x="14"/>
        <item x="45"/>
        <item x="25"/>
        <item x="62"/>
        <item x="76"/>
        <item x="13"/>
        <item x="9"/>
        <item x="56"/>
        <item x="41"/>
        <item x="29"/>
        <item x="64"/>
        <item x="54"/>
        <item x="73"/>
        <item x="60"/>
        <item x="69"/>
        <item x="52"/>
        <item x="46"/>
        <item x="1"/>
        <item x="65"/>
        <item x="66"/>
        <item x="6"/>
        <item x="7"/>
        <item x="2"/>
        <item x="3"/>
        <item x="15"/>
        <item x="16"/>
        <item x="17"/>
        <item x="38"/>
        <item x="39"/>
        <item x="50"/>
        <item x="51"/>
        <item x="59"/>
        <item x="63"/>
        <item x="67"/>
        <item x="68"/>
        <item x="70"/>
        <item x="72"/>
        <item x="74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outline="0" subtotalTop="0" showAll="0">
      <items count="48">
        <item x="2"/>
        <item x="5"/>
        <item x="12"/>
        <item x="4"/>
        <item x="7"/>
        <item x="1"/>
        <item x="39"/>
        <item x="46"/>
        <item x="3"/>
        <item x="10"/>
        <item x="11"/>
        <item x="9"/>
        <item x="18"/>
        <item x="13"/>
        <item x="0"/>
        <item x="6"/>
        <item x="8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t="default"/>
      </items>
    </pivotField>
    <pivotField compact="0" outline="0" subtotalTop="0" showAll="0">
      <items count="49">
        <item x="2"/>
        <item x="11"/>
        <item x="3"/>
        <item x="5"/>
        <item x="10"/>
        <item x="1"/>
        <item x="47"/>
        <item x="6"/>
        <item x="12"/>
        <item x="13"/>
        <item x="37"/>
        <item x="9"/>
        <item x="8"/>
        <item x="0"/>
        <item x="4"/>
        <item x="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ubtotalTop="0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22"/>
        <item x="114"/>
        <item x="115"/>
        <item x="116"/>
        <item x="117"/>
        <item x="118"/>
        <item x="119"/>
        <item x="120"/>
        <item x="121"/>
        <item t="default"/>
      </items>
    </pivotField>
    <pivotField axis="axisPage" compact="0" outline="0" subtotalTop="0" multipleItemSelectionAllowed="1" showAll="0">
      <items count="5">
        <item x="0"/>
        <item h="1" x="1"/>
        <item h="1" x="2"/>
        <item h="1" x="3"/>
        <item t="default"/>
      </items>
    </pivotField>
    <pivotField compact="0" outline="0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3"/>
        <item x="19"/>
        <item x="20"/>
        <item x="21"/>
        <item x="22"/>
        <item t="default"/>
      </items>
    </pivotField>
    <pivotField axis="axisPage" compact="0" outline="0" subtotalTop="0" multipleItemSelectionAllowed="1" showAll="0">
      <items count="12">
        <item h="1" x="0"/>
        <item h="1" x="1"/>
        <item h="1" x="2"/>
        <item h="1" x="3"/>
        <item h="1" x="4"/>
        <item x="5"/>
        <item h="1" x="6"/>
        <item h="1" x="7"/>
        <item h="1" x="8"/>
        <item h="1" x="10"/>
        <item h="1" x="9"/>
        <item t="default"/>
      </items>
    </pivotField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</pivotFields>
  <rowFields count="1">
    <field x="0"/>
  </rowFields>
  <rowItems count="115"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</rowItems>
  <colItems count="1">
    <i/>
  </colItems>
  <pageFields count="2">
    <pageField fld="28"/>
    <pageField fld="30"/>
  </pageFields>
  <dataFields count="1">
    <dataField name=" 消费" fld="10" baseField="0" baseItem="0"/>
  </dataFields>
  <formats count="26">
    <format dxfId="368">
      <pivotArea type="all" dataOnly="0" outline="0" fieldPosition="0"/>
    </format>
    <format dxfId="369">
      <pivotArea type="all" dataOnly="0" outline="0" fieldPosition="0"/>
    </format>
    <format dxfId="370">
      <pivotArea type="all" dataOnly="0" outline="0" fieldPosition="0"/>
    </format>
    <format dxfId="371">
      <pivotArea type="all" dataOnly="0" outline="0" fieldPosition="0"/>
    </format>
    <format dxfId="372">
      <pivotArea type="all" dataOnly="0" outline="0" fieldPosition="0"/>
    </format>
    <format dxfId="373">
      <pivotArea field="0" type="button" dataOnly="0" labelOnly="1" outline="0" fieldPosition="0"/>
    </format>
    <format dxfId="374">
      <pivotArea dataOnly="0" labelOnly="1" fieldPosition="0">
        <references count="1">
          <reference field="4294967294" count="1">
            <x v="0"/>
          </reference>
        </references>
      </pivotArea>
    </format>
    <format dxfId="375">
      <pivotArea dataOnly="0" labelOnly="1" grandRow="1" fieldPosition="0"/>
    </format>
    <format dxfId="376">
      <pivotArea grandRow="1" collapsedLevelsAreSubtotals="1" fieldPosition="0"/>
    </format>
    <format dxfId="377">
      <pivotArea dataOnly="0" labelOnly="1" grandRow="1" fieldPosition="0"/>
    </format>
    <format dxfId="378">
      <pivotArea grandRow="1" collapsedLevelsAreSubtotals="1" fieldPosition="0"/>
    </format>
    <format dxfId="379">
      <pivotArea dataOnly="0" labelOnly="1" grandRow="1" fieldPosition="0"/>
    </format>
    <format dxfId="380">
      <pivotArea grandRow="1" collapsedLevelsAreSubtotals="1" fieldPosition="0"/>
    </format>
    <format dxfId="381">
      <pivotArea dataOnly="0" labelOnly="1" fieldPosition="0">
        <references count="1">
          <reference field="0" count="1">
            <x v="170"/>
          </reference>
        </references>
      </pivotArea>
    </format>
    <format dxfId="382">
      <pivotArea collapsedLevelsAreSubtotals="1" fieldPosition="0">
        <references count="1">
          <reference field="0" count="1" selected="0">
            <x v="170"/>
          </reference>
        </references>
      </pivotArea>
    </format>
    <format dxfId="383">
      <pivotArea dataOnly="0" labelOnly="1" grandRow="1" fieldPosition="0"/>
    </format>
    <format dxfId="384">
      <pivotArea grandRow="1" collapsedLevelsAreSubtotals="1" fieldPosition="0"/>
    </format>
    <format dxfId="385">
      <pivotArea type="all" dataOnly="0" outline="0" fieldPosition="0"/>
    </format>
    <format dxfId="386">
      <pivotArea field="0" type="button" dataOnly="0" labelOnly="1" outline="0" fieldPosition="0"/>
    </format>
    <format dxfId="387">
      <pivotArea dataOnly="0" labelOnly="1" fieldPosition="0">
        <references count="1">
          <reference field="4294967294" count="1">
            <x v="0"/>
          </reference>
        </references>
      </pivotArea>
    </format>
    <format dxfId="388">
      <pivotArea field="7" type="button" dataOnly="0" labelOnly="1" outline="0" fieldPosition="0"/>
    </format>
    <format dxfId="389">
      <pivotArea field="3" type="button" dataOnly="0" labelOnly="1" outline="0" fieldPosition="0"/>
    </format>
    <format dxfId="390">
      <pivotArea field="4" type="button" dataOnly="0" labelOnly="1" outline="0" fieldPosition="0"/>
    </format>
    <format dxfId="391">
      <pivotArea field="28" type="button" dataOnly="0" labelOnly="1" outline="0" fieldPosition="0"/>
    </format>
    <format dxfId="392">
      <pivotArea dataOnly="0" labelOnly="1" outline="0" fieldPosition="0">
        <references count="1">
          <reference field="28" count="0"/>
        </references>
      </pivotArea>
    </format>
    <format dxfId="393">
      <pivotArea dataOnly="0" labelOnly="1" outline="0" fieldPosition="0">
        <references count="1">
          <reference field="28" count="0"/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B18" firstHeaderRow="1" firstDataRow="1" firstDataCol="1" rowPageCount="2" colPageCount="1"/>
  <pivotFields count="39">
    <pivotField axis="axisRow" compact="0" sortType="ascending" outline="0" subtotalTop="0" multipleItemSelectionAllowed="1" numFmtId="14" showAll="0">
      <items count="172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outline="0" subtotalTop="0" showAll="0">
      <items count="198">
        <item x="196"/>
        <item x="69"/>
        <item x="93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9"/>
        <item x="20"/>
        <item x="128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outline="0" subtotalTop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9"/>
        <item x="21"/>
        <item x="82"/>
        <item x="169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outline="0" subtotalTop="0" multipleItemSelectionAllowed="1" showAll="0">
      <items count="4">
        <item x="1"/>
        <item x="0"/>
        <item x="2"/>
        <item t="default"/>
      </items>
    </pivotField>
    <pivotField compact="0" outline="0" subtotalTop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3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outline="0" subtotalTop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outline="0" subtotalTop="0" showAll="0">
      <items count="3">
        <item x="0"/>
        <item x="1"/>
        <item t="default"/>
      </items>
    </pivotField>
    <pivotField dataField="1" compact="0" outline="0" subtotalTop="0" showAll="0">
      <items count="919">
        <item x="220"/>
        <item x="917"/>
        <item x="136"/>
        <item x="679"/>
        <item x="105"/>
        <item x="44"/>
        <item x="61"/>
        <item x="212"/>
        <item x="428"/>
        <item x="18"/>
        <item x="8"/>
        <item x="437"/>
        <item x="109"/>
        <item x="340"/>
        <item x="55"/>
        <item x="670"/>
        <item x="33"/>
        <item x="626"/>
        <item x="171"/>
        <item x="458"/>
        <item x="385"/>
        <item x="640"/>
        <item x="332"/>
        <item x="533"/>
        <item x="462"/>
        <item x="39"/>
        <item x="464"/>
        <item x="138"/>
        <item x="542"/>
        <item x="643"/>
        <item x="89"/>
        <item x="307"/>
        <item x="148"/>
        <item x="5"/>
        <item x="250"/>
        <item x="341"/>
        <item x="555"/>
        <item x="630"/>
        <item x="0"/>
        <item x="1"/>
        <item x="2"/>
        <item x="3"/>
        <item x="4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4"/>
        <item x="675"/>
        <item x="676"/>
        <item x="677"/>
        <item x="678"/>
        <item x="680"/>
        <item x="681"/>
        <item x="682"/>
        <item x="30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t="default"/>
      </items>
    </pivotField>
    <pivotField compact="0" outline="0" subtotalTop="0" showAll="0">
      <items count="931">
        <item x="467"/>
        <item x="226"/>
        <item x="96"/>
        <item x="78"/>
        <item x="558"/>
        <item x="929"/>
        <item x="141"/>
        <item x="304"/>
        <item x="75"/>
        <item x="257"/>
        <item x="303"/>
        <item x="459"/>
        <item x="555"/>
        <item x="353"/>
        <item x="24"/>
        <item x="294"/>
        <item x="292"/>
        <item x="559"/>
        <item x="540"/>
        <item x="701"/>
        <item x="179"/>
        <item x="594"/>
        <item x="343"/>
        <item x="460"/>
        <item x="584"/>
        <item x="305"/>
        <item x="123"/>
        <item x="412"/>
        <item x="527"/>
        <item x="513"/>
        <item x="589"/>
        <item x="702"/>
        <item x="334"/>
        <item x="264"/>
        <item x="37"/>
        <item x="693"/>
        <item x="85"/>
        <item x="93"/>
        <item x="171"/>
        <item x="70"/>
        <item x="263"/>
        <item x="357"/>
        <item x="117"/>
        <item x="383"/>
        <item x="443"/>
        <item x="516"/>
        <item x="571"/>
        <item x="484"/>
        <item x="377"/>
        <item x="19"/>
        <item x="439"/>
        <item x="20"/>
        <item x="198"/>
        <item x="674"/>
        <item x="4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5"/>
        <item x="26"/>
        <item x="27"/>
        <item x="28"/>
        <item x="29"/>
        <item x="31"/>
        <item x="32"/>
        <item x="33"/>
        <item x="34"/>
        <item x="35"/>
        <item x="36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3"/>
        <item x="74"/>
        <item x="76"/>
        <item x="77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0"/>
        <item x="351"/>
        <item x="352"/>
        <item x="354"/>
        <item x="355"/>
        <item x="356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63"/>
        <item x="464"/>
        <item x="465"/>
        <item x="466"/>
        <item x="468"/>
        <item x="469"/>
        <item x="470"/>
        <item x="471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1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4"/>
        <item x="695"/>
        <item x="696"/>
        <item x="697"/>
        <item x="698"/>
        <item x="699"/>
        <item x="700"/>
        <item x="55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30"/>
        <item x="40"/>
        <item x="63"/>
        <item x="79"/>
        <item x="156"/>
        <item x="237"/>
        <item x="333"/>
        <item x="473"/>
        <item x="515"/>
        <item x="592"/>
        <item x="636"/>
        <item x="685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t="default"/>
      </items>
    </pivotField>
    <pivotField compact="0" outline="0" subtotalTop="0" showAll="0">
      <items count="776">
        <item x="72"/>
        <item x="24"/>
        <item x="15"/>
        <item x="342"/>
        <item x="456"/>
        <item x="38"/>
        <item x="73"/>
        <item x="199"/>
        <item x="304"/>
        <item x="560"/>
        <item x="396"/>
        <item x="180"/>
        <item x="440"/>
        <item x="507"/>
        <item x="247"/>
        <item x="565"/>
        <item x="131"/>
        <item x="406"/>
        <item x="85"/>
        <item x="249"/>
        <item x="273"/>
        <item x="354"/>
        <item x="94"/>
        <item x="288"/>
        <item x="61"/>
        <item x="27"/>
        <item x="113"/>
        <item x="286"/>
        <item x="543"/>
        <item x="307"/>
        <item x="355"/>
        <item x="301"/>
        <item x="276"/>
        <item x="528"/>
        <item x="37"/>
        <item x="318"/>
        <item x="132"/>
        <item x="70"/>
        <item x="167"/>
        <item x="308"/>
        <item x="774"/>
        <item x="272"/>
        <item x="532"/>
        <item x="280"/>
        <item x="78"/>
        <item x="292"/>
        <item x="348"/>
        <item x="405"/>
        <item x="579"/>
        <item x="495"/>
        <item x="539"/>
        <item x="87"/>
        <item x="19"/>
        <item x="20"/>
        <item x="214"/>
        <item x="130"/>
        <item x="319"/>
        <item x="309"/>
        <item x="277"/>
        <item x="142"/>
        <item x="388"/>
        <item x="314"/>
        <item x="8"/>
        <item x="586"/>
        <item x="433"/>
        <item x="486"/>
        <item x="564"/>
        <item x="380"/>
        <item x="344"/>
        <item x="58"/>
        <item x="93"/>
        <item x="156"/>
        <item x="36"/>
        <item x="161"/>
        <item x="223"/>
        <item x="401"/>
        <item x="541"/>
        <item x="397"/>
        <item x="587"/>
        <item x="45"/>
        <item x="28"/>
        <item x="382"/>
        <item x="124"/>
        <item x="120"/>
        <item x="35"/>
        <item x="485"/>
        <item x="248"/>
        <item x="241"/>
        <item x="453"/>
        <item x="274"/>
        <item x="312"/>
        <item x="509"/>
        <item x="282"/>
        <item x="576"/>
        <item x="581"/>
        <item x="457"/>
        <item x="278"/>
        <item x="349"/>
        <item x="525"/>
        <item x="374"/>
        <item x="526"/>
        <item x="306"/>
        <item x="540"/>
        <item x="392"/>
        <item x="65"/>
        <item x="240"/>
        <item x="408"/>
        <item x="71"/>
        <item x="79"/>
        <item x="359"/>
        <item x="315"/>
        <item x="279"/>
        <item x="239"/>
        <item x="30"/>
        <item x="290"/>
        <item x="548"/>
        <item x="118"/>
        <item x="519"/>
        <item x="591"/>
        <item x="140"/>
        <item x="265"/>
        <item x="18"/>
        <item x="10"/>
        <item x="480"/>
        <item x="227"/>
        <item x="100"/>
        <item x="52"/>
        <item x="596"/>
        <item x="74"/>
        <item x="202"/>
        <item x="182"/>
        <item x="2"/>
        <item x="32"/>
        <item x="242"/>
        <item x="92"/>
        <item x="313"/>
        <item x="295"/>
        <item x="497"/>
        <item x="255"/>
        <item x="316"/>
        <item x="578"/>
        <item x="529"/>
        <item x="471"/>
        <item x="211"/>
        <item x="99"/>
        <item x="25"/>
        <item x="506"/>
        <item x="443"/>
        <item x="243"/>
        <item x="424"/>
        <item x="90"/>
        <item x="346"/>
        <item x="421"/>
        <item x="169"/>
        <item x="594"/>
        <item x="481"/>
        <item x="66"/>
        <item x="186"/>
        <item x="229"/>
        <item x="597"/>
        <item x="402"/>
        <item x="547"/>
        <item x="383"/>
        <item x="474"/>
        <item x="589"/>
        <item x="0"/>
        <item x="1"/>
        <item x="3"/>
        <item x="4"/>
        <item x="5"/>
        <item x="6"/>
        <item x="7"/>
        <item x="9"/>
        <item x="11"/>
        <item x="12"/>
        <item x="13"/>
        <item x="14"/>
        <item x="16"/>
        <item x="17"/>
        <item x="21"/>
        <item x="22"/>
        <item x="23"/>
        <item x="26"/>
        <item x="31"/>
        <item x="33"/>
        <item x="34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3"/>
        <item x="54"/>
        <item x="55"/>
        <item x="56"/>
        <item x="57"/>
        <item x="59"/>
        <item x="60"/>
        <item x="62"/>
        <item x="63"/>
        <item x="64"/>
        <item x="67"/>
        <item x="68"/>
        <item x="69"/>
        <item x="75"/>
        <item x="76"/>
        <item x="77"/>
        <item x="80"/>
        <item x="81"/>
        <item x="82"/>
        <item x="83"/>
        <item x="84"/>
        <item x="86"/>
        <item x="88"/>
        <item x="89"/>
        <item x="91"/>
        <item x="95"/>
        <item x="96"/>
        <item x="97"/>
        <item x="98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9"/>
        <item x="121"/>
        <item x="122"/>
        <item x="123"/>
        <item x="125"/>
        <item x="126"/>
        <item x="127"/>
        <item x="128"/>
        <item x="129"/>
        <item x="133"/>
        <item x="134"/>
        <item x="135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2"/>
        <item x="163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5"/>
        <item x="206"/>
        <item x="207"/>
        <item x="208"/>
        <item x="209"/>
        <item x="210"/>
        <item x="212"/>
        <item x="213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8"/>
        <item x="230"/>
        <item x="231"/>
        <item x="232"/>
        <item x="233"/>
        <item x="234"/>
        <item x="235"/>
        <item x="236"/>
        <item x="237"/>
        <item x="238"/>
        <item x="244"/>
        <item x="245"/>
        <item x="246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5"/>
        <item x="281"/>
        <item x="283"/>
        <item x="284"/>
        <item x="285"/>
        <item x="287"/>
        <item x="289"/>
        <item x="291"/>
        <item x="293"/>
        <item x="294"/>
        <item x="296"/>
        <item x="297"/>
        <item x="298"/>
        <item x="299"/>
        <item x="300"/>
        <item x="302"/>
        <item x="303"/>
        <item x="305"/>
        <item x="310"/>
        <item x="311"/>
        <item x="317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5"/>
        <item x="347"/>
        <item x="350"/>
        <item x="351"/>
        <item x="352"/>
        <item x="353"/>
        <item x="356"/>
        <item x="357"/>
        <item x="358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1"/>
        <item x="384"/>
        <item x="385"/>
        <item x="386"/>
        <item x="387"/>
        <item x="389"/>
        <item x="390"/>
        <item x="391"/>
        <item x="393"/>
        <item x="394"/>
        <item x="395"/>
        <item x="398"/>
        <item x="399"/>
        <item x="400"/>
        <item x="403"/>
        <item x="404"/>
        <item x="407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5"/>
        <item x="426"/>
        <item x="427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5"/>
        <item x="476"/>
        <item x="477"/>
        <item x="478"/>
        <item x="479"/>
        <item x="482"/>
        <item x="483"/>
        <item x="484"/>
        <item x="487"/>
        <item x="488"/>
        <item x="489"/>
        <item x="490"/>
        <item x="491"/>
        <item x="492"/>
        <item x="493"/>
        <item x="494"/>
        <item x="496"/>
        <item x="498"/>
        <item x="499"/>
        <item x="500"/>
        <item x="501"/>
        <item x="502"/>
        <item x="503"/>
        <item x="504"/>
        <item x="505"/>
        <item x="508"/>
        <item x="510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7"/>
        <item x="530"/>
        <item x="531"/>
        <item x="533"/>
        <item x="534"/>
        <item x="535"/>
        <item x="536"/>
        <item x="537"/>
        <item x="538"/>
        <item x="542"/>
        <item x="544"/>
        <item x="545"/>
        <item x="546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80"/>
        <item x="582"/>
        <item x="583"/>
        <item x="584"/>
        <item x="585"/>
        <item x="588"/>
        <item x="590"/>
        <item x="592"/>
        <item x="593"/>
        <item x="595"/>
        <item x="29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t="default"/>
      </items>
    </pivotField>
    <pivotField compact="0" outline="0" subtotalTop="0" numFmtId="10" showAll="0">
      <items count="607">
        <item x="476"/>
        <item x="85"/>
        <item x="227"/>
        <item x="318"/>
        <item x="406"/>
        <item x="437"/>
        <item x="316"/>
        <item x="454"/>
        <item x="381"/>
        <item x="152"/>
        <item x="449"/>
        <item x="453"/>
        <item x="210"/>
        <item x="160"/>
        <item x="321"/>
        <item x="335"/>
        <item x="398"/>
        <item x="291"/>
        <item x="341"/>
        <item x="361"/>
        <item x="402"/>
        <item x="416"/>
        <item x="423"/>
        <item x="442"/>
        <item x="359"/>
        <item x="282"/>
        <item x="450"/>
        <item x="331"/>
        <item x="244"/>
        <item x="10"/>
        <item x="451"/>
        <item x="153"/>
        <item x="360"/>
        <item x="211"/>
        <item x="459"/>
        <item x="285"/>
        <item x="605"/>
        <item x="393"/>
        <item x="363"/>
        <item x="395"/>
        <item x="209"/>
        <item x="205"/>
        <item x="323"/>
        <item x="161"/>
        <item x="198"/>
        <item x="334"/>
        <item x="199"/>
        <item x="78"/>
        <item x="191"/>
        <item x="352"/>
        <item x="445"/>
        <item x="158"/>
        <item x="372"/>
        <item x="123"/>
        <item x="302"/>
        <item x="457"/>
        <item x="444"/>
        <item x="167"/>
        <item x="480"/>
        <item x="267"/>
        <item x="309"/>
        <item x="412"/>
        <item x="96"/>
        <item x="222"/>
        <item x="168"/>
        <item x="23"/>
        <item x="145"/>
        <item x="438"/>
        <item x="113"/>
        <item x="278"/>
        <item x="464"/>
        <item x="409"/>
        <item x="344"/>
        <item x="87"/>
        <item x="154"/>
        <item x="364"/>
        <item x="146"/>
        <item x="410"/>
        <item x="232"/>
        <item x="299"/>
        <item x="223"/>
        <item x="252"/>
        <item x="385"/>
        <item x="280"/>
        <item x="77"/>
        <item x="4"/>
        <item x="208"/>
        <item x="329"/>
        <item x="137"/>
        <item x="119"/>
        <item x="306"/>
        <item x="384"/>
        <item x="234"/>
        <item x="376"/>
        <item x="108"/>
        <item x="411"/>
        <item x="460"/>
        <item x="415"/>
        <item x="8"/>
        <item x="374"/>
        <item x="202"/>
        <item x="266"/>
        <item x="224"/>
        <item x="324"/>
        <item x="102"/>
        <item x="29"/>
        <item x="297"/>
        <item x="294"/>
        <item x="304"/>
        <item x="347"/>
        <item x="377"/>
        <item x="225"/>
        <item x="394"/>
        <item x="390"/>
        <item x="268"/>
        <item x="357"/>
        <item x="213"/>
        <item x="313"/>
        <item x="254"/>
        <item x="434"/>
        <item x="474"/>
        <item x="351"/>
        <item x="162"/>
        <item x="311"/>
        <item x="429"/>
        <item x="174"/>
        <item x="28"/>
        <item x="84"/>
        <item x="314"/>
        <item x="414"/>
        <item x="420"/>
        <item x="290"/>
        <item x="433"/>
        <item x="413"/>
        <item x="301"/>
        <item x="286"/>
        <item x="260"/>
        <item x="289"/>
        <item x="369"/>
        <item x="404"/>
        <item x="447"/>
        <item x="264"/>
        <item x="82"/>
        <item x="274"/>
        <item x="367"/>
        <item x="452"/>
        <item x="265"/>
        <item x="219"/>
        <item x="9"/>
        <item x="446"/>
        <item x="386"/>
        <item x="320"/>
        <item x="462"/>
        <item x="484"/>
        <item x="233"/>
        <item x="159"/>
        <item x="330"/>
        <item x="349"/>
        <item x="458"/>
        <item x="203"/>
        <item x="440"/>
        <item x="391"/>
        <item x="72"/>
        <item x="370"/>
        <item x="46"/>
        <item x="308"/>
        <item x="269"/>
        <item x="109"/>
        <item x="2"/>
        <item x="270"/>
        <item x="216"/>
        <item x="277"/>
        <item x="456"/>
        <item x="263"/>
        <item x="401"/>
        <item x="475"/>
        <item x="187"/>
        <item x="383"/>
        <item x="317"/>
        <item x="238"/>
        <item x="112"/>
        <item x="65"/>
        <item x="443"/>
        <item x="195"/>
        <item x="284"/>
        <item x="439"/>
        <item x="240"/>
        <item x="422"/>
        <item x="365"/>
        <item x="295"/>
        <item x="24"/>
        <item x="149"/>
        <item x="343"/>
        <item x="380"/>
        <item x="140"/>
        <item x="192"/>
        <item x="188"/>
        <item x="408"/>
        <item x="134"/>
        <item x="298"/>
        <item x="197"/>
        <item x="325"/>
        <item x="427"/>
        <item x="25"/>
        <item x="418"/>
        <item x="292"/>
        <item x="346"/>
        <item x="355"/>
        <item x="362"/>
        <item x="76"/>
        <item x="95"/>
        <item x="368"/>
        <item x="34"/>
        <item x="350"/>
        <item x="71"/>
        <item x="328"/>
        <item x="288"/>
        <item x="326"/>
        <item x="366"/>
        <item x="115"/>
        <item x="130"/>
        <item x="358"/>
        <item x="448"/>
        <item x="407"/>
        <item x="196"/>
        <item x="53"/>
        <item x="339"/>
        <item x="172"/>
        <item x="155"/>
        <item x="283"/>
        <item x="256"/>
        <item x="287"/>
        <item x="132"/>
        <item x="388"/>
        <item x="39"/>
        <item x="419"/>
        <item x="332"/>
        <item x="175"/>
        <item x="296"/>
        <item x="239"/>
        <item x="483"/>
        <item x="473"/>
        <item x="97"/>
        <item x="124"/>
        <item x="156"/>
        <item x="166"/>
        <item x="204"/>
        <item x="435"/>
        <item x="281"/>
        <item x="41"/>
        <item x="481"/>
        <item x="471"/>
        <item x="431"/>
        <item x="63"/>
        <item x="69"/>
        <item x="3"/>
        <item x="472"/>
        <item x="185"/>
        <item x="436"/>
        <item x="111"/>
        <item x="14"/>
        <item x="482"/>
        <item x="217"/>
        <item x="88"/>
        <item x="47"/>
        <item x="104"/>
        <item x="336"/>
        <item x="405"/>
        <item x="424"/>
        <item x="303"/>
        <item x="428"/>
        <item x="305"/>
        <item x="272"/>
        <item x="378"/>
        <item x="135"/>
        <item x="147"/>
        <item x="315"/>
        <item x="257"/>
        <item x="79"/>
        <item x="218"/>
        <item x="121"/>
        <item x="173"/>
        <item x="148"/>
        <item x="241"/>
        <item x="312"/>
        <item x="138"/>
        <item x="399"/>
        <item x="0"/>
        <item x="1"/>
        <item x="5"/>
        <item x="6"/>
        <item x="7"/>
        <item x="11"/>
        <item x="12"/>
        <item x="13"/>
        <item x="15"/>
        <item x="16"/>
        <item x="17"/>
        <item x="18"/>
        <item x="19"/>
        <item x="20"/>
        <item x="21"/>
        <item x="22"/>
        <item x="26"/>
        <item x="27"/>
        <item x="31"/>
        <item x="32"/>
        <item x="33"/>
        <item x="35"/>
        <item x="36"/>
        <item x="37"/>
        <item x="38"/>
        <item x="40"/>
        <item x="42"/>
        <item x="43"/>
        <item x="44"/>
        <item x="45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6"/>
        <item x="67"/>
        <item x="68"/>
        <item x="70"/>
        <item x="73"/>
        <item x="74"/>
        <item x="75"/>
        <item x="80"/>
        <item x="81"/>
        <item x="83"/>
        <item x="86"/>
        <item x="89"/>
        <item x="90"/>
        <item x="91"/>
        <item x="92"/>
        <item x="93"/>
        <item x="94"/>
        <item x="98"/>
        <item x="99"/>
        <item x="100"/>
        <item x="101"/>
        <item x="103"/>
        <item x="105"/>
        <item x="106"/>
        <item x="107"/>
        <item x="110"/>
        <item x="114"/>
        <item x="116"/>
        <item x="117"/>
        <item x="118"/>
        <item x="120"/>
        <item x="122"/>
        <item x="125"/>
        <item x="126"/>
        <item x="127"/>
        <item x="128"/>
        <item x="129"/>
        <item x="131"/>
        <item x="133"/>
        <item x="136"/>
        <item x="139"/>
        <item x="141"/>
        <item x="142"/>
        <item x="143"/>
        <item x="144"/>
        <item x="150"/>
        <item x="151"/>
        <item x="157"/>
        <item x="163"/>
        <item x="164"/>
        <item x="165"/>
        <item x="169"/>
        <item x="170"/>
        <item x="171"/>
        <item x="176"/>
        <item x="177"/>
        <item x="178"/>
        <item x="179"/>
        <item x="180"/>
        <item x="181"/>
        <item x="182"/>
        <item x="183"/>
        <item x="184"/>
        <item x="186"/>
        <item x="189"/>
        <item x="190"/>
        <item x="193"/>
        <item x="194"/>
        <item x="200"/>
        <item x="201"/>
        <item x="206"/>
        <item x="207"/>
        <item x="212"/>
        <item x="214"/>
        <item x="215"/>
        <item x="220"/>
        <item x="221"/>
        <item x="226"/>
        <item x="228"/>
        <item x="229"/>
        <item x="230"/>
        <item x="231"/>
        <item x="235"/>
        <item x="236"/>
        <item x="237"/>
        <item x="242"/>
        <item x="243"/>
        <item x="245"/>
        <item x="246"/>
        <item x="247"/>
        <item x="248"/>
        <item x="249"/>
        <item x="250"/>
        <item x="251"/>
        <item x="253"/>
        <item x="255"/>
        <item x="258"/>
        <item x="259"/>
        <item x="261"/>
        <item x="262"/>
        <item x="271"/>
        <item x="273"/>
        <item x="275"/>
        <item x="276"/>
        <item x="279"/>
        <item x="293"/>
        <item x="300"/>
        <item x="307"/>
        <item x="310"/>
        <item x="319"/>
        <item x="322"/>
        <item x="327"/>
        <item x="333"/>
        <item x="337"/>
        <item x="338"/>
        <item x="340"/>
        <item x="342"/>
        <item x="345"/>
        <item x="348"/>
        <item x="353"/>
        <item x="354"/>
        <item x="356"/>
        <item x="371"/>
        <item x="373"/>
        <item x="375"/>
        <item x="379"/>
        <item x="382"/>
        <item x="387"/>
        <item x="389"/>
        <item x="392"/>
        <item x="396"/>
        <item x="397"/>
        <item x="400"/>
        <item x="403"/>
        <item x="417"/>
        <item x="421"/>
        <item x="425"/>
        <item x="426"/>
        <item x="430"/>
        <item x="432"/>
        <item x="441"/>
        <item x="455"/>
        <item x="461"/>
        <item x="463"/>
        <item x="465"/>
        <item x="466"/>
        <item x="467"/>
        <item x="468"/>
        <item x="469"/>
        <item x="470"/>
        <item x="477"/>
        <item x="478"/>
        <item x="479"/>
        <item x="485"/>
        <item x="30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compact="0" outline="0" subtotalTop="0" showAll="0">
      <items count="115">
        <item x="33"/>
        <item x="80"/>
        <item x="49"/>
        <item x="72"/>
        <item x="57"/>
        <item x="46"/>
        <item x="98"/>
        <item x="22"/>
        <item x="63"/>
        <item x="15"/>
        <item x="14"/>
        <item x="99"/>
        <item x="40"/>
        <item x="44"/>
        <item x="104"/>
        <item x="71"/>
        <item x="75"/>
        <item x="19"/>
        <item x="48"/>
        <item x="95"/>
        <item x="56"/>
        <item x="31"/>
        <item x="34"/>
        <item x="27"/>
        <item x="17"/>
        <item x="20"/>
        <item x="62"/>
        <item x="47"/>
        <item x="103"/>
        <item x="53"/>
        <item x="24"/>
        <item x="64"/>
        <item x="7"/>
        <item x="51"/>
        <item x="97"/>
        <item x="8"/>
        <item x="3"/>
        <item x="66"/>
        <item x="74"/>
        <item x="36"/>
        <item x="113"/>
        <item x="41"/>
        <item x="42"/>
        <item x="73"/>
        <item x="32"/>
        <item x="30"/>
        <item x="58"/>
        <item x="83"/>
        <item x="0"/>
        <item x="12"/>
        <item x="81"/>
        <item x="35"/>
        <item x="55"/>
        <item x="21"/>
        <item x="78"/>
        <item x="79"/>
        <item x="54"/>
        <item x="10"/>
        <item x="26"/>
        <item x="82"/>
        <item x="52"/>
        <item x="43"/>
        <item x="76"/>
        <item x="50"/>
        <item x="23"/>
        <item x="25"/>
        <item x="45"/>
        <item x="77"/>
        <item x="38"/>
        <item x="101"/>
        <item x="29"/>
        <item x="59"/>
        <item x="18"/>
        <item x="89"/>
        <item x="102"/>
        <item x="28"/>
        <item x="60"/>
        <item x="94"/>
        <item x="85"/>
        <item x="88"/>
        <item x="105"/>
        <item x="96"/>
        <item x="91"/>
        <item x="68"/>
        <item x="84"/>
        <item x="1"/>
        <item x="69"/>
        <item x="6"/>
        <item x="2"/>
        <item x="9"/>
        <item x="5"/>
        <item x="4"/>
        <item x="37"/>
        <item x="100"/>
        <item x="67"/>
        <item x="39"/>
        <item x="70"/>
        <item x="92"/>
        <item x="65"/>
        <item x="90"/>
        <item x="11"/>
        <item x="13"/>
        <item x="61"/>
        <item x="86"/>
        <item x="87"/>
        <item x="93"/>
        <item x="16"/>
        <item x="106"/>
        <item x="107"/>
        <item x="108"/>
        <item x="109"/>
        <item x="110"/>
        <item x="111"/>
        <item x="112"/>
        <item t="default"/>
      </items>
    </pivotField>
    <pivotField compact="0" outline="0" subtotalTop="0" showAll="0">
      <items count="820">
        <item x="359"/>
        <item x="255"/>
        <item x="326"/>
        <item x="185"/>
        <item x="347"/>
        <item x="237"/>
        <item x="462"/>
        <item x="315"/>
        <item x="818"/>
        <item x="505"/>
        <item x="495"/>
        <item x="479"/>
        <item x="320"/>
        <item x="544"/>
        <item x="163"/>
        <item x="520"/>
        <item x="108"/>
        <item x="375"/>
        <item x="236"/>
        <item x="361"/>
        <item x="546"/>
        <item x="437"/>
        <item x="555"/>
        <item x="610"/>
        <item x="550"/>
        <item x="88"/>
        <item x="283"/>
        <item x="148"/>
        <item x="161"/>
        <item x="514"/>
        <item x="411"/>
        <item x="540"/>
        <item x="483"/>
        <item x="142"/>
        <item x="454"/>
        <item x="485"/>
        <item x="466"/>
        <item x="431"/>
        <item x="511"/>
        <item x="342"/>
        <item x="390"/>
        <item x="545"/>
        <item x="504"/>
        <item x="609"/>
        <item x="223"/>
        <item x="175"/>
        <item x="585"/>
        <item x="606"/>
        <item x="370"/>
        <item x="381"/>
        <item x="449"/>
        <item x="16"/>
        <item x="17"/>
        <item x="147"/>
        <item x="508"/>
        <item x="230"/>
        <item x="386"/>
        <item x="489"/>
        <item x="196"/>
        <item x="180"/>
        <item x="241"/>
        <item x="334"/>
        <item x="33"/>
        <item x="332"/>
        <item x="336"/>
        <item x="293"/>
        <item x="49"/>
        <item x="266"/>
        <item x="25"/>
        <item x="136"/>
        <item x="254"/>
        <item x="216"/>
        <item x="172"/>
        <item x="358"/>
        <item x="303"/>
        <item x="126"/>
        <item x="480"/>
        <item x="357"/>
        <item x="267"/>
        <item x="349"/>
        <item x="40"/>
        <item x="65"/>
        <item x="496"/>
        <item x="558"/>
        <item x="190"/>
        <item x="350"/>
        <item x="123"/>
        <item x="522"/>
        <item x="348"/>
        <item x="577"/>
        <item x="27"/>
        <item x="89"/>
        <item x="189"/>
        <item x="513"/>
        <item x="90"/>
        <item x="181"/>
        <item x="81"/>
        <item x="331"/>
        <item x="471"/>
        <item x="265"/>
        <item x="469"/>
        <item x="145"/>
        <item x="203"/>
        <item x="72"/>
        <item x="198"/>
        <item x="76"/>
        <item x="53"/>
        <item x="195"/>
        <item x="239"/>
        <item x="372"/>
        <item x="9"/>
        <item x="517"/>
        <item x="475"/>
        <item x="154"/>
        <item x="562"/>
        <item x="548"/>
        <item x="256"/>
        <item x="602"/>
        <item x="402"/>
        <item x="83"/>
        <item x="351"/>
        <item x="353"/>
        <item x="159"/>
        <item x="231"/>
        <item x="468"/>
        <item x="490"/>
        <item x="371"/>
        <item x="212"/>
        <item x="448"/>
        <item x="539"/>
        <item x="71"/>
        <item x="153"/>
        <item x="481"/>
        <item x="425"/>
        <item x="536"/>
        <item x="412"/>
        <item x="261"/>
        <item x="302"/>
        <item x="15"/>
        <item x="214"/>
        <item x="339"/>
        <item x="482"/>
        <item x="61"/>
        <item x="66"/>
        <item x="156"/>
        <item x="46"/>
        <item x="491"/>
        <item x="300"/>
        <item x="576"/>
        <item x="170"/>
        <item x="5"/>
        <item x="270"/>
        <item x="129"/>
        <item x="414"/>
        <item x="143"/>
        <item x="583"/>
        <item x="116"/>
        <item x="242"/>
        <item x="304"/>
        <item x="507"/>
        <item x="202"/>
        <item x="226"/>
        <item x="1"/>
        <item x="292"/>
        <item x="118"/>
        <item x="472"/>
        <item x="168"/>
        <item x="295"/>
        <item x="404"/>
        <item x="140"/>
        <item x="360"/>
        <item x="75"/>
        <item x="316"/>
        <item x="452"/>
        <item x="299"/>
        <item x="384"/>
        <item x="467"/>
        <item x="327"/>
        <item x="246"/>
        <item x="171"/>
        <item x="141"/>
        <item x="565"/>
        <item x="554"/>
        <item x="69"/>
        <item x="497"/>
        <item x="244"/>
        <item x="589"/>
        <item x="374"/>
        <item x="38"/>
        <item x="400"/>
        <item x="39"/>
        <item x="382"/>
        <item x="335"/>
        <item x="6"/>
        <item x="95"/>
        <item x="186"/>
        <item x="35"/>
        <item x="164"/>
        <item x="432"/>
        <item x="284"/>
        <item x="0"/>
        <item x="376"/>
        <item x="42"/>
        <item x="369"/>
        <item x="403"/>
        <item x="529"/>
        <item x="587"/>
        <item x="248"/>
        <item x="26"/>
        <item x="11"/>
        <item x="177"/>
        <item x="182"/>
        <item x="173"/>
        <item x="537"/>
        <item x="312"/>
        <item x="208"/>
        <item x="518"/>
        <item x="109"/>
        <item x="608"/>
        <item x="586"/>
        <item x="14"/>
        <item x="345"/>
        <item x="243"/>
        <item x="373"/>
        <item x="281"/>
        <item x="31"/>
        <item x="144"/>
        <item x="155"/>
        <item x="280"/>
        <item x="112"/>
        <item x="557"/>
        <item x="130"/>
        <item x="575"/>
        <item x="464"/>
        <item x="445"/>
        <item x="277"/>
        <item x="7"/>
        <item x="96"/>
        <item x="492"/>
        <item x="183"/>
        <item x="225"/>
        <item x="398"/>
        <item x="474"/>
        <item x="193"/>
        <item x="534"/>
        <item x="559"/>
        <item x="531"/>
        <item x="405"/>
        <item x="590"/>
        <item x="493"/>
        <item x="399"/>
        <item x="395"/>
        <item x="561"/>
        <item x="570"/>
        <item x="247"/>
        <item x="567"/>
        <item x="442"/>
        <item x="199"/>
        <item x="578"/>
        <item x="80"/>
        <item x="530"/>
        <item x="191"/>
        <item x="97"/>
        <item x="470"/>
        <item x="3"/>
        <item x="337"/>
        <item x="377"/>
        <item x="240"/>
        <item x="603"/>
        <item x="588"/>
        <item x="569"/>
        <item x="229"/>
        <item x="379"/>
        <item x="2"/>
        <item x="4"/>
        <item x="8"/>
        <item x="10"/>
        <item x="12"/>
        <item x="13"/>
        <item x="18"/>
        <item x="19"/>
        <item x="20"/>
        <item x="21"/>
        <item x="22"/>
        <item x="23"/>
        <item x="24"/>
        <item x="28"/>
        <item x="30"/>
        <item x="32"/>
        <item x="34"/>
        <item x="36"/>
        <item x="37"/>
        <item x="41"/>
        <item x="43"/>
        <item x="44"/>
        <item x="45"/>
        <item x="47"/>
        <item x="48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7"/>
        <item x="68"/>
        <item x="70"/>
        <item x="73"/>
        <item x="74"/>
        <item x="77"/>
        <item x="78"/>
        <item x="79"/>
        <item x="82"/>
        <item x="84"/>
        <item x="85"/>
        <item x="86"/>
        <item x="87"/>
        <item x="91"/>
        <item x="92"/>
        <item x="93"/>
        <item x="94"/>
        <item x="98"/>
        <item x="99"/>
        <item x="100"/>
        <item x="101"/>
        <item x="102"/>
        <item x="103"/>
        <item x="104"/>
        <item x="105"/>
        <item x="106"/>
        <item x="107"/>
        <item x="110"/>
        <item x="111"/>
        <item x="113"/>
        <item x="114"/>
        <item x="115"/>
        <item x="117"/>
        <item x="119"/>
        <item x="120"/>
        <item x="121"/>
        <item x="122"/>
        <item x="124"/>
        <item x="125"/>
        <item x="127"/>
        <item x="128"/>
        <item x="131"/>
        <item x="132"/>
        <item x="133"/>
        <item x="134"/>
        <item x="135"/>
        <item x="137"/>
        <item x="138"/>
        <item x="139"/>
        <item x="146"/>
        <item x="149"/>
        <item x="150"/>
        <item x="151"/>
        <item x="152"/>
        <item x="157"/>
        <item x="158"/>
        <item x="160"/>
        <item x="162"/>
        <item x="165"/>
        <item x="166"/>
        <item x="167"/>
        <item x="169"/>
        <item x="174"/>
        <item x="176"/>
        <item x="178"/>
        <item x="179"/>
        <item x="184"/>
        <item x="187"/>
        <item x="188"/>
        <item x="192"/>
        <item x="194"/>
        <item x="197"/>
        <item x="200"/>
        <item x="201"/>
        <item x="204"/>
        <item x="205"/>
        <item x="206"/>
        <item x="207"/>
        <item x="209"/>
        <item x="210"/>
        <item x="211"/>
        <item x="213"/>
        <item x="215"/>
        <item x="217"/>
        <item x="218"/>
        <item x="219"/>
        <item x="220"/>
        <item x="221"/>
        <item x="222"/>
        <item x="224"/>
        <item x="227"/>
        <item x="228"/>
        <item x="232"/>
        <item x="233"/>
        <item x="234"/>
        <item x="235"/>
        <item x="238"/>
        <item x="245"/>
        <item x="249"/>
        <item x="250"/>
        <item x="251"/>
        <item x="252"/>
        <item x="253"/>
        <item x="257"/>
        <item x="258"/>
        <item x="259"/>
        <item x="260"/>
        <item x="262"/>
        <item x="263"/>
        <item x="264"/>
        <item x="268"/>
        <item x="269"/>
        <item x="271"/>
        <item x="272"/>
        <item x="273"/>
        <item x="274"/>
        <item x="275"/>
        <item x="276"/>
        <item x="278"/>
        <item x="279"/>
        <item x="282"/>
        <item x="285"/>
        <item x="286"/>
        <item x="287"/>
        <item x="288"/>
        <item x="289"/>
        <item x="290"/>
        <item x="291"/>
        <item x="294"/>
        <item x="296"/>
        <item x="297"/>
        <item x="298"/>
        <item x="301"/>
        <item x="305"/>
        <item x="306"/>
        <item x="307"/>
        <item x="308"/>
        <item x="309"/>
        <item x="310"/>
        <item x="311"/>
        <item x="313"/>
        <item x="314"/>
        <item x="317"/>
        <item x="318"/>
        <item x="319"/>
        <item x="321"/>
        <item x="322"/>
        <item x="323"/>
        <item x="324"/>
        <item x="325"/>
        <item x="328"/>
        <item x="329"/>
        <item x="330"/>
        <item x="333"/>
        <item x="338"/>
        <item x="340"/>
        <item x="341"/>
        <item x="343"/>
        <item x="344"/>
        <item x="346"/>
        <item x="352"/>
        <item x="354"/>
        <item x="355"/>
        <item x="356"/>
        <item x="362"/>
        <item x="363"/>
        <item x="364"/>
        <item x="365"/>
        <item x="366"/>
        <item x="367"/>
        <item x="368"/>
        <item x="378"/>
        <item x="380"/>
        <item x="383"/>
        <item x="385"/>
        <item x="387"/>
        <item x="388"/>
        <item x="389"/>
        <item x="391"/>
        <item x="392"/>
        <item x="393"/>
        <item x="394"/>
        <item x="396"/>
        <item x="397"/>
        <item x="401"/>
        <item x="406"/>
        <item x="407"/>
        <item x="408"/>
        <item x="409"/>
        <item x="410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3"/>
        <item x="434"/>
        <item x="435"/>
        <item x="436"/>
        <item x="438"/>
        <item x="439"/>
        <item x="440"/>
        <item x="441"/>
        <item x="443"/>
        <item x="444"/>
        <item x="446"/>
        <item x="447"/>
        <item x="450"/>
        <item x="451"/>
        <item x="453"/>
        <item x="455"/>
        <item x="456"/>
        <item x="457"/>
        <item x="458"/>
        <item x="459"/>
        <item x="460"/>
        <item x="461"/>
        <item x="463"/>
        <item x="465"/>
        <item x="473"/>
        <item x="476"/>
        <item x="477"/>
        <item x="478"/>
        <item x="484"/>
        <item x="486"/>
        <item x="487"/>
        <item x="488"/>
        <item x="494"/>
        <item x="498"/>
        <item x="499"/>
        <item x="500"/>
        <item x="501"/>
        <item x="502"/>
        <item x="503"/>
        <item x="506"/>
        <item x="509"/>
        <item x="510"/>
        <item x="512"/>
        <item x="515"/>
        <item x="516"/>
        <item x="519"/>
        <item x="521"/>
        <item x="523"/>
        <item x="524"/>
        <item x="525"/>
        <item x="526"/>
        <item x="527"/>
        <item x="528"/>
        <item x="532"/>
        <item x="533"/>
        <item x="535"/>
        <item x="538"/>
        <item x="541"/>
        <item x="542"/>
        <item x="543"/>
        <item x="547"/>
        <item x="549"/>
        <item x="551"/>
        <item x="552"/>
        <item x="553"/>
        <item x="556"/>
        <item x="560"/>
        <item x="563"/>
        <item x="564"/>
        <item x="566"/>
        <item x="568"/>
        <item x="571"/>
        <item x="572"/>
        <item x="573"/>
        <item x="574"/>
        <item x="579"/>
        <item x="580"/>
        <item x="581"/>
        <item x="582"/>
        <item x="584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4"/>
        <item x="605"/>
        <item x="607"/>
        <item x="611"/>
        <item x="612"/>
        <item x="613"/>
        <item x="614"/>
        <item x="29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compact="0" outline="0" subtotalTop="0" showAll="0">
      <items count="254">
        <item x="26"/>
        <item x="15"/>
        <item x="18"/>
        <item x="194"/>
        <item x="41"/>
        <item x="8"/>
        <item x="21"/>
        <item x="22"/>
        <item x="23"/>
        <item x="252"/>
        <item x="0"/>
        <item x="13"/>
        <item x="7"/>
        <item x="177"/>
        <item x="125"/>
        <item x="2"/>
        <item x="161"/>
        <item x="63"/>
        <item x="35"/>
        <item x="14"/>
        <item x="46"/>
        <item x="1"/>
        <item x="3"/>
        <item x="4"/>
        <item x="5"/>
        <item x="6"/>
        <item x="9"/>
        <item x="10"/>
        <item x="11"/>
        <item x="12"/>
        <item x="16"/>
        <item x="17"/>
        <item x="19"/>
        <item x="20"/>
        <item x="24"/>
        <item x="25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outline="0" subtotalTop="0" showAll="0">
      <items count="29">
        <item x="2"/>
        <item x="0"/>
        <item x="1"/>
        <item x="7"/>
        <item x="6"/>
        <item x="10"/>
        <item x="27"/>
        <item x="3"/>
        <item x="4"/>
        <item x="5"/>
        <item x="8"/>
        <item x="11"/>
        <item x="15"/>
        <item x="19"/>
        <item x="9"/>
        <item x="12"/>
        <item x="13"/>
        <item x="14"/>
        <item x="16"/>
        <item x="17"/>
        <item x="18"/>
        <item x="20"/>
        <item x="21"/>
        <item x="22"/>
        <item x="23"/>
        <item x="24"/>
        <item x="25"/>
        <item x="26"/>
        <item t="default"/>
      </items>
    </pivotField>
    <pivotField compact="0" outline="0" subtotalTop="0" showAll="0">
      <items count="179">
        <item x="14"/>
        <item x="24"/>
        <item x="50"/>
        <item x="42"/>
        <item x="177"/>
        <item x="19"/>
        <item x="89"/>
        <item x="22"/>
        <item x="90"/>
        <item x="49"/>
        <item x="8"/>
        <item x="20"/>
        <item x="103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5"/>
        <item x="16"/>
        <item x="17"/>
        <item x="18"/>
        <item x="21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outline="0" subtotalTop="0" showAll="0">
      <items count="66">
        <item x="3"/>
        <item x="11"/>
        <item x="5"/>
        <item x="64"/>
        <item x="18"/>
        <item x="0"/>
        <item x="56"/>
        <item x="9"/>
        <item x="1"/>
        <item x="12"/>
        <item x="4"/>
        <item x="6"/>
        <item x="13"/>
        <item x="2"/>
        <item x="7"/>
        <item x="8"/>
        <item x="10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t="default"/>
      </items>
    </pivotField>
    <pivotField compact="0" outline="0" subtotalTop="0" showAll="0">
      <items count="46">
        <item x="2"/>
        <item x="3"/>
        <item x="1"/>
        <item x="4"/>
        <item x="23"/>
        <item x="0"/>
        <item x="13"/>
        <item x="5"/>
        <item x="44"/>
        <item x="14"/>
        <item x="7"/>
        <item x="6"/>
        <item x="29"/>
        <item x="9"/>
        <item x="8"/>
        <item x="24"/>
        <item x="27"/>
        <item x="33"/>
        <item x="12"/>
        <item x="26"/>
        <item x="30"/>
        <item x="28"/>
        <item x="25"/>
        <item x="10"/>
        <item x="11"/>
        <item x="15"/>
        <item x="16"/>
        <item x="17"/>
        <item x="18"/>
        <item x="19"/>
        <item x="20"/>
        <item x="21"/>
        <item x="22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outline="0" subtotalTop="0" showAll="0">
      <items count="343">
        <item x="83"/>
        <item x="15"/>
        <item x="93"/>
        <item x="27"/>
        <item x="75"/>
        <item x="70"/>
        <item x="20"/>
        <item x="37"/>
        <item x="31"/>
        <item x="56"/>
        <item x="8"/>
        <item x="68"/>
        <item x="259"/>
        <item x="78"/>
        <item x="341"/>
        <item x="13"/>
        <item x="26"/>
        <item x="22"/>
        <item x="50"/>
        <item x="154"/>
        <item x="87"/>
        <item x="24"/>
        <item x="51"/>
        <item x="275"/>
        <item x="148"/>
        <item x="47"/>
        <item x="23"/>
        <item x="139"/>
        <item x="30"/>
        <item x="149"/>
        <item x="2"/>
        <item x="7"/>
        <item x="165"/>
        <item x="10"/>
        <item x="18"/>
        <item x="57"/>
        <item x="101"/>
        <item x="69"/>
        <item x="0"/>
        <item x="1"/>
        <item x="3"/>
        <item x="4"/>
        <item x="5"/>
        <item x="6"/>
        <item x="9"/>
        <item x="11"/>
        <item x="12"/>
        <item x="14"/>
        <item x="16"/>
        <item x="17"/>
        <item x="19"/>
        <item x="21"/>
        <item x="25"/>
        <item x="28"/>
        <item x="29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8"/>
        <item x="49"/>
        <item x="52"/>
        <item x="53"/>
        <item x="54"/>
        <item x="55"/>
        <item x="58"/>
        <item x="59"/>
        <item x="60"/>
        <item x="61"/>
        <item x="62"/>
        <item x="63"/>
        <item x="64"/>
        <item x="65"/>
        <item x="66"/>
        <item x="67"/>
        <item x="71"/>
        <item x="72"/>
        <item x="73"/>
        <item x="74"/>
        <item x="76"/>
        <item x="77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8"/>
        <item x="279"/>
        <item x="280"/>
        <item x="277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compact="0" outline="0" subtotalTop="0" showAll="0">
      <items count="650">
        <item x="15"/>
        <item x="648"/>
        <item x="126"/>
        <item x="92"/>
        <item x="131"/>
        <item x="428"/>
        <item x="214"/>
        <item x="123"/>
        <item x="476"/>
        <item x="266"/>
        <item x="393"/>
        <item x="451"/>
        <item x="111"/>
        <item x="344"/>
        <item x="274"/>
        <item x="326"/>
        <item x="458"/>
        <item x="89"/>
        <item x="392"/>
        <item x="299"/>
        <item x="471"/>
        <item x="354"/>
        <item x="417"/>
        <item x="243"/>
        <item x="181"/>
        <item x="192"/>
        <item x="412"/>
        <item x="51"/>
        <item x="205"/>
        <item x="237"/>
        <item x="366"/>
        <item x="113"/>
        <item x="256"/>
        <item x="204"/>
        <item x="310"/>
        <item x="328"/>
        <item x="137"/>
        <item x="445"/>
        <item x="382"/>
        <item x="29"/>
        <item x="370"/>
        <item x="498"/>
        <item x="120"/>
        <item x="303"/>
        <item x="332"/>
        <item x="322"/>
        <item x="410"/>
        <item x="304"/>
        <item x="146"/>
        <item x="464"/>
        <item x="202"/>
        <item x="404"/>
        <item x="387"/>
        <item x="108"/>
        <item x="139"/>
        <item x="101"/>
        <item x="491"/>
        <item x="169"/>
        <item x="433"/>
        <item x="435"/>
        <item x="407"/>
        <item x="254"/>
        <item x="461"/>
        <item x="74"/>
        <item x="453"/>
        <item x="121"/>
        <item x="437"/>
        <item x="488"/>
        <item x="331"/>
        <item x="278"/>
        <item x="466"/>
        <item x="4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9"/>
        <item x="110"/>
        <item x="112"/>
        <item x="114"/>
        <item x="115"/>
        <item x="116"/>
        <item x="117"/>
        <item x="118"/>
        <item x="119"/>
        <item x="122"/>
        <item x="124"/>
        <item x="125"/>
        <item x="127"/>
        <item x="128"/>
        <item x="129"/>
        <item x="130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5"/>
        <item x="276"/>
        <item x="277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7"/>
        <item x="329"/>
        <item x="330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8"/>
        <item x="389"/>
        <item x="390"/>
        <item x="391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8"/>
        <item x="409"/>
        <item x="411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4"/>
        <item x="436"/>
        <item x="438"/>
        <item x="439"/>
        <item x="440"/>
        <item x="441"/>
        <item x="442"/>
        <item x="443"/>
        <item x="444"/>
        <item x="446"/>
        <item x="447"/>
        <item x="449"/>
        <item x="450"/>
        <item x="452"/>
        <item x="454"/>
        <item x="455"/>
        <item x="456"/>
        <item x="457"/>
        <item x="459"/>
        <item x="460"/>
        <item x="462"/>
        <item x="463"/>
        <item x="465"/>
        <item x="467"/>
        <item x="468"/>
        <item x="469"/>
        <item x="470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2"/>
        <item x="493"/>
        <item x="494"/>
        <item x="495"/>
        <item x="496"/>
        <item x="49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60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t="default"/>
      </items>
    </pivotField>
    <pivotField compact="0" outline="0" subtotalTop="0" showAll="0">
      <items count="43">
        <item x="1"/>
        <item x="0"/>
        <item x="2"/>
        <item x="13"/>
        <item x="16"/>
        <item x="14"/>
        <item x="18"/>
        <item x="3"/>
        <item x="41"/>
        <item x="27"/>
        <item x="5"/>
        <item x="15"/>
        <item x="17"/>
        <item x="8"/>
        <item x="4"/>
        <item x="6"/>
        <item x="7"/>
        <item x="9"/>
        <item x="10"/>
        <item x="11"/>
        <item x="12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ubtotalTop="0" numFmtId="10" showAll="0">
      <items count="121">
        <item x="0"/>
        <item x="8"/>
        <item x="5"/>
        <item x="40"/>
        <item x="22"/>
        <item x="34"/>
        <item x="42"/>
        <item x="27"/>
        <item x="33"/>
        <item x="77"/>
        <item x="48"/>
        <item x="119"/>
        <item x="31"/>
        <item x="30"/>
        <item x="19"/>
        <item x="43"/>
        <item x="55"/>
        <item x="24"/>
        <item x="53"/>
        <item x="44"/>
        <item x="57"/>
        <item x="10"/>
        <item x="75"/>
        <item x="61"/>
        <item x="4"/>
        <item x="36"/>
        <item x="12"/>
        <item x="32"/>
        <item x="26"/>
        <item x="47"/>
        <item x="49"/>
        <item x="37"/>
        <item x="28"/>
        <item x="35"/>
        <item x="58"/>
        <item x="23"/>
        <item x="71"/>
        <item x="18"/>
        <item x="21"/>
        <item x="11"/>
        <item x="20"/>
        <item x="14"/>
        <item x="45"/>
        <item x="25"/>
        <item x="62"/>
        <item x="76"/>
        <item x="13"/>
        <item x="9"/>
        <item x="56"/>
        <item x="41"/>
        <item x="29"/>
        <item x="64"/>
        <item x="54"/>
        <item x="73"/>
        <item x="60"/>
        <item x="69"/>
        <item x="52"/>
        <item x="46"/>
        <item x="1"/>
        <item x="65"/>
        <item x="66"/>
        <item x="6"/>
        <item x="7"/>
        <item x="2"/>
        <item x="3"/>
        <item x="15"/>
        <item x="16"/>
        <item x="17"/>
        <item x="38"/>
        <item x="39"/>
        <item x="50"/>
        <item x="51"/>
        <item x="59"/>
        <item x="63"/>
        <item x="67"/>
        <item x="68"/>
        <item x="70"/>
        <item x="72"/>
        <item x="74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outline="0" subtotalTop="0" showAll="0">
      <items count="48">
        <item x="2"/>
        <item x="5"/>
        <item x="12"/>
        <item x="4"/>
        <item x="7"/>
        <item x="1"/>
        <item x="39"/>
        <item x="46"/>
        <item x="3"/>
        <item x="10"/>
        <item x="11"/>
        <item x="9"/>
        <item x="18"/>
        <item x="13"/>
        <item x="0"/>
        <item x="6"/>
        <item x="8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t="default"/>
      </items>
    </pivotField>
    <pivotField compact="0" outline="0" subtotalTop="0" showAll="0">
      <items count="49">
        <item x="2"/>
        <item x="11"/>
        <item x="3"/>
        <item x="5"/>
        <item x="10"/>
        <item x="1"/>
        <item x="47"/>
        <item x="6"/>
        <item x="12"/>
        <item x="13"/>
        <item x="37"/>
        <item x="9"/>
        <item x="8"/>
        <item x="0"/>
        <item x="4"/>
        <item x="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ubtotalTop="0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22"/>
        <item x="114"/>
        <item x="115"/>
        <item x="116"/>
        <item x="117"/>
        <item x="118"/>
        <item x="119"/>
        <item x="120"/>
        <item x="121"/>
        <item t="default"/>
      </items>
    </pivotField>
    <pivotField axis="axisPage" compact="0" outline="0" subtotalTop="0" multipleItemSelectionAllowed="1" showAll="0">
      <items count="5">
        <item h="1" x="0"/>
        <item h="1" x="1"/>
        <item x="2"/>
        <item h="1" x="3"/>
        <item t="default"/>
      </items>
    </pivotField>
    <pivotField compact="0" outline="0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3"/>
        <item x="19"/>
        <item x="20"/>
        <item x="21"/>
        <item x="22"/>
        <item t="default"/>
      </items>
    </pivotField>
    <pivotField axis="axisPage" compact="0" outline="0" subtotalTop="0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x="7"/>
        <item h="1" x="8"/>
        <item h="1" x="10"/>
        <item h="1" x="9"/>
        <item t="default"/>
      </items>
    </pivotField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</pivotFields>
  <rowFields count="1">
    <field x="0"/>
  </rowFields>
  <rowItems count="14">
    <i>
      <x v="155"/>
    </i>
    <i>
      <x v="156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</rowItems>
  <colItems count="1">
    <i/>
  </colItems>
  <pageFields count="2">
    <pageField fld="28"/>
    <pageField fld="30"/>
  </pageFields>
  <dataFields count="1">
    <dataField name=" 消费" fld="10" baseField="0" baseItem="0"/>
  </dataFields>
  <formats count="26">
    <format dxfId="394">
      <pivotArea type="all" dataOnly="0" outline="0" fieldPosition="0"/>
    </format>
    <format dxfId="395">
      <pivotArea type="all" dataOnly="0" outline="0" fieldPosition="0"/>
    </format>
    <format dxfId="396">
      <pivotArea type="all" dataOnly="0" outline="0" fieldPosition="0"/>
    </format>
    <format dxfId="397">
      <pivotArea type="all" dataOnly="0" outline="0" fieldPosition="0"/>
    </format>
    <format dxfId="398">
      <pivotArea type="all" dataOnly="0" outline="0" fieldPosition="0"/>
    </format>
    <format dxfId="399">
      <pivotArea field="0" type="button" dataOnly="0" labelOnly="1" outline="0" fieldPosition="0"/>
    </format>
    <format dxfId="400">
      <pivotArea dataOnly="0" labelOnly="1" fieldPosition="0">
        <references count="1">
          <reference field="4294967294" count="1">
            <x v="0"/>
          </reference>
        </references>
      </pivotArea>
    </format>
    <format dxfId="401">
      <pivotArea dataOnly="0" labelOnly="1" grandRow="1" fieldPosition="0"/>
    </format>
    <format dxfId="402">
      <pivotArea grandRow="1" collapsedLevelsAreSubtotals="1" fieldPosition="0"/>
    </format>
    <format dxfId="403">
      <pivotArea dataOnly="0" labelOnly="1" grandRow="1" fieldPosition="0"/>
    </format>
    <format dxfId="404">
      <pivotArea grandRow="1" collapsedLevelsAreSubtotals="1" fieldPosition="0"/>
    </format>
    <format dxfId="405">
      <pivotArea dataOnly="0" labelOnly="1" grandRow="1" fieldPosition="0"/>
    </format>
    <format dxfId="406">
      <pivotArea grandRow="1" collapsedLevelsAreSubtotals="1" fieldPosition="0"/>
    </format>
    <format dxfId="407">
      <pivotArea dataOnly="0" labelOnly="1" fieldPosition="0">
        <references count="1">
          <reference field="0" count="1">
            <x v="170"/>
          </reference>
        </references>
      </pivotArea>
    </format>
    <format dxfId="408">
      <pivotArea collapsedLevelsAreSubtotals="1" fieldPosition="0">
        <references count="1">
          <reference field="0" count="1" selected="0">
            <x v="170"/>
          </reference>
        </references>
      </pivotArea>
    </format>
    <format dxfId="409">
      <pivotArea dataOnly="0" labelOnly="1" grandRow="1" fieldPosition="0"/>
    </format>
    <format dxfId="410">
      <pivotArea grandRow="1" collapsedLevelsAreSubtotals="1" fieldPosition="0"/>
    </format>
    <format dxfId="411">
      <pivotArea type="all" dataOnly="0" outline="0" fieldPosition="0"/>
    </format>
    <format dxfId="412">
      <pivotArea field="0" type="button" dataOnly="0" labelOnly="1" outline="0" fieldPosition="0"/>
    </format>
    <format dxfId="413">
      <pivotArea dataOnly="0" labelOnly="1" fieldPosition="0">
        <references count="1">
          <reference field="4294967294" count="1">
            <x v="0"/>
          </reference>
        </references>
      </pivotArea>
    </format>
    <format dxfId="414">
      <pivotArea field="7" type="button" dataOnly="0" labelOnly="1" outline="0" fieldPosition="0"/>
    </format>
    <format dxfId="415">
      <pivotArea field="3" type="button" dataOnly="0" labelOnly="1" outline="0" fieldPosition="0"/>
    </format>
    <format dxfId="416">
      <pivotArea field="4" type="button" dataOnly="0" labelOnly="1" outline="0" fieldPosition="0"/>
    </format>
    <format dxfId="417">
      <pivotArea field="28" type="button" dataOnly="0" labelOnly="1" outline="0" fieldPosition="0"/>
    </format>
    <format dxfId="418">
      <pivotArea dataOnly="0" labelOnly="1" outline="0" fieldPosition="0">
        <references count="1">
          <reference field="28" count="0"/>
        </references>
      </pivotArea>
    </format>
    <format dxfId="419">
      <pivotArea dataOnly="0" labelOnly="1" outline="0" fieldPosition="0">
        <references count="1">
          <reference field="28" count="0"/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O22" firstHeaderRow="0" firstDataRow="1" firstDataCol="1" rowPageCount="2" colPageCount="1"/>
  <pivotFields count="39">
    <pivotField axis="axisPage" compact="0" sortType="ascending" outline="0" subtotalTop="0" multipleItemSelectionAllowed="1" numFmtId="14" showAll="0">
      <items count="172">
        <item h="1" x="157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h="1" x="170"/>
        <item t="default"/>
      </items>
    </pivotField>
    <pivotField compact="0" outline="0" subtotalTop="0" showAll="0">
      <items count="198">
        <item x="196"/>
        <item x="69"/>
        <item x="93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9"/>
        <item x="20"/>
        <item x="128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outline="0" subtotalTop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9"/>
        <item x="21"/>
        <item x="82"/>
        <item x="169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axis="axisPage" compact="0" outline="0" subtotalTop="0" multipleItemSelectionAllowed="1" showAll="0">
      <items count="4">
        <item h="1" x="1"/>
        <item x="0"/>
        <item h="1" x="2"/>
        <item t="default"/>
      </items>
    </pivotField>
    <pivotField axis="axisRow" compact="0" outline="0" subtotalTop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3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outline="0" subtotalTop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outline="0" subtotalTop="0" showAll="0"/>
    <pivotField dataField="1" compact="0" outline="0" subtotalTop="0" showAll="0">
      <items count="919">
        <item x="220"/>
        <item x="917"/>
        <item x="136"/>
        <item x="679"/>
        <item x="105"/>
        <item x="44"/>
        <item x="61"/>
        <item x="212"/>
        <item x="428"/>
        <item x="18"/>
        <item x="8"/>
        <item x="437"/>
        <item x="109"/>
        <item x="340"/>
        <item x="55"/>
        <item x="670"/>
        <item x="33"/>
        <item x="626"/>
        <item x="171"/>
        <item x="458"/>
        <item x="385"/>
        <item x="640"/>
        <item x="332"/>
        <item x="533"/>
        <item x="462"/>
        <item x="39"/>
        <item x="464"/>
        <item x="138"/>
        <item x="542"/>
        <item x="643"/>
        <item x="89"/>
        <item x="307"/>
        <item x="148"/>
        <item x="5"/>
        <item x="250"/>
        <item x="341"/>
        <item x="555"/>
        <item x="630"/>
        <item x="0"/>
        <item x="1"/>
        <item x="2"/>
        <item x="3"/>
        <item x="4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4"/>
        <item x="675"/>
        <item x="676"/>
        <item x="677"/>
        <item x="678"/>
        <item x="680"/>
        <item x="681"/>
        <item x="682"/>
        <item x="30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t="default"/>
      </items>
    </pivotField>
    <pivotField dataField="1" compact="0" outline="0" subtotalTop="0" showAll="0">
      <items count="931">
        <item x="467"/>
        <item x="226"/>
        <item x="96"/>
        <item x="78"/>
        <item x="558"/>
        <item x="929"/>
        <item x="141"/>
        <item x="304"/>
        <item x="75"/>
        <item x="257"/>
        <item x="303"/>
        <item x="459"/>
        <item x="555"/>
        <item x="353"/>
        <item x="24"/>
        <item x="294"/>
        <item x="292"/>
        <item x="559"/>
        <item x="540"/>
        <item x="701"/>
        <item x="179"/>
        <item x="594"/>
        <item x="343"/>
        <item x="460"/>
        <item x="584"/>
        <item x="305"/>
        <item x="123"/>
        <item x="412"/>
        <item x="527"/>
        <item x="513"/>
        <item x="589"/>
        <item x="702"/>
        <item x="334"/>
        <item x="264"/>
        <item x="37"/>
        <item x="693"/>
        <item x="85"/>
        <item x="93"/>
        <item x="171"/>
        <item x="70"/>
        <item x="263"/>
        <item x="357"/>
        <item x="117"/>
        <item x="383"/>
        <item x="443"/>
        <item x="516"/>
        <item x="571"/>
        <item x="484"/>
        <item x="377"/>
        <item x="19"/>
        <item x="439"/>
        <item x="20"/>
        <item x="198"/>
        <item x="674"/>
        <item x="4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5"/>
        <item x="26"/>
        <item x="27"/>
        <item x="28"/>
        <item x="29"/>
        <item x="31"/>
        <item x="32"/>
        <item x="33"/>
        <item x="34"/>
        <item x="35"/>
        <item x="36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3"/>
        <item x="74"/>
        <item x="76"/>
        <item x="77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0"/>
        <item x="351"/>
        <item x="352"/>
        <item x="354"/>
        <item x="355"/>
        <item x="356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63"/>
        <item x="464"/>
        <item x="465"/>
        <item x="466"/>
        <item x="468"/>
        <item x="469"/>
        <item x="470"/>
        <item x="471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1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4"/>
        <item x="695"/>
        <item x="696"/>
        <item x="697"/>
        <item x="698"/>
        <item x="699"/>
        <item x="700"/>
        <item x="55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30"/>
        <item x="40"/>
        <item x="63"/>
        <item x="79"/>
        <item x="156"/>
        <item x="237"/>
        <item x="333"/>
        <item x="473"/>
        <item x="515"/>
        <item x="592"/>
        <item x="636"/>
        <item x="685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t="default"/>
      </items>
    </pivotField>
    <pivotField dataField="1" compact="0" outline="0" subtotalTop="0" showAll="0">
      <items count="776">
        <item x="72"/>
        <item x="24"/>
        <item x="15"/>
        <item x="342"/>
        <item x="456"/>
        <item x="38"/>
        <item x="73"/>
        <item x="199"/>
        <item x="304"/>
        <item x="560"/>
        <item x="396"/>
        <item x="180"/>
        <item x="440"/>
        <item x="507"/>
        <item x="247"/>
        <item x="565"/>
        <item x="131"/>
        <item x="406"/>
        <item x="85"/>
        <item x="249"/>
        <item x="273"/>
        <item x="354"/>
        <item x="94"/>
        <item x="288"/>
        <item x="61"/>
        <item x="27"/>
        <item x="113"/>
        <item x="286"/>
        <item x="543"/>
        <item x="307"/>
        <item x="355"/>
        <item x="301"/>
        <item x="276"/>
        <item x="528"/>
        <item x="37"/>
        <item x="318"/>
        <item x="132"/>
        <item x="70"/>
        <item x="167"/>
        <item x="308"/>
        <item x="774"/>
        <item x="272"/>
        <item x="532"/>
        <item x="280"/>
        <item x="78"/>
        <item x="292"/>
        <item x="348"/>
        <item x="405"/>
        <item x="579"/>
        <item x="495"/>
        <item x="539"/>
        <item x="87"/>
        <item x="19"/>
        <item x="20"/>
        <item x="214"/>
        <item x="130"/>
        <item x="319"/>
        <item x="309"/>
        <item x="277"/>
        <item x="142"/>
        <item x="388"/>
        <item x="314"/>
        <item x="8"/>
        <item x="586"/>
        <item x="433"/>
        <item x="486"/>
        <item x="564"/>
        <item x="380"/>
        <item x="344"/>
        <item x="58"/>
        <item x="93"/>
        <item x="156"/>
        <item x="36"/>
        <item x="161"/>
        <item x="223"/>
        <item x="401"/>
        <item x="541"/>
        <item x="397"/>
        <item x="587"/>
        <item x="45"/>
        <item x="28"/>
        <item x="382"/>
        <item x="124"/>
        <item x="120"/>
        <item x="35"/>
        <item x="485"/>
        <item x="248"/>
        <item x="241"/>
        <item x="453"/>
        <item x="274"/>
        <item x="312"/>
        <item x="509"/>
        <item x="282"/>
        <item x="576"/>
        <item x="581"/>
        <item x="457"/>
        <item x="278"/>
        <item x="349"/>
        <item x="525"/>
        <item x="374"/>
        <item x="526"/>
        <item x="306"/>
        <item x="540"/>
        <item x="392"/>
        <item x="65"/>
        <item x="240"/>
        <item x="408"/>
        <item x="71"/>
        <item x="79"/>
        <item x="359"/>
        <item x="315"/>
        <item x="279"/>
        <item x="239"/>
        <item x="30"/>
        <item x="290"/>
        <item x="548"/>
        <item x="118"/>
        <item x="519"/>
        <item x="591"/>
        <item x="140"/>
        <item x="265"/>
        <item x="18"/>
        <item x="10"/>
        <item x="480"/>
        <item x="227"/>
        <item x="100"/>
        <item x="52"/>
        <item x="596"/>
        <item x="74"/>
        <item x="202"/>
        <item x="182"/>
        <item x="2"/>
        <item x="32"/>
        <item x="242"/>
        <item x="92"/>
        <item x="313"/>
        <item x="295"/>
        <item x="497"/>
        <item x="255"/>
        <item x="316"/>
        <item x="578"/>
        <item x="529"/>
        <item x="471"/>
        <item x="211"/>
        <item x="99"/>
        <item x="25"/>
        <item x="506"/>
        <item x="443"/>
        <item x="243"/>
        <item x="424"/>
        <item x="90"/>
        <item x="346"/>
        <item x="421"/>
        <item x="169"/>
        <item x="594"/>
        <item x="481"/>
        <item x="66"/>
        <item x="186"/>
        <item x="229"/>
        <item x="597"/>
        <item x="402"/>
        <item x="547"/>
        <item x="383"/>
        <item x="474"/>
        <item x="589"/>
        <item x="0"/>
        <item x="1"/>
        <item x="3"/>
        <item x="4"/>
        <item x="5"/>
        <item x="6"/>
        <item x="7"/>
        <item x="9"/>
        <item x="11"/>
        <item x="12"/>
        <item x="13"/>
        <item x="14"/>
        <item x="16"/>
        <item x="17"/>
        <item x="21"/>
        <item x="22"/>
        <item x="23"/>
        <item x="26"/>
        <item x="31"/>
        <item x="33"/>
        <item x="34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3"/>
        <item x="54"/>
        <item x="55"/>
        <item x="56"/>
        <item x="57"/>
        <item x="59"/>
        <item x="60"/>
        <item x="62"/>
        <item x="63"/>
        <item x="64"/>
        <item x="67"/>
        <item x="68"/>
        <item x="69"/>
        <item x="75"/>
        <item x="76"/>
        <item x="77"/>
        <item x="80"/>
        <item x="81"/>
        <item x="82"/>
        <item x="83"/>
        <item x="84"/>
        <item x="86"/>
        <item x="88"/>
        <item x="89"/>
        <item x="91"/>
        <item x="95"/>
        <item x="96"/>
        <item x="97"/>
        <item x="98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9"/>
        <item x="121"/>
        <item x="122"/>
        <item x="123"/>
        <item x="125"/>
        <item x="126"/>
        <item x="127"/>
        <item x="128"/>
        <item x="129"/>
        <item x="133"/>
        <item x="134"/>
        <item x="135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2"/>
        <item x="163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5"/>
        <item x="206"/>
        <item x="207"/>
        <item x="208"/>
        <item x="209"/>
        <item x="210"/>
        <item x="212"/>
        <item x="213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8"/>
        <item x="230"/>
        <item x="231"/>
        <item x="232"/>
        <item x="233"/>
        <item x="234"/>
        <item x="235"/>
        <item x="236"/>
        <item x="237"/>
        <item x="238"/>
        <item x="244"/>
        <item x="245"/>
        <item x="246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5"/>
        <item x="281"/>
        <item x="283"/>
        <item x="284"/>
        <item x="285"/>
        <item x="287"/>
        <item x="289"/>
        <item x="291"/>
        <item x="293"/>
        <item x="294"/>
        <item x="296"/>
        <item x="297"/>
        <item x="298"/>
        <item x="299"/>
        <item x="300"/>
        <item x="302"/>
        <item x="303"/>
        <item x="305"/>
        <item x="310"/>
        <item x="311"/>
        <item x="317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5"/>
        <item x="347"/>
        <item x="350"/>
        <item x="351"/>
        <item x="352"/>
        <item x="353"/>
        <item x="356"/>
        <item x="357"/>
        <item x="358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1"/>
        <item x="384"/>
        <item x="385"/>
        <item x="386"/>
        <item x="387"/>
        <item x="389"/>
        <item x="390"/>
        <item x="391"/>
        <item x="393"/>
        <item x="394"/>
        <item x="395"/>
        <item x="398"/>
        <item x="399"/>
        <item x="400"/>
        <item x="403"/>
        <item x="404"/>
        <item x="407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5"/>
        <item x="426"/>
        <item x="427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5"/>
        <item x="476"/>
        <item x="477"/>
        <item x="478"/>
        <item x="479"/>
        <item x="482"/>
        <item x="483"/>
        <item x="484"/>
        <item x="487"/>
        <item x="488"/>
        <item x="489"/>
        <item x="490"/>
        <item x="491"/>
        <item x="492"/>
        <item x="493"/>
        <item x="494"/>
        <item x="496"/>
        <item x="498"/>
        <item x="499"/>
        <item x="500"/>
        <item x="501"/>
        <item x="502"/>
        <item x="503"/>
        <item x="504"/>
        <item x="505"/>
        <item x="508"/>
        <item x="510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7"/>
        <item x="530"/>
        <item x="531"/>
        <item x="533"/>
        <item x="534"/>
        <item x="535"/>
        <item x="536"/>
        <item x="537"/>
        <item x="538"/>
        <item x="542"/>
        <item x="544"/>
        <item x="545"/>
        <item x="546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80"/>
        <item x="582"/>
        <item x="583"/>
        <item x="584"/>
        <item x="585"/>
        <item x="588"/>
        <item x="590"/>
        <item x="592"/>
        <item x="593"/>
        <item x="595"/>
        <item x="29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t="default"/>
      </items>
    </pivotField>
    <pivotField compact="0" outline="0" subtotalTop="0" numFmtId="10" showAll="0">
      <items count="607">
        <item x="476"/>
        <item x="85"/>
        <item x="227"/>
        <item x="318"/>
        <item x="406"/>
        <item x="437"/>
        <item x="316"/>
        <item x="454"/>
        <item x="381"/>
        <item x="152"/>
        <item x="449"/>
        <item x="453"/>
        <item x="210"/>
        <item x="160"/>
        <item x="321"/>
        <item x="335"/>
        <item x="398"/>
        <item x="291"/>
        <item x="341"/>
        <item x="361"/>
        <item x="402"/>
        <item x="416"/>
        <item x="423"/>
        <item x="442"/>
        <item x="359"/>
        <item x="282"/>
        <item x="450"/>
        <item x="331"/>
        <item x="244"/>
        <item x="10"/>
        <item x="451"/>
        <item x="153"/>
        <item x="360"/>
        <item x="211"/>
        <item x="459"/>
        <item x="285"/>
        <item x="605"/>
        <item x="393"/>
        <item x="363"/>
        <item x="395"/>
        <item x="209"/>
        <item x="205"/>
        <item x="323"/>
        <item x="161"/>
        <item x="198"/>
        <item x="334"/>
        <item x="199"/>
        <item x="78"/>
        <item x="191"/>
        <item x="352"/>
        <item x="445"/>
        <item x="158"/>
        <item x="372"/>
        <item x="123"/>
        <item x="302"/>
        <item x="457"/>
        <item x="444"/>
        <item x="167"/>
        <item x="480"/>
        <item x="267"/>
        <item x="309"/>
        <item x="412"/>
        <item x="96"/>
        <item x="222"/>
        <item x="168"/>
        <item x="23"/>
        <item x="145"/>
        <item x="438"/>
        <item x="113"/>
        <item x="278"/>
        <item x="464"/>
        <item x="409"/>
        <item x="344"/>
        <item x="87"/>
        <item x="154"/>
        <item x="364"/>
        <item x="146"/>
        <item x="410"/>
        <item x="232"/>
        <item x="299"/>
        <item x="223"/>
        <item x="252"/>
        <item x="385"/>
        <item x="280"/>
        <item x="77"/>
        <item x="4"/>
        <item x="208"/>
        <item x="329"/>
        <item x="137"/>
        <item x="119"/>
        <item x="306"/>
        <item x="384"/>
        <item x="234"/>
        <item x="376"/>
        <item x="108"/>
        <item x="411"/>
        <item x="460"/>
        <item x="415"/>
        <item x="8"/>
        <item x="374"/>
        <item x="202"/>
        <item x="266"/>
        <item x="224"/>
        <item x="324"/>
        <item x="102"/>
        <item x="29"/>
        <item x="297"/>
        <item x="294"/>
        <item x="304"/>
        <item x="347"/>
        <item x="377"/>
        <item x="225"/>
        <item x="394"/>
        <item x="390"/>
        <item x="268"/>
        <item x="357"/>
        <item x="213"/>
        <item x="313"/>
        <item x="254"/>
        <item x="434"/>
        <item x="474"/>
        <item x="351"/>
        <item x="162"/>
        <item x="311"/>
        <item x="429"/>
        <item x="174"/>
        <item x="28"/>
        <item x="84"/>
        <item x="314"/>
        <item x="414"/>
        <item x="420"/>
        <item x="290"/>
        <item x="433"/>
        <item x="413"/>
        <item x="301"/>
        <item x="286"/>
        <item x="260"/>
        <item x="289"/>
        <item x="369"/>
        <item x="404"/>
        <item x="447"/>
        <item x="264"/>
        <item x="82"/>
        <item x="274"/>
        <item x="367"/>
        <item x="452"/>
        <item x="265"/>
        <item x="219"/>
        <item x="9"/>
        <item x="446"/>
        <item x="386"/>
        <item x="320"/>
        <item x="462"/>
        <item x="484"/>
        <item x="233"/>
        <item x="159"/>
        <item x="330"/>
        <item x="349"/>
        <item x="458"/>
        <item x="203"/>
        <item x="440"/>
        <item x="391"/>
        <item x="72"/>
        <item x="370"/>
        <item x="46"/>
        <item x="308"/>
        <item x="269"/>
        <item x="109"/>
        <item x="2"/>
        <item x="270"/>
        <item x="216"/>
        <item x="277"/>
        <item x="456"/>
        <item x="263"/>
        <item x="401"/>
        <item x="475"/>
        <item x="187"/>
        <item x="383"/>
        <item x="317"/>
        <item x="238"/>
        <item x="112"/>
        <item x="65"/>
        <item x="443"/>
        <item x="195"/>
        <item x="284"/>
        <item x="439"/>
        <item x="240"/>
        <item x="422"/>
        <item x="365"/>
        <item x="295"/>
        <item x="24"/>
        <item x="149"/>
        <item x="343"/>
        <item x="380"/>
        <item x="140"/>
        <item x="192"/>
        <item x="188"/>
        <item x="408"/>
        <item x="134"/>
        <item x="298"/>
        <item x="197"/>
        <item x="325"/>
        <item x="427"/>
        <item x="25"/>
        <item x="418"/>
        <item x="292"/>
        <item x="346"/>
        <item x="355"/>
        <item x="362"/>
        <item x="76"/>
        <item x="95"/>
        <item x="368"/>
        <item x="34"/>
        <item x="350"/>
        <item x="71"/>
        <item x="328"/>
        <item x="288"/>
        <item x="326"/>
        <item x="366"/>
        <item x="115"/>
        <item x="130"/>
        <item x="358"/>
        <item x="448"/>
        <item x="407"/>
        <item x="196"/>
        <item x="53"/>
        <item x="339"/>
        <item x="172"/>
        <item x="155"/>
        <item x="283"/>
        <item x="256"/>
        <item x="287"/>
        <item x="132"/>
        <item x="388"/>
        <item x="39"/>
        <item x="419"/>
        <item x="332"/>
        <item x="175"/>
        <item x="296"/>
        <item x="239"/>
        <item x="483"/>
        <item x="473"/>
        <item x="97"/>
        <item x="124"/>
        <item x="156"/>
        <item x="166"/>
        <item x="204"/>
        <item x="435"/>
        <item x="281"/>
        <item x="41"/>
        <item x="481"/>
        <item x="471"/>
        <item x="431"/>
        <item x="63"/>
        <item x="69"/>
        <item x="3"/>
        <item x="472"/>
        <item x="185"/>
        <item x="436"/>
        <item x="111"/>
        <item x="14"/>
        <item x="482"/>
        <item x="217"/>
        <item x="88"/>
        <item x="47"/>
        <item x="104"/>
        <item x="336"/>
        <item x="405"/>
        <item x="424"/>
        <item x="303"/>
        <item x="428"/>
        <item x="305"/>
        <item x="272"/>
        <item x="378"/>
        <item x="135"/>
        <item x="147"/>
        <item x="315"/>
        <item x="257"/>
        <item x="79"/>
        <item x="218"/>
        <item x="121"/>
        <item x="173"/>
        <item x="148"/>
        <item x="241"/>
        <item x="312"/>
        <item x="138"/>
        <item x="399"/>
        <item x="0"/>
        <item x="1"/>
        <item x="5"/>
        <item x="6"/>
        <item x="7"/>
        <item x="11"/>
        <item x="12"/>
        <item x="13"/>
        <item x="15"/>
        <item x="16"/>
        <item x="17"/>
        <item x="18"/>
        <item x="19"/>
        <item x="20"/>
        <item x="21"/>
        <item x="22"/>
        <item x="26"/>
        <item x="27"/>
        <item x="31"/>
        <item x="32"/>
        <item x="33"/>
        <item x="35"/>
        <item x="36"/>
        <item x="37"/>
        <item x="38"/>
        <item x="40"/>
        <item x="42"/>
        <item x="43"/>
        <item x="44"/>
        <item x="45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6"/>
        <item x="67"/>
        <item x="68"/>
        <item x="70"/>
        <item x="73"/>
        <item x="74"/>
        <item x="75"/>
        <item x="80"/>
        <item x="81"/>
        <item x="83"/>
        <item x="86"/>
        <item x="89"/>
        <item x="90"/>
        <item x="91"/>
        <item x="92"/>
        <item x="93"/>
        <item x="94"/>
        <item x="98"/>
        <item x="99"/>
        <item x="100"/>
        <item x="101"/>
        <item x="103"/>
        <item x="105"/>
        <item x="106"/>
        <item x="107"/>
        <item x="110"/>
        <item x="114"/>
        <item x="116"/>
        <item x="117"/>
        <item x="118"/>
        <item x="120"/>
        <item x="122"/>
        <item x="125"/>
        <item x="126"/>
        <item x="127"/>
        <item x="128"/>
        <item x="129"/>
        <item x="131"/>
        <item x="133"/>
        <item x="136"/>
        <item x="139"/>
        <item x="141"/>
        <item x="142"/>
        <item x="143"/>
        <item x="144"/>
        <item x="150"/>
        <item x="151"/>
        <item x="157"/>
        <item x="163"/>
        <item x="164"/>
        <item x="165"/>
        <item x="169"/>
        <item x="170"/>
        <item x="171"/>
        <item x="176"/>
        <item x="177"/>
        <item x="178"/>
        <item x="179"/>
        <item x="180"/>
        <item x="181"/>
        <item x="182"/>
        <item x="183"/>
        <item x="184"/>
        <item x="186"/>
        <item x="189"/>
        <item x="190"/>
        <item x="193"/>
        <item x="194"/>
        <item x="200"/>
        <item x="201"/>
        <item x="206"/>
        <item x="207"/>
        <item x="212"/>
        <item x="214"/>
        <item x="215"/>
        <item x="220"/>
        <item x="221"/>
        <item x="226"/>
        <item x="228"/>
        <item x="229"/>
        <item x="230"/>
        <item x="231"/>
        <item x="235"/>
        <item x="236"/>
        <item x="237"/>
        <item x="242"/>
        <item x="243"/>
        <item x="245"/>
        <item x="246"/>
        <item x="247"/>
        <item x="248"/>
        <item x="249"/>
        <item x="250"/>
        <item x="251"/>
        <item x="253"/>
        <item x="255"/>
        <item x="258"/>
        <item x="259"/>
        <item x="261"/>
        <item x="262"/>
        <item x="271"/>
        <item x="273"/>
        <item x="275"/>
        <item x="276"/>
        <item x="279"/>
        <item x="293"/>
        <item x="300"/>
        <item x="307"/>
        <item x="310"/>
        <item x="319"/>
        <item x="322"/>
        <item x="327"/>
        <item x="333"/>
        <item x="337"/>
        <item x="338"/>
        <item x="340"/>
        <item x="342"/>
        <item x="345"/>
        <item x="348"/>
        <item x="353"/>
        <item x="354"/>
        <item x="356"/>
        <item x="371"/>
        <item x="373"/>
        <item x="375"/>
        <item x="379"/>
        <item x="382"/>
        <item x="387"/>
        <item x="389"/>
        <item x="392"/>
        <item x="396"/>
        <item x="397"/>
        <item x="400"/>
        <item x="403"/>
        <item x="417"/>
        <item x="421"/>
        <item x="425"/>
        <item x="426"/>
        <item x="430"/>
        <item x="432"/>
        <item x="441"/>
        <item x="455"/>
        <item x="461"/>
        <item x="463"/>
        <item x="465"/>
        <item x="466"/>
        <item x="467"/>
        <item x="468"/>
        <item x="469"/>
        <item x="470"/>
        <item x="477"/>
        <item x="478"/>
        <item x="479"/>
        <item x="485"/>
        <item x="30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compact="0" outline="0" subtotalTop="0" showAll="0">
      <items count="115">
        <item x="33"/>
        <item x="80"/>
        <item x="49"/>
        <item x="72"/>
        <item x="57"/>
        <item x="46"/>
        <item x="98"/>
        <item x="22"/>
        <item x="63"/>
        <item x="15"/>
        <item x="14"/>
        <item x="99"/>
        <item x="40"/>
        <item x="44"/>
        <item x="104"/>
        <item x="71"/>
        <item x="75"/>
        <item x="19"/>
        <item x="48"/>
        <item x="95"/>
        <item x="56"/>
        <item x="31"/>
        <item x="34"/>
        <item x="27"/>
        <item x="17"/>
        <item x="20"/>
        <item x="62"/>
        <item x="47"/>
        <item x="103"/>
        <item x="53"/>
        <item x="24"/>
        <item x="64"/>
        <item x="7"/>
        <item x="51"/>
        <item x="97"/>
        <item x="8"/>
        <item x="3"/>
        <item x="66"/>
        <item x="74"/>
        <item x="36"/>
        <item x="113"/>
        <item x="41"/>
        <item x="42"/>
        <item x="73"/>
        <item x="32"/>
        <item x="30"/>
        <item x="58"/>
        <item x="83"/>
        <item x="0"/>
        <item x="12"/>
        <item x="81"/>
        <item x="35"/>
        <item x="55"/>
        <item x="21"/>
        <item x="78"/>
        <item x="79"/>
        <item x="54"/>
        <item x="10"/>
        <item x="26"/>
        <item x="82"/>
        <item x="52"/>
        <item x="43"/>
        <item x="76"/>
        <item x="50"/>
        <item x="23"/>
        <item x="25"/>
        <item x="45"/>
        <item x="77"/>
        <item x="38"/>
        <item x="101"/>
        <item x="29"/>
        <item x="59"/>
        <item x="18"/>
        <item x="89"/>
        <item x="102"/>
        <item x="28"/>
        <item x="60"/>
        <item x="94"/>
        <item x="85"/>
        <item x="88"/>
        <item x="105"/>
        <item x="96"/>
        <item x="91"/>
        <item x="68"/>
        <item x="84"/>
        <item x="1"/>
        <item x="69"/>
        <item x="6"/>
        <item x="2"/>
        <item x="9"/>
        <item x="5"/>
        <item x="4"/>
        <item x="37"/>
        <item x="100"/>
        <item x="67"/>
        <item x="39"/>
        <item x="70"/>
        <item x="92"/>
        <item x="65"/>
        <item x="90"/>
        <item x="11"/>
        <item x="13"/>
        <item x="61"/>
        <item x="86"/>
        <item x="87"/>
        <item x="93"/>
        <item x="16"/>
        <item x="106"/>
        <item x="107"/>
        <item x="108"/>
        <item x="109"/>
        <item x="110"/>
        <item x="111"/>
        <item x="112"/>
        <item t="default"/>
      </items>
    </pivotField>
    <pivotField compact="0" outline="0" subtotalTop="0" showAll="0">
      <items count="820">
        <item x="359"/>
        <item x="255"/>
        <item x="326"/>
        <item x="185"/>
        <item x="347"/>
        <item x="237"/>
        <item x="462"/>
        <item x="315"/>
        <item x="818"/>
        <item x="505"/>
        <item x="495"/>
        <item x="479"/>
        <item x="320"/>
        <item x="544"/>
        <item x="163"/>
        <item x="520"/>
        <item x="108"/>
        <item x="375"/>
        <item x="236"/>
        <item x="361"/>
        <item x="546"/>
        <item x="437"/>
        <item x="555"/>
        <item x="610"/>
        <item x="550"/>
        <item x="88"/>
        <item x="283"/>
        <item x="148"/>
        <item x="161"/>
        <item x="514"/>
        <item x="411"/>
        <item x="540"/>
        <item x="483"/>
        <item x="142"/>
        <item x="454"/>
        <item x="485"/>
        <item x="466"/>
        <item x="431"/>
        <item x="511"/>
        <item x="342"/>
        <item x="390"/>
        <item x="545"/>
        <item x="504"/>
        <item x="609"/>
        <item x="223"/>
        <item x="175"/>
        <item x="585"/>
        <item x="606"/>
        <item x="370"/>
        <item x="381"/>
        <item x="449"/>
        <item x="16"/>
        <item x="17"/>
        <item x="147"/>
        <item x="508"/>
        <item x="230"/>
        <item x="386"/>
        <item x="489"/>
        <item x="196"/>
        <item x="180"/>
        <item x="241"/>
        <item x="334"/>
        <item x="33"/>
        <item x="332"/>
        <item x="336"/>
        <item x="293"/>
        <item x="49"/>
        <item x="266"/>
        <item x="25"/>
        <item x="136"/>
        <item x="254"/>
        <item x="216"/>
        <item x="172"/>
        <item x="358"/>
        <item x="303"/>
        <item x="126"/>
        <item x="480"/>
        <item x="357"/>
        <item x="267"/>
        <item x="349"/>
        <item x="40"/>
        <item x="65"/>
        <item x="496"/>
        <item x="558"/>
        <item x="190"/>
        <item x="350"/>
        <item x="123"/>
        <item x="522"/>
        <item x="348"/>
        <item x="577"/>
        <item x="27"/>
        <item x="89"/>
        <item x="189"/>
        <item x="513"/>
        <item x="90"/>
        <item x="181"/>
        <item x="81"/>
        <item x="331"/>
        <item x="471"/>
        <item x="265"/>
        <item x="469"/>
        <item x="145"/>
        <item x="203"/>
        <item x="72"/>
        <item x="198"/>
        <item x="76"/>
        <item x="53"/>
        <item x="195"/>
        <item x="239"/>
        <item x="372"/>
        <item x="9"/>
        <item x="517"/>
        <item x="475"/>
        <item x="154"/>
        <item x="562"/>
        <item x="548"/>
        <item x="256"/>
        <item x="602"/>
        <item x="402"/>
        <item x="83"/>
        <item x="351"/>
        <item x="353"/>
        <item x="159"/>
        <item x="231"/>
        <item x="468"/>
        <item x="490"/>
        <item x="371"/>
        <item x="212"/>
        <item x="448"/>
        <item x="539"/>
        <item x="71"/>
        <item x="153"/>
        <item x="481"/>
        <item x="425"/>
        <item x="536"/>
        <item x="412"/>
        <item x="261"/>
        <item x="302"/>
        <item x="15"/>
        <item x="214"/>
        <item x="339"/>
        <item x="482"/>
        <item x="61"/>
        <item x="66"/>
        <item x="156"/>
        <item x="46"/>
        <item x="491"/>
        <item x="300"/>
        <item x="576"/>
        <item x="170"/>
        <item x="5"/>
        <item x="270"/>
        <item x="129"/>
        <item x="414"/>
        <item x="143"/>
        <item x="583"/>
        <item x="116"/>
        <item x="242"/>
        <item x="304"/>
        <item x="507"/>
        <item x="202"/>
        <item x="226"/>
        <item x="1"/>
        <item x="292"/>
        <item x="118"/>
        <item x="472"/>
        <item x="168"/>
        <item x="295"/>
        <item x="404"/>
        <item x="140"/>
        <item x="360"/>
        <item x="75"/>
        <item x="316"/>
        <item x="452"/>
        <item x="299"/>
        <item x="384"/>
        <item x="467"/>
        <item x="327"/>
        <item x="246"/>
        <item x="171"/>
        <item x="141"/>
        <item x="565"/>
        <item x="554"/>
        <item x="69"/>
        <item x="497"/>
        <item x="244"/>
        <item x="589"/>
        <item x="374"/>
        <item x="38"/>
        <item x="400"/>
        <item x="39"/>
        <item x="382"/>
        <item x="335"/>
        <item x="6"/>
        <item x="95"/>
        <item x="186"/>
        <item x="35"/>
        <item x="164"/>
        <item x="432"/>
        <item x="284"/>
        <item x="0"/>
        <item x="376"/>
        <item x="42"/>
        <item x="369"/>
        <item x="403"/>
        <item x="529"/>
        <item x="587"/>
        <item x="248"/>
        <item x="26"/>
        <item x="11"/>
        <item x="177"/>
        <item x="182"/>
        <item x="173"/>
        <item x="537"/>
        <item x="312"/>
        <item x="208"/>
        <item x="518"/>
        <item x="109"/>
        <item x="608"/>
        <item x="586"/>
        <item x="14"/>
        <item x="345"/>
        <item x="243"/>
        <item x="373"/>
        <item x="281"/>
        <item x="31"/>
        <item x="144"/>
        <item x="155"/>
        <item x="280"/>
        <item x="112"/>
        <item x="557"/>
        <item x="130"/>
        <item x="575"/>
        <item x="464"/>
        <item x="445"/>
        <item x="277"/>
        <item x="7"/>
        <item x="96"/>
        <item x="492"/>
        <item x="183"/>
        <item x="225"/>
        <item x="398"/>
        <item x="474"/>
        <item x="193"/>
        <item x="534"/>
        <item x="559"/>
        <item x="531"/>
        <item x="405"/>
        <item x="590"/>
        <item x="493"/>
        <item x="399"/>
        <item x="395"/>
        <item x="561"/>
        <item x="570"/>
        <item x="247"/>
        <item x="567"/>
        <item x="442"/>
        <item x="199"/>
        <item x="578"/>
        <item x="80"/>
        <item x="530"/>
        <item x="191"/>
        <item x="97"/>
        <item x="470"/>
        <item x="3"/>
        <item x="337"/>
        <item x="377"/>
        <item x="240"/>
        <item x="603"/>
        <item x="588"/>
        <item x="569"/>
        <item x="229"/>
        <item x="379"/>
        <item x="2"/>
        <item x="4"/>
        <item x="8"/>
        <item x="10"/>
        <item x="12"/>
        <item x="13"/>
        <item x="18"/>
        <item x="19"/>
        <item x="20"/>
        <item x="21"/>
        <item x="22"/>
        <item x="23"/>
        <item x="24"/>
        <item x="28"/>
        <item x="30"/>
        <item x="32"/>
        <item x="34"/>
        <item x="36"/>
        <item x="37"/>
        <item x="41"/>
        <item x="43"/>
        <item x="44"/>
        <item x="45"/>
        <item x="47"/>
        <item x="48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7"/>
        <item x="68"/>
        <item x="70"/>
        <item x="73"/>
        <item x="74"/>
        <item x="77"/>
        <item x="78"/>
        <item x="79"/>
        <item x="82"/>
        <item x="84"/>
        <item x="85"/>
        <item x="86"/>
        <item x="87"/>
        <item x="91"/>
        <item x="92"/>
        <item x="93"/>
        <item x="94"/>
        <item x="98"/>
        <item x="99"/>
        <item x="100"/>
        <item x="101"/>
        <item x="102"/>
        <item x="103"/>
        <item x="104"/>
        <item x="105"/>
        <item x="106"/>
        <item x="107"/>
        <item x="110"/>
        <item x="111"/>
        <item x="113"/>
        <item x="114"/>
        <item x="115"/>
        <item x="117"/>
        <item x="119"/>
        <item x="120"/>
        <item x="121"/>
        <item x="122"/>
        <item x="124"/>
        <item x="125"/>
        <item x="127"/>
        <item x="128"/>
        <item x="131"/>
        <item x="132"/>
        <item x="133"/>
        <item x="134"/>
        <item x="135"/>
        <item x="137"/>
        <item x="138"/>
        <item x="139"/>
        <item x="146"/>
        <item x="149"/>
        <item x="150"/>
        <item x="151"/>
        <item x="152"/>
        <item x="157"/>
        <item x="158"/>
        <item x="160"/>
        <item x="162"/>
        <item x="165"/>
        <item x="166"/>
        <item x="167"/>
        <item x="169"/>
        <item x="174"/>
        <item x="176"/>
        <item x="178"/>
        <item x="179"/>
        <item x="184"/>
        <item x="187"/>
        <item x="188"/>
        <item x="192"/>
        <item x="194"/>
        <item x="197"/>
        <item x="200"/>
        <item x="201"/>
        <item x="204"/>
        <item x="205"/>
        <item x="206"/>
        <item x="207"/>
        <item x="209"/>
        <item x="210"/>
        <item x="211"/>
        <item x="213"/>
        <item x="215"/>
        <item x="217"/>
        <item x="218"/>
        <item x="219"/>
        <item x="220"/>
        <item x="221"/>
        <item x="222"/>
        <item x="224"/>
        <item x="227"/>
        <item x="228"/>
        <item x="232"/>
        <item x="233"/>
        <item x="234"/>
        <item x="235"/>
        <item x="238"/>
        <item x="245"/>
        <item x="249"/>
        <item x="250"/>
        <item x="251"/>
        <item x="252"/>
        <item x="253"/>
        <item x="257"/>
        <item x="258"/>
        <item x="259"/>
        <item x="260"/>
        <item x="262"/>
        <item x="263"/>
        <item x="264"/>
        <item x="268"/>
        <item x="269"/>
        <item x="271"/>
        <item x="272"/>
        <item x="273"/>
        <item x="274"/>
        <item x="275"/>
        <item x="276"/>
        <item x="278"/>
        <item x="279"/>
        <item x="282"/>
        <item x="285"/>
        <item x="286"/>
        <item x="287"/>
        <item x="288"/>
        <item x="289"/>
        <item x="290"/>
        <item x="291"/>
        <item x="294"/>
        <item x="296"/>
        <item x="297"/>
        <item x="298"/>
        <item x="301"/>
        <item x="305"/>
        <item x="306"/>
        <item x="307"/>
        <item x="308"/>
        <item x="309"/>
        <item x="310"/>
        <item x="311"/>
        <item x="313"/>
        <item x="314"/>
        <item x="317"/>
        <item x="318"/>
        <item x="319"/>
        <item x="321"/>
        <item x="322"/>
        <item x="323"/>
        <item x="324"/>
        <item x="325"/>
        <item x="328"/>
        <item x="329"/>
        <item x="330"/>
        <item x="333"/>
        <item x="338"/>
        <item x="340"/>
        <item x="341"/>
        <item x="343"/>
        <item x="344"/>
        <item x="346"/>
        <item x="352"/>
        <item x="354"/>
        <item x="355"/>
        <item x="356"/>
        <item x="362"/>
        <item x="363"/>
        <item x="364"/>
        <item x="365"/>
        <item x="366"/>
        <item x="367"/>
        <item x="368"/>
        <item x="378"/>
        <item x="380"/>
        <item x="383"/>
        <item x="385"/>
        <item x="387"/>
        <item x="388"/>
        <item x="389"/>
        <item x="391"/>
        <item x="392"/>
        <item x="393"/>
        <item x="394"/>
        <item x="396"/>
        <item x="397"/>
        <item x="401"/>
        <item x="406"/>
        <item x="407"/>
        <item x="408"/>
        <item x="409"/>
        <item x="410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3"/>
        <item x="434"/>
        <item x="435"/>
        <item x="436"/>
        <item x="438"/>
        <item x="439"/>
        <item x="440"/>
        <item x="441"/>
        <item x="443"/>
        <item x="444"/>
        <item x="446"/>
        <item x="447"/>
        <item x="450"/>
        <item x="451"/>
        <item x="453"/>
        <item x="455"/>
        <item x="456"/>
        <item x="457"/>
        <item x="458"/>
        <item x="459"/>
        <item x="460"/>
        <item x="461"/>
        <item x="463"/>
        <item x="465"/>
        <item x="473"/>
        <item x="476"/>
        <item x="477"/>
        <item x="478"/>
        <item x="484"/>
        <item x="486"/>
        <item x="487"/>
        <item x="488"/>
        <item x="494"/>
        <item x="498"/>
        <item x="499"/>
        <item x="500"/>
        <item x="501"/>
        <item x="502"/>
        <item x="503"/>
        <item x="506"/>
        <item x="509"/>
        <item x="510"/>
        <item x="512"/>
        <item x="515"/>
        <item x="516"/>
        <item x="519"/>
        <item x="521"/>
        <item x="523"/>
        <item x="524"/>
        <item x="525"/>
        <item x="526"/>
        <item x="527"/>
        <item x="528"/>
        <item x="532"/>
        <item x="533"/>
        <item x="535"/>
        <item x="538"/>
        <item x="541"/>
        <item x="542"/>
        <item x="543"/>
        <item x="547"/>
        <item x="549"/>
        <item x="551"/>
        <item x="552"/>
        <item x="553"/>
        <item x="556"/>
        <item x="560"/>
        <item x="563"/>
        <item x="564"/>
        <item x="566"/>
        <item x="568"/>
        <item x="571"/>
        <item x="572"/>
        <item x="573"/>
        <item x="574"/>
        <item x="579"/>
        <item x="580"/>
        <item x="581"/>
        <item x="582"/>
        <item x="584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4"/>
        <item x="605"/>
        <item x="607"/>
        <item x="611"/>
        <item x="612"/>
        <item x="613"/>
        <item x="614"/>
        <item x="29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dataField="1" compact="0" outline="0" subtotalTop="0" showAll="0">
      <items count="254">
        <item x="26"/>
        <item x="15"/>
        <item x="18"/>
        <item x="194"/>
        <item x="41"/>
        <item x="8"/>
        <item x="21"/>
        <item x="22"/>
        <item x="23"/>
        <item x="252"/>
        <item x="0"/>
        <item x="13"/>
        <item x="7"/>
        <item x="177"/>
        <item x="125"/>
        <item x="2"/>
        <item x="161"/>
        <item x="63"/>
        <item x="35"/>
        <item x="14"/>
        <item x="46"/>
        <item x="1"/>
        <item x="3"/>
        <item x="4"/>
        <item x="5"/>
        <item x="6"/>
        <item x="9"/>
        <item x="10"/>
        <item x="11"/>
        <item x="12"/>
        <item x="16"/>
        <item x="17"/>
        <item x="19"/>
        <item x="20"/>
        <item x="24"/>
        <item x="25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outline="0" subtotalTop="0" showAll="0">
      <items count="29">
        <item x="2"/>
        <item x="0"/>
        <item x="1"/>
        <item x="7"/>
        <item x="6"/>
        <item x="10"/>
        <item x="27"/>
        <item x="3"/>
        <item x="4"/>
        <item x="5"/>
        <item x="8"/>
        <item x="11"/>
        <item x="15"/>
        <item x="19"/>
        <item x="9"/>
        <item x="12"/>
        <item x="13"/>
        <item x="14"/>
        <item x="16"/>
        <item x="17"/>
        <item x="18"/>
        <item x="20"/>
        <item x="21"/>
        <item x="22"/>
        <item x="23"/>
        <item x="24"/>
        <item x="25"/>
        <item x="26"/>
        <item t="default"/>
      </items>
    </pivotField>
    <pivotField dataField="1" compact="0" outline="0" subtotalTop="0" showAll="0">
      <items count="179">
        <item x="14"/>
        <item x="24"/>
        <item x="50"/>
        <item x="42"/>
        <item x="177"/>
        <item x="19"/>
        <item x="89"/>
        <item x="22"/>
        <item x="90"/>
        <item x="49"/>
        <item x="8"/>
        <item x="20"/>
        <item x="103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5"/>
        <item x="16"/>
        <item x="17"/>
        <item x="18"/>
        <item x="21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outline="0" subtotalTop="0" showAll="0">
      <items count="66">
        <item x="3"/>
        <item x="11"/>
        <item x="5"/>
        <item x="64"/>
        <item x="18"/>
        <item x="0"/>
        <item x="56"/>
        <item x="9"/>
        <item x="1"/>
        <item x="12"/>
        <item x="4"/>
        <item x="6"/>
        <item x="13"/>
        <item x="2"/>
        <item x="7"/>
        <item x="8"/>
        <item x="10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t="default"/>
      </items>
    </pivotField>
    <pivotField dataField="1" compact="0" outline="0" subtotalTop="0" showAll="0">
      <items count="46">
        <item x="2"/>
        <item x="3"/>
        <item x="1"/>
        <item x="4"/>
        <item x="23"/>
        <item x="0"/>
        <item x="13"/>
        <item x="5"/>
        <item x="44"/>
        <item x="14"/>
        <item x="7"/>
        <item x="6"/>
        <item x="29"/>
        <item x="9"/>
        <item x="8"/>
        <item x="24"/>
        <item x="27"/>
        <item x="33"/>
        <item x="12"/>
        <item x="26"/>
        <item x="30"/>
        <item x="28"/>
        <item x="25"/>
        <item x="10"/>
        <item x="11"/>
        <item x="15"/>
        <item x="16"/>
        <item x="17"/>
        <item x="18"/>
        <item x="19"/>
        <item x="20"/>
        <item x="21"/>
        <item x="22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outline="0" subtotalTop="0" showAll="0">
      <items count="343">
        <item x="83"/>
        <item x="15"/>
        <item x="93"/>
        <item x="27"/>
        <item x="75"/>
        <item x="70"/>
        <item x="20"/>
        <item x="37"/>
        <item x="31"/>
        <item x="56"/>
        <item x="8"/>
        <item x="68"/>
        <item x="259"/>
        <item x="78"/>
        <item x="341"/>
        <item x="13"/>
        <item x="26"/>
        <item x="22"/>
        <item x="50"/>
        <item x="154"/>
        <item x="87"/>
        <item x="24"/>
        <item x="51"/>
        <item x="275"/>
        <item x="148"/>
        <item x="47"/>
        <item x="23"/>
        <item x="139"/>
        <item x="30"/>
        <item x="149"/>
        <item x="2"/>
        <item x="7"/>
        <item x="165"/>
        <item x="10"/>
        <item x="18"/>
        <item x="57"/>
        <item x="101"/>
        <item x="69"/>
        <item x="0"/>
        <item x="1"/>
        <item x="3"/>
        <item x="4"/>
        <item x="5"/>
        <item x="6"/>
        <item x="9"/>
        <item x="11"/>
        <item x="12"/>
        <item x="14"/>
        <item x="16"/>
        <item x="17"/>
        <item x="19"/>
        <item x="21"/>
        <item x="25"/>
        <item x="28"/>
        <item x="29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8"/>
        <item x="49"/>
        <item x="52"/>
        <item x="53"/>
        <item x="54"/>
        <item x="55"/>
        <item x="58"/>
        <item x="59"/>
        <item x="60"/>
        <item x="61"/>
        <item x="62"/>
        <item x="63"/>
        <item x="64"/>
        <item x="65"/>
        <item x="66"/>
        <item x="67"/>
        <item x="71"/>
        <item x="72"/>
        <item x="73"/>
        <item x="74"/>
        <item x="76"/>
        <item x="77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8"/>
        <item x="279"/>
        <item x="280"/>
        <item x="277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compact="0" outline="0" subtotalTop="0" showAll="0">
      <items count="650">
        <item x="15"/>
        <item x="648"/>
        <item x="126"/>
        <item x="92"/>
        <item x="131"/>
        <item x="428"/>
        <item x="214"/>
        <item x="123"/>
        <item x="476"/>
        <item x="266"/>
        <item x="393"/>
        <item x="451"/>
        <item x="111"/>
        <item x="344"/>
        <item x="274"/>
        <item x="326"/>
        <item x="458"/>
        <item x="89"/>
        <item x="392"/>
        <item x="299"/>
        <item x="471"/>
        <item x="354"/>
        <item x="417"/>
        <item x="243"/>
        <item x="181"/>
        <item x="192"/>
        <item x="412"/>
        <item x="51"/>
        <item x="205"/>
        <item x="237"/>
        <item x="366"/>
        <item x="113"/>
        <item x="256"/>
        <item x="204"/>
        <item x="310"/>
        <item x="328"/>
        <item x="137"/>
        <item x="445"/>
        <item x="382"/>
        <item x="29"/>
        <item x="370"/>
        <item x="498"/>
        <item x="120"/>
        <item x="303"/>
        <item x="332"/>
        <item x="322"/>
        <item x="410"/>
        <item x="304"/>
        <item x="146"/>
        <item x="464"/>
        <item x="202"/>
        <item x="404"/>
        <item x="387"/>
        <item x="108"/>
        <item x="139"/>
        <item x="101"/>
        <item x="491"/>
        <item x="169"/>
        <item x="433"/>
        <item x="435"/>
        <item x="407"/>
        <item x="254"/>
        <item x="461"/>
        <item x="74"/>
        <item x="453"/>
        <item x="121"/>
        <item x="437"/>
        <item x="488"/>
        <item x="331"/>
        <item x="278"/>
        <item x="466"/>
        <item x="4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9"/>
        <item x="110"/>
        <item x="112"/>
        <item x="114"/>
        <item x="115"/>
        <item x="116"/>
        <item x="117"/>
        <item x="118"/>
        <item x="119"/>
        <item x="122"/>
        <item x="124"/>
        <item x="125"/>
        <item x="127"/>
        <item x="128"/>
        <item x="129"/>
        <item x="130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5"/>
        <item x="276"/>
        <item x="277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7"/>
        <item x="329"/>
        <item x="330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8"/>
        <item x="389"/>
        <item x="390"/>
        <item x="391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8"/>
        <item x="409"/>
        <item x="411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4"/>
        <item x="436"/>
        <item x="438"/>
        <item x="439"/>
        <item x="440"/>
        <item x="441"/>
        <item x="442"/>
        <item x="443"/>
        <item x="444"/>
        <item x="446"/>
        <item x="447"/>
        <item x="449"/>
        <item x="450"/>
        <item x="452"/>
        <item x="454"/>
        <item x="455"/>
        <item x="456"/>
        <item x="457"/>
        <item x="459"/>
        <item x="460"/>
        <item x="462"/>
        <item x="463"/>
        <item x="465"/>
        <item x="467"/>
        <item x="468"/>
        <item x="469"/>
        <item x="470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2"/>
        <item x="493"/>
        <item x="494"/>
        <item x="495"/>
        <item x="496"/>
        <item x="49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60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t="default"/>
      </items>
    </pivotField>
    <pivotField compact="0" outline="0" subtotalTop="0" showAll="0">
      <items count="43">
        <item x="1"/>
        <item x="0"/>
        <item x="2"/>
        <item x="13"/>
        <item x="16"/>
        <item x="14"/>
        <item x="18"/>
        <item x="3"/>
        <item x="41"/>
        <item x="27"/>
        <item x="5"/>
        <item x="15"/>
        <item x="17"/>
        <item x="8"/>
        <item x="4"/>
        <item x="6"/>
        <item x="7"/>
        <item x="9"/>
        <item x="10"/>
        <item x="11"/>
        <item x="12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ubtotalTop="0" numFmtId="10" showAll="0">
      <items count="121">
        <item x="0"/>
        <item x="8"/>
        <item x="5"/>
        <item x="40"/>
        <item x="22"/>
        <item x="34"/>
        <item x="42"/>
        <item x="27"/>
        <item x="33"/>
        <item x="77"/>
        <item x="48"/>
        <item x="119"/>
        <item x="31"/>
        <item x="30"/>
        <item x="19"/>
        <item x="43"/>
        <item x="55"/>
        <item x="24"/>
        <item x="53"/>
        <item x="44"/>
        <item x="57"/>
        <item x="10"/>
        <item x="75"/>
        <item x="61"/>
        <item x="4"/>
        <item x="36"/>
        <item x="12"/>
        <item x="32"/>
        <item x="26"/>
        <item x="47"/>
        <item x="49"/>
        <item x="37"/>
        <item x="28"/>
        <item x="35"/>
        <item x="58"/>
        <item x="23"/>
        <item x="71"/>
        <item x="18"/>
        <item x="21"/>
        <item x="11"/>
        <item x="20"/>
        <item x="14"/>
        <item x="45"/>
        <item x="25"/>
        <item x="62"/>
        <item x="76"/>
        <item x="13"/>
        <item x="9"/>
        <item x="56"/>
        <item x="41"/>
        <item x="29"/>
        <item x="64"/>
        <item x="54"/>
        <item x="73"/>
        <item x="60"/>
        <item x="69"/>
        <item x="52"/>
        <item x="46"/>
        <item x="1"/>
        <item x="65"/>
        <item x="66"/>
        <item x="6"/>
        <item x="7"/>
        <item x="2"/>
        <item x="3"/>
        <item x="15"/>
        <item x="16"/>
        <item x="17"/>
        <item x="38"/>
        <item x="39"/>
        <item x="50"/>
        <item x="51"/>
        <item x="59"/>
        <item x="63"/>
        <item x="67"/>
        <item x="68"/>
        <item x="70"/>
        <item x="72"/>
        <item x="74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outline="0" subtotalTop="0" showAll="0">
      <items count="48">
        <item x="2"/>
        <item x="5"/>
        <item x="12"/>
        <item x="4"/>
        <item x="7"/>
        <item x="1"/>
        <item x="39"/>
        <item x="46"/>
        <item x="3"/>
        <item x="10"/>
        <item x="11"/>
        <item x="9"/>
        <item x="18"/>
        <item x="13"/>
        <item x="0"/>
        <item x="6"/>
        <item x="8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t="default"/>
      </items>
    </pivotField>
    <pivotField compact="0" outline="0" subtotalTop="0" showAll="0">
      <items count="49">
        <item x="2"/>
        <item x="11"/>
        <item x="3"/>
        <item x="5"/>
        <item x="10"/>
        <item x="1"/>
        <item x="47"/>
        <item x="6"/>
        <item x="12"/>
        <item x="13"/>
        <item x="37"/>
        <item x="9"/>
        <item x="8"/>
        <item x="0"/>
        <item x="4"/>
        <item x="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18">
    <i>
      <x v="48"/>
    </i>
    <i>
      <x v="63"/>
    </i>
    <i>
      <x v="64"/>
    </i>
    <i>
      <x v="73"/>
    </i>
    <i>
      <x v="74"/>
    </i>
    <i>
      <x v="77"/>
    </i>
    <i>
      <x v="84"/>
    </i>
    <i>
      <x v="91"/>
    </i>
    <i>
      <x v="103"/>
    </i>
    <i>
      <x v="104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pageFields count="2">
    <pageField fld="3"/>
    <pageField fld="0"/>
  </pageFields>
  <dataFields count="14">
    <dataField name=" 消费" fld="10" baseField="0" baseItem="0"/>
    <dataField name=" 展现量" fld="11" baseField="0" baseItem="0"/>
    <dataField name=" 点击量" fld="12" baseField="0" baseItem="0"/>
    <dataField name="  点击率" fld="31" baseField="0" baseItem="0"/>
    <dataField name=" 点击成本" fld="32" baseField="0" baseItem="0"/>
    <dataField name=" 千展费用" fld="33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成本" fld="36" baseField="0" baseItem="0"/>
    <dataField name=" 互动率" fld="38" baseField="0" baseItem="0"/>
  </dataFields>
  <formats count="77">
    <format dxfId="42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1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2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6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7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8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42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2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3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4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435">
      <pivotArea type="all" dataOnly="0" outline="0" fieldPosition="0"/>
    </format>
    <format dxfId="436">
      <pivotArea type="all" dataOnly="0" outline="0" fieldPosition="0"/>
    </format>
    <format dxfId="437">
      <pivotArea type="all" dataOnly="0" outline="0" fieldPosition="0"/>
    </format>
    <format dxfId="438">
      <pivotArea type="all" dataOnly="0" outline="0" fieldPosition="0"/>
    </format>
    <format dxfId="439">
      <pivotArea type="all" dataOnly="0" outline="0" fieldPosition="0"/>
    </format>
    <format dxfId="440">
      <pivotArea field="0" type="button" dataOnly="0" labelOnly="1" outline="0" fieldPosition="0"/>
    </format>
    <format dxfId="441">
      <pivotArea dataOnly="0" labelOnly="1" fieldPosition="0">
        <references count="1">
          <reference field="4294967294" count="1">
            <x v="0"/>
          </reference>
        </references>
      </pivotArea>
    </format>
    <format dxfId="442">
      <pivotArea dataOnly="0" labelOnly="1" fieldPosition="0">
        <references count="1">
          <reference field="4294967294" count="1">
            <x v="1"/>
          </reference>
        </references>
      </pivotArea>
    </format>
    <format dxfId="443">
      <pivotArea dataOnly="0" labelOnly="1" fieldPosition="0">
        <references count="1">
          <reference field="4294967294" count="1">
            <x v="2"/>
          </reference>
        </references>
      </pivotArea>
    </format>
    <format dxfId="444">
      <pivotArea dataOnly="0" labelOnly="1" fieldPosition="0">
        <references count="1">
          <reference field="4294967294" count="1">
            <x v="3"/>
          </reference>
        </references>
      </pivotArea>
    </format>
    <format dxfId="445">
      <pivotArea dataOnly="0" labelOnly="1" fieldPosition="0">
        <references count="1">
          <reference field="4294967294" count="1">
            <x v="4"/>
          </reference>
        </references>
      </pivotArea>
    </format>
    <format dxfId="446">
      <pivotArea dataOnly="0" labelOnly="1" fieldPosition="0">
        <references count="1">
          <reference field="4294967294" count="1">
            <x v="5"/>
          </reference>
        </references>
      </pivotArea>
    </format>
    <format dxfId="447">
      <pivotArea dataOnly="0" labelOnly="1" fieldPosition="0">
        <references count="1">
          <reference field="4294967294" count="1">
            <x v="6"/>
          </reference>
        </references>
      </pivotArea>
    </format>
    <format dxfId="448">
      <pivotArea dataOnly="0" labelOnly="1" fieldPosition="0">
        <references count="1">
          <reference field="4294967294" count="1">
            <x v="7"/>
          </reference>
        </references>
      </pivotArea>
    </format>
    <format dxfId="449">
      <pivotArea dataOnly="0" labelOnly="1" fieldPosition="0">
        <references count="1">
          <reference field="4294967294" count="1">
            <x v="8"/>
          </reference>
        </references>
      </pivotArea>
    </format>
    <format dxfId="450">
      <pivotArea dataOnly="0" labelOnly="1" fieldPosition="0">
        <references count="1">
          <reference field="4294967294" count="1">
            <x v="9"/>
          </reference>
        </references>
      </pivotArea>
    </format>
    <format dxfId="451">
      <pivotArea dataOnly="0" labelOnly="1" fieldPosition="0">
        <references count="1">
          <reference field="4294967294" count="1">
            <x v="10"/>
          </reference>
        </references>
      </pivotArea>
    </format>
    <format dxfId="452">
      <pivotArea dataOnly="0" labelOnly="1" fieldPosition="0">
        <references count="1">
          <reference field="4294967294" count="1">
            <x v="11"/>
          </reference>
        </references>
      </pivotArea>
    </format>
    <format dxfId="453">
      <pivotArea dataOnly="0" labelOnly="1" grandRow="1" fieldPosition="0"/>
    </format>
    <format dxfId="454">
      <pivotArea grandRow="1" collapsedLevelsAreSubtotals="1" fieldPosition="0"/>
    </format>
    <format dxfId="455">
      <pivotArea dataOnly="0" labelOnly="1" fieldPosition="0">
        <references count="1">
          <reference field="4294967294" count="1">
            <x v="3"/>
          </reference>
        </references>
      </pivotArea>
    </format>
    <format dxfId="456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57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58">
      <pivotArea dataOnly="0" labelOnly="1" grandRow="1" fieldPosition="0"/>
    </format>
    <format dxfId="459">
      <pivotArea grandRow="1" collapsedLevelsAreSubtotals="1" fieldPosition="0"/>
    </format>
    <format dxfId="460">
      <pivotArea dataOnly="0" labelOnly="1" grandRow="1" fieldPosition="0"/>
    </format>
    <format dxfId="461">
      <pivotArea grandRow="1" collapsedLevelsAreSubtotals="1" fieldPosition="0"/>
    </format>
    <format dxfId="462">
      <pivotArea dataOnly="0" labelOnly="1" fieldPosition="0">
        <references count="1">
          <reference field="0" count="1">
            <x v="170"/>
          </reference>
        </references>
      </pivotArea>
    </format>
    <format dxfId="463">
      <pivotArea collapsedLevelsAreSubtotals="1" fieldPosition="0">
        <references count="1">
          <reference field="0" count="1" selected="0">
            <x v="170"/>
          </reference>
        </references>
      </pivotArea>
    </format>
    <format dxfId="464">
      <pivotArea dataOnly="0" labelOnly="1" fieldPosition="0">
        <references count="1">
          <reference field="4294967294" count="1">
            <x v="3"/>
          </reference>
        </references>
      </pivotArea>
    </format>
    <format dxfId="465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66">
      <pivotArea dataOnly="0" labelOnly="1" grandRow="1" fieldPosition="0"/>
    </format>
    <format dxfId="467">
      <pivotArea grandRow="1" collapsedLevelsAreSubtotals="1" fieldPosition="0"/>
    </format>
    <format dxfId="468">
      <pivotArea type="all" dataOnly="0" outline="0" fieldPosition="0"/>
    </format>
    <format dxfId="469">
      <pivotArea field="0" type="button" dataOnly="0" labelOnly="1" outline="0" fieldPosition="0"/>
    </format>
    <format dxfId="470">
      <pivotArea dataOnly="0" labelOnly="1" fieldPosition="0">
        <references count="1">
          <reference field="4294967294" count="1">
            <x v="0"/>
          </reference>
        </references>
      </pivotArea>
    </format>
    <format dxfId="471">
      <pivotArea dataOnly="0" labelOnly="1" fieldPosition="0">
        <references count="1">
          <reference field="4294967294" count="1">
            <x v="1"/>
          </reference>
        </references>
      </pivotArea>
    </format>
    <format dxfId="472">
      <pivotArea dataOnly="0" labelOnly="1" fieldPosition="0">
        <references count="1">
          <reference field="4294967294" count="1">
            <x v="2"/>
          </reference>
        </references>
      </pivotArea>
    </format>
    <format dxfId="473">
      <pivotArea dataOnly="0" labelOnly="1" fieldPosition="0">
        <references count="1">
          <reference field="4294967294" count="1">
            <x v="3"/>
          </reference>
        </references>
      </pivotArea>
    </format>
    <format dxfId="474">
      <pivotArea dataOnly="0" labelOnly="1" fieldPosition="0">
        <references count="1">
          <reference field="4294967294" count="1">
            <x v="4"/>
          </reference>
        </references>
      </pivotArea>
    </format>
    <format dxfId="475">
      <pivotArea dataOnly="0" labelOnly="1" fieldPosition="0">
        <references count="1">
          <reference field="4294967294" count="1">
            <x v="5"/>
          </reference>
        </references>
      </pivotArea>
    </format>
    <format dxfId="476">
      <pivotArea dataOnly="0" labelOnly="1" fieldPosition="0">
        <references count="1">
          <reference field="4294967294" count="1">
            <x v="6"/>
          </reference>
        </references>
      </pivotArea>
    </format>
    <format dxfId="477">
      <pivotArea dataOnly="0" labelOnly="1" fieldPosition="0">
        <references count="1">
          <reference field="4294967294" count="1">
            <x v="7"/>
          </reference>
        </references>
      </pivotArea>
    </format>
    <format dxfId="478">
      <pivotArea dataOnly="0" labelOnly="1" fieldPosition="0">
        <references count="1">
          <reference field="4294967294" count="1">
            <x v="8"/>
          </reference>
        </references>
      </pivotArea>
    </format>
    <format dxfId="479">
      <pivotArea dataOnly="0" labelOnly="1" fieldPosition="0">
        <references count="1">
          <reference field="4294967294" count="1">
            <x v="9"/>
          </reference>
        </references>
      </pivotArea>
    </format>
    <format dxfId="480">
      <pivotArea dataOnly="0" labelOnly="1" fieldPosition="0">
        <references count="1">
          <reference field="4294967294" count="1">
            <x v="10"/>
          </reference>
        </references>
      </pivotArea>
    </format>
    <format dxfId="481">
      <pivotArea dataOnly="0" labelOnly="1" fieldPosition="0">
        <references count="1">
          <reference field="4294967294" count="1">
            <x v="11"/>
          </reference>
        </references>
      </pivotArea>
    </format>
    <format dxfId="482">
      <pivotArea dataOnly="0" labelOnly="1" fieldPosition="0">
        <references count="1">
          <reference field="4294967294" count="1">
            <x v="3"/>
          </reference>
        </references>
      </pivotArea>
    </format>
    <format dxfId="48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84">
      <pivotArea dataOnly="0" labelOnly="1" fieldPosition="0">
        <references count="1">
          <reference field="4294967294" count="1">
            <x v="7"/>
          </reference>
        </references>
      </pivotArea>
    </format>
    <format dxfId="485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486">
      <pivotArea field="7" type="button" dataOnly="0" labelOnly="1" outline="0" fieldPosition="0"/>
    </format>
    <format dxfId="487">
      <pivotArea field="3" type="button" dataOnly="0" labelOnly="1" outline="0" fieldPosition="0"/>
    </format>
    <format dxfId="488">
      <pivotArea field="4" type="button" dataOnly="0" labelOnly="1" outline="0" fieldPosition="0"/>
    </format>
    <format dxfId="489">
      <pivotArea dataOnly="0" labelOnly="1" fieldPosition="0">
        <references count="1">
          <reference field="4294967294" count="1">
            <x v="13"/>
          </reference>
        </references>
      </pivotArea>
    </format>
    <format dxfId="490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491">
      <pivotArea dataOnly="0" labelOnly="1" fieldPosition="0">
        <references count="1">
          <reference field="4294967294" count="1">
            <x v="13"/>
          </reference>
        </references>
      </pivotArea>
    </format>
    <format dxfId="492">
      <pivotArea collapsedLevelsAreSubtotals="1" fieldPosition="0">
        <references count="1">
          <reference field="4294967294" count="1" selected="0">
            <x v="13"/>
          </reference>
        </references>
      </pivotArea>
    </format>
    <format dxfId="493">
      <pivotArea dataOnly="0" labelOnly="1" fieldPosition="0">
        <references count="1">
          <reference field="4294967294" count="1">
            <x v="13"/>
          </reference>
        </references>
      </pivotArea>
    </format>
    <format dxfId="494">
      <pivotArea dataOnly="0" labelOnly="1" fieldPosition="0">
        <references count="1">
          <reference field="4294967294" count="1">
            <x v="12"/>
          </reference>
        </references>
      </pivotArea>
    </format>
    <format dxfId="495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496">
      <pivotArea dataOnly="0" labelOnly="1" fieldPosition="0">
        <references count="1">
          <reference field="4294967294" count="1">
            <x v="12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mergeItem="1" rowGrandTotals="0" colGrandTotals="0" compact="0" indent="0" compactData="0" showDrill="1" multipleFieldFilters="0">
  <location ref="A4:N7" firstHeaderRow="0" firstDataRow="1" firstDataCol="1" rowPageCount="2" colPageCount="1"/>
  <pivotFields count="39">
    <pivotField axis="axisPage" compact="0" sortType="ascending" outline="0" subtotalTop="0" multipleItemSelectionAllowed="1" numFmtId="14" showAll="0">
      <items count="172">
        <item h="1" x="157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h="1" x="170"/>
        <item t="default"/>
      </items>
    </pivotField>
    <pivotField compact="0" outline="0" subtotalTop="0" showAll="0">
      <items count="198">
        <item x="196"/>
        <item x="69"/>
        <item x="93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9"/>
        <item x="20"/>
        <item x="128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outline="0" subtotalTop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9"/>
        <item x="21"/>
        <item x="82"/>
        <item x="169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axis="axisPage" compact="0" outline="0" subtotalTop="0" multipleItemSelectionAllowed="1" showAll="0">
      <items count="4">
        <item x="1"/>
        <item h="1" x="0"/>
        <item h="1" x="2"/>
        <item t="default"/>
      </items>
    </pivotField>
    <pivotField axis="axisRow" compact="0" outline="0" subtotalTop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3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29">
        <item x="2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6"/>
        <item x="18"/>
        <item x="70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outline="0" subtotalTop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outline="0" subtotalTop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7"/>
        <item x="6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outline="0" subtotalTop="0" showAll="0"/>
    <pivotField dataField="1" compact="0" outline="0" subtotalTop="0" showAll="0">
      <items count="919">
        <item x="220"/>
        <item x="917"/>
        <item x="136"/>
        <item x="679"/>
        <item x="105"/>
        <item x="44"/>
        <item x="61"/>
        <item x="212"/>
        <item x="428"/>
        <item x="18"/>
        <item x="8"/>
        <item x="437"/>
        <item x="109"/>
        <item x="340"/>
        <item x="55"/>
        <item x="670"/>
        <item x="33"/>
        <item x="626"/>
        <item x="171"/>
        <item x="458"/>
        <item x="385"/>
        <item x="640"/>
        <item x="332"/>
        <item x="533"/>
        <item x="462"/>
        <item x="39"/>
        <item x="464"/>
        <item x="138"/>
        <item x="542"/>
        <item x="643"/>
        <item x="89"/>
        <item x="307"/>
        <item x="148"/>
        <item x="5"/>
        <item x="250"/>
        <item x="341"/>
        <item x="555"/>
        <item x="630"/>
        <item x="0"/>
        <item x="1"/>
        <item x="2"/>
        <item x="3"/>
        <item x="4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4"/>
        <item x="35"/>
        <item x="36"/>
        <item x="37"/>
        <item x="38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7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3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5"/>
        <item x="536"/>
        <item x="537"/>
        <item x="538"/>
        <item x="539"/>
        <item x="540"/>
        <item x="541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1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4"/>
        <item x="675"/>
        <item x="676"/>
        <item x="677"/>
        <item x="678"/>
        <item x="680"/>
        <item x="681"/>
        <item x="682"/>
        <item x="30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t="default"/>
      </items>
    </pivotField>
    <pivotField dataField="1" compact="0" outline="0" subtotalTop="0" showAll="0">
      <items count="931">
        <item x="467"/>
        <item x="226"/>
        <item x="96"/>
        <item x="78"/>
        <item x="558"/>
        <item x="929"/>
        <item x="141"/>
        <item x="304"/>
        <item x="75"/>
        <item x="257"/>
        <item x="303"/>
        <item x="459"/>
        <item x="555"/>
        <item x="353"/>
        <item x="24"/>
        <item x="294"/>
        <item x="292"/>
        <item x="559"/>
        <item x="540"/>
        <item x="701"/>
        <item x="179"/>
        <item x="594"/>
        <item x="343"/>
        <item x="460"/>
        <item x="584"/>
        <item x="305"/>
        <item x="123"/>
        <item x="412"/>
        <item x="527"/>
        <item x="513"/>
        <item x="589"/>
        <item x="702"/>
        <item x="334"/>
        <item x="264"/>
        <item x="37"/>
        <item x="693"/>
        <item x="85"/>
        <item x="93"/>
        <item x="171"/>
        <item x="70"/>
        <item x="263"/>
        <item x="357"/>
        <item x="117"/>
        <item x="383"/>
        <item x="443"/>
        <item x="516"/>
        <item x="571"/>
        <item x="484"/>
        <item x="377"/>
        <item x="19"/>
        <item x="439"/>
        <item x="20"/>
        <item x="198"/>
        <item x="674"/>
        <item x="4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5"/>
        <item x="26"/>
        <item x="27"/>
        <item x="28"/>
        <item x="29"/>
        <item x="31"/>
        <item x="32"/>
        <item x="33"/>
        <item x="34"/>
        <item x="35"/>
        <item x="36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1"/>
        <item x="72"/>
        <item x="73"/>
        <item x="74"/>
        <item x="76"/>
        <item x="77"/>
        <item x="80"/>
        <item x="81"/>
        <item x="82"/>
        <item x="83"/>
        <item x="84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5"/>
        <item x="296"/>
        <item x="297"/>
        <item x="298"/>
        <item x="299"/>
        <item x="300"/>
        <item x="301"/>
        <item x="302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0"/>
        <item x="351"/>
        <item x="352"/>
        <item x="354"/>
        <item x="355"/>
        <item x="356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8"/>
        <item x="379"/>
        <item x="380"/>
        <item x="381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40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63"/>
        <item x="464"/>
        <item x="465"/>
        <item x="466"/>
        <item x="468"/>
        <item x="469"/>
        <item x="470"/>
        <item x="471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6"/>
        <item x="487"/>
        <item x="488"/>
        <item x="489"/>
        <item x="490"/>
        <item x="491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6"/>
        <item x="557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5"/>
        <item x="586"/>
        <item x="587"/>
        <item x="588"/>
        <item x="590"/>
        <item x="591"/>
        <item x="59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7"/>
        <item x="688"/>
        <item x="689"/>
        <item x="690"/>
        <item x="691"/>
        <item x="692"/>
        <item x="694"/>
        <item x="695"/>
        <item x="696"/>
        <item x="697"/>
        <item x="698"/>
        <item x="699"/>
        <item x="700"/>
        <item x="55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30"/>
        <item x="40"/>
        <item x="63"/>
        <item x="79"/>
        <item x="156"/>
        <item x="237"/>
        <item x="333"/>
        <item x="473"/>
        <item x="515"/>
        <item x="592"/>
        <item x="636"/>
        <item x="685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t="default"/>
      </items>
    </pivotField>
    <pivotField dataField="1" compact="0" outline="0" subtotalTop="0" showAll="0">
      <items count="776">
        <item x="72"/>
        <item x="24"/>
        <item x="15"/>
        <item x="342"/>
        <item x="456"/>
        <item x="38"/>
        <item x="73"/>
        <item x="199"/>
        <item x="304"/>
        <item x="560"/>
        <item x="396"/>
        <item x="180"/>
        <item x="440"/>
        <item x="507"/>
        <item x="247"/>
        <item x="565"/>
        <item x="131"/>
        <item x="406"/>
        <item x="85"/>
        <item x="249"/>
        <item x="273"/>
        <item x="354"/>
        <item x="94"/>
        <item x="288"/>
        <item x="61"/>
        <item x="27"/>
        <item x="113"/>
        <item x="286"/>
        <item x="543"/>
        <item x="307"/>
        <item x="355"/>
        <item x="301"/>
        <item x="276"/>
        <item x="528"/>
        <item x="37"/>
        <item x="318"/>
        <item x="132"/>
        <item x="70"/>
        <item x="167"/>
        <item x="308"/>
        <item x="774"/>
        <item x="272"/>
        <item x="532"/>
        <item x="280"/>
        <item x="78"/>
        <item x="292"/>
        <item x="348"/>
        <item x="405"/>
        <item x="579"/>
        <item x="495"/>
        <item x="539"/>
        <item x="87"/>
        <item x="19"/>
        <item x="20"/>
        <item x="214"/>
        <item x="130"/>
        <item x="319"/>
        <item x="309"/>
        <item x="277"/>
        <item x="142"/>
        <item x="388"/>
        <item x="314"/>
        <item x="8"/>
        <item x="586"/>
        <item x="433"/>
        <item x="486"/>
        <item x="564"/>
        <item x="380"/>
        <item x="344"/>
        <item x="58"/>
        <item x="93"/>
        <item x="156"/>
        <item x="36"/>
        <item x="161"/>
        <item x="223"/>
        <item x="401"/>
        <item x="541"/>
        <item x="397"/>
        <item x="587"/>
        <item x="45"/>
        <item x="28"/>
        <item x="382"/>
        <item x="124"/>
        <item x="120"/>
        <item x="35"/>
        <item x="485"/>
        <item x="248"/>
        <item x="241"/>
        <item x="453"/>
        <item x="274"/>
        <item x="312"/>
        <item x="509"/>
        <item x="282"/>
        <item x="576"/>
        <item x="581"/>
        <item x="457"/>
        <item x="278"/>
        <item x="349"/>
        <item x="525"/>
        <item x="374"/>
        <item x="526"/>
        <item x="306"/>
        <item x="540"/>
        <item x="392"/>
        <item x="65"/>
        <item x="240"/>
        <item x="408"/>
        <item x="71"/>
        <item x="79"/>
        <item x="359"/>
        <item x="315"/>
        <item x="279"/>
        <item x="239"/>
        <item x="30"/>
        <item x="290"/>
        <item x="548"/>
        <item x="118"/>
        <item x="519"/>
        <item x="591"/>
        <item x="140"/>
        <item x="265"/>
        <item x="18"/>
        <item x="10"/>
        <item x="480"/>
        <item x="227"/>
        <item x="100"/>
        <item x="52"/>
        <item x="596"/>
        <item x="74"/>
        <item x="202"/>
        <item x="182"/>
        <item x="2"/>
        <item x="32"/>
        <item x="242"/>
        <item x="92"/>
        <item x="313"/>
        <item x="295"/>
        <item x="497"/>
        <item x="255"/>
        <item x="316"/>
        <item x="578"/>
        <item x="529"/>
        <item x="471"/>
        <item x="211"/>
        <item x="99"/>
        <item x="25"/>
        <item x="506"/>
        <item x="443"/>
        <item x="243"/>
        <item x="424"/>
        <item x="90"/>
        <item x="346"/>
        <item x="421"/>
        <item x="169"/>
        <item x="594"/>
        <item x="481"/>
        <item x="66"/>
        <item x="186"/>
        <item x="229"/>
        <item x="597"/>
        <item x="402"/>
        <item x="547"/>
        <item x="383"/>
        <item x="474"/>
        <item x="589"/>
        <item x="0"/>
        <item x="1"/>
        <item x="3"/>
        <item x="4"/>
        <item x="5"/>
        <item x="6"/>
        <item x="7"/>
        <item x="9"/>
        <item x="11"/>
        <item x="12"/>
        <item x="13"/>
        <item x="14"/>
        <item x="16"/>
        <item x="17"/>
        <item x="21"/>
        <item x="22"/>
        <item x="23"/>
        <item x="26"/>
        <item x="31"/>
        <item x="33"/>
        <item x="34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3"/>
        <item x="54"/>
        <item x="55"/>
        <item x="56"/>
        <item x="57"/>
        <item x="59"/>
        <item x="60"/>
        <item x="62"/>
        <item x="63"/>
        <item x="64"/>
        <item x="67"/>
        <item x="68"/>
        <item x="69"/>
        <item x="75"/>
        <item x="76"/>
        <item x="77"/>
        <item x="80"/>
        <item x="81"/>
        <item x="82"/>
        <item x="83"/>
        <item x="84"/>
        <item x="86"/>
        <item x="88"/>
        <item x="89"/>
        <item x="91"/>
        <item x="95"/>
        <item x="96"/>
        <item x="97"/>
        <item x="98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4"/>
        <item x="115"/>
        <item x="116"/>
        <item x="117"/>
        <item x="119"/>
        <item x="121"/>
        <item x="122"/>
        <item x="123"/>
        <item x="125"/>
        <item x="126"/>
        <item x="127"/>
        <item x="128"/>
        <item x="129"/>
        <item x="133"/>
        <item x="134"/>
        <item x="135"/>
        <item x="136"/>
        <item x="137"/>
        <item x="138"/>
        <item x="139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2"/>
        <item x="163"/>
        <item x="164"/>
        <item x="165"/>
        <item x="166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00"/>
        <item x="201"/>
        <item x="203"/>
        <item x="204"/>
        <item x="205"/>
        <item x="206"/>
        <item x="207"/>
        <item x="208"/>
        <item x="209"/>
        <item x="210"/>
        <item x="212"/>
        <item x="213"/>
        <item x="215"/>
        <item x="216"/>
        <item x="217"/>
        <item x="218"/>
        <item x="219"/>
        <item x="220"/>
        <item x="221"/>
        <item x="222"/>
        <item x="224"/>
        <item x="225"/>
        <item x="226"/>
        <item x="228"/>
        <item x="230"/>
        <item x="231"/>
        <item x="232"/>
        <item x="233"/>
        <item x="234"/>
        <item x="235"/>
        <item x="236"/>
        <item x="237"/>
        <item x="238"/>
        <item x="244"/>
        <item x="245"/>
        <item x="246"/>
        <item x="250"/>
        <item x="251"/>
        <item x="252"/>
        <item x="253"/>
        <item x="254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270"/>
        <item x="271"/>
        <item x="275"/>
        <item x="281"/>
        <item x="283"/>
        <item x="284"/>
        <item x="285"/>
        <item x="287"/>
        <item x="289"/>
        <item x="291"/>
        <item x="293"/>
        <item x="294"/>
        <item x="296"/>
        <item x="297"/>
        <item x="298"/>
        <item x="299"/>
        <item x="300"/>
        <item x="302"/>
        <item x="303"/>
        <item x="305"/>
        <item x="310"/>
        <item x="311"/>
        <item x="317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3"/>
        <item x="345"/>
        <item x="347"/>
        <item x="350"/>
        <item x="351"/>
        <item x="352"/>
        <item x="353"/>
        <item x="356"/>
        <item x="357"/>
        <item x="358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5"/>
        <item x="376"/>
        <item x="377"/>
        <item x="378"/>
        <item x="379"/>
        <item x="381"/>
        <item x="384"/>
        <item x="385"/>
        <item x="386"/>
        <item x="387"/>
        <item x="389"/>
        <item x="390"/>
        <item x="391"/>
        <item x="393"/>
        <item x="394"/>
        <item x="395"/>
        <item x="398"/>
        <item x="399"/>
        <item x="400"/>
        <item x="403"/>
        <item x="404"/>
        <item x="407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5"/>
        <item x="426"/>
        <item x="427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1"/>
        <item x="442"/>
        <item x="444"/>
        <item x="445"/>
        <item x="446"/>
        <item x="447"/>
        <item x="448"/>
        <item x="449"/>
        <item x="450"/>
        <item x="451"/>
        <item x="452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2"/>
        <item x="473"/>
        <item x="475"/>
        <item x="476"/>
        <item x="477"/>
        <item x="478"/>
        <item x="479"/>
        <item x="482"/>
        <item x="483"/>
        <item x="484"/>
        <item x="487"/>
        <item x="488"/>
        <item x="489"/>
        <item x="490"/>
        <item x="491"/>
        <item x="492"/>
        <item x="493"/>
        <item x="494"/>
        <item x="496"/>
        <item x="498"/>
        <item x="499"/>
        <item x="500"/>
        <item x="501"/>
        <item x="502"/>
        <item x="503"/>
        <item x="504"/>
        <item x="505"/>
        <item x="508"/>
        <item x="510"/>
        <item x="511"/>
        <item x="512"/>
        <item x="513"/>
        <item x="514"/>
        <item x="515"/>
        <item x="516"/>
        <item x="517"/>
        <item x="518"/>
        <item x="520"/>
        <item x="521"/>
        <item x="522"/>
        <item x="523"/>
        <item x="524"/>
        <item x="527"/>
        <item x="530"/>
        <item x="531"/>
        <item x="533"/>
        <item x="534"/>
        <item x="535"/>
        <item x="536"/>
        <item x="537"/>
        <item x="538"/>
        <item x="542"/>
        <item x="544"/>
        <item x="545"/>
        <item x="546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6"/>
        <item x="567"/>
        <item x="568"/>
        <item x="569"/>
        <item x="570"/>
        <item x="571"/>
        <item x="572"/>
        <item x="573"/>
        <item x="574"/>
        <item x="575"/>
        <item x="577"/>
        <item x="580"/>
        <item x="582"/>
        <item x="583"/>
        <item x="584"/>
        <item x="585"/>
        <item x="588"/>
        <item x="590"/>
        <item x="592"/>
        <item x="593"/>
        <item x="595"/>
        <item x="29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t="default"/>
      </items>
    </pivotField>
    <pivotField compact="0" outline="0" subtotalTop="0" numFmtId="10" showAll="0">
      <items count="607">
        <item x="476"/>
        <item x="85"/>
        <item x="227"/>
        <item x="318"/>
        <item x="406"/>
        <item x="437"/>
        <item x="316"/>
        <item x="454"/>
        <item x="381"/>
        <item x="152"/>
        <item x="449"/>
        <item x="453"/>
        <item x="210"/>
        <item x="160"/>
        <item x="321"/>
        <item x="335"/>
        <item x="398"/>
        <item x="291"/>
        <item x="341"/>
        <item x="361"/>
        <item x="402"/>
        <item x="416"/>
        <item x="423"/>
        <item x="442"/>
        <item x="359"/>
        <item x="282"/>
        <item x="450"/>
        <item x="331"/>
        <item x="244"/>
        <item x="10"/>
        <item x="451"/>
        <item x="153"/>
        <item x="360"/>
        <item x="211"/>
        <item x="459"/>
        <item x="285"/>
        <item x="605"/>
        <item x="393"/>
        <item x="363"/>
        <item x="395"/>
        <item x="209"/>
        <item x="205"/>
        <item x="323"/>
        <item x="161"/>
        <item x="198"/>
        <item x="334"/>
        <item x="199"/>
        <item x="78"/>
        <item x="191"/>
        <item x="352"/>
        <item x="445"/>
        <item x="158"/>
        <item x="372"/>
        <item x="123"/>
        <item x="302"/>
        <item x="457"/>
        <item x="444"/>
        <item x="167"/>
        <item x="480"/>
        <item x="267"/>
        <item x="309"/>
        <item x="412"/>
        <item x="96"/>
        <item x="222"/>
        <item x="168"/>
        <item x="23"/>
        <item x="145"/>
        <item x="438"/>
        <item x="113"/>
        <item x="278"/>
        <item x="464"/>
        <item x="409"/>
        <item x="344"/>
        <item x="87"/>
        <item x="154"/>
        <item x="364"/>
        <item x="146"/>
        <item x="410"/>
        <item x="232"/>
        <item x="299"/>
        <item x="223"/>
        <item x="252"/>
        <item x="385"/>
        <item x="280"/>
        <item x="77"/>
        <item x="4"/>
        <item x="208"/>
        <item x="329"/>
        <item x="137"/>
        <item x="119"/>
        <item x="306"/>
        <item x="384"/>
        <item x="234"/>
        <item x="376"/>
        <item x="108"/>
        <item x="411"/>
        <item x="460"/>
        <item x="415"/>
        <item x="8"/>
        <item x="374"/>
        <item x="202"/>
        <item x="266"/>
        <item x="224"/>
        <item x="324"/>
        <item x="102"/>
        <item x="29"/>
        <item x="297"/>
        <item x="294"/>
        <item x="304"/>
        <item x="347"/>
        <item x="377"/>
        <item x="225"/>
        <item x="394"/>
        <item x="390"/>
        <item x="268"/>
        <item x="357"/>
        <item x="213"/>
        <item x="313"/>
        <item x="254"/>
        <item x="434"/>
        <item x="474"/>
        <item x="351"/>
        <item x="162"/>
        <item x="311"/>
        <item x="429"/>
        <item x="174"/>
        <item x="28"/>
        <item x="84"/>
        <item x="314"/>
        <item x="414"/>
        <item x="420"/>
        <item x="290"/>
        <item x="433"/>
        <item x="413"/>
        <item x="301"/>
        <item x="286"/>
        <item x="260"/>
        <item x="289"/>
        <item x="369"/>
        <item x="404"/>
        <item x="447"/>
        <item x="264"/>
        <item x="82"/>
        <item x="274"/>
        <item x="367"/>
        <item x="452"/>
        <item x="265"/>
        <item x="219"/>
        <item x="9"/>
        <item x="446"/>
        <item x="386"/>
        <item x="320"/>
        <item x="462"/>
        <item x="484"/>
        <item x="233"/>
        <item x="159"/>
        <item x="330"/>
        <item x="349"/>
        <item x="458"/>
        <item x="203"/>
        <item x="440"/>
        <item x="391"/>
        <item x="72"/>
        <item x="370"/>
        <item x="46"/>
        <item x="308"/>
        <item x="269"/>
        <item x="109"/>
        <item x="2"/>
        <item x="270"/>
        <item x="216"/>
        <item x="277"/>
        <item x="456"/>
        <item x="263"/>
        <item x="401"/>
        <item x="475"/>
        <item x="187"/>
        <item x="383"/>
        <item x="317"/>
        <item x="238"/>
        <item x="112"/>
        <item x="65"/>
        <item x="443"/>
        <item x="195"/>
        <item x="284"/>
        <item x="439"/>
        <item x="240"/>
        <item x="422"/>
        <item x="365"/>
        <item x="295"/>
        <item x="24"/>
        <item x="149"/>
        <item x="343"/>
        <item x="380"/>
        <item x="140"/>
        <item x="192"/>
        <item x="188"/>
        <item x="408"/>
        <item x="134"/>
        <item x="298"/>
        <item x="197"/>
        <item x="325"/>
        <item x="427"/>
        <item x="25"/>
        <item x="418"/>
        <item x="292"/>
        <item x="346"/>
        <item x="355"/>
        <item x="362"/>
        <item x="76"/>
        <item x="95"/>
        <item x="368"/>
        <item x="34"/>
        <item x="350"/>
        <item x="71"/>
        <item x="328"/>
        <item x="288"/>
        <item x="326"/>
        <item x="366"/>
        <item x="115"/>
        <item x="130"/>
        <item x="358"/>
        <item x="448"/>
        <item x="407"/>
        <item x="196"/>
        <item x="53"/>
        <item x="339"/>
        <item x="172"/>
        <item x="155"/>
        <item x="283"/>
        <item x="256"/>
        <item x="287"/>
        <item x="132"/>
        <item x="388"/>
        <item x="39"/>
        <item x="419"/>
        <item x="332"/>
        <item x="175"/>
        <item x="296"/>
        <item x="239"/>
        <item x="483"/>
        <item x="473"/>
        <item x="97"/>
        <item x="124"/>
        <item x="156"/>
        <item x="166"/>
        <item x="204"/>
        <item x="435"/>
        <item x="281"/>
        <item x="41"/>
        <item x="481"/>
        <item x="471"/>
        <item x="431"/>
        <item x="63"/>
        <item x="69"/>
        <item x="3"/>
        <item x="472"/>
        <item x="185"/>
        <item x="436"/>
        <item x="111"/>
        <item x="14"/>
        <item x="482"/>
        <item x="217"/>
        <item x="88"/>
        <item x="47"/>
        <item x="104"/>
        <item x="336"/>
        <item x="405"/>
        <item x="424"/>
        <item x="303"/>
        <item x="428"/>
        <item x="305"/>
        <item x="272"/>
        <item x="378"/>
        <item x="135"/>
        <item x="147"/>
        <item x="315"/>
        <item x="257"/>
        <item x="79"/>
        <item x="218"/>
        <item x="121"/>
        <item x="173"/>
        <item x="148"/>
        <item x="241"/>
        <item x="312"/>
        <item x="138"/>
        <item x="399"/>
        <item x="0"/>
        <item x="1"/>
        <item x="5"/>
        <item x="6"/>
        <item x="7"/>
        <item x="11"/>
        <item x="12"/>
        <item x="13"/>
        <item x="15"/>
        <item x="16"/>
        <item x="17"/>
        <item x="18"/>
        <item x="19"/>
        <item x="20"/>
        <item x="21"/>
        <item x="22"/>
        <item x="26"/>
        <item x="27"/>
        <item x="31"/>
        <item x="32"/>
        <item x="33"/>
        <item x="35"/>
        <item x="36"/>
        <item x="37"/>
        <item x="38"/>
        <item x="40"/>
        <item x="42"/>
        <item x="43"/>
        <item x="44"/>
        <item x="45"/>
        <item x="48"/>
        <item x="49"/>
        <item x="50"/>
        <item x="51"/>
        <item x="52"/>
        <item x="54"/>
        <item x="55"/>
        <item x="56"/>
        <item x="57"/>
        <item x="58"/>
        <item x="59"/>
        <item x="60"/>
        <item x="61"/>
        <item x="62"/>
        <item x="64"/>
        <item x="66"/>
        <item x="67"/>
        <item x="68"/>
        <item x="70"/>
        <item x="73"/>
        <item x="74"/>
        <item x="75"/>
        <item x="80"/>
        <item x="81"/>
        <item x="83"/>
        <item x="86"/>
        <item x="89"/>
        <item x="90"/>
        <item x="91"/>
        <item x="92"/>
        <item x="93"/>
        <item x="94"/>
        <item x="98"/>
        <item x="99"/>
        <item x="100"/>
        <item x="101"/>
        <item x="103"/>
        <item x="105"/>
        <item x="106"/>
        <item x="107"/>
        <item x="110"/>
        <item x="114"/>
        <item x="116"/>
        <item x="117"/>
        <item x="118"/>
        <item x="120"/>
        <item x="122"/>
        <item x="125"/>
        <item x="126"/>
        <item x="127"/>
        <item x="128"/>
        <item x="129"/>
        <item x="131"/>
        <item x="133"/>
        <item x="136"/>
        <item x="139"/>
        <item x="141"/>
        <item x="142"/>
        <item x="143"/>
        <item x="144"/>
        <item x="150"/>
        <item x="151"/>
        <item x="157"/>
        <item x="163"/>
        <item x="164"/>
        <item x="165"/>
        <item x="169"/>
        <item x="170"/>
        <item x="171"/>
        <item x="176"/>
        <item x="177"/>
        <item x="178"/>
        <item x="179"/>
        <item x="180"/>
        <item x="181"/>
        <item x="182"/>
        <item x="183"/>
        <item x="184"/>
        <item x="186"/>
        <item x="189"/>
        <item x="190"/>
        <item x="193"/>
        <item x="194"/>
        <item x="200"/>
        <item x="201"/>
        <item x="206"/>
        <item x="207"/>
        <item x="212"/>
        <item x="214"/>
        <item x="215"/>
        <item x="220"/>
        <item x="221"/>
        <item x="226"/>
        <item x="228"/>
        <item x="229"/>
        <item x="230"/>
        <item x="231"/>
        <item x="235"/>
        <item x="236"/>
        <item x="237"/>
        <item x="242"/>
        <item x="243"/>
        <item x="245"/>
        <item x="246"/>
        <item x="247"/>
        <item x="248"/>
        <item x="249"/>
        <item x="250"/>
        <item x="251"/>
        <item x="253"/>
        <item x="255"/>
        <item x="258"/>
        <item x="259"/>
        <item x="261"/>
        <item x="262"/>
        <item x="271"/>
        <item x="273"/>
        <item x="275"/>
        <item x="276"/>
        <item x="279"/>
        <item x="293"/>
        <item x="300"/>
        <item x="307"/>
        <item x="310"/>
        <item x="319"/>
        <item x="322"/>
        <item x="327"/>
        <item x="333"/>
        <item x="337"/>
        <item x="338"/>
        <item x="340"/>
        <item x="342"/>
        <item x="345"/>
        <item x="348"/>
        <item x="353"/>
        <item x="354"/>
        <item x="356"/>
        <item x="371"/>
        <item x="373"/>
        <item x="375"/>
        <item x="379"/>
        <item x="382"/>
        <item x="387"/>
        <item x="389"/>
        <item x="392"/>
        <item x="396"/>
        <item x="397"/>
        <item x="400"/>
        <item x="403"/>
        <item x="417"/>
        <item x="421"/>
        <item x="425"/>
        <item x="426"/>
        <item x="430"/>
        <item x="432"/>
        <item x="441"/>
        <item x="455"/>
        <item x="461"/>
        <item x="463"/>
        <item x="465"/>
        <item x="466"/>
        <item x="467"/>
        <item x="468"/>
        <item x="469"/>
        <item x="470"/>
        <item x="477"/>
        <item x="478"/>
        <item x="479"/>
        <item x="485"/>
        <item x="30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compact="0" outline="0" subtotalTop="0" showAll="0">
      <items count="115">
        <item x="33"/>
        <item x="80"/>
        <item x="49"/>
        <item x="72"/>
        <item x="57"/>
        <item x="46"/>
        <item x="98"/>
        <item x="22"/>
        <item x="63"/>
        <item x="15"/>
        <item x="14"/>
        <item x="99"/>
        <item x="40"/>
        <item x="44"/>
        <item x="104"/>
        <item x="71"/>
        <item x="75"/>
        <item x="19"/>
        <item x="48"/>
        <item x="95"/>
        <item x="56"/>
        <item x="31"/>
        <item x="34"/>
        <item x="27"/>
        <item x="17"/>
        <item x="20"/>
        <item x="62"/>
        <item x="47"/>
        <item x="103"/>
        <item x="53"/>
        <item x="24"/>
        <item x="64"/>
        <item x="7"/>
        <item x="51"/>
        <item x="97"/>
        <item x="8"/>
        <item x="3"/>
        <item x="66"/>
        <item x="74"/>
        <item x="36"/>
        <item x="113"/>
        <item x="41"/>
        <item x="42"/>
        <item x="73"/>
        <item x="32"/>
        <item x="30"/>
        <item x="58"/>
        <item x="83"/>
        <item x="0"/>
        <item x="12"/>
        <item x="81"/>
        <item x="35"/>
        <item x="55"/>
        <item x="21"/>
        <item x="78"/>
        <item x="79"/>
        <item x="54"/>
        <item x="10"/>
        <item x="26"/>
        <item x="82"/>
        <item x="52"/>
        <item x="43"/>
        <item x="76"/>
        <item x="50"/>
        <item x="23"/>
        <item x="25"/>
        <item x="45"/>
        <item x="77"/>
        <item x="38"/>
        <item x="101"/>
        <item x="29"/>
        <item x="59"/>
        <item x="18"/>
        <item x="89"/>
        <item x="102"/>
        <item x="28"/>
        <item x="60"/>
        <item x="94"/>
        <item x="85"/>
        <item x="88"/>
        <item x="105"/>
        <item x="96"/>
        <item x="91"/>
        <item x="68"/>
        <item x="84"/>
        <item x="1"/>
        <item x="69"/>
        <item x="6"/>
        <item x="2"/>
        <item x="9"/>
        <item x="5"/>
        <item x="4"/>
        <item x="37"/>
        <item x="100"/>
        <item x="67"/>
        <item x="39"/>
        <item x="70"/>
        <item x="92"/>
        <item x="65"/>
        <item x="90"/>
        <item x="11"/>
        <item x="13"/>
        <item x="61"/>
        <item x="86"/>
        <item x="87"/>
        <item x="93"/>
        <item x="16"/>
        <item x="106"/>
        <item x="107"/>
        <item x="108"/>
        <item x="109"/>
        <item x="110"/>
        <item x="111"/>
        <item x="112"/>
        <item t="default"/>
      </items>
    </pivotField>
    <pivotField compact="0" outline="0" subtotalTop="0" showAll="0">
      <items count="820">
        <item x="359"/>
        <item x="255"/>
        <item x="326"/>
        <item x="185"/>
        <item x="347"/>
        <item x="237"/>
        <item x="462"/>
        <item x="315"/>
        <item x="818"/>
        <item x="505"/>
        <item x="495"/>
        <item x="479"/>
        <item x="320"/>
        <item x="544"/>
        <item x="163"/>
        <item x="520"/>
        <item x="108"/>
        <item x="375"/>
        <item x="236"/>
        <item x="361"/>
        <item x="546"/>
        <item x="437"/>
        <item x="555"/>
        <item x="610"/>
        <item x="550"/>
        <item x="88"/>
        <item x="283"/>
        <item x="148"/>
        <item x="161"/>
        <item x="514"/>
        <item x="411"/>
        <item x="540"/>
        <item x="483"/>
        <item x="142"/>
        <item x="454"/>
        <item x="485"/>
        <item x="466"/>
        <item x="431"/>
        <item x="511"/>
        <item x="342"/>
        <item x="390"/>
        <item x="545"/>
        <item x="504"/>
        <item x="609"/>
        <item x="223"/>
        <item x="175"/>
        <item x="585"/>
        <item x="606"/>
        <item x="370"/>
        <item x="381"/>
        <item x="449"/>
        <item x="16"/>
        <item x="17"/>
        <item x="147"/>
        <item x="508"/>
        <item x="230"/>
        <item x="386"/>
        <item x="489"/>
        <item x="196"/>
        <item x="180"/>
        <item x="241"/>
        <item x="334"/>
        <item x="33"/>
        <item x="332"/>
        <item x="336"/>
        <item x="293"/>
        <item x="49"/>
        <item x="266"/>
        <item x="25"/>
        <item x="136"/>
        <item x="254"/>
        <item x="216"/>
        <item x="172"/>
        <item x="358"/>
        <item x="303"/>
        <item x="126"/>
        <item x="480"/>
        <item x="357"/>
        <item x="267"/>
        <item x="349"/>
        <item x="40"/>
        <item x="65"/>
        <item x="496"/>
        <item x="558"/>
        <item x="190"/>
        <item x="350"/>
        <item x="123"/>
        <item x="522"/>
        <item x="348"/>
        <item x="577"/>
        <item x="27"/>
        <item x="89"/>
        <item x="189"/>
        <item x="513"/>
        <item x="90"/>
        <item x="181"/>
        <item x="81"/>
        <item x="331"/>
        <item x="471"/>
        <item x="265"/>
        <item x="469"/>
        <item x="145"/>
        <item x="203"/>
        <item x="72"/>
        <item x="198"/>
        <item x="76"/>
        <item x="53"/>
        <item x="195"/>
        <item x="239"/>
        <item x="372"/>
        <item x="9"/>
        <item x="517"/>
        <item x="475"/>
        <item x="154"/>
        <item x="562"/>
        <item x="548"/>
        <item x="256"/>
        <item x="602"/>
        <item x="402"/>
        <item x="83"/>
        <item x="351"/>
        <item x="353"/>
        <item x="159"/>
        <item x="231"/>
        <item x="468"/>
        <item x="490"/>
        <item x="371"/>
        <item x="212"/>
        <item x="448"/>
        <item x="539"/>
        <item x="71"/>
        <item x="153"/>
        <item x="481"/>
        <item x="425"/>
        <item x="536"/>
        <item x="412"/>
        <item x="261"/>
        <item x="302"/>
        <item x="15"/>
        <item x="214"/>
        <item x="339"/>
        <item x="482"/>
        <item x="61"/>
        <item x="66"/>
        <item x="156"/>
        <item x="46"/>
        <item x="491"/>
        <item x="300"/>
        <item x="576"/>
        <item x="170"/>
        <item x="5"/>
        <item x="270"/>
        <item x="129"/>
        <item x="414"/>
        <item x="143"/>
        <item x="583"/>
        <item x="116"/>
        <item x="242"/>
        <item x="304"/>
        <item x="507"/>
        <item x="202"/>
        <item x="226"/>
        <item x="1"/>
        <item x="292"/>
        <item x="118"/>
        <item x="472"/>
        <item x="168"/>
        <item x="295"/>
        <item x="404"/>
        <item x="140"/>
        <item x="360"/>
        <item x="75"/>
        <item x="316"/>
        <item x="452"/>
        <item x="299"/>
        <item x="384"/>
        <item x="467"/>
        <item x="327"/>
        <item x="246"/>
        <item x="171"/>
        <item x="141"/>
        <item x="565"/>
        <item x="554"/>
        <item x="69"/>
        <item x="497"/>
        <item x="244"/>
        <item x="589"/>
        <item x="374"/>
        <item x="38"/>
        <item x="400"/>
        <item x="39"/>
        <item x="382"/>
        <item x="335"/>
        <item x="6"/>
        <item x="95"/>
        <item x="186"/>
        <item x="35"/>
        <item x="164"/>
        <item x="432"/>
        <item x="284"/>
        <item x="0"/>
        <item x="376"/>
        <item x="42"/>
        <item x="369"/>
        <item x="403"/>
        <item x="529"/>
        <item x="587"/>
        <item x="248"/>
        <item x="26"/>
        <item x="11"/>
        <item x="177"/>
        <item x="182"/>
        <item x="173"/>
        <item x="537"/>
        <item x="312"/>
        <item x="208"/>
        <item x="518"/>
        <item x="109"/>
        <item x="608"/>
        <item x="586"/>
        <item x="14"/>
        <item x="345"/>
        <item x="243"/>
        <item x="373"/>
        <item x="281"/>
        <item x="31"/>
        <item x="144"/>
        <item x="155"/>
        <item x="280"/>
        <item x="112"/>
        <item x="557"/>
        <item x="130"/>
        <item x="575"/>
        <item x="464"/>
        <item x="445"/>
        <item x="277"/>
        <item x="7"/>
        <item x="96"/>
        <item x="492"/>
        <item x="183"/>
        <item x="225"/>
        <item x="398"/>
        <item x="474"/>
        <item x="193"/>
        <item x="534"/>
        <item x="559"/>
        <item x="531"/>
        <item x="405"/>
        <item x="590"/>
        <item x="493"/>
        <item x="399"/>
        <item x="395"/>
        <item x="561"/>
        <item x="570"/>
        <item x="247"/>
        <item x="567"/>
        <item x="442"/>
        <item x="199"/>
        <item x="578"/>
        <item x="80"/>
        <item x="530"/>
        <item x="191"/>
        <item x="97"/>
        <item x="470"/>
        <item x="3"/>
        <item x="337"/>
        <item x="377"/>
        <item x="240"/>
        <item x="603"/>
        <item x="588"/>
        <item x="569"/>
        <item x="229"/>
        <item x="379"/>
        <item x="2"/>
        <item x="4"/>
        <item x="8"/>
        <item x="10"/>
        <item x="12"/>
        <item x="13"/>
        <item x="18"/>
        <item x="19"/>
        <item x="20"/>
        <item x="21"/>
        <item x="22"/>
        <item x="23"/>
        <item x="24"/>
        <item x="28"/>
        <item x="30"/>
        <item x="32"/>
        <item x="34"/>
        <item x="36"/>
        <item x="37"/>
        <item x="41"/>
        <item x="43"/>
        <item x="44"/>
        <item x="45"/>
        <item x="47"/>
        <item x="48"/>
        <item x="50"/>
        <item x="51"/>
        <item x="52"/>
        <item x="54"/>
        <item x="55"/>
        <item x="56"/>
        <item x="57"/>
        <item x="58"/>
        <item x="59"/>
        <item x="60"/>
        <item x="62"/>
        <item x="63"/>
        <item x="64"/>
        <item x="67"/>
        <item x="68"/>
        <item x="70"/>
        <item x="73"/>
        <item x="74"/>
        <item x="77"/>
        <item x="78"/>
        <item x="79"/>
        <item x="82"/>
        <item x="84"/>
        <item x="85"/>
        <item x="86"/>
        <item x="87"/>
        <item x="91"/>
        <item x="92"/>
        <item x="93"/>
        <item x="94"/>
        <item x="98"/>
        <item x="99"/>
        <item x="100"/>
        <item x="101"/>
        <item x="102"/>
        <item x="103"/>
        <item x="104"/>
        <item x="105"/>
        <item x="106"/>
        <item x="107"/>
        <item x="110"/>
        <item x="111"/>
        <item x="113"/>
        <item x="114"/>
        <item x="115"/>
        <item x="117"/>
        <item x="119"/>
        <item x="120"/>
        <item x="121"/>
        <item x="122"/>
        <item x="124"/>
        <item x="125"/>
        <item x="127"/>
        <item x="128"/>
        <item x="131"/>
        <item x="132"/>
        <item x="133"/>
        <item x="134"/>
        <item x="135"/>
        <item x="137"/>
        <item x="138"/>
        <item x="139"/>
        <item x="146"/>
        <item x="149"/>
        <item x="150"/>
        <item x="151"/>
        <item x="152"/>
        <item x="157"/>
        <item x="158"/>
        <item x="160"/>
        <item x="162"/>
        <item x="165"/>
        <item x="166"/>
        <item x="167"/>
        <item x="169"/>
        <item x="174"/>
        <item x="176"/>
        <item x="178"/>
        <item x="179"/>
        <item x="184"/>
        <item x="187"/>
        <item x="188"/>
        <item x="192"/>
        <item x="194"/>
        <item x="197"/>
        <item x="200"/>
        <item x="201"/>
        <item x="204"/>
        <item x="205"/>
        <item x="206"/>
        <item x="207"/>
        <item x="209"/>
        <item x="210"/>
        <item x="211"/>
        <item x="213"/>
        <item x="215"/>
        <item x="217"/>
        <item x="218"/>
        <item x="219"/>
        <item x="220"/>
        <item x="221"/>
        <item x="222"/>
        <item x="224"/>
        <item x="227"/>
        <item x="228"/>
        <item x="232"/>
        <item x="233"/>
        <item x="234"/>
        <item x="235"/>
        <item x="238"/>
        <item x="245"/>
        <item x="249"/>
        <item x="250"/>
        <item x="251"/>
        <item x="252"/>
        <item x="253"/>
        <item x="257"/>
        <item x="258"/>
        <item x="259"/>
        <item x="260"/>
        <item x="262"/>
        <item x="263"/>
        <item x="264"/>
        <item x="268"/>
        <item x="269"/>
        <item x="271"/>
        <item x="272"/>
        <item x="273"/>
        <item x="274"/>
        <item x="275"/>
        <item x="276"/>
        <item x="278"/>
        <item x="279"/>
        <item x="282"/>
        <item x="285"/>
        <item x="286"/>
        <item x="287"/>
        <item x="288"/>
        <item x="289"/>
        <item x="290"/>
        <item x="291"/>
        <item x="294"/>
        <item x="296"/>
        <item x="297"/>
        <item x="298"/>
        <item x="301"/>
        <item x="305"/>
        <item x="306"/>
        <item x="307"/>
        <item x="308"/>
        <item x="309"/>
        <item x="310"/>
        <item x="311"/>
        <item x="313"/>
        <item x="314"/>
        <item x="317"/>
        <item x="318"/>
        <item x="319"/>
        <item x="321"/>
        <item x="322"/>
        <item x="323"/>
        <item x="324"/>
        <item x="325"/>
        <item x="328"/>
        <item x="329"/>
        <item x="330"/>
        <item x="333"/>
        <item x="338"/>
        <item x="340"/>
        <item x="341"/>
        <item x="343"/>
        <item x="344"/>
        <item x="346"/>
        <item x="352"/>
        <item x="354"/>
        <item x="355"/>
        <item x="356"/>
        <item x="362"/>
        <item x="363"/>
        <item x="364"/>
        <item x="365"/>
        <item x="366"/>
        <item x="367"/>
        <item x="368"/>
        <item x="378"/>
        <item x="380"/>
        <item x="383"/>
        <item x="385"/>
        <item x="387"/>
        <item x="388"/>
        <item x="389"/>
        <item x="391"/>
        <item x="392"/>
        <item x="393"/>
        <item x="394"/>
        <item x="396"/>
        <item x="397"/>
        <item x="401"/>
        <item x="406"/>
        <item x="407"/>
        <item x="408"/>
        <item x="409"/>
        <item x="410"/>
        <item x="413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8"/>
        <item x="429"/>
        <item x="430"/>
        <item x="433"/>
        <item x="434"/>
        <item x="435"/>
        <item x="436"/>
        <item x="438"/>
        <item x="439"/>
        <item x="440"/>
        <item x="441"/>
        <item x="443"/>
        <item x="444"/>
        <item x="446"/>
        <item x="447"/>
        <item x="450"/>
        <item x="451"/>
        <item x="453"/>
        <item x="455"/>
        <item x="456"/>
        <item x="457"/>
        <item x="458"/>
        <item x="459"/>
        <item x="460"/>
        <item x="461"/>
        <item x="463"/>
        <item x="465"/>
        <item x="473"/>
        <item x="476"/>
        <item x="477"/>
        <item x="478"/>
        <item x="484"/>
        <item x="486"/>
        <item x="487"/>
        <item x="488"/>
        <item x="494"/>
        <item x="498"/>
        <item x="499"/>
        <item x="500"/>
        <item x="501"/>
        <item x="502"/>
        <item x="503"/>
        <item x="506"/>
        <item x="509"/>
        <item x="510"/>
        <item x="512"/>
        <item x="515"/>
        <item x="516"/>
        <item x="519"/>
        <item x="521"/>
        <item x="523"/>
        <item x="524"/>
        <item x="525"/>
        <item x="526"/>
        <item x="527"/>
        <item x="528"/>
        <item x="532"/>
        <item x="533"/>
        <item x="535"/>
        <item x="538"/>
        <item x="541"/>
        <item x="542"/>
        <item x="543"/>
        <item x="547"/>
        <item x="549"/>
        <item x="551"/>
        <item x="552"/>
        <item x="553"/>
        <item x="556"/>
        <item x="560"/>
        <item x="563"/>
        <item x="564"/>
        <item x="566"/>
        <item x="568"/>
        <item x="571"/>
        <item x="572"/>
        <item x="573"/>
        <item x="574"/>
        <item x="579"/>
        <item x="580"/>
        <item x="581"/>
        <item x="582"/>
        <item x="584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4"/>
        <item x="605"/>
        <item x="607"/>
        <item x="611"/>
        <item x="612"/>
        <item x="613"/>
        <item x="614"/>
        <item x="29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t="default"/>
      </items>
    </pivotField>
    <pivotField dataField="1" compact="0" outline="0" subtotalTop="0" showAll="0">
      <items count="254">
        <item x="26"/>
        <item x="15"/>
        <item x="18"/>
        <item x="194"/>
        <item x="41"/>
        <item x="8"/>
        <item x="21"/>
        <item x="22"/>
        <item x="23"/>
        <item x="252"/>
        <item x="0"/>
        <item x="13"/>
        <item x="7"/>
        <item x="177"/>
        <item x="125"/>
        <item x="2"/>
        <item x="161"/>
        <item x="63"/>
        <item x="35"/>
        <item x="14"/>
        <item x="46"/>
        <item x="1"/>
        <item x="3"/>
        <item x="4"/>
        <item x="5"/>
        <item x="6"/>
        <item x="9"/>
        <item x="10"/>
        <item x="11"/>
        <item x="12"/>
        <item x="16"/>
        <item x="17"/>
        <item x="19"/>
        <item x="20"/>
        <item x="24"/>
        <item x="25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outline="0" subtotalTop="0" showAll="0">
      <items count="29">
        <item x="2"/>
        <item x="0"/>
        <item x="1"/>
        <item x="7"/>
        <item x="6"/>
        <item x="10"/>
        <item x="27"/>
        <item x="3"/>
        <item x="4"/>
        <item x="5"/>
        <item x="8"/>
        <item x="11"/>
        <item x="15"/>
        <item x="19"/>
        <item x="9"/>
        <item x="12"/>
        <item x="13"/>
        <item x="14"/>
        <item x="16"/>
        <item x="17"/>
        <item x="18"/>
        <item x="20"/>
        <item x="21"/>
        <item x="22"/>
        <item x="23"/>
        <item x="24"/>
        <item x="25"/>
        <item x="26"/>
        <item t="default"/>
      </items>
    </pivotField>
    <pivotField dataField="1" compact="0" outline="0" subtotalTop="0" showAll="0">
      <items count="179">
        <item x="14"/>
        <item x="24"/>
        <item x="50"/>
        <item x="42"/>
        <item x="177"/>
        <item x="19"/>
        <item x="89"/>
        <item x="22"/>
        <item x="90"/>
        <item x="49"/>
        <item x="8"/>
        <item x="20"/>
        <item x="103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5"/>
        <item x="16"/>
        <item x="17"/>
        <item x="18"/>
        <item x="21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47"/>
        <item x="48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outline="0" subtotalTop="0" showAll="0">
      <items count="66">
        <item x="3"/>
        <item x="11"/>
        <item x="5"/>
        <item x="64"/>
        <item x="18"/>
        <item x="0"/>
        <item x="56"/>
        <item x="9"/>
        <item x="1"/>
        <item x="12"/>
        <item x="4"/>
        <item x="6"/>
        <item x="13"/>
        <item x="2"/>
        <item x="7"/>
        <item x="8"/>
        <item x="10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t="default"/>
      </items>
    </pivotField>
    <pivotField dataField="1" compact="0" outline="0" subtotalTop="0" showAll="0">
      <items count="46">
        <item x="2"/>
        <item x="3"/>
        <item x="1"/>
        <item x="4"/>
        <item x="23"/>
        <item x="0"/>
        <item x="13"/>
        <item x="5"/>
        <item x="44"/>
        <item x="14"/>
        <item x="7"/>
        <item x="6"/>
        <item x="29"/>
        <item x="9"/>
        <item x="8"/>
        <item x="24"/>
        <item x="27"/>
        <item x="33"/>
        <item x="12"/>
        <item x="26"/>
        <item x="30"/>
        <item x="28"/>
        <item x="25"/>
        <item x="10"/>
        <item x="11"/>
        <item x="15"/>
        <item x="16"/>
        <item x="17"/>
        <item x="18"/>
        <item x="19"/>
        <item x="20"/>
        <item x="21"/>
        <item x="22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outline="0" subtotalTop="0" showAll="0">
      <items count="343">
        <item x="83"/>
        <item x="15"/>
        <item x="93"/>
        <item x="27"/>
        <item x="75"/>
        <item x="70"/>
        <item x="20"/>
        <item x="37"/>
        <item x="31"/>
        <item x="56"/>
        <item x="8"/>
        <item x="68"/>
        <item x="259"/>
        <item x="78"/>
        <item x="341"/>
        <item x="13"/>
        <item x="26"/>
        <item x="22"/>
        <item x="50"/>
        <item x="154"/>
        <item x="87"/>
        <item x="24"/>
        <item x="51"/>
        <item x="275"/>
        <item x="148"/>
        <item x="47"/>
        <item x="23"/>
        <item x="139"/>
        <item x="30"/>
        <item x="149"/>
        <item x="2"/>
        <item x="7"/>
        <item x="165"/>
        <item x="10"/>
        <item x="18"/>
        <item x="57"/>
        <item x="101"/>
        <item x="69"/>
        <item x="0"/>
        <item x="1"/>
        <item x="3"/>
        <item x="4"/>
        <item x="5"/>
        <item x="6"/>
        <item x="9"/>
        <item x="11"/>
        <item x="12"/>
        <item x="14"/>
        <item x="16"/>
        <item x="17"/>
        <item x="19"/>
        <item x="21"/>
        <item x="25"/>
        <item x="28"/>
        <item x="29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8"/>
        <item x="49"/>
        <item x="52"/>
        <item x="53"/>
        <item x="54"/>
        <item x="55"/>
        <item x="58"/>
        <item x="59"/>
        <item x="60"/>
        <item x="61"/>
        <item x="62"/>
        <item x="63"/>
        <item x="64"/>
        <item x="65"/>
        <item x="66"/>
        <item x="67"/>
        <item x="71"/>
        <item x="72"/>
        <item x="73"/>
        <item x="74"/>
        <item x="76"/>
        <item x="77"/>
        <item x="79"/>
        <item x="80"/>
        <item x="81"/>
        <item x="82"/>
        <item x="84"/>
        <item x="85"/>
        <item x="86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8"/>
        <item x="279"/>
        <item x="280"/>
        <item x="277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t="default"/>
      </items>
    </pivotField>
    <pivotField compact="0" outline="0" subtotalTop="0" showAll="0">
      <items count="650">
        <item x="15"/>
        <item x="648"/>
        <item x="126"/>
        <item x="92"/>
        <item x="131"/>
        <item x="428"/>
        <item x="214"/>
        <item x="123"/>
        <item x="476"/>
        <item x="266"/>
        <item x="393"/>
        <item x="451"/>
        <item x="111"/>
        <item x="344"/>
        <item x="274"/>
        <item x="326"/>
        <item x="458"/>
        <item x="89"/>
        <item x="392"/>
        <item x="299"/>
        <item x="471"/>
        <item x="354"/>
        <item x="417"/>
        <item x="243"/>
        <item x="181"/>
        <item x="192"/>
        <item x="412"/>
        <item x="51"/>
        <item x="205"/>
        <item x="237"/>
        <item x="366"/>
        <item x="113"/>
        <item x="256"/>
        <item x="204"/>
        <item x="310"/>
        <item x="328"/>
        <item x="137"/>
        <item x="445"/>
        <item x="382"/>
        <item x="29"/>
        <item x="370"/>
        <item x="498"/>
        <item x="120"/>
        <item x="303"/>
        <item x="332"/>
        <item x="322"/>
        <item x="410"/>
        <item x="304"/>
        <item x="146"/>
        <item x="464"/>
        <item x="202"/>
        <item x="404"/>
        <item x="387"/>
        <item x="108"/>
        <item x="139"/>
        <item x="101"/>
        <item x="491"/>
        <item x="169"/>
        <item x="433"/>
        <item x="435"/>
        <item x="407"/>
        <item x="254"/>
        <item x="461"/>
        <item x="74"/>
        <item x="453"/>
        <item x="121"/>
        <item x="437"/>
        <item x="488"/>
        <item x="331"/>
        <item x="278"/>
        <item x="466"/>
        <item x="4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90"/>
        <item x="91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9"/>
        <item x="110"/>
        <item x="112"/>
        <item x="114"/>
        <item x="115"/>
        <item x="116"/>
        <item x="117"/>
        <item x="118"/>
        <item x="119"/>
        <item x="122"/>
        <item x="124"/>
        <item x="125"/>
        <item x="127"/>
        <item x="128"/>
        <item x="129"/>
        <item x="130"/>
        <item x="132"/>
        <item x="133"/>
        <item x="134"/>
        <item x="135"/>
        <item x="136"/>
        <item x="138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5"/>
        <item x="276"/>
        <item x="277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7"/>
        <item x="329"/>
        <item x="330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9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4"/>
        <item x="385"/>
        <item x="386"/>
        <item x="388"/>
        <item x="389"/>
        <item x="390"/>
        <item x="391"/>
        <item x="394"/>
        <item x="395"/>
        <item x="396"/>
        <item x="397"/>
        <item x="398"/>
        <item x="399"/>
        <item x="400"/>
        <item x="401"/>
        <item x="402"/>
        <item x="403"/>
        <item x="405"/>
        <item x="406"/>
        <item x="408"/>
        <item x="409"/>
        <item x="411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9"/>
        <item x="430"/>
        <item x="431"/>
        <item x="432"/>
        <item x="434"/>
        <item x="436"/>
        <item x="438"/>
        <item x="439"/>
        <item x="440"/>
        <item x="441"/>
        <item x="442"/>
        <item x="443"/>
        <item x="444"/>
        <item x="446"/>
        <item x="447"/>
        <item x="449"/>
        <item x="450"/>
        <item x="452"/>
        <item x="454"/>
        <item x="455"/>
        <item x="456"/>
        <item x="457"/>
        <item x="459"/>
        <item x="460"/>
        <item x="462"/>
        <item x="463"/>
        <item x="465"/>
        <item x="467"/>
        <item x="468"/>
        <item x="469"/>
        <item x="470"/>
        <item x="472"/>
        <item x="473"/>
        <item x="474"/>
        <item x="475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2"/>
        <item x="493"/>
        <item x="494"/>
        <item x="495"/>
        <item x="496"/>
        <item x="49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60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t="default"/>
      </items>
    </pivotField>
    <pivotField compact="0" outline="0" subtotalTop="0" showAll="0">
      <items count="43">
        <item x="1"/>
        <item x="0"/>
        <item x="2"/>
        <item x="13"/>
        <item x="16"/>
        <item x="14"/>
        <item x="18"/>
        <item x="3"/>
        <item x="41"/>
        <item x="27"/>
        <item x="5"/>
        <item x="15"/>
        <item x="17"/>
        <item x="8"/>
        <item x="4"/>
        <item x="6"/>
        <item x="7"/>
        <item x="9"/>
        <item x="10"/>
        <item x="11"/>
        <item x="12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ubtotalTop="0" numFmtId="10" showAll="0">
      <items count="121">
        <item x="0"/>
        <item x="8"/>
        <item x="5"/>
        <item x="40"/>
        <item x="22"/>
        <item x="34"/>
        <item x="42"/>
        <item x="27"/>
        <item x="33"/>
        <item x="77"/>
        <item x="48"/>
        <item x="119"/>
        <item x="31"/>
        <item x="30"/>
        <item x="19"/>
        <item x="43"/>
        <item x="55"/>
        <item x="24"/>
        <item x="53"/>
        <item x="44"/>
        <item x="57"/>
        <item x="10"/>
        <item x="75"/>
        <item x="61"/>
        <item x="4"/>
        <item x="36"/>
        <item x="12"/>
        <item x="32"/>
        <item x="26"/>
        <item x="47"/>
        <item x="49"/>
        <item x="37"/>
        <item x="28"/>
        <item x="35"/>
        <item x="58"/>
        <item x="23"/>
        <item x="71"/>
        <item x="18"/>
        <item x="21"/>
        <item x="11"/>
        <item x="20"/>
        <item x="14"/>
        <item x="45"/>
        <item x="25"/>
        <item x="62"/>
        <item x="76"/>
        <item x="13"/>
        <item x="9"/>
        <item x="56"/>
        <item x="41"/>
        <item x="29"/>
        <item x="64"/>
        <item x="54"/>
        <item x="73"/>
        <item x="60"/>
        <item x="69"/>
        <item x="52"/>
        <item x="46"/>
        <item x="1"/>
        <item x="65"/>
        <item x="66"/>
        <item x="6"/>
        <item x="7"/>
        <item x="2"/>
        <item x="3"/>
        <item x="15"/>
        <item x="16"/>
        <item x="17"/>
        <item x="38"/>
        <item x="39"/>
        <item x="50"/>
        <item x="51"/>
        <item x="59"/>
        <item x="63"/>
        <item x="67"/>
        <item x="68"/>
        <item x="70"/>
        <item x="72"/>
        <item x="74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outline="0" subtotalTop="0" showAll="0">
      <items count="48">
        <item x="2"/>
        <item x="5"/>
        <item x="12"/>
        <item x="4"/>
        <item x="7"/>
        <item x="1"/>
        <item x="39"/>
        <item x="46"/>
        <item x="3"/>
        <item x="10"/>
        <item x="11"/>
        <item x="9"/>
        <item x="18"/>
        <item x="13"/>
        <item x="0"/>
        <item x="6"/>
        <item x="8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t="default"/>
      </items>
    </pivotField>
    <pivotField compact="0" outline="0" subtotalTop="0" showAll="0">
      <items count="49">
        <item x="2"/>
        <item x="11"/>
        <item x="3"/>
        <item x="5"/>
        <item x="10"/>
        <item x="1"/>
        <item x="47"/>
        <item x="6"/>
        <item x="12"/>
        <item x="13"/>
        <item x="37"/>
        <item x="9"/>
        <item x="8"/>
        <item x="0"/>
        <item x="4"/>
        <item x="7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ataField="1"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ragToCol="0" dragToPage="0" dragToRow="0" compact="0" outline="0" subtotalTop="0" showAll="0"/>
    <pivotField dataField="1" dragToCol="0" dragToPage="0" dragToRow="0" compact="0" outline="0" subtotalTop="0" showAll="0"/>
  </pivotFields>
  <rowFields count="1">
    <field x="4"/>
  </rowFields>
  <rowItems count="3">
    <i>
      <x v="48"/>
    </i>
    <i>
      <x v="63"/>
    </i>
    <i>
      <x v="91"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2">
    <pageField fld="3"/>
    <pageField fld="0"/>
  </pageFields>
  <dataFields count="13">
    <dataField name=" 消费" fld="10" baseField="0" baseItem="0"/>
    <dataField name=" 展现量" fld="11" baseField="0" baseItem="0"/>
    <dataField name=" 点击量" fld="12" baseField="0" baseItem="0"/>
    <dataField name="  点击率" fld="31" baseField="0" baseItem="0"/>
    <dataField name=" 点击成本" fld="32" baseField="0" baseItem="0"/>
    <dataField name=" 千展费用" fld="33" baseField="0" baseItem="0"/>
    <dataField name=" 点赞" fld="16" baseField="0" baseItem="0"/>
    <dataField name=" 评论" fld="17" baseField="0" baseItem="0"/>
    <dataField name=" 收藏" fld="18" baseField="0" baseItem="0"/>
    <dataField name=" 关注" fld="19" baseField="0" baseItem="0"/>
    <dataField name=" 分享" fld="20" baseField="0" baseItem="0"/>
    <dataField name=" 互动量" fld="21" baseField="0" baseItem="0"/>
    <dataField name=" 互动率" fld="38" baseField="0" baseItem="0"/>
  </dataFields>
  <formats count="74">
    <format dxfId="497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98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499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00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01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02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03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04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05">
      <pivotArea collapsedLevelsAreSubtotals="1" fieldPosition="0">
        <references count="1">
          <reference field="4294967294" count="1" selected="0">
            <x v="4"/>
          </reference>
        </references>
      </pivotArea>
    </format>
    <format dxfId="506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07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08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09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10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11">
      <pivotArea collapsedLevelsAreSubtotals="1" fieldPosition="0">
        <references count="1">
          <reference field="4294967294" count="1" selected="0">
            <x v="5"/>
          </reference>
        </references>
      </pivotArea>
    </format>
    <format dxfId="512">
      <pivotArea type="all" dataOnly="0" outline="0" fieldPosition="0"/>
    </format>
    <format dxfId="513">
      <pivotArea type="all" dataOnly="0" outline="0" fieldPosition="0"/>
    </format>
    <format dxfId="514">
      <pivotArea type="all" dataOnly="0" outline="0" fieldPosition="0"/>
    </format>
    <format dxfId="515">
      <pivotArea type="all" dataOnly="0" outline="0" fieldPosition="0"/>
    </format>
    <format dxfId="516">
      <pivotArea type="all" dataOnly="0" outline="0" fieldPosition="0"/>
    </format>
    <format dxfId="517">
      <pivotArea field="0" type="button" dataOnly="0" labelOnly="1" outline="0" fieldPosition="0"/>
    </format>
    <format dxfId="518">
      <pivotArea dataOnly="0" labelOnly="1" fieldPosition="0">
        <references count="1">
          <reference field="4294967294" count="1">
            <x v="0"/>
          </reference>
        </references>
      </pivotArea>
    </format>
    <format dxfId="519">
      <pivotArea dataOnly="0" labelOnly="1" fieldPosition="0">
        <references count="1">
          <reference field="4294967294" count="1">
            <x v="1"/>
          </reference>
        </references>
      </pivotArea>
    </format>
    <format dxfId="520">
      <pivotArea dataOnly="0" labelOnly="1" fieldPosition="0">
        <references count="1">
          <reference field="4294967294" count="1">
            <x v="2"/>
          </reference>
        </references>
      </pivotArea>
    </format>
    <format dxfId="521">
      <pivotArea dataOnly="0" labelOnly="1" fieldPosition="0">
        <references count="1">
          <reference field="4294967294" count="1">
            <x v="3"/>
          </reference>
        </references>
      </pivotArea>
    </format>
    <format dxfId="522">
      <pivotArea dataOnly="0" labelOnly="1" fieldPosition="0">
        <references count="1">
          <reference field="4294967294" count="1">
            <x v="4"/>
          </reference>
        </references>
      </pivotArea>
    </format>
    <format dxfId="523">
      <pivotArea dataOnly="0" labelOnly="1" fieldPosition="0">
        <references count="1">
          <reference field="4294967294" count="1">
            <x v="5"/>
          </reference>
        </references>
      </pivotArea>
    </format>
    <format dxfId="524">
      <pivotArea dataOnly="0" labelOnly="1" fieldPosition="0">
        <references count="1">
          <reference field="4294967294" count="1">
            <x v="6"/>
          </reference>
        </references>
      </pivotArea>
    </format>
    <format dxfId="525">
      <pivotArea dataOnly="0" labelOnly="1" fieldPosition="0">
        <references count="1">
          <reference field="4294967294" count="1">
            <x v="7"/>
          </reference>
        </references>
      </pivotArea>
    </format>
    <format dxfId="526">
      <pivotArea dataOnly="0" labelOnly="1" fieldPosition="0">
        <references count="1">
          <reference field="4294967294" count="1">
            <x v="8"/>
          </reference>
        </references>
      </pivotArea>
    </format>
    <format dxfId="527">
      <pivotArea dataOnly="0" labelOnly="1" fieldPosition="0">
        <references count="1">
          <reference field="4294967294" count="1">
            <x v="9"/>
          </reference>
        </references>
      </pivotArea>
    </format>
    <format dxfId="528">
      <pivotArea dataOnly="0" labelOnly="1" fieldPosition="0">
        <references count="1">
          <reference field="4294967294" count="1">
            <x v="10"/>
          </reference>
        </references>
      </pivotArea>
    </format>
    <format dxfId="529">
      <pivotArea dataOnly="0" labelOnly="1" fieldPosition="0">
        <references count="1">
          <reference field="4294967294" count="1">
            <x v="11"/>
          </reference>
        </references>
      </pivotArea>
    </format>
    <format dxfId="530">
      <pivotArea dataOnly="0" labelOnly="1" grandRow="1" fieldPosition="0"/>
    </format>
    <format dxfId="531">
      <pivotArea grandRow="1" collapsedLevelsAreSubtotals="1" fieldPosition="0"/>
    </format>
    <format dxfId="532">
      <pivotArea dataOnly="0" labelOnly="1" fieldPosition="0">
        <references count="1">
          <reference field="4294967294" count="1">
            <x v="3"/>
          </reference>
        </references>
      </pivotArea>
    </format>
    <format dxfId="533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34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35">
      <pivotArea dataOnly="0" labelOnly="1" grandRow="1" fieldPosition="0"/>
    </format>
    <format dxfId="536">
      <pivotArea grandRow="1" collapsedLevelsAreSubtotals="1" fieldPosition="0"/>
    </format>
    <format dxfId="537">
      <pivotArea dataOnly="0" labelOnly="1" grandRow="1" fieldPosition="0"/>
    </format>
    <format dxfId="538">
      <pivotArea grandRow="1" collapsedLevelsAreSubtotals="1" fieldPosition="0"/>
    </format>
    <format dxfId="539">
      <pivotArea dataOnly="0" labelOnly="1" fieldPosition="0">
        <references count="1">
          <reference field="0" count="1">
            <x v="170"/>
          </reference>
        </references>
      </pivotArea>
    </format>
    <format dxfId="540">
      <pivotArea collapsedLevelsAreSubtotals="1" fieldPosition="0">
        <references count="1">
          <reference field="0" count="1" selected="0">
            <x v="170"/>
          </reference>
        </references>
      </pivotArea>
    </format>
    <format dxfId="541">
      <pivotArea dataOnly="0" labelOnly="1" fieldPosition="0">
        <references count="1">
          <reference field="4294967294" count="1">
            <x v="3"/>
          </reference>
        </references>
      </pivotArea>
    </format>
    <format dxfId="542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43">
      <pivotArea dataOnly="0" labelOnly="1" grandRow="1" fieldPosition="0"/>
    </format>
    <format dxfId="544">
      <pivotArea grandRow="1" collapsedLevelsAreSubtotals="1" fieldPosition="0"/>
    </format>
    <format dxfId="545">
      <pivotArea type="all" dataOnly="0" outline="0" fieldPosition="0"/>
    </format>
    <format dxfId="546">
      <pivotArea field="0" type="button" dataOnly="0" labelOnly="1" outline="0" fieldPosition="0"/>
    </format>
    <format dxfId="547">
      <pivotArea dataOnly="0" labelOnly="1" fieldPosition="0">
        <references count="1">
          <reference field="4294967294" count="1">
            <x v="0"/>
          </reference>
        </references>
      </pivotArea>
    </format>
    <format dxfId="548">
      <pivotArea dataOnly="0" labelOnly="1" fieldPosition="0">
        <references count="1">
          <reference field="4294967294" count="1">
            <x v="1"/>
          </reference>
        </references>
      </pivotArea>
    </format>
    <format dxfId="549">
      <pivotArea dataOnly="0" labelOnly="1" fieldPosition="0">
        <references count="1">
          <reference field="4294967294" count="1">
            <x v="2"/>
          </reference>
        </references>
      </pivotArea>
    </format>
    <format dxfId="550">
      <pivotArea dataOnly="0" labelOnly="1" fieldPosition="0">
        <references count="1">
          <reference field="4294967294" count="1">
            <x v="3"/>
          </reference>
        </references>
      </pivotArea>
    </format>
    <format dxfId="551">
      <pivotArea dataOnly="0" labelOnly="1" fieldPosition="0">
        <references count="1">
          <reference field="4294967294" count="1">
            <x v="4"/>
          </reference>
        </references>
      </pivotArea>
    </format>
    <format dxfId="552">
      <pivotArea dataOnly="0" labelOnly="1" fieldPosition="0">
        <references count="1">
          <reference field="4294967294" count="1">
            <x v="5"/>
          </reference>
        </references>
      </pivotArea>
    </format>
    <format dxfId="553">
      <pivotArea dataOnly="0" labelOnly="1" fieldPosition="0">
        <references count="1">
          <reference field="4294967294" count="1">
            <x v="6"/>
          </reference>
        </references>
      </pivotArea>
    </format>
    <format dxfId="554">
      <pivotArea dataOnly="0" labelOnly="1" fieldPosition="0">
        <references count="1">
          <reference field="4294967294" count="1">
            <x v="7"/>
          </reference>
        </references>
      </pivotArea>
    </format>
    <format dxfId="555">
      <pivotArea dataOnly="0" labelOnly="1" fieldPosition="0">
        <references count="1">
          <reference field="4294967294" count="1">
            <x v="8"/>
          </reference>
        </references>
      </pivotArea>
    </format>
    <format dxfId="556">
      <pivotArea dataOnly="0" labelOnly="1" fieldPosition="0">
        <references count="1">
          <reference field="4294967294" count="1">
            <x v="9"/>
          </reference>
        </references>
      </pivotArea>
    </format>
    <format dxfId="557">
      <pivotArea dataOnly="0" labelOnly="1" fieldPosition="0">
        <references count="1">
          <reference field="4294967294" count="1">
            <x v="10"/>
          </reference>
        </references>
      </pivotArea>
    </format>
    <format dxfId="558">
      <pivotArea dataOnly="0" labelOnly="1" fieldPosition="0">
        <references count="1">
          <reference field="4294967294" count="1">
            <x v="11"/>
          </reference>
        </references>
      </pivotArea>
    </format>
    <format dxfId="559">
      <pivotArea dataOnly="0" labelOnly="1" fieldPosition="0">
        <references count="1">
          <reference field="4294967294" count="1">
            <x v="3"/>
          </reference>
        </references>
      </pivotArea>
    </format>
    <format dxfId="560">
      <pivotArea collapsedLevelsAreSubtotals="1" fieldPosition="0">
        <references count="1">
          <reference field="4294967294" count="1" selected="0">
            <x v="3"/>
          </reference>
        </references>
      </pivotArea>
    </format>
    <format dxfId="561">
      <pivotArea dataOnly="0" labelOnly="1" fieldPosition="0">
        <references count="1">
          <reference field="4294967294" count="1">
            <x v="7"/>
          </reference>
        </references>
      </pivotArea>
    </format>
    <format dxfId="562">
      <pivotArea collapsedLevelsAreSubtotals="1" fieldPosition="0">
        <references count="1">
          <reference field="4294967294" count="1" selected="0">
            <x v="7"/>
          </reference>
        </references>
      </pivotArea>
    </format>
    <format dxfId="563">
      <pivotArea field="7" type="button" dataOnly="0" labelOnly="1" outline="0" fieldPosition="0"/>
    </format>
    <format dxfId="564">
      <pivotArea field="3" type="button" dataOnly="0" labelOnly="1" outline="0" fieldPosition="0"/>
    </format>
    <format dxfId="565">
      <pivotArea field="4" type="button" dataOnly="0" labelOnly="1" outline="0" fieldPosition="0"/>
    </format>
    <format dxfId="566">
      <pivotArea dataOnly="0" labelOnly="1" fieldPosition="0">
        <references count="1">
          <reference field="4294967294" count="1">
            <x v="12"/>
          </reference>
        </references>
      </pivotArea>
    </format>
    <format dxfId="567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68">
      <pivotArea dataOnly="0" labelOnly="1" fieldPosition="0">
        <references count="1">
          <reference field="4294967294" count="1">
            <x v="12"/>
          </reference>
        </references>
      </pivotArea>
    </format>
    <format dxfId="569">
      <pivotArea collapsedLevelsAreSubtotals="1" fieldPosition="0">
        <references count="1">
          <reference field="4294967294" count="1" selected="0">
            <x v="12"/>
          </reference>
        </references>
      </pivotArea>
    </format>
    <format dxfId="570">
      <pivotArea dataOnly="0" labelOnly="1" fieldPosition="0">
        <references count="1">
          <reference field="4294967294" count="1">
            <x v="12"/>
          </reference>
        </references>
      </pivotArea>
    </format>
  </formats>
  <pivotTableStyleInfo name="数据透视表样式 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9"/>
  <sheetViews>
    <sheetView zoomScale="115" zoomScaleNormal="115" workbookViewId="0">
      <pane ySplit="3" topLeftCell="A155" activePane="bottomLeft" state="frozen"/>
      <selection/>
      <selection pane="bottomLeft" activeCell="Q159" sqref="Q159"/>
    </sheetView>
  </sheetViews>
  <sheetFormatPr defaultColWidth="9" defaultRowHeight="20" customHeight="1"/>
  <cols>
    <col min="1" max="1" width="12.1296296296296"/>
    <col min="2" max="2" width="11.6296296296296" customWidth="1"/>
    <col min="3" max="3" width="10.3796296296296" customWidth="1"/>
    <col min="4" max="4" width="9.25" customWidth="1"/>
    <col min="5" max="5" width="8" customWidth="1"/>
    <col min="6" max="7" width="9.37962962962963" customWidth="1"/>
    <col min="8" max="8" width="7" customWidth="1"/>
    <col min="9" max="9" width="5.87962962962963" customWidth="1"/>
    <col min="10" max="10" width="7" customWidth="1"/>
    <col min="11" max="12" width="5.62962962962963" customWidth="1"/>
    <col min="13" max="13" width="7.5" customWidth="1"/>
    <col min="14" max="14" width="9.37962962962963" customWidth="1"/>
    <col min="15" max="15" width="8.87962962962963" customWidth="1"/>
    <col min="16" max="16" width="9.37962962962963" customWidth="1"/>
    <col min="17" max="17" width="11.3796296296296" customWidth="1"/>
    <col min="18" max="18" width="9.37962962962963" customWidth="1"/>
    <col min="19" max="19" width="7.5" style="1" customWidth="1"/>
  </cols>
  <sheetData>
    <row r="1" customHeight="1" spans="1:19">
      <c r="A1" s="111" t="s">
        <v>0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6"/>
      <c r="P1" s="116"/>
      <c r="Q1" s="116"/>
      <c r="R1" s="116"/>
      <c r="S1" s="116"/>
    </row>
    <row r="2" customHeight="1" spans="1:19">
      <c r="A2" s="111"/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6"/>
      <c r="P2" s="116"/>
      <c r="Q2" s="116"/>
      <c r="R2" s="116"/>
      <c r="S2" s="116"/>
    </row>
    <row r="3" customHeight="1" spans="1:19">
      <c r="A3" s="12" t="s">
        <v>1</v>
      </c>
      <c r="B3" s="12" t="s">
        <v>2</v>
      </c>
      <c r="C3" s="12" t="s">
        <v>3</v>
      </c>
      <c r="D3" s="12" t="s">
        <v>4</v>
      </c>
      <c r="E3" s="12" t="s">
        <v>5</v>
      </c>
      <c r="F3" s="12" t="s">
        <v>6</v>
      </c>
      <c r="G3" s="12" t="s">
        <v>7</v>
      </c>
      <c r="H3" s="12" t="s">
        <v>8</v>
      </c>
      <c r="I3" s="12" t="s">
        <v>9</v>
      </c>
      <c r="J3" s="12" t="s">
        <v>10</v>
      </c>
      <c r="K3" s="12" t="s">
        <v>11</v>
      </c>
      <c r="L3" s="12" t="s">
        <v>12</v>
      </c>
      <c r="M3" s="12" t="s">
        <v>13</v>
      </c>
      <c r="N3" s="12" t="s">
        <v>14</v>
      </c>
      <c r="S3"/>
    </row>
    <row r="4" customHeight="1" spans="1:19">
      <c r="A4" s="6" t="s">
        <v>15</v>
      </c>
      <c r="B4" s="6">
        <v>65072.51</v>
      </c>
      <c r="C4" s="6">
        <v>4459314</v>
      </c>
      <c r="D4" s="6">
        <v>363909</v>
      </c>
      <c r="E4" s="9">
        <v>0.0816064982192328</v>
      </c>
      <c r="F4" s="10">
        <v>0.178815335702057</v>
      </c>
      <c r="G4" s="10">
        <v>14.5924933745415</v>
      </c>
      <c r="H4" s="6">
        <v>14161</v>
      </c>
      <c r="I4" s="12">
        <v>252</v>
      </c>
      <c r="J4" s="6">
        <v>7467</v>
      </c>
      <c r="K4" s="6">
        <v>1317</v>
      </c>
      <c r="L4" s="6">
        <v>572</v>
      </c>
      <c r="M4" s="6">
        <v>23769</v>
      </c>
      <c r="N4" s="115">
        <v>2.73770499389962</v>
      </c>
      <c r="S4"/>
    </row>
    <row r="5" customHeight="1" spans="1:19">
      <c r="A5" s="6" t="s">
        <v>16</v>
      </c>
      <c r="B5" s="6">
        <v>1369.77</v>
      </c>
      <c r="C5" s="6">
        <v>175531</v>
      </c>
      <c r="D5" s="6">
        <v>10851</v>
      </c>
      <c r="E5" s="9">
        <v>0.061818140385459</v>
      </c>
      <c r="F5" s="10">
        <v>0.126234448437932</v>
      </c>
      <c r="G5" s="10">
        <v>7.80357885501706</v>
      </c>
      <c r="H5" s="6">
        <v>321</v>
      </c>
      <c r="I5" s="12">
        <v>7</v>
      </c>
      <c r="J5" s="6">
        <v>184</v>
      </c>
      <c r="K5" s="6">
        <v>33</v>
      </c>
      <c r="L5" s="6">
        <v>11</v>
      </c>
      <c r="M5" s="6">
        <v>556</v>
      </c>
      <c r="N5" s="115">
        <v>2.46361510791367</v>
      </c>
      <c r="S5"/>
    </row>
    <row r="6" customHeight="1" spans="1:19">
      <c r="A6" s="6" t="s">
        <v>17</v>
      </c>
      <c r="B6" s="6">
        <v>1109.61</v>
      </c>
      <c r="C6" s="6">
        <v>180782</v>
      </c>
      <c r="D6" s="6">
        <v>14416</v>
      </c>
      <c r="E6" s="9">
        <v>0.0797424522352889</v>
      </c>
      <c r="F6" s="10">
        <v>0.0769707269700333</v>
      </c>
      <c r="G6" s="10">
        <v>6.13783451892334</v>
      </c>
      <c r="H6" s="6">
        <v>296</v>
      </c>
      <c r="I6" s="12">
        <v>7</v>
      </c>
      <c r="J6" s="6">
        <v>259</v>
      </c>
      <c r="K6" s="6">
        <v>31</v>
      </c>
      <c r="L6" s="6">
        <v>4</v>
      </c>
      <c r="M6" s="6">
        <v>597</v>
      </c>
      <c r="N6" s="115">
        <v>1.8586432160804</v>
      </c>
      <c r="S6"/>
    </row>
    <row r="7" customHeight="1" spans="1:19">
      <c r="A7" s="6" t="s">
        <v>18</v>
      </c>
      <c r="B7" s="6">
        <v>550.62</v>
      </c>
      <c r="C7" s="6">
        <v>95186</v>
      </c>
      <c r="D7" s="6">
        <v>8586</v>
      </c>
      <c r="E7" s="9">
        <v>0.0902023406803522</v>
      </c>
      <c r="F7" s="10">
        <v>0.0641299790356394</v>
      </c>
      <c r="G7" s="10">
        <v>5.78467421679659</v>
      </c>
      <c r="H7" s="6">
        <v>174</v>
      </c>
      <c r="I7" s="12">
        <v>2</v>
      </c>
      <c r="J7" s="6">
        <v>137</v>
      </c>
      <c r="K7" s="6">
        <v>24</v>
      </c>
      <c r="L7" s="6">
        <v>10</v>
      </c>
      <c r="M7" s="6">
        <v>347</v>
      </c>
      <c r="N7" s="115">
        <v>1.58680115273775</v>
      </c>
      <c r="S7"/>
    </row>
    <row r="8" customHeight="1" spans="1:19">
      <c r="A8" s="6" t="s">
        <v>19</v>
      </c>
      <c r="B8" s="6">
        <v>584.46</v>
      </c>
      <c r="C8" s="6">
        <v>75698</v>
      </c>
      <c r="D8" s="6">
        <v>7266</v>
      </c>
      <c r="E8" s="9">
        <v>0.0959866839282412</v>
      </c>
      <c r="F8" s="10">
        <v>0.0804376548307184</v>
      </c>
      <c r="G8" s="10">
        <v>7.72094375016513</v>
      </c>
      <c r="H8" s="6">
        <v>162</v>
      </c>
      <c r="I8" s="12">
        <v>1</v>
      </c>
      <c r="J8" s="6">
        <v>117</v>
      </c>
      <c r="K8" s="6">
        <v>16</v>
      </c>
      <c r="L8" s="6">
        <v>6</v>
      </c>
      <c r="M8" s="6">
        <v>302</v>
      </c>
      <c r="N8" s="115">
        <v>1.93529801324503</v>
      </c>
      <c r="S8"/>
    </row>
    <row r="9" customHeight="1" spans="1:19">
      <c r="A9" s="6" t="s">
        <v>20</v>
      </c>
      <c r="B9" s="6">
        <v>198.84</v>
      </c>
      <c r="C9" s="6">
        <v>39615</v>
      </c>
      <c r="D9" s="6">
        <v>3827</v>
      </c>
      <c r="E9" s="9">
        <v>0.0966048214060331</v>
      </c>
      <c r="F9" s="10">
        <v>0.0519571465900183</v>
      </c>
      <c r="G9" s="10">
        <v>5.0193108670958</v>
      </c>
      <c r="H9" s="6">
        <v>75</v>
      </c>
      <c r="I9" s="12">
        <v>1</v>
      </c>
      <c r="J9" s="6">
        <v>67</v>
      </c>
      <c r="K9" s="6">
        <v>14</v>
      </c>
      <c r="L9" s="6">
        <v>3</v>
      </c>
      <c r="M9" s="6">
        <v>160</v>
      </c>
      <c r="N9" s="115">
        <v>1.24275</v>
      </c>
      <c r="S9"/>
    </row>
    <row r="10" customHeight="1" spans="1:19">
      <c r="A10" s="6" t="s">
        <v>21</v>
      </c>
      <c r="B10" s="6">
        <v>911.27</v>
      </c>
      <c r="C10" s="6">
        <v>98868</v>
      </c>
      <c r="D10" s="6">
        <v>9236</v>
      </c>
      <c r="E10" s="9">
        <v>0.0934174859408504</v>
      </c>
      <c r="F10" s="10">
        <v>0.0986650064963188</v>
      </c>
      <c r="G10" s="10">
        <v>9.21703685722377</v>
      </c>
      <c r="H10" s="6">
        <v>185</v>
      </c>
      <c r="I10" s="12">
        <v>8</v>
      </c>
      <c r="J10" s="6">
        <v>113</v>
      </c>
      <c r="K10" s="6">
        <v>17</v>
      </c>
      <c r="L10" s="6">
        <v>13</v>
      </c>
      <c r="M10" s="6">
        <v>336</v>
      </c>
      <c r="N10" s="115">
        <v>2.7121130952381</v>
      </c>
      <c r="S10"/>
    </row>
    <row r="11" customHeight="1" spans="1:19">
      <c r="A11" s="6" t="s">
        <v>22</v>
      </c>
      <c r="B11" s="6">
        <v>1404.12</v>
      </c>
      <c r="C11" s="6">
        <v>219781</v>
      </c>
      <c r="D11" s="6">
        <v>18051</v>
      </c>
      <c r="E11" s="9">
        <v>0.0821317584322576</v>
      </c>
      <c r="F11" s="10">
        <v>0.0777862722286854</v>
      </c>
      <c r="G11" s="10">
        <v>6.38872332003221</v>
      </c>
      <c r="H11" s="6">
        <v>287</v>
      </c>
      <c r="I11" s="12">
        <v>7</v>
      </c>
      <c r="J11" s="6">
        <v>182</v>
      </c>
      <c r="K11" s="6">
        <v>35</v>
      </c>
      <c r="L11" s="6">
        <v>13</v>
      </c>
      <c r="M11" s="6">
        <v>524</v>
      </c>
      <c r="N11" s="115">
        <v>2.67961832061069</v>
      </c>
      <c r="S11"/>
    </row>
    <row r="12" customHeight="1" spans="1:19">
      <c r="A12" s="6" t="s">
        <v>23</v>
      </c>
      <c r="B12" s="6">
        <v>2220.39</v>
      </c>
      <c r="C12" s="6">
        <v>253901</v>
      </c>
      <c r="D12" s="6">
        <v>21501</v>
      </c>
      <c r="E12" s="9">
        <v>0.0846826125143265</v>
      </c>
      <c r="F12" s="10">
        <v>0.10326915027208</v>
      </c>
      <c r="G12" s="10">
        <v>8.74510143717433</v>
      </c>
      <c r="H12" s="6">
        <v>404</v>
      </c>
      <c r="I12" s="12">
        <v>9</v>
      </c>
      <c r="J12" s="6">
        <v>220</v>
      </c>
      <c r="K12" s="6">
        <v>32</v>
      </c>
      <c r="L12" s="6">
        <v>22</v>
      </c>
      <c r="M12" s="6">
        <v>687</v>
      </c>
      <c r="N12" s="115">
        <v>3.23200873362445</v>
      </c>
      <c r="S12"/>
    </row>
    <row r="13" customHeight="1" spans="1:19">
      <c r="A13" s="6" t="s">
        <v>24</v>
      </c>
      <c r="B13" s="6">
        <v>2239.22</v>
      </c>
      <c r="C13" s="6">
        <v>244283</v>
      </c>
      <c r="D13" s="6">
        <v>21771</v>
      </c>
      <c r="E13" s="9">
        <v>0.0891220428764998</v>
      </c>
      <c r="F13" s="10">
        <v>0.102853337007946</v>
      </c>
      <c r="G13" s="10">
        <v>9.16649951081328</v>
      </c>
      <c r="H13" s="6">
        <v>387</v>
      </c>
      <c r="I13" s="12">
        <v>18</v>
      </c>
      <c r="J13" s="6">
        <v>226</v>
      </c>
      <c r="K13" s="6">
        <v>22</v>
      </c>
      <c r="L13" s="6">
        <v>18</v>
      </c>
      <c r="M13" s="6">
        <v>671</v>
      </c>
      <c r="N13" s="115">
        <v>3.33713859910581</v>
      </c>
      <c r="S13"/>
    </row>
    <row r="14" customHeight="1" spans="1:19">
      <c r="A14" s="6" t="s">
        <v>25</v>
      </c>
      <c r="B14" s="6">
        <v>2408.99</v>
      </c>
      <c r="C14" s="6">
        <v>218682</v>
      </c>
      <c r="D14" s="6">
        <v>21989</v>
      </c>
      <c r="E14" s="9">
        <v>0.100552400289004</v>
      </c>
      <c r="F14" s="10">
        <v>0.109554322615853</v>
      </c>
      <c r="G14" s="10">
        <v>11.01595010106</v>
      </c>
      <c r="H14" s="6">
        <v>364</v>
      </c>
      <c r="I14" s="12">
        <v>15</v>
      </c>
      <c r="J14" s="6">
        <v>277</v>
      </c>
      <c r="K14" s="6">
        <v>36</v>
      </c>
      <c r="L14" s="6">
        <v>21</v>
      </c>
      <c r="M14" s="6">
        <v>713</v>
      </c>
      <c r="N14" s="115">
        <v>3.37866760168303</v>
      </c>
      <c r="S14"/>
    </row>
    <row r="15" customHeight="1" spans="1:19">
      <c r="A15" s="6" t="s">
        <v>26</v>
      </c>
      <c r="B15" s="6">
        <v>7583.73</v>
      </c>
      <c r="C15" s="6">
        <v>607761</v>
      </c>
      <c r="D15" s="6">
        <v>58359</v>
      </c>
      <c r="E15" s="9">
        <v>0.0960229432293286</v>
      </c>
      <c r="F15" s="10">
        <v>0.129949622166247</v>
      </c>
      <c r="G15" s="10">
        <v>12.4781451919422</v>
      </c>
      <c r="H15" s="6">
        <v>1293</v>
      </c>
      <c r="I15" s="12">
        <v>47</v>
      </c>
      <c r="J15" s="6">
        <v>687</v>
      </c>
      <c r="K15" s="6">
        <v>110</v>
      </c>
      <c r="L15" s="6">
        <v>77</v>
      </c>
      <c r="M15" s="6">
        <v>2214</v>
      </c>
      <c r="N15" s="115">
        <v>3.42535230352304</v>
      </c>
      <c r="S15"/>
    </row>
    <row r="16" customHeight="1" spans="1:19">
      <c r="A16" s="6" t="s">
        <v>27</v>
      </c>
      <c r="B16" s="6">
        <v>8996.53</v>
      </c>
      <c r="C16" s="6">
        <v>694894</v>
      </c>
      <c r="D16" s="6">
        <v>59143</v>
      </c>
      <c r="E16" s="9">
        <v>0.0851108226578442</v>
      </c>
      <c r="F16" s="10">
        <v>0.152114874118662</v>
      </c>
      <c r="G16" s="10">
        <v>12.9466220747337</v>
      </c>
      <c r="H16" s="6">
        <v>1074</v>
      </c>
      <c r="I16" s="12">
        <v>51</v>
      </c>
      <c r="J16" s="6">
        <v>680</v>
      </c>
      <c r="K16" s="6">
        <v>113</v>
      </c>
      <c r="L16" s="6">
        <v>61</v>
      </c>
      <c r="M16" s="6">
        <v>1979</v>
      </c>
      <c r="N16" s="115">
        <v>4.54599797877716</v>
      </c>
      <c r="S16"/>
    </row>
    <row r="17" customHeight="1" spans="1:19">
      <c r="A17" s="6" t="s">
        <v>28</v>
      </c>
      <c r="B17" s="6">
        <v>10935.23</v>
      </c>
      <c r="C17" s="6">
        <v>952994</v>
      </c>
      <c r="D17" s="6">
        <v>103318</v>
      </c>
      <c r="E17" s="9">
        <v>0.108414113834924</v>
      </c>
      <c r="F17" s="10">
        <v>0.105840511817883</v>
      </c>
      <c r="G17" s="10">
        <v>11.4746052965706</v>
      </c>
      <c r="H17" s="6">
        <v>1277</v>
      </c>
      <c r="I17" s="12">
        <v>104</v>
      </c>
      <c r="J17" s="6">
        <v>869</v>
      </c>
      <c r="K17" s="6">
        <v>194</v>
      </c>
      <c r="L17" s="6">
        <v>87</v>
      </c>
      <c r="M17" s="6">
        <v>2531</v>
      </c>
      <c r="N17" s="115">
        <v>4.32051758198341</v>
      </c>
      <c r="S17"/>
    </row>
    <row r="18" customHeight="1" spans="1:19">
      <c r="A18" s="6" t="s">
        <v>29</v>
      </c>
      <c r="B18" s="6">
        <v>14124.69</v>
      </c>
      <c r="C18" s="6">
        <v>1259267</v>
      </c>
      <c r="D18" s="6">
        <v>150274</v>
      </c>
      <c r="E18" s="9">
        <v>0.119334501737916</v>
      </c>
      <c r="F18" s="10">
        <v>0.0939929062911748</v>
      </c>
      <c r="G18" s="10">
        <v>11.216596639156</v>
      </c>
      <c r="H18" s="6">
        <v>2560</v>
      </c>
      <c r="I18" s="12">
        <v>200</v>
      </c>
      <c r="J18" s="6">
        <v>1177</v>
      </c>
      <c r="K18" s="6">
        <v>420</v>
      </c>
      <c r="L18" s="6">
        <v>112</v>
      </c>
      <c r="M18" s="6">
        <v>4469</v>
      </c>
      <c r="N18" s="115">
        <v>3.16059297381965</v>
      </c>
      <c r="S18"/>
    </row>
    <row r="19" customHeight="1" spans="1:19">
      <c r="A19" s="6" t="s">
        <v>30</v>
      </c>
      <c r="B19" s="6">
        <v>11408.08</v>
      </c>
      <c r="C19" s="6">
        <v>692518</v>
      </c>
      <c r="D19" s="6">
        <v>31328</v>
      </c>
      <c r="E19" s="9">
        <v>0.0452378133131558</v>
      </c>
      <c r="F19" s="10">
        <v>0.364149642492339</v>
      </c>
      <c r="G19" s="10">
        <v>16.4733335451208</v>
      </c>
      <c r="H19" s="6">
        <v>1216</v>
      </c>
      <c r="I19" s="12">
        <v>53</v>
      </c>
      <c r="J19" s="6">
        <v>1088</v>
      </c>
      <c r="K19" s="6">
        <v>202</v>
      </c>
      <c r="L19" s="6">
        <v>106</v>
      </c>
      <c r="M19" s="6">
        <v>2665</v>
      </c>
      <c r="N19" s="115">
        <v>4.28070544090056</v>
      </c>
      <c r="S19"/>
    </row>
    <row r="20" customHeight="1" spans="1:19">
      <c r="A20" s="6" t="s">
        <v>31</v>
      </c>
      <c r="B20" s="6">
        <v>18863.86</v>
      </c>
      <c r="C20" s="6">
        <v>1689057</v>
      </c>
      <c r="D20" s="6">
        <v>118259</v>
      </c>
      <c r="E20" s="9">
        <v>0.0700148070787428</v>
      </c>
      <c r="F20" s="10">
        <v>0.159513102596843</v>
      </c>
      <c r="G20" s="10">
        <v>11.1682791048496</v>
      </c>
      <c r="H20" s="6">
        <v>2045</v>
      </c>
      <c r="I20" s="12">
        <v>73</v>
      </c>
      <c r="J20" s="6">
        <v>1426</v>
      </c>
      <c r="K20" s="6">
        <v>354</v>
      </c>
      <c r="L20" s="6">
        <v>161</v>
      </c>
      <c r="M20" s="6">
        <v>4059</v>
      </c>
      <c r="N20" s="115">
        <v>4.64741561961074</v>
      </c>
      <c r="S20"/>
    </row>
    <row r="21" customHeight="1" spans="1:19">
      <c r="A21" s="6" t="s">
        <v>32</v>
      </c>
      <c r="B21" s="6">
        <v>7058.83</v>
      </c>
      <c r="C21" s="6">
        <v>592283</v>
      </c>
      <c r="D21" s="6">
        <v>41396</v>
      </c>
      <c r="E21" s="9">
        <v>0.0698922643398511</v>
      </c>
      <c r="F21" s="10">
        <v>0.17051961542178</v>
      </c>
      <c r="G21" s="10">
        <v>11.9180020361888</v>
      </c>
      <c r="H21" s="6">
        <v>655</v>
      </c>
      <c r="I21" s="12">
        <v>23</v>
      </c>
      <c r="J21" s="6">
        <v>360</v>
      </c>
      <c r="K21" s="6">
        <v>70</v>
      </c>
      <c r="L21" s="6">
        <v>46</v>
      </c>
      <c r="M21" s="6">
        <v>1154</v>
      </c>
      <c r="N21" s="115">
        <v>6.11683708838822</v>
      </c>
      <c r="S21"/>
    </row>
    <row r="22" customHeight="1" spans="1:19">
      <c r="A22" s="6" t="s">
        <v>33</v>
      </c>
      <c r="B22" s="6">
        <v>6371.26</v>
      </c>
      <c r="C22" s="6">
        <v>924441</v>
      </c>
      <c r="D22" s="6">
        <v>55446</v>
      </c>
      <c r="E22" s="9">
        <v>0.0599778677059975</v>
      </c>
      <c r="F22" s="10">
        <v>0.114909281102334</v>
      </c>
      <c r="G22" s="10">
        <v>6.89201366014705</v>
      </c>
      <c r="H22" s="6">
        <v>971</v>
      </c>
      <c r="I22" s="12">
        <v>47</v>
      </c>
      <c r="J22" s="6">
        <v>548</v>
      </c>
      <c r="K22" s="6">
        <v>142</v>
      </c>
      <c r="L22" s="6">
        <v>52</v>
      </c>
      <c r="M22" s="6">
        <v>1760</v>
      </c>
      <c r="N22" s="115">
        <v>3.62003409090909</v>
      </c>
      <c r="S22"/>
    </row>
    <row r="23" customHeight="1" spans="1:19">
      <c r="A23" s="6" t="s">
        <v>34</v>
      </c>
      <c r="B23" s="6">
        <v>6968.32</v>
      </c>
      <c r="C23" s="6">
        <v>1048537</v>
      </c>
      <c r="D23" s="6">
        <v>50214</v>
      </c>
      <c r="E23" s="9">
        <v>0.0478895832955823</v>
      </c>
      <c r="F23" s="10">
        <v>0.138772453897319</v>
      </c>
      <c r="G23" s="10">
        <v>6.64575499004804</v>
      </c>
      <c r="H23" s="6">
        <v>1260</v>
      </c>
      <c r="I23" s="12">
        <v>63</v>
      </c>
      <c r="J23" s="6">
        <v>564</v>
      </c>
      <c r="K23" s="6">
        <v>189</v>
      </c>
      <c r="L23" s="6">
        <v>58</v>
      </c>
      <c r="M23" s="6">
        <v>2134</v>
      </c>
      <c r="N23" s="115">
        <v>3.26537956888472</v>
      </c>
      <c r="S23"/>
    </row>
    <row r="24" customHeight="1" spans="1:19">
      <c r="A24" s="6" t="s">
        <v>35</v>
      </c>
      <c r="B24" s="6">
        <v>3337.57</v>
      </c>
      <c r="C24" s="6">
        <v>478535</v>
      </c>
      <c r="D24" s="6">
        <v>26212</v>
      </c>
      <c r="E24" s="9">
        <v>0.0547755127629118</v>
      </c>
      <c r="F24" s="10">
        <v>0.127329848924157</v>
      </c>
      <c r="G24" s="10">
        <v>6.97455776484479</v>
      </c>
      <c r="H24" s="6">
        <v>615</v>
      </c>
      <c r="I24" s="12">
        <v>26</v>
      </c>
      <c r="J24" s="6">
        <v>354</v>
      </c>
      <c r="K24" s="6">
        <v>95</v>
      </c>
      <c r="L24" s="6">
        <v>21</v>
      </c>
      <c r="M24" s="6">
        <v>1111</v>
      </c>
      <c r="N24" s="115">
        <v>3.00411341134113</v>
      </c>
      <c r="S24"/>
    </row>
    <row r="25" customHeight="1" spans="1:19">
      <c r="A25" s="6" t="s">
        <v>36</v>
      </c>
      <c r="B25" s="6">
        <v>2469.27</v>
      </c>
      <c r="C25" s="6">
        <v>250772</v>
      </c>
      <c r="D25" s="6">
        <v>16027</v>
      </c>
      <c r="E25" s="9">
        <v>0.0639106439315394</v>
      </c>
      <c r="F25" s="10">
        <v>0.154069382916329</v>
      </c>
      <c r="G25" s="10">
        <v>9.84667347231748</v>
      </c>
      <c r="H25" s="6">
        <v>358</v>
      </c>
      <c r="I25" s="12">
        <v>13</v>
      </c>
      <c r="J25" s="6">
        <v>277</v>
      </c>
      <c r="K25" s="6">
        <v>40</v>
      </c>
      <c r="L25" s="6">
        <v>20</v>
      </c>
      <c r="M25" s="6">
        <v>708</v>
      </c>
      <c r="N25" s="115">
        <v>3.48766949152542</v>
      </c>
      <c r="S25"/>
    </row>
    <row r="26" customHeight="1" spans="1:19">
      <c r="A26" s="6" t="s">
        <v>37</v>
      </c>
      <c r="B26" s="6">
        <v>2590.85</v>
      </c>
      <c r="C26" s="6">
        <v>279928</v>
      </c>
      <c r="D26" s="6">
        <v>17757</v>
      </c>
      <c r="E26" s="9">
        <v>0.0634341687862593</v>
      </c>
      <c r="F26" s="10">
        <v>0.145905839950442</v>
      </c>
      <c r="G26" s="10">
        <v>9.25541567831728</v>
      </c>
      <c r="H26" s="6">
        <v>389</v>
      </c>
      <c r="I26" s="12">
        <v>15</v>
      </c>
      <c r="J26" s="6">
        <v>367</v>
      </c>
      <c r="K26" s="6">
        <v>117</v>
      </c>
      <c r="L26" s="6">
        <v>13</v>
      </c>
      <c r="M26" s="6">
        <v>901</v>
      </c>
      <c r="N26" s="115">
        <v>2.87552719200888</v>
      </c>
      <c r="S26"/>
    </row>
    <row r="27" customHeight="1" spans="1:19">
      <c r="A27" s="6" t="s">
        <v>38</v>
      </c>
      <c r="B27" s="6">
        <v>2908.97</v>
      </c>
      <c r="C27" s="6">
        <v>320005</v>
      </c>
      <c r="D27" s="6">
        <v>21172</v>
      </c>
      <c r="E27" s="9">
        <v>0.0661614662270902</v>
      </c>
      <c r="F27" s="10">
        <v>0.137397033818251</v>
      </c>
      <c r="G27" s="10">
        <v>9.09038921266855</v>
      </c>
      <c r="H27" s="6">
        <v>439</v>
      </c>
      <c r="I27" s="12">
        <v>19</v>
      </c>
      <c r="J27" s="6">
        <v>384</v>
      </c>
      <c r="K27" s="6">
        <v>123</v>
      </c>
      <c r="L27" s="6">
        <v>28</v>
      </c>
      <c r="M27" s="6">
        <v>993</v>
      </c>
      <c r="N27" s="115">
        <v>2.92947633434038</v>
      </c>
      <c r="S27"/>
    </row>
    <row r="28" customHeight="1" spans="1:19">
      <c r="A28" s="6" t="s">
        <v>39</v>
      </c>
      <c r="B28" s="6">
        <v>2283.75</v>
      </c>
      <c r="C28" s="6">
        <v>251886</v>
      </c>
      <c r="D28" s="6">
        <v>16839</v>
      </c>
      <c r="E28" s="9">
        <v>0.0668516709940211</v>
      </c>
      <c r="F28" s="10">
        <v>0.135622661678247</v>
      </c>
      <c r="G28" s="10">
        <v>9.0666015578476</v>
      </c>
      <c r="H28" s="6">
        <v>304</v>
      </c>
      <c r="I28" s="12">
        <v>3</v>
      </c>
      <c r="J28" s="6">
        <v>221</v>
      </c>
      <c r="K28" s="6">
        <v>64</v>
      </c>
      <c r="L28" s="6">
        <v>28</v>
      </c>
      <c r="M28" s="6">
        <v>620</v>
      </c>
      <c r="N28" s="115">
        <v>3.68346774193548</v>
      </c>
      <c r="S28"/>
    </row>
    <row r="29" customHeight="1" spans="1:19">
      <c r="A29" s="6" t="s">
        <v>40</v>
      </c>
      <c r="B29" s="6">
        <v>7170.59</v>
      </c>
      <c r="C29" s="6">
        <v>748362</v>
      </c>
      <c r="D29" s="6">
        <v>52799</v>
      </c>
      <c r="E29" s="9">
        <v>0.0705527538811431</v>
      </c>
      <c r="F29" s="10">
        <v>0.135809200931836</v>
      </c>
      <c r="G29" s="10">
        <v>9.58171312813852</v>
      </c>
      <c r="H29" s="6">
        <v>903</v>
      </c>
      <c r="I29" s="12">
        <v>28</v>
      </c>
      <c r="J29" s="6">
        <v>570</v>
      </c>
      <c r="K29" s="6">
        <v>138</v>
      </c>
      <c r="L29" s="6">
        <v>55</v>
      </c>
      <c r="M29" s="6">
        <v>1694</v>
      </c>
      <c r="N29" s="115">
        <v>4.23293388429752</v>
      </c>
      <c r="S29"/>
    </row>
    <row r="30" customHeight="1" spans="1:19">
      <c r="A30" s="6" t="s">
        <v>41</v>
      </c>
      <c r="B30" s="6">
        <v>11913.31</v>
      </c>
      <c r="C30" s="6">
        <v>777447</v>
      </c>
      <c r="D30" s="6">
        <v>51203</v>
      </c>
      <c r="E30" s="9">
        <v>0.0658604380748784</v>
      </c>
      <c r="F30" s="10">
        <v>0.232668203034978</v>
      </c>
      <c r="G30" s="10">
        <v>15.3236297779784</v>
      </c>
      <c r="H30" s="6">
        <v>1058</v>
      </c>
      <c r="I30" s="12">
        <v>30</v>
      </c>
      <c r="J30" s="6">
        <v>609</v>
      </c>
      <c r="K30" s="6">
        <v>122</v>
      </c>
      <c r="L30" s="6">
        <v>46</v>
      </c>
      <c r="M30" s="6">
        <v>1865</v>
      </c>
      <c r="N30" s="115">
        <v>6.38783378016086</v>
      </c>
      <c r="S30"/>
    </row>
    <row r="31" customHeight="1" spans="1:19">
      <c r="A31" s="6" t="s">
        <v>42</v>
      </c>
      <c r="B31" s="6">
        <v>11657.68</v>
      </c>
      <c r="C31" s="6">
        <v>799193</v>
      </c>
      <c r="D31" s="6">
        <v>47804</v>
      </c>
      <c r="E31" s="9">
        <v>0.0598153387229368</v>
      </c>
      <c r="F31" s="10">
        <v>0.243864111789808</v>
      </c>
      <c r="G31" s="10">
        <v>14.5868144490755</v>
      </c>
      <c r="H31" s="6">
        <v>1268</v>
      </c>
      <c r="I31" s="12">
        <v>39</v>
      </c>
      <c r="J31" s="6">
        <v>929</v>
      </c>
      <c r="K31" s="6">
        <v>142</v>
      </c>
      <c r="L31" s="6">
        <v>75</v>
      </c>
      <c r="M31" s="6">
        <v>2453</v>
      </c>
      <c r="N31" s="115">
        <v>4.75241744802283</v>
      </c>
      <c r="S31"/>
    </row>
    <row r="32" customHeight="1" spans="1:19">
      <c r="A32" s="6" t="s">
        <v>43</v>
      </c>
      <c r="B32" s="6">
        <v>11558.49</v>
      </c>
      <c r="C32" s="6">
        <v>798920</v>
      </c>
      <c r="D32" s="6">
        <v>55271</v>
      </c>
      <c r="E32" s="9">
        <v>0.0691821458969609</v>
      </c>
      <c r="F32" s="10">
        <v>0.209123952886686</v>
      </c>
      <c r="G32" s="10">
        <v>14.4676438191559</v>
      </c>
      <c r="H32" s="6">
        <v>1762</v>
      </c>
      <c r="I32" s="12">
        <v>29</v>
      </c>
      <c r="J32" s="6">
        <v>1325</v>
      </c>
      <c r="K32" s="6">
        <v>230</v>
      </c>
      <c r="L32" s="6">
        <v>102</v>
      </c>
      <c r="M32" s="6">
        <v>3448</v>
      </c>
      <c r="N32" s="115">
        <v>3.35223027842227</v>
      </c>
      <c r="S32"/>
    </row>
    <row r="33" customHeight="1" spans="1:19">
      <c r="A33" s="6" t="s">
        <v>44</v>
      </c>
      <c r="B33" s="6">
        <v>7763.44</v>
      </c>
      <c r="C33" s="6">
        <v>154846</v>
      </c>
      <c r="D33" s="6">
        <v>10250</v>
      </c>
      <c r="E33" s="9">
        <v>0.0661947999948336</v>
      </c>
      <c r="F33" s="10">
        <v>0.757408780487805</v>
      </c>
      <c r="G33" s="10">
        <v>50.1365227387211</v>
      </c>
      <c r="H33" s="6">
        <v>258</v>
      </c>
      <c r="I33" s="12">
        <v>5</v>
      </c>
      <c r="J33" s="6">
        <v>177</v>
      </c>
      <c r="K33" s="6">
        <v>50</v>
      </c>
      <c r="L33" s="6">
        <v>12</v>
      </c>
      <c r="M33" s="6">
        <v>502</v>
      </c>
      <c r="N33" s="115">
        <v>15.4650199203187</v>
      </c>
      <c r="S33"/>
    </row>
    <row r="34" customHeight="1" spans="1:19">
      <c r="A34" s="6" t="s">
        <v>45</v>
      </c>
      <c r="B34" s="6">
        <v>9073.01</v>
      </c>
      <c r="C34" s="6">
        <v>541693</v>
      </c>
      <c r="D34" s="6">
        <v>57398</v>
      </c>
      <c r="E34" s="9">
        <v>0.105960387156563</v>
      </c>
      <c r="F34" s="10">
        <v>0.158071884037771</v>
      </c>
      <c r="G34" s="10">
        <v>16.7493580312096</v>
      </c>
      <c r="H34" s="6">
        <v>1264</v>
      </c>
      <c r="I34" s="12">
        <v>21</v>
      </c>
      <c r="J34" s="6">
        <v>803</v>
      </c>
      <c r="K34" s="6">
        <v>240</v>
      </c>
      <c r="L34" s="6">
        <v>91</v>
      </c>
      <c r="M34" s="6">
        <v>2419</v>
      </c>
      <c r="N34" s="115">
        <v>3.75072757337743</v>
      </c>
      <c r="S34"/>
    </row>
    <row r="35" customHeight="1" spans="1:19">
      <c r="A35" s="6" t="s">
        <v>46</v>
      </c>
      <c r="B35" s="6">
        <v>11578.35</v>
      </c>
      <c r="C35" s="6">
        <v>788417</v>
      </c>
      <c r="D35" s="6">
        <v>59099</v>
      </c>
      <c r="E35" s="9">
        <v>0.0749590635412479</v>
      </c>
      <c r="F35" s="10">
        <v>0.195914482478553</v>
      </c>
      <c r="G35" s="10">
        <v>14.6855661407605</v>
      </c>
      <c r="H35" s="6">
        <v>1571</v>
      </c>
      <c r="I35" s="12">
        <v>45</v>
      </c>
      <c r="J35" s="6">
        <v>1219</v>
      </c>
      <c r="K35" s="6">
        <v>196</v>
      </c>
      <c r="L35" s="6">
        <v>116</v>
      </c>
      <c r="M35" s="6">
        <v>3147</v>
      </c>
      <c r="N35" s="115">
        <v>3.67917063870353</v>
      </c>
      <c r="S35"/>
    </row>
    <row r="36" customHeight="1" spans="1:19">
      <c r="A36" s="6" t="s">
        <v>47</v>
      </c>
      <c r="B36" s="6">
        <v>105.65</v>
      </c>
      <c r="C36" s="6">
        <v>8977</v>
      </c>
      <c r="D36" s="6">
        <v>987</v>
      </c>
      <c r="E36" s="9">
        <v>0.109947643979058</v>
      </c>
      <c r="F36" s="10">
        <v>0.107041540020263</v>
      </c>
      <c r="G36" s="10">
        <v>11.768965133118</v>
      </c>
      <c r="H36" s="6">
        <v>31</v>
      </c>
      <c r="I36" s="12">
        <v>3</v>
      </c>
      <c r="J36" s="6">
        <v>20</v>
      </c>
      <c r="K36" s="6">
        <v>6</v>
      </c>
      <c r="L36" s="6">
        <v>1</v>
      </c>
      <c r="M36" s="6">
        <v>61</v>
      </c>
      <c r="N36" s="115">
        <v>1.73196721311475</v>
      </c>
      <c r="S36"/>
    </row>
    <row r="37" customHeight="1" spans="1:19">
      <c r="A37" s="6" t="s">
        <v>48</v>
      </c>
      <c r="B37" s="6">
        <v>0</v>
      </c>
      <c r="C37" s="6">
        <v>0</v>
      </c>
      <c r="D37" s="6">
        <v>0</v>
      </c>
      <c r="E37" s="9" t="e">
        <v>#DIV/0!</v>
      </c>
      <c r="F37" s="10" t="e">
        <v>#DIV/0!</v>
      </c>
      <c r="G37" s="10" t="e">
        <v>#DIV/0!</v>
      </c>
      <c r="H37" s="6">
        <v>0</v>
      </c>
      <c r="I37" s="12">
        <v>0</v>
      </c>
      <c r="J37" s="6">
        <v>0</v>
      </c>
      <c r="K37" s="6">
        <v>0</v>
      </c>
      <c r="L37" s="6">
        <v>0</v>
      </c>
      <c r="M37" s="6">
        <v>0</v>
      </c>
      <c r="N37" s="115" t="e">
        <v>#DIV/0!</v>
      </c>
      <c r="S37"/>
    </row>
    <row r="38" customHeight="1" spans="1:19">
      <c r="A38" s="6" t="s">
        <v>49</v>
      </c>
      <c r="B38" s="6">
        <v>0</v>
      </c>
      <c r="C38" s="6">
        <v>0</v>
      </c>
      <c r="D38" s="6">
        <v>0</v>
      </c>
      <c r="E38" s="9" t="e">
        <v>#DIV/0!</v>
      </c>
      <c r="F38" s="10" t="e">
        <v>#DIV/0!</v>
      </c>
      <c r="G38" s="10" t="e">
        <v>#DIV/0!</v>
      </c>
      <c r="H38" s="6">
        <v>0</v>
      </c>
      <c r="I38" s="12">
        <v>0</v>
      </c>
      <c r="J38" s="6">
        <v>0</v>
      </c>
      <c r="K38" s="6">
        <v>0</v>
      </c>
      <c r="L38" s="6">
        <v>0</v>
      </c>
      <c r="M38" s="6">
        <v>0</v>
      </c>
      <c r="N38" s="115" t="e">
        <v>#DIV/0!</v>
      </c>
      <c r="S38"/>
    </row>
    <row r="39" customHeight="1" spans="1:19">
      <c r="A39" s="6" t="s">
        <v>50</v>
      </c>
      <c r="B39" s="6">
        <v>0</v>
      </c>
      <c r="C39" s="6">
        <v>0</v>
      </c>
      <c r="D39" s="6">
        <v>0</v>
      </c>
      <c r="E39" s="9" t="e">
        <v>#DIV/0!</v>
      </c>
      <c r="F39" s="10" t="e">
        <v>#DIV/0!</v>
      </c>
      <c r="G39" s="10" t="e">
        <v>#DIV/0!</v>
      </c>
      <c r="H39" s="6">
        <v>0</v>
      </c>
      <c r="I39" s="12">
        <v>0</v>
      </c>
      <c r="J39" s="6">
        <v>0</v>
      </c>
      <c r="K39" s="6">
        <v>0</v>
      </c>
      <c r="L39" s="6">
        <v>0</v>
      </c>
      <c r="M39" s="6">
        <v>0</v>
      </c>
      <c r="N39" s="115" t="e">
        <v>#DIV/0!</v>
      </c>
      <c r="S39"/>
    </row>
    <row r="40" customHeight="1" spans="1:19">
      <c r="A40" s="6" t="s">
        <v>51</v>
      </c>
      <c r="B40" s="6">
        <v>0</v>
      </c>
      <c r="C40" s="6">
        <v>0</v>
      </c>
      <c r="D40" s="6">
        <v>0</v>
      </c>
      <c r="E40" s="9" t="e">
        <v>#DIV/0!</v>
      </c>
      <c r="F40" s="10" t="e">
        <v>#DIV/0!</v>
      </c>
      <c r="G40" s="10" t="e">
        <v>#DIV/0!</v>
      </c>
      <c r="H40" s="6">
        <v>0</v>
      </c>
      <c r="I40" s="12">
        <v>0</v>
      </c>
      <c r="J40" s="6">
        <v>0</v>
      </c>
      <c r="K40" s="6">
        <v>0</v>
      </c>
      <c r="L40" s="6">
        <v>0</v>
      </c>
      <c r="M40" s="6">
        <v>0</v>
      </c>
      <c r="N40" s="115" t="e">
        <v>#DIV/0!</v>
      </c>
      <c r="S40"/>
    </row>
    <row r="41" customHeight="1" spans="1:19">
      <c r="A41" s="6" t="s">
        <v>52</v>
      </c>
      <c r="B41" s="6">
        <v>0</v>
      </c>
      <c r="C41" s="6">
        <v>0</v>
      </c>
      <c r="D41" s="6">
        <v>0</v>
      </c>
      <c r="E41" s="9" t="e">
        <v>#DIV/0!</v>
      </c>
      <c r="F41" s="10" t="e">
        <v>#DIV/0!</v>
      </c>
      <c r="G41" s="10" t="e">
        <v>#DIV/0!</v>
      </c>
      <c r="H41" s="6">
        <v>0</v>
      </c>
      <c r="I41" s="12">
        <v>0</v>
      </c>
      <c r="J41" s="6">
        <v>0</v>
      </c>
      <c r="K41" s="6">
        <v>0</v>
      </c>
      <c r="L41" s="6">
        <v>0</v>
      </c>
      <c r="M41" s="6">
        <v>0</v>
      </c>
      <c r="N41" s="115" t="e">
        <v>#DIV/0!</v>
      </c>
      <c r="S41"/>
    </row>
    <row r="42" customHeight="1" spans="1:19">
      <c r="A42" s="6" t="s">
        <v>53</v>
      </c>
      <c r="B42" s="6">
        <v>107.1</v>
      </c>
      <c r="C42" s="6">
        <v>1670</v>
      </c>
      <c r="D42" s="6">
        <v>156</v>
      </c>
      <c r="E42" s="9">
        <v>0.0934131736526946</v>
      </c>
      <c r="F42" s="10">
        <v>0.686538461538462</v>
      </c>
      <c r="G42" s="10">
        <v>64.1317365269461</v>
      </c>
      <c r="H42" s="6">
        <v>1</v>
      </c>
      <c r="I42" s="12">
        <v>0</v>
      </c>
      <c r="J42" s="6">
        <v>1</v>
      </c>
      <c r="K42" s="6">
        <v>0</v>
      </c>
      <c r="L42" s="6">
        <v>0</v>
      </c>
      <c r="M42" s="6">
        <v>2</v>
      </c>
      <c r="N42" s="115">
        <v>53.55</v>
      </c>
      <c r="S42"/>
    </row>
    <row r="43" customHeight="1" spans="1:19">
      <c r="A43" s="6" t="s">
        <v>54</v>
      </c>
      <c r="B43" s="6">
        <v>0</v>
      </c>
      <c r="C43" s="6">
        <v>0</v>
      </c>
      <c r="D43" s="6">
        <v>0</v>
      </c>
      <c r="E43" s="9" t="e">
        <v>#DIV/0!</v>
      </c>
      <c r="F43" s="10" t="e">
        <v>#DIV/0!</v>
      </c>
      <c r="G43" s="10" t="e">
        <v>#DIV/0!</v>
      </c>
      <c r="H43" s="6">
        <v>0</v>
      </c>
      <c r="I43" s="12">
        <v>0</v>
      </c>
      <c r="J43" s="6">
        <v>0</v>
      </c>
      <c r="K43" s="6">
        <v>0</v>
      </c>
      <c r="L43" s="6">
        <v>0</v>
      </c>
      <c r="M43" s="6">
        <v>0</v>
      </c>
      <c r="N43" s="115" t="e">
        <v>#DIV/0!</v>
      </c>
      <c r="S43"/>
    </row>
    <row r="44" customHeight="1" spans="1:19">
      <c r="A44" s="6" t="s">
        <v>55</v>
      </c>
      <c r="B44" s="6">
        <v>0</v>
      </c>
      <c r="C44" s="6">
        <v>0</v>
      </c>
      <c r="D44" s="6">
        <v>0</v>
      </c>
      <c r="E44" s="9" t="e">
        <v>#DIV/0!</v>
      </c>
      <c r="F44" s="10" t="e">
        <v>#DIV/0!</v>
      </c>
      <c r="G44" s="10" t="e">
        <v>#DIV/0!</v>
      </c>
      <c r="H44" s="6">
        <v>0</v>
      </c>
      <c r="I44" s="12">
        <v>0</v>
      </c>
      <c r="J44" s="6">
        <v>0</v>
      </c>
      <c r="K44" s="6">
        <v>0</v>
      </c>
      <c r="L44" s="6">
        <v>0</v>
      </c>
      <c r="M44" s="6">
        <v>0</v>
      </c>
      <c r="N44" s="115" t="e">
        <v>#DIV/0!</v>
      </c>
      <c r="S44"/>
    </row>
    <row r="45" customHeight="1" spans="1:19">
      <c r="A45" s="6" t="s">
        <v>56</v>
      </c>
      <c r="B45" s="6">
        <v>0</v>
      </c>
      <c r="C45" s="6">
        <v>0</v>
      </c>
      <c r="D45" s="6">
        <v>0</v>
      </c>
      <c r="E45" s="9" t="e">
        <v>#DIV/0!</v>
      </c>
      <c r="F45" s="10" t="e">
        <v>#DIV/0!</v>
      </c>
      <c r="G45" s="10" t="e">
        <v>#DIV/0!</v>
      </c>
      <c r="H45" s="6">
        <v>0</v>
      </c>
      <c r="I45" s="12">
        <v>0</v>
      </c>
      <c r="J45" s="6">
        <v>0</v>
      </c>
      <c r="K45" s="6">
        <v>0</v>
      </c>
      <c r="L45" s="6">
        <v>0</v>
      </c>
      <c r="M45" s="6">
        <v>0</v>
      </c>
      <c r="N45" s="115" t="e">
        <v>#DIV/0!</v>
      </c>
      <c r="S45"/>
    </row>
    <row r="46" customHeight="1" spans="1:19">
      <c r="A46" s="6" t="s">
        <v>57</v>
      </c>
      <c r="B46" s="6">
        <v>0</v>
      </c>
      <c r="C46" s="6">
        <v>0</v>
      </c>
      <c r="D46" s="6">
        <v>0</v>
      </c>
      <c r="E46" s="9" t="e">
        <v>#DIV/0!</v>
      </c>
      <c r="F46" s="10" t="e">
        <v>#DIV/0!</v>
      </c>
      <c r="G46" s="10" t="e">
        <v>#DIV/0!</v>
      </c>
      <c r="H46" s="6">
        <v>0</v>
      </c>
      <c r="I46" s="12">
        <v>0</v>
      </c>
      <c r="J46" s="6">
        <v>0</v>
      </c>
      <c r="K46" s="6">
        <v>0</v>
      </c>
      <c r="L46" s="6">
        <v>0</v>
      </c>
      <c r="M46" s="6">
        <v>0</v>
      </c>
      <c r="N46" s="115" t="e">
        <v>#DIV/0!</v>
      </c>
      <c r="S46"/>
    </row>
    <row r="47" customHeight="1" spans="1:19">
      <c r="A47" s="6" t="s">
        <v>58</v>
      </c>
      <c r="B47" s="6">
        <v>0</v>
      </c>
      <c r="C47" s="6">
        <v>0</v>
      </c>
      <c r="D47" s="6">
        <v>0</v>
      </c>
      <c r="E47" s="9" t="e">
        <v>#DIV/0!</v>
      </c>
      <c r="F47" s="10" t="e">
        <v>#DIV/0!</v>
      </c>
      <c r="G47" s="10" t="e">
        <v>#DIV/0!</v>
      </c>
      <c r="H47" s="6">
        <v>0</v>
      </c>
      <c r="I47" s="12">
        <v>0</v>
      </c>
      <c r="J47" s="6">
        <v>0</v>
      </c>
      <c r="K47" s="6">
        <v>0</v>
      </c>
      <c r="L47" s="6">
        <v>0</v>
      </c>
      <c r="M47" s="6">
        <v>0</v>
      </c>
      <c r="N47" s="115" t="e">
        <v>#DIV/0!</v>
      </c>
      <c r="S47"/>
    </row>
    <row r="48" customHeight="1" spans="1:19">
      <c r="A48" s="6" t="s">
        <v>59</v>
      </c>
      <c r="B48" s="6">
        <v>0</v>
      </c>
      <c r="C48" s="6">
        <v>0</v>
      </c>
      <c r="D48" s="6">
        <v>0</v>
      </c>
      <c r="E48" s="9" t="e">
        <v>#DIV/0!</v>
      </c>
      <c r="F48" s="10" t="e">
        <v>#DIV/0!</v>
      </c>
      <c r="G48" s="10" t="e">
        <v>#DIV/0!</v>
      </c>
      <c r="H48" s="6">
        <v>0</v>
      </c>
      <c r="I48" s="12">
        <v>0</v>
      </c>
      <c r="J48" s="6">
        <v>0</v>
      </c>
      <c r="K48" s="6">
        <v>0</v>
      </c>
      <c r="L48" s="6">
        <v>0</v>
      </c>
      <c r="M48" s="6">
        <v>0</v>
      </c>
      <c r="N48" s="115" t="e">
        <v>#DIV/0!</v>
      </c>
      <c r="S48"/>
    </row>
    <row r="49" customHeight="1" spans="1:19">
      <c r="A49" s="6" t="s">
        <v>60</v>
      </c>
      <c r="B49" s="6">
        <v>0</v>
      </c>
      <c r="C49" s="6">
        <v>0</v>
      </c>
      <c r="D49" s="6">
        <v>0</v>
      </c>
      <c r="E49" s="9" t="e">
        <v>#DIV/0!</v>
      </c>
      <c r="F49" s="10" t="e">
        <v>#DIV/0!</v>
      </c>
      <c r="G49" s="10" t="e">
        <v>#DIV/0!</v>
      </c>
      <c r="H49" s="6">
        <v>0</v>
      </c>
      <c r="I49" s="12">
        <v>0</v>
      </c>
      <c r="J49" s="6">
        <v>0</v>
      </c>
      <c r="K49" s="6">
        <v>0</v>
      </c>
      <c r="L49" s="6">
        <v>0</v>
      </c>
      <c r="M49" s="6">
        <v>0</v>
      </c>
      <c r="N49" s="115" t="e">
        <v>#DIV/0!</v>
      </c>
      <c r="S49"/>
    </row>
    <row r="50" customHeight="1" spans="1:19">
      <c r="A50" s="6" t="s">
        <v>61</v>
      </c>
      <c r="B50" s="6">
        <v>0</v>
      </c>
      <c r="C50" s="6">
        <v>0</v>
      </c>
      <c r="D50" s="6">
        <v>0</v>
      </c>
      <c r="E50" s="9" t="e">
        <v>#DIV/0!</v>
      </c>
      <c r="F50" s="10" t="e">
        <v>#DIV/0!</v>
      </c>
      <c r="G50" s="10" t="e">
        <v>#DIV/0!</v>
      </c>
      <c r="H50" s="6">
        <v>0</v>
      </c>
      <c r="I50" s="12">
        <v>0</v>
      </c>
      <c r="J50" s="6">
        <v>0</v>
      </c>
      <c r="K50" s="6">
        <v>0</v>
      </c>
      <c r="L50" s="6">
        <v>0</v>
      </c>
      <c r="M50" s="6">
        <v>0</v>
      </c>
      <c r="N50" s="115" t="e">
        <v>#DIV/0!</v>
      </c>
      <c r="S50"/>
    </row>
    <row r="51" customHeight="1" spans="1:19">
      <c r="A51" s="6" t="s">
        <v>62</v>
      </c>
      <c r="B51" s="6">
        <v>0</v>
      </c>
      <c r="C51" s="6">
        <v>0</v>
      </c>
      <c r="D51" s="6">
        <v>0</v>
      </c>
      <c r="E51" s="9" t="e">
        <v>#DIV/0!</v>
      </c>
      <c r="F51" s="10" t="e">
        <v>#DIV/0!</v>
      </c>
      <c r="G51" s="10" t="e">
        <v>#DIV/0!</v>
      </c>
      <c r="H51" s="6">
        <v>0</v>
      </c>
      <c r="I51" s="12">
        <v>0</v>
      </c>
      <c r="J51" s="6">
        <v>0</v>
      </c>
      <c r="K51" s="6">
        <v>0</v>
      </c>
      <c r="L51" s="6">
        <v>0</v>
      </c>
      <c r="M51" s="6">
        <v>0</v>
      </c>
      <c r="N51" s="115" t="e">
        <v>#DIV/0!</v>
      </c>
      <c r="S51"/>
    </row>
    <row r="52" customHeight="1" spans="1:19">
      <c r="A52" s="6" t="s">
        <v>63</v>
      </c>
      <c r="B52" s="6">
        <v>0</v>
      </c>
      <c r="C52" s="6">
        <v>0</v>
      </c>
      <c r="D52" s="6">
        <v>0</v>
      </c>
      <c r="E52" s="9" t="e">
        <v>#DIV/0!</v>
      </c>
      <c r="F52" s="10" t="e">
        <v>#DIV/0!</v>
      </c>
      <c r="G52" s="10" t="e">
        <v>#DIV/0!</v>
      </c>
      <c r="H52" s="6">
        <v>0</v>
      </c>
      <c r="I52" s="12">
        <v>0</v>
      </c>
      <c r="J52" s="6">
        <v>0</v>
      </c>
      <c r="K52" s="6">
        <v>0</v>
      </c>
      <c r="L52" s="6">
        <v>0</v>
      </c>
      <c r="M52" s="6">
        <v>0</v>
      </c>
      <c r="N52" s="115" t="e">
        <v>#DIV/0!</v>
      </c>
      <c r="S52"/>
    </row>
    <row r="53" customHeight="1" spans="1:19">
      <c r="A53" s="6" t="s">
        <v>64</v>
      </c>
      <c r="B53" s="6">
        <v>117.7</v>
      </c>
      <c r="C53" s="6">
        <v>30335</v>
      </c>
      <c r="D53" s="6">
        <v>392</v>
      </c>
      <c r="E53" s="9">
        <v>0.0129223669029174</v>
      </c>
      <c r="F53" s="10">
        <v>0.300255102040816</v>
      </c>
      <c r="G53" s="10">
        <v>3.88000659304434</v>
      </c>
      <c r="H53" s="6">
        <v>13</v>
      </c>
      <c r="I53" s="12">
        <v>0</v>
      </c>
      <c r="J53" s="6">
        <v>4</v>
      </c>
      <c r="K53" s="6">
        <v>0</v>
      </c>
      <c r="L53" s="6">
        <v>0</v>
      </c>
      <c r="M53" s="6">
        <v>17</v>
      </c>
      <c r="N53" s="115">
        <v>6.92352941176471</v>
      </c>
      <c r="S53"/>
    </row>
    <row r="54" customHeight="1" spans="1:19">
      <c r="A54" s="6" t="s">
        <v>65</v>
      </c>
      <c r="B54" s="6">
        <v>482.54</v>
      </c>
      <c r="C54" s="6">
        <v>84291</v>
      </c>
      <c r="D54" s="6">
        <v>1206</v>
      </c>
      <c r="E54" s="9">
        <v>0.0143075773214222</v>
      </c>
      <c r="F54" s="10">
        <v>0.400116086235489</v>
      </c>
      <c r="G54" s="10">
        <v>5.7246918413591</v>
      </c>
      <c r="H54" s="6">
        <v>32</v>
      </c>
      <c r="I54" s="12">
        <v>0</v>
      </c>
      <c r="J54" s="6">
        <v>8</v>
      </c>
      <c r="K54" s="6">
        <v>3</v>
      </c>
      <c r="L54" s="6">
        <v>1</v>
      </c>
      <c r="M54" s="6">
        <v>44</v>
      </c>
      <c r="N54" s="115">
        <v>10.9668181818182</v>
      </c>
      <c r="S54"/>
    </row>
    <row r="55" customHeight="1" spans="1:19">
      <c r="A55" s="6" t="s">
        <v>66</v>
      </c>
      <c r="B55" s="6">
        <v>73.76</v>
      </c>
      <c r="C55" s="6">
        <v>4470</v>
      </c>
      <c r="D55" s="6">
        <v>123</v>
      </c>
      <c r="E55" s="9">
        <v>0.0275167785234899</v>
      </c>
      <c r="F55" s="10">
        <v>0.599674796747968</v>
      </c>
      <c r="G55" s="10">
        <v>16.5011185682327</v>
      </c>
      <c r="H55" s="6">
        <v>9</v>
      </c>
      <c r="I55" s="12">
        <v>0</v>
      </c>
      <c r="J55" s="6">
        <v>1</v>
      </c>
      <c r="K55" s="6">
        <v>4</v>
      </c>
      <c r="L55" s="6">
        <v>1</v>
      </c>
      <c r="M55" s="6">
        <v>15</v>
      </c>
      <c r="N55" s="115">
        <v>4.91733333333333</v>
      </c>
      <c r="S55"/>
    </row>
    <row r="56" customHeight="1" spans="1:19">
      <c r="A56" s="6" t="s">
        <v>67</v>
      </c>
      <c r="B56" s="6">
        <v>243.74</v>
      </c>
      <c r="C56" s="6">
        <v>12232</v>
      </c>
      <c r="D56" s="6">
        <v>554</v>
      </c>
      <c r="E56" s="9">
        <v>0.0452910398953564</v>
      </c>
      <c r="F56" s="10">
        <v>0.439963898916968</v>
      </c>
      <c r="G56" s="10">
        <v>19.9264224983649</v>
      </c>
      <c r="H56" s="6">
        <v>18</v>
      </c>
      <c r="I56" s="12">
        <v>0</v>
      </c>
      <c r="J56" s="6">
        <v>6</v>
      </c>
      <c r="K56" s="6">
        <v>5</v>
      </c>
      <c r="L56" s="6">
        <v>0</v>
      </c>
      <c r="M56" s="6">
        <v>29</v>
      </c>
      <c r="N56" s="115">
        <v>8.4048275862069</v>
      </c>
      <c r="S56"/>
    </row>
    <row r="57" customHeight="1" spans="1:19">
      <c r="A57" s="6" t="s">
        <v>68</v>
      </c>
      <c r="B57" s="6">
        <v>327.67</v>
      </c>
      <c r="C57" s="6">
        <v>15000</v>
      </c>
      <c r="D57" s="6">
        <v>659</v>
      </c>
      <c r="E57" s="9">
        <v>0.0439333333333333</v>
      </c>
      <c r="F57" s="10">
        <v>0.497223065250379</v>
      </c>
      <c r="G57" s="10">
        <v>21.8446666666667</v>
      </c>
      <c r="H57" s="6">
        <v>14</v>
      </c>
      <c r="I57" s="12">
        <v>0</v>
      </c>
      <c r="J57" s="6">
        <v>4</v>
      </c>
      <c r="K57" s="6">
        <v>11</v>
      </c>
      <c r="L57" s="6">
        <v>2</v>
      </c>
      <c r="M57" s="6">
        <v>31</v>
      </c>
      <c r="N57" s="115">
        <v>10.57</v>
      </c>
      <c r="S57"/>
    </row>
    <row r="58" customHeight="1" spans="1:19">
      <c r="A58" s="6" t="s">
        <v>69</v>
      </c>
      <c r="B58" s="6">
        <v>70.71</v>
      </c>
      <c r="C58" s="6">
        <v>3378</v>
      </c>
      <c r="D58" s="6">
        <v>151</v>
      </c>
      <c r="E58" s="9">
        <v>0.0447010065127294</v>
      </c>
      <c r="F58" s="10">
        <v>0.468278145695364</v>
      </c>
      <c r="G58" s="10">
        <v>20.9325044404973</v>
      </c>
      <c r="H58" s="6">
        <v>7</v>
      </c>
      <c r="I58" s="12">
        <v>0</v>
      </c>
      <c r="J58" s="6">
        <v>1</v>
      </c>
      <c r="K58" s="6">
        <v>3</v>
      </c>
      <c r="L58" s="6">
        <v>0</v>
      </c>
      <c r="M58" s="6">
        <v>11</v>
      </c>
      <c r="N58" s="115">
        <v>6.42818181818182</v>
      </c>
      <c r="S58"/>
    </row>
    <row r="59" customHeight="1" spans="1:19">
      <c r="A59" s="6" t="s">
        <v>70</v>
      </c>
      <c r="B59" s="6">
        <v>302.25</v>
      </c>
      <c r="C59" s="6">
        <v>61840</v>
      </c>
      <c r="D59" s="6">
        <v>2311</v>
      </c>
      <c r="E59" s="9">
        <v>0.0373706338939198</v>
      </c>
      <c r="F59" s="10">
        <v>0.130787537862397</v>
      </c>
      <c r="G59" s="10">
        <v>4.88761319534282</v>
      </c>
      <c r="H59" s="6">
        <v>95</v>
      </c>
      <c r="I59" s="12">
        <v>4</v>
      </c>
      <c r="J59" s="6">
        <v>56</v>
      </c>
      <c r="K59" s="6">
        <v>9</v>
      </c>
      <c r="L59" s="6">
        <v>1</v>
      </c>
      <c r="M59" s="6">
        <v>165</v>
      </c>
      <c r="N59" s="115">
        <v>1.83181818181818</v>
      </c>
      <c r="S59"/>
    </row>
    <row r="60" customHeight="1" spans="1:19">
      <c r="A60" s="6" t="s">
        <v>71</v>
      </c>
      <c r="B60" s="6">
        <v>604.78</v>
      </c>
      <c r="C60" s="6">
        <v>57933</v>
      </c>
      <c r="D60" s="6">
        <v>4017</v>
      </c>
      <c r="E60" s="9">
        <v>0.0693387188648957</v>
      </c>
      <c r="F60" s="10">
        <v>0.150555140652228</v>
      </c>
      <c r="G60" s="10">
        <v>10.4393005713497</v>
      </c>
      <c r="H60" s="6">
        <v>222</v>
      </c>
      <c r="I60" s="12">
        <v>5</v>
      </c>
      <c r="J60" s="6">
        <v>148</v>
      </c>
      <c r="K60" s="6">
        <v>13</v>
      </c>
      <c r="L60" s="6">
        <v>7</v>
      </c>
      <c r="M60" s="6">
        <v>395</v>
      </c>
      <c r="N60" s="115">
        <v>1.53108860759494</v>
      </c>
      <c r="S60"/>
    </row>
    <row r="61" customHeight="1" spans="1:19">
      <c r="A61" s="6" t="s">
        <v>72</v>
      </c>
      <c r="B61" s="6">
        <v>1596.4</v>
      </c>
      <c r="C61" s="6">
        <v>91559</v>
      </c>
      <c r="D61" s="6">
        <v>7696</v>
      </c>
      <c r="E61" s="9">
        <v>0.084055090160443</v>
      </c>
      <c r="F61" s="10">
        <v>0.207432432432432</v>
      </c>
      <c r="G61" s="10">
        <v>17.4357518103081</v>
      </c>
      <c r="H61" s="6">
        <v>531</v>
      </c>
      <c r="I61" s="12">
        <v>10</v>
      </c>
      <c r="J61" s="6">
        <v>365</v>
      </c>
      <c r="K61" s="6">
        <v>50</v>
      </c>
      <c r="L61" s="6">
        <v>13</v>
      </c>
      <c r="M61" s="6">
        <v>969</v>
      </c>
      <c r="N61" s="115">
        <v>1.64747162022704</v>
      </c>
      <c r="S61"/>
    </row>
    <row r="62" customHeight="1" spans="1:19">
      <c r="A62" s="6" t="s">
        <v>73</v>
      </c>
      <c r="B62" s="6">
        <v>902.28</v>
      </c>
      <c r="C62" s="6">
        <v>102707</v>
      </c>
      <c r="D62" s="6">
        <v>7418</v>
      </c>
      <c r="E62" s="9">
        <v>0.0722248726961161</v>
      </c>
      <c r="F62" s="10">
        <v>0.121633863575088</v>
      </c>
      <c r="G62" s="10">
        <v>8.78499031224746</v>
      </c>
      <c r="H62" s="6">
        <v>368</v>
      </c>
      <c r="I62" s="12">
        <v>2</v>
      </c>
      <c r="J62" s="6">
        <v>207</v>
      </c>
      <c r="K62" s="6">
        <v>37</v>
      </c>
      <c r="L62" s="6">
        <v>7</v>
      </c>
      <c r="M62" s="6">
        <v>621</v>
      </c>
      <c r="N62" s="115">
        <v>1.45294685990338</v>
      </c>
      <c r="S62"/>
    </row>
    <row r="63" customHeight="1" spans="1:19">
      <c r="A63" s="6" t="s">
        <v>74</v>
      </c>
      <c r="B63" s="6">
        <v>1284.63</v>
      </c>
      <c r="C63" s="6">
        <v>203950</v>
      </c>
      <c r="D63" s="6">
        <v>12495</v>
      </c>
      <c r="E63" s="9">
        <v>0.0612650159352783</v>
      </c>
      <c r="F63" s="10">
        <v>0.102811524609844</v>
      </c>
      <c r="G63" s="10">
        <v>6.29874969355234</v>
      </c>
      <c r="H63" s="6">
        <v>467</v>
      </c>
      <c r="I63" s="12">
        <v>11</v>
      </c>
      <c r="J63" s="6">
        <v>264</v>
      </c>
      <c r="K63" s="6">
        <v>33</v>
      </c>
      <c r="L63" s="6">
        <v>18</v>
      </c>
      <c r="M63" s="6">
        <v>793</v>
      </c>
      <c r="N63" s="115">
        <v>1.61996216897856</v>
      </c>
      <c r="S63"/>
    </row>
    <row r="64" customHeight="1" spans="1:19">
      <c r="A64" s="6" t="s">
        <v>75</v>
      </c>
      <c r="B64" s="6">
        <v>629.99</v>
      </c>
      <c r="C64" s="6">
        <v>84879</v>
      </c>
      <c r="D64" s="6">
        <v>5901</v>
      </c>
      <c r="E64" s="9">
        <v>0.0695224967306401</v>
      </c>
      <c r="F64" s="10">
        <v>0.10675987120827</v>
      </c>
      <c r="G64" s="10">
        <v>7.42221279704049</v>
      </c>
      <c r="H64" s="6">
        <v>251</v>
      </c>
      <c r="I64" s="12">
        <v>2</v>
      </c>
      <c r="J64" s="6">
        <v>160</v>
      </c>
      <c r="K64" s="6">
        <v>35</v>
      </c>
      <c r="L64" s="6">
        <v>8</v>
      </c>
      <c r="M64" s="6">
        <v>456</v>
      </c>
      <c r="N64" s="115">
        <v>1.38155701754386</v>
      </c>
      <c r="S64"/>
    </row>
    <row r="65" customHeight="1" spans="1:19">
      <c r="A65" s="6" t="s">
        <v>76</v>
      </c>
      <c r="B65" s="6">
        <v>642.78</v>
      </c>
      <c r="C65" s="6">
        <v>46172</v>
      </c>
      <c r="D65" s="6">
        <v>2799</v>
      </c>
      <c r="E65" s="9">
        <v>0.0606211556787664</v>
      </c>
      <c r="F65" s="10">
        <v>0.229646302250804</v>
      </c>
      <c r="G65" s="10">
        <v>13.921424239799</v>
      </c>
      <c r="H65" s="6">
        <v>88</v>
      </c>
      <c r="I65" s="12">
        <v>0</v>
      </c>
      <c r="J65" s="6">
        <v>43</v>
      </c>
      <c r="K65" s="6">
        <v>9</v>
      </c>
      <c r="L65" s="6">
        <v>3</v>
      </c>
      <c r="M65" s="6">
        <v>143</v>
      </c>
      <c r="N65" s="115">
        <v>4.49496503496504</v>
      </c>
      <c r="S65"/>
    </row>
    <row r="66" customHeight="1" spans="1:19">
      <c r="A66" s="6" t="s">
        <v>77</v>
      </c>
      <c r="B66" s="6">
        <v>1538.42</v>
      </c>
      <c r="C66" s="6">
        <v>91100</v>
      </c>
      <c r="D66" s="6">
        <v>5327</v>
      </c>
      <c r="E66" s="9">
        <v>0.0584742041712404</v>
      </c>
      <c r="F66" s="10">
        <v>0.288796696076591</v>
      </c>
      <c r="G66" s="10">
        <v>16.8871569703622</v>
      </c>
      <c r="H66" s="6">
        <v>164</v>
      </c>
      <c r="I66" s="12">
        <v>4</v>
      </c>
      <c r="J66" s="6">
        <v>72</v>
      </c>
      <c r="K66" s="6">
        <v>22</v>
      </c>
      <c r="L66" s="6">
        <v>11</v>
      </c>
      <c r="M66" s="6">
        <v>273</v>
      </c>
      <c r="N66" s="115">
        <v>5.6352380952381</v>
      </c>
      <c r="S66"/>
    </row>
    <row r="67" customHeight="1" spans="1:19">
      <c r="A67" s="6" t="s">
        <v>78</v>
      </c>
      <c r="B67" s="6">
        <v>833.45</v>
      </c>
      <c r="C67" s="6">
        <v>45980</v>
      </c>
      <c r="D67" s="6">
        <v>2261</v>
      </c>
      <c r="E67" s="9">
        <v>0.0491735537190083</v>
      </c>
      <c r="F67" s="10">
        <v>0.368620079610792</v>
      </c>
      <c r="G67" s="10">
        <v>18.1263592866464</v>
      </c>
      <c r="H67" s="6">
        <v>90</v>
      </c>
      <c r="I67" s="12">
        <v>4</v>
      </c>
      <c r="J67" s="6">
        <v>33</v>
      </c>
      <c r="K67" s="6">
        <v>0</v>
      </c>
      <c r="L67" s="6">
        <v>7</v>
      </c>
      <c r="M67" s="6">
        <v>134</v>
      </c>
      <c r="N67" s="115">
        <v>6.21977611940299</v>
      </c>
      <c r="S67"/>
    </row>
    <row r="68" customHeight="1" spans="1:19">
      <c r="A68" s="6" t="s">
        <v>79</v>
      </c>
      <c r="B68" s="6">
        <v>957.22</v>
      </c>
      <c r="C68" s="6">
        <v>156382</v>
      </c>
      <c r="D68" s="6">
        <v>7079</v>
      </c>
      <c r="E68" s="9">
        <v>0.0452673581358468</v>
      </c>
      <c r="F68" s="10">
        <v>0.135219663794321</v>
      </c>
      <c r="G68" s="10">
        <v>6.12103694798634</v>
      </c>
      <c r="H68" s="6">
        <v>345</v>
      </c>
      <c r="I68" s="12">
        <v>1</v>
      </c>
      <c r="J68" s="6">
        <v>222</v>
      </c>
      <c r="K68" s="6">
        <v>17</v>
      </c>
      <c r="L68" s="6">
        <v>16</v>
      </c>
      <c r="M68" s="6">
        <v>601</v>
      </c>
      <c r="N68" s="115">
        <v>1.59271214642263</v>
      </c>
      <c r="S68"/>
    </row>
    <row r="69" customHeight="1" spans="1:19">
      <c r="A69" s="6" t="s">
        <v>80</v>
      </c>
      <c r="B69" s="6">
        <v>1822.68</v>
      </c>
      <c r="C69" s="6">
        <v>247606</v>
      </c>
      <c r="D69" s="6">
        <v>12297</v>
      </c>
      <c r="E69" s="9">
        <v>0.0496635784270171</v>
      </c>
      <c r="F69" s="10">
        <v>0.148221517443279</v>
      </c>
      <c r="G69" s="10">
        <v>7.36121095611577</v>
      </c>
      <c r="H69" s="6">
        <v>516</v>
      </c>
      <c r="I69" s="12">
        <v>10</v>
      </c>
      <c r="J69" s="6">
        <v>379</v>
      </c>
      <c r="K69" s="6">
        <v>43</v>
      </c>
      <c r="L69" s="6">
        <v>27</v>
      </c>
      <c r="M69" s="6">
        <v>975</v>
      </c>
      <c r="N69" s="115">
        <v>1.86941538461538</v>
      </c>
      <c r="S69"/>
    </row>
    <row r="70" customHeight="1" spans="1:19">
      <c r="A70" s="6" t="s">
        <v>81</v>
      </c>
      <c r="B70" s="6">
        <v>1800.78</v>
      </c>
      <c r="C70" s="6">
        <v>191527</v>
      </c>
      <c r="D70" s="6">
        <v>8493</v>
      </c>
      <c r="E70" s="9">
        <v>0.04434361734899</v>
      </c>
      <c r="F70" s="10">
        <v>0.212031084422466</v>
      </c>
      <c r="G70" s="10">
        <v>9.4022252737212</v>
      </c>
      <c r="H70" s="6">
        <v>398</v>
      </c>
      <c r="I70" s="12">
        <v>8</v>
      </c>
      <c r="J70" s="6">
        <v>268</v>
      </c>
      <c r="K70" s="6">
        <v>45</v>
      </c>
      <c r="L70" s="6">
        <v>16</v>
      </c>
      <c r="M70" s="6">
        <v>735</v>
      </c>
      <c r="N70" s="115">
        <v>2.45004081632653</v>
      </c>
      <c r="S70"/>
    </row>
    <row r="71" customHeight="1" spans="1:19">
      <c r="A71" s="6" t="s">
        <v>82</v>
      </c>
      <c r="B71" s="6">
        <v>1966.88</v>
      </c>
      <c r="C71" s="6">
        <v>208035</v>
      </c>
      <c r="D71" s="6">
        <v>10467</v>
      </c>
      <c r="E71" s="9">
        <v>0.0503136491455765</v>
      </c>
      <c r="F71" s="10">
        <v>0.187912486863476</v>
      </c>
      <c r="G71" s="10">
        <v>9.45456293412166</v>
      </c>
      <c r="H71" s="6">
        <v>431</v>
      </c>
      <c r="I71" s="12">
        <v>7</v>
      </c>
      <c r="J71" s="6">
        <v>246</v>
      </c>
      <c r="K71" s="6">
        <v>46</v>
      </c>
      <c r="L71" s="6">
        <v>19</v>
      </c>
      <c r="M71" s="6">
        <v>749</v>
      </c>
      <c r="N71" s="115">
        <v>2.62600801068091</v>
      </c>
      <c r="S71"/>
    </row>
    <row r="72" customHeight="1" spans="1:19">
      <c r="A72" s="6" t="s">
        <v>83</v>
      </c>
      <c r="B72" s="6">
        <v>2384.34</v>
      </c>
      <c r="C72" s="6">
        <v>232526</v>
      </c>
      <c r="D72" s="6">
        <v>11947</v>
      </c>
      <c r="E72" s="9">
        <v>0.0513792006055237</v>
      </c>
      <c r="F72" s="10">
        <v>0.199576462710304</v>
      </c>
      <c r="G72" s="10">
        <v>10.2540791137335</v>
      </c>
      <c r="H72" s="6">
        <v>539</v>
      </c>
      <c r="I72" s="12">
        <v>9</v>
      </c>
      <c r="J72" s="6">
        <v>364</v>
      </c>
      <c r="K72" s="6">
        <v>60</v>
      </c>
      <c r="L72" s="6">
        <v>28</v>
      </c>
      <c r="M72" s="6">
        <v>1000</v>
      </c>
      <c r="N72" s="115">
        <v>2.38434</v>
      </c>
      <c r="S72"/>
    </row>
    <row r="73" customHeight="1" spans="1:19">
      <c r="A73" s="6" t="s">
        <v>84</v>
      </c>
      <c r="B73" s="6">
        <v>2974.16</v>
      </c>
      <c r="C73" s="6">
        <v>218159</v>
      </c>
      <c r="D73" s="6">
        <v>13791</v>
      </c>
      <c r="E73" s="9">
        <v>0.0632153612731998</v>
      </c>
      <c r="F73" s="10">
        <v>0.215659488071931</v>
      </c>
      <c r="G73" s="10">
        <v>13.6329924504604</v>
      </c>
      <c r="H73" s="6">
        <v>673</v>
      </c>
      <c r="I73" s="12">
        <v>10</v>
      </c>
      <c r="J73" s="6">
        <v>498</v>
      </c>
      <c r="K73" s="6">
        <v>46</v>
      </c>
      <c r="L73" s="6">
        <v>14</v>
      </c>
      <c r="M73" s="6">
        <v>1241</v>
      </c>
      <c r="N73" s="115">
        <v>2.39658340048348</v>
      </c>
      <c r="S73"/>
    </row>
    <row r="74" customHeight="1" spans="1:19">
      <c r="A74" s="6" t="s">
        <v>85</v>
      </c>
      <c r="B74" s="6">
        <v>1836.59</v>
      </c>
      <c r="C74" s="6">
        <v>189196</v>
      </c>
      <c r="D74" s="6">
        <v>8767</v>
      </c>
      <c r="E74" s="9">
        <v>0.0463381889680543</v>
      </c>
      <c r="F74" s="10">
        <v>0.209488992813961</v>
      </c>
      <c r="G74" s="10">
        <v>9.70734053574071</v>
      </c>
      <c r="H74" s="6">
        <v>240</v>
      </c>
      <c r="I74" s="12">
        <v>7</v>
      </c>
      <c r="J74" s="6">
        <v>104</v>
      </c>
      <c r="K74" s="6">
        <v>20</v>
      </c>
      <c r="L74" s="6">
        <v>8</v>
      </c>
      <c r="M74" s="6">
        <v>379</v>
      </c>
      <c r="N74" s="115">
        <v>4.84588390501319</v>
      </c>
      <c r="S74"/>
    </row>
    <row r="75" customHeight="1" spans="1:19">
      <c r="A75" s="6" t="s">
        <v>86</v>
      </c>
      <c r="B75" s="6">
        <v>1822.51</v>
      </c>
      <c r="C75" s="6">
        <v>151377</v>
      </c>
      <c r="D75" s="6">
        <v>6432</v>
      </c>
      <c r="E75" s="9">
        <v>0.042489942329416</v>
      </c>
      <c r="F75" s="10">
        <v>0.283350435323383</v>
      </c>
      <c r="G75" s="10">
        <v>12.0395436559055</v>
      </c>
      <c r="H75" s="6">
        <v>303</v>
      </c>
      <c r="I75" s="12">
        <v>6</v>
      </c>
      <c r="J75" s="6">
        <v>227</v>
      </c>
      <c r="K75" s="6">
        <v>32</v>
      </c>
      <c r="L75" s="6">
        <v>6</v>
      </c>
      <c r="M75" s="6">
        <v>574</v>
      </c>
      <c r="N75" s="115">
        <v>3.17510452961673</v>
      </c>
      <c r="S75"/>
    </row>
    <row r="76" customHeight="1" spans="1:19">
      <c r="A76" s="6" t="s">
        <v>87</v>
      </c>
      <c r="B76" s="6">
        <v>1332.13</v>
      </c>
      <c r="C76" s="6">
        <v>95665</v>
      </c>
      <c r="D76" s="6">
        <v>4530</v>
      </c>
      <c r="E76" s="9">
        <v>0.0473527413369571</v>
      </c>
      <c r="F76" s="10">
        <v>0.294068432671082</v>
      </c>
      <c r="G76" s="10">
        <v>13.9249464276381</v>
      </c>
      <c r="H76" s="6">
        <v>283</v>
      </c>
      <c r="I76" s="12">
        <v>6</v>
      </c>
      <c r="J76" s="6">
        <v>255</v>
      </c>
      <c r="K76" s="6">
        <v>38</v>
      </c>
      <c r="L76" s="6">
        <v>5</v>
      </c>
      <c r="M76" s="6">
        <v>587</v>
      </c>
      <c r="N76" s="115">
        <v>2.2693867120954</v>
      </c>
      <c r="S76"/>
    </row>
    <row r="77" customHeight="1" spans="1:19">
      <c r="A77" s="6" t="s">
        <v>88</v>
      </c>
      <c r="B77" s="6">
        <v>726.94</v>
      </c>
      <c r="C77" s="6">
        <v>63857</v>
      </c>
      <c r="D77" s="6">
        <v>3286</v>
      </c>
      <c r="E77" s="9">
        <v>0.0514587280955886</v>
      </c>
      <c r="F77" s="10">
        <v>0.221223371880706</v>
      </c>
      <c r="G77" s="10">
        <v>11.3838733419985</v>
      </c>
      <c r="H77" s="6">
        <v>158</v>
      </c>
      <c r="I77" s="12">
        <v>3</v>
      </c>
      <c r="J77" s="6">
        <v>113</v>
      </c>
      <c r="K77" s="6">
        <v>19</v>
      </c>
      <c r="L77" s="6">
        <v>8</v>
      </c>
      <c r="M77" s="6">
        <v>301</v>
      </c>
      <c r="N77" s="115">
        <v>2.41508305647841</v>
      </c>
      <c r="S77"/>
    </row>
    <row r="78" customHeight="1" spans="1:19">
      <c r="A78" s="6" t="s">
        <v>89</v>
      </c>
      <c r="B78" s="6">
        <v>1708.75</v>
      </c>
      <c r="C78" s="6">
        <v>129269</v>
      </c>
      <c r="D78" s="6">
        <v>6559</v>
      </c>
      <c r="E78" s="9">
        <v>0.0507391563329182</v>
      </c>
      <c r="F78" s="10">
        <v>0.260519896325659</v>
      </c>
      <c r="G78" s="10">
        <v>13.2185597475033</v>
      </c>
      <c r="H78" s="6">
        <v>241</v>
      </c>
      <c r="I78" s="12">
        <v>2</v>
      </c>
      <c r="J78" s="6">
        <v>174</v>
      </c>
      <c r="K78" s="6">
        <v>15</v>
      </c>
      <c r="L78" s="6">
        <v>10</v>
      </c>
      <c r="M78" s="6">
        <v>442</v>
      </c>
      <c r="N78" s="115">
        <v>3.86595022624434</v>
      </c>
      <c r="S78"/>
    </row>
    <row r="79" customHeight="1" spans="1:19">
      <c r="A79" s="6" t="s">
        <v>90</v>
      </c>
      <c r="B79" s="6">
        <v>1383.53</v>
      </c>
      <c r="C79" s="6">
        <v>125472</v>
      </c>
      <c r="D79" s="6">
        <v>5920</v>
      </c>
      <c r="E79" s="9">
        <v>0.0471818413669982</v>
      </c>
      <c r="F79" s="10">
        <v>0.233704391891892</v>
      </c>
      <c r="G79" s="10">
        <v>11.026603545014</v>
      </c>
      <c r="H79" s="6">
        <v>287</v>
      </c>
      <c r="I79" s="12">
        <v>6</v>
      </c>
      <c r="J79" s="6">
        <v>206</v>
      </c>
      <c r="K79" s="6">
        <v>11</v>
      </c>
      <c r="L79" s="6">
        <v>16</v>
      </c>
      <c r="M79" s="6">
        <v>526</v>
      </c>
      <c r="N79" s="115">
        <v>2.63028517110266</v>
      </c>
      <c r="S79"/>
    </row>
    <row r="80" customHeight="1" spans="1:19">
      <c r="A80" s="6" t="s">
        <v>91</v>
      </c>
      <c r="B80" s="6">
        <v>2190.18</v>
      </c>
      <c r="C80" s="6">
        <v>257647</v>
      </c>
      <c r="D80" s="6">
        <v>10740</v>
      </c>
      <c r="E80" s="9">
        <v>0.0416849410239591</v>
      </c>
      <c r="F80" s="10">
        <v>0.203927374301676</v>
      </c>
      <c r="G80" s="10">
        <v>8.5007005709362</v>
      </c>
      <c r="H80" s="6">
        <v>484</v>
      </c>
      <c r="I80" s="12">
        <v>8</v>
      </c>
      <c r="J80" s="6">
        <v>334</v>
      </c>
      <c r="K80" s="6">
        <v>31</v>
      </c>
      <c r="L80" s="6">
        <v>38</v>
      </c>
      <c r="M80" s="6">
        <v>895</v>
      </c>
      <c r="N80" s="115">
        <v>2.44712849162011</v>
      </c>
      <c r="S80"/>
    </row>
    <row r="81" customHeight="1" spans="1:19">
      <c r="A81" s="6" t="s">
        <v>92</v>
      </c>
      <c r="B81" s="6">
        <v>1583.49</v>
      </c>
      <c r="C81" s="6">
        <v>164279</v>
      </c>
      <c r="D81" s="6">
        <v>8664</v>
      </c>
      <c r="E81" s="9">
        <v>0.0527395467466931</v>
      </c>
      <c r="F81" s="10">
        <v>0.182766620498615</v>
      </c>
      <c r="G81" s="10">
        <v>9.63902872552183</v>
      </c>
      <c r="H81" s="6">
        <v>348</v>
      </c>
      <c r="I81" s="12">
        <v>4</v>
      </c>
      <c r="J81" s="6">
        <v>266</v>
      </c>
      <c r="K81" s="6">
        <v>16</v>
      </c>
      <c r="L81" s="6">
        <v>24</v>
      </c>
      <c r="M81" s="6">
        <v>658</v>
      </c>
      <c r="N81" s="115">
        <v>2.40651975683891</v>
      </c>
      <c r="S81"/>
    </row>
    <row r="82" customHeight="1" spans="1:19">
      <c r="A82" s="6" t="s">
        <v>93</v>
      </c>
      <c r="B82" s="6">
        <v>1295.8</v>
      </c>
      <c r="C82" s="6">
        <v>151484</v>
      </c>
      <c r="D82" s="6">
        <v>7922</v>
      </c>
      <c r="E82" s="9">
        <v>0.052295952047741</v>
      </c>
      <c r="F82" s="10">
        <v>0.163569805604645</v>
      </c>
      <c r="G82" s="10">
        <v>8.55403871035885</v>
      </c>
      <c r="H82" s="6">
        <v>324</v>
      </c>
      <c r="I82" s="12">
        <v>4</v>
      </c>
      <c r="J82" s="6">
        <v>249</v>
      </c>
      <c r="K82" s="6">
        <v>20</v>
      </c>
      <c r="L82" s="6">
        <v>74</v>
      </c>
      <c r="M82" s="6">
        <v>671</v>
      </c>
      <c r="N82" s="115">
        <v>1.93114754098361</v>
      </c>
      <c r="S82"/>
    </row>
    <row r="83" customHeight="1" spans="1:19">
      <c r="A83" s="6" t="s">
        <v>94</v>
      </c>
      <c r="B83" s="6">
        <v>2006.64</v>
      </c>
      <c r="C83" s="6">
        <v>202487</v>
      </c>
      <c r="D83" s="6">
        <v>10404</v>
      </c>
      <c r="E83" s="9">
        <v>0.0513810763160104</v>
      </c>
      <c r="F83" s="10">
        <v>0.192871972318339</v>
      </c>
      <c r="G83" s="10">
        <v>9.90996952890803</v>
      </c>
      <c r="H83" s="6">
        <v>424</v>
      </c>
      <c r="I83" s="12">
        <v>7</v>
      </c>
      <c r="J83" s="6">
        <v>313</v>
      </c>
      <c r="K83" s="6">
        <v>23</v>
      </c>
      <c r="L83" s="6">
        <v>41</v>
      </c>
      <c r="M83" s="6">
        <v>808</v>
      </c>
      <c r="N83" s="115">
        <v>2.48346534653465</v>
      </c>
      <c r="S83"/>
    </row>
    <row r="84" customHeight="1" spans="1:19">
      <c r="A84" s="6" t="s">
        <v>95</v>
      </c>
      <c r="B84" s="6">
        <v>1454.11</v>
      </c>
      <c r="C84" s="6">
        <v>168454</v>
      </c>
      <c r="D84" s="6">
        <v>8578</v>
      </c>
      <c r="E84" s="9">
        <v>0.050921913400691</v>
      </c>
      <c r="F84" s="10">
        <v>0.169516204243413</v>
      </c>
      <c r="G84" s="10">
        <v>8.63208947249694</v>
      </c>
      <c r="H84" s="6">
        <v>335</v>
      </c>
      <c r="I84" s="12">
        <v>1</v>
      </c>
      <c r="J84" s="6">
        <v>255</v>
      </c>
      <c r="K84" s="6">
        <v>21</v>
      </c>
      <c r="L84" s="6">
        <v>37</v>
      </c>
      <c r="M84" s="6">
        <v>649</v>
      </c>
      <c r="N84" s="115">
        <v>2.24053929121726</v>
      </c>
      <c r="S84"/>
    </row>
    <row r="85" customHeight="1" spans="1:19">
      <c r="A85" s="6" t="s">
        <v>96</v>
      </c>
      <c r="B85" s="6">
        <v>1318.29</v>
      </c>
      <c r="C85" s="6">
        <v>110452</v>
      </c>
      <c r="D85" s="6">
        <v>6188</v>
      </c>
      <c r="E85" s="9">
        <v>0.0560243363633071</v>
      </c>
      <c r="F85" s="10">
        <v>0.213039754363284</v>
      </c>
      <c r="G85" s="10">
        <v>11.9354108572049</v>
      </c>
      <c r="H85" s="6">
        <v>295</v>
      </c>
      <c r="I85" s="12">
        <v>5</v>
      </c>
      <c r="J85" s="6">
        <v>231</v>
      </c>
      <c r="K85" s="6">
        <v>28</v>
      </c>
      <c r="L85" s="6">
        <v>11</v>
      </c>
      <c r="M85" s="6">
        <v>570</v>
      </c>
      <c r="N85" s="115">
        <v>2.31278947368421</v>
      </c>
      <c r="S85"/>
    </row>
    <row r="86" customHeight="1" spans="1:19">
      <c r="A86" s="6" t="s">
        <v>97</v>
      </c>
      <c r="B86" s="6">
        <v>2697.29</v>
      </c>
      <c r="C86" s="6">
        <v>287436</v>
      </c>
      <c r="D86" s="6">
        <v>14545</v>
      </c>
      <c r="E86" s="9">
        <v>0.05060256891969</v>
      </c>
      <c r="F86" s="10">
        <v>0.185444482640083</v>
      </c>
      <c r="G86" s="10">
        <v>9.38396721357102</v>
      </c>
      <c r="H86" s="6">
        <v>410</v>
      </c>
      <c r="I86" s="12">
        <v>10</v>
      </c>
      <c r="J86" s="6">
        <v>300</v>
      </c>
      <c r="K86" s="6">
        <v>22</v>
      </c>
      <c r="L86" s="6">
        <v>64</v>
      </c>
      <c r="M86" s="6">
        <v>806</v>
      </c>
      <c r="N86" s="115">
        <v>3.34651364764268</v>
      </c>
      <c r="S86"/>
    </row>
    <row r="87" customHeight="1" spans="1:19">
      <c r="A87" s="6" t="s">
        <v>98</v>
      </c>
      <c r="B87" s="6">
        <v>2048.78</v>
      </c>
      <c r="C87" s="6">
        <v>275532</v>
      </c>
      <c r="D87" s="6">
        <v>10257</v>
      </c>
      <c r="E87" s="9">
        <v>0.0372261661077479</v>
      </c>
      <c r="F87" s="10">
        <v>0.199744564687531</v>
      </c>
      <c r="G87" s="10">
        <v>7.43572434417781</v>
      </c>
      <c r="H87" s="6">
        <v>347</v>
      </c>
      <c r="I87" s="12">
        <v>7</v>
      </c>
      <c r="J87" s="6">
        <v>226</v>
      </c>
      <c r="K87" s="6">
        <v>4</v>
      </c>
      <c r="L87" s="6">
        <v>90</v>
      </c>
      <c r="M87" s="6">
        <v>674</v>
      </c>
      <c r="N87" s="115">
        <v>3.03973293768546</v>
      </c>
      <c r="S87"/>
    </row>
    <row r="88" customHeight="1" spans="1:19">
      <c r="A88" s="6" t="s">
        <v>99</v>
      </c>
      <c r="B88" s="6">
        <v>4713.2</v>
      </c>
      <c r="C88" s="6">
        <v>340378</v>
      </c>
      <c r="D88" s="6">
        <v>16017</v>
      </c>
      <c r="E88" s="9">
        <v>0.0470565077648967</v>
      </c>
      <c r="F88" s="10">
        <v>0.294262346257102</v>
      </c>
      <c r="G88" s="10">
        <v>13.846958381564</v>
      </c>
      <c r="H88" s="6">
        <v>355</v>
      </c>
      <c r="I88" s="12">
        <v>9</v>
      </c>
      <c r="J88" s="6">
        <v>203</v>
      </c>
      <c r="K88" s="6">
        <v>49</v>
      </c>
      <c r="L88" s="6">
        <v>22</v>
      </c>
      <c r="M88" s="6">
        <v>638</v>
      </c>
      <c r="N88" s="115">
        <v>7.38746081504702</v>
      </c>
      <c r="S88"/>
    </row>
    <row r="89" customHeight="1" spans="1:19">
      <c r="A89" s="6" t="s">
        <v>100</v>
      </c>
      <c r="B89" s="6">
        <v>4163.72</v>
      </c>
      <c r="C89" s="6">
        <v>282813</v>
      </c>
      <c r="D89" s="6">
        <v>15581</v>
      </c>
      <c r="E89" s="9">
        <v>0.055092941272148</v>
      </c>
      <c r="F89" s="10">
        <v>0.267230601373468</v>
      </c>
      <c r="G89" s="10">
        <v>14.7225198275893</v>
      </c>
      <c r="H89" s="6">
        <v>367</v>
      </c>
      <c r="I89" s="12">
        <v>6</v>
      </c>
      <c r="J89" s="6">
        <v>197</v>
      </c>
      <c r="K89" s="6">
        <v>43</v>
      </c>
      <c r="L89" s="6">
        <v>18</v>
      </c>
      <c r="M89" s="6">
        <v>631</v>
      </c>
      <c r="N89" s="115">
        <v>6.59860538827258</v>
      </c>
      <c r="S89"/>
    </row>
    <row r="90" customHeight="1" spans="1:19">
      <c r="A90" s="6" t="s">
        <v>101</v>
      </c>
      <c r="B90" s="6">
        <v>1331.49</v>
      </c>
      <c r="C90" s="6">
        <v>69428</v>
      </c>
      <c r="D90" s="6">
        <v>2546</v>
      </c>
      <c r="E90" s="9">
        <v>0.0366710837126232</v>
      </c>
      <c r="F90" s="10">
        <v>0.522973291437549</v>
      </c>
      <c r="G90" s="10">
        <v>19.1779973497724</v>
      </c>
      <c r="H90" s="6">
        <v>66</v>
      </c>
      <c r="I90" s="12">
        <v>2</v>
      </c>
      <c r="J90" s="6">
        <v>40</v>
      </c>
      <c r="K90" s="6">
        <v>12</v>
      </c>
      <c r="L90" s="6">
        <v>5</v>
      </c>
      <c r="M90" s="6">
        <v>125</v>
      </c>
      <c r="N90" s="115">
        <v>10.65192</v>
      </c>
      <c r="S90"/>
    </row>
    <row r="91" customHeight="1" spans="1:19">
      <c r="A91" s="6" t="s">
        <v>102</v>
      </c>
      <c r="B91" s="6">
        <v>1901.25</v>
      </c>
      <c r="C91" s="6">
        <v>197992</v>
      </c>
      <c r="D91" s="6">
        <v>5544</v>
      </c>
      <c r="E91" s="9">
        <v>0.0280011313588428</v>
      </c>
      <c r="F91" s="10">
        <v>0.342938311688312</v>
      </c>
      <c r="G91" s="10">
        <v>9.60266071356418</v>
      </c>
      <c r="H91" s="6">
        <v>179</v>
      </c>
      <c r="I91" s="12">
        <v>6</v>
      </c>
      <c r="J91" s="6">
        <v>78</v>
      </c>
      <c r="K91" s="6">
        <v>1</v>
      </c>
      <c r="L91" s="6">
        <v>11</v>
      </c>
      <c r="M91" s="6">
        <v>275</v>
      </c>
      <c r="N91" s="115">
        <v>6.91363636363636</v>
      </c>
      <c r="S91"/>
    </row>
    <row r="92" customHeight="1" spans="1:19">
      <c r="A92" s="6" t="s">
        <v>103</v>
      </c>
      <c r="B92" s="6">
        <v>1180.51</v>
      </c>
      <c r="C92" s="6">
        <v>77555</v>
      </c>
      <c r="D92" s="6">
        <v>2724</v>
      </c>
      <c r="E92" s="9">
        <v>0.0351234607697763</v>
      </c>
      <c r="F92" s="10">
        <v>0.433373715124816</v>
      </c>
      <c r="G92" s="10">
        <v>15.2215846818387</v>
      </c>
      <c r="H92" s="6">
        <v>110</v>
      </c>
      <c r="I92" s="12">
        <v>8</v>
      </c>
      <c r="J92" s="6">
        <v>62</v>
      </c>
      <c r="K92" s="6">
        <v>6</v>
      </c>
      <c r="L92" s="6">
        <v>7</v>
      </c>
      <c r="M92" s="6">
        <v>193</v>
      </c>
      <c r="N92" s="115">
        <v>6.11663212435233</v>
      </c>
      <c r="S92"/>
    </row>
    <row r="93" customHeight="1" spans="1:19">
      <c r="A93" s="6" t="s">
        <v>104</v>
      </c>
      <c r="B93" s="6">
        <v>572.11</v>
      </c>
      <c r="C93" s="6">
        <v>13679</v>
      </c>
      <c r="D93" s="6">
        <v>575</v>
      </c>
      <c r="E93" s="9">
        <v>0.0420352364938958</v>
      </c>
      <c r="F93" s="10">
        <v>0.994973913043478</v>
      </c>
      <c r="G93" s="10">
        <v>41.8239637400395</v>
      </c>
      <c r="H93" s="6">
        <v>9</v>
      </c>
      <c r="I93" s="12">
        <v>0</v>
      </c>
      <c r="J93" s="6">
        <v>2</v>
      </c>
      <c r="K93" s="6">
        <v>0</v>
      </c>
      <c r="L93" s="6">
        <v>0</v>
      </c>
      <c r="M93" s="6">
        <v>11</v>
      </c>
      <c r="N93" s="115">
        <v>52.01</v>
      </c>
      <c r="S93"/>
    </row>
    <row r="94" customHeight="1" spans="1:19">
      <c r="A94" s="6" t="s">
        <v>105</v>
      </c>
      <c r="B94" s="6">
        <v>1636.84</v>
      </c>
      <c r="C94" s="6">
        <v>141852</v>
      </c>
      <c r="D94" s="6">
        <v>5449</v>
      </c>
      <c r="E94" s="9">
        <v>0.0384132758085892</v>
      </c>
      <c r="F94" s="10">
        <v>0.300392732611488</v>
      </c>
      <c r="G94" s="10">
        <v>11.5390688887009</v>
      </c>
      <c r="H94" s="6">
        <v>117</v>
      </c>
      <c r="I94" s="12">
        <v>2</v>
      </c>
      <c r="J94" s="6">
        <v>42</v>
      </c>
      <c r="K94" s="6">
        <v>9</v>
      </c>
      <c r="L94" s="6">
        <v>4</v>
      </c>
      <c r="M94" s="6">
        <v>174</v>
      </c>
      <c r="N94" s="115">
        <v>9.40712643678161</v>
      </c>
      <c r="S94"/>
    </row>
    <row r="95" customHeight="1" spans="1:19">
      <c r="A95" s="6" t="s">
        <v>106</v>
      </c>
      <c r="B95" s="6">
        <v>2320.91</v>
      </c>
      <c r="C95" s="6">
        <v>96236</v>
      </c>
      <c r="D95" s="6">
        <v>2749</v>
      </c>
      <c r="E95" s="9">
        <v>0.0285651938983333</v>
      </c>
      <c r="F95" s="10">
        <v>0.84427428155693</v>
      </c>
      <c r="G95" s="10">
        <v>24.1168585560497</v>
      </c>
      <c r="H95" s="6">
        <v>91</v>
      </c>
      <c r="I95" s="12">
        <v>2</v>
      </c>
      <c r="J95" s="6">
        <v>38</v>
      </c>
      <c r="K95" s="6">
        <v>0</v>
      </c>
      <c r="L95" s="6">
        <v>5</v>
      </c>
      <c r="M95" s="6">
        <v>136</v>
      </c>
      <c r="N95" s="115">
        <v>17.0655147058824</v>
      </c>
      <c r="S95"/>
    </row>
    <row r="96" customHeight="1" spans="1:19">
      <c r="A96" s="6" t="s">
        <v>107</v>
      </c>
      <c r="B96" s="6">
        <v>2469.21</v>
      </c>
      <c r="C96" s="6">
        <v>204718</v>
      </c>
      <c r="D96" s="6">
        <v>11002</v>
      </c>
      <c r="E96" s="9">
        <v>0.0537422210064577</v>
      </c>
      <c r="F96" s="10">
        <v>0.224432830394474</v>
      </c>
      <c r="G96" s="10">
        <v>12.0615187721646</v>
      </c>
      <c r="H96" s="6">
        <v>404</v>
      </c>
      <c r="I96" s="12">
        <v>9</v>
      </c>
      <c r="J96" s="6">
        <v>111</v>
      </c>
      <c r="K96" s="6">
        <v>32</v>
      </c>
      <c r="L96" s="6">
        <v>16</v>
      </c>
      <c r="M96" s="6">
        <v>572</v>
      </c>
      <c r="N96" s="115">
        <v>4.3168006993007</v>
      </c>
      <c r="S96"/>
    </row>
    <row r="97" customHeight="1" spans="1:19">
      <c r="A97" s="6" t="s">
        <v>108</v>
      </c>
      <c r="B97" s="6">
        <v>2916.99</v>
      </c>
      <c r="C97" s="6">
        <v>229291</v>
      </c>
      <c r="D97" s="6">
        <v>11048</v>
      </c>
      <c r="E97" s="9">
        <v>0.0481833129080513</v>
      </c>
      <c r="F97" s="10">
        <v>0.264028783490224</v>
      </c>
      <c r="G97" s="10">
        <v>12.7217814916416</v>
      </c>
      <c r="H97" s="6">
        <v>379</v>
      </c>
      <c r="I97" s="12">
        <v>3</v>
      </c>
      <c r="J97" s="6">
        <v>106</v>
      </c>
      <c r="K97" s="6">
        <v>38</v>
      </c>
      <c r="L97" s="6">
        <v>9</v>
      </c>
      <c r="M97" s="6">
        <v>535</v>
      </c>
      <c r="N97" s="115">
        <v>5.45231775700935</v>
      </c>
      <c r="S97"/>
    </row>
    <row r="98" customHeight="1" spans="1:19">
      <c r="A98" s="6" t="s">
        <v>109</v>
      </c>
      <c r="B98" s="6">
        <v>3953.11</v>
      </c>
      <c r="C98" s="6">
        <v>279565</v>
      </c>
      <c r="D98" s="6">
        <v>16630</v>
      </c>
      <c r="E98" s="9">
        <v>0.0594852717614866</v>
      </c>
      <c r="F98" s="10">
        <v>0.237709561034275</v>
      </c>
      <c r="G98" s="10">
        <v>14.1402178384276</v>
      </c>
      <c r="H98" s="6">
        <v>550</v>
      </c>
      <c r="I98" s="12">
        <v>12</v>
      </c>
      <c r="J98" s="6">
        <v>164</v>
      </c>
      <c r="K98" s="6">
        <v>60</v>
      </c>
      <c r="L98" s="6">
        <v>18</v>
      </c>
      <c r="M98" s="6">
        <v>804</v>
      </c>
      <c r="N98" s="115">
        <v>4.91680348258707</v>
      </c>
      <c r="S98"/>
    </row>
    <row r="99" customHeight="1" spans="1:19">
      <c r="A99" s="6" t="s">
        <v>110</v>
      </c>
      <c r="B99" s="6">
        <v>2540.87</v>
      </c>
      <c r="C99" s="6">
        <v>233472</v>
      </c>
      <c r="D99" s="6">
        <v>13242</v>
      </c>
      <c r="E99" s="9">
        <v>0.0567177220394737</v>
      </c>
      <c r="F99" s="10">
        <v>0.191879625434224</v>
      </c>
      <c r="G99" s="10">
        <v>10.8829752604167</v>
      </c>
      <c r="H99" s="6">
        <v>314</v>
      </c>
      <c r="I99" s="12">
        <v>2</v>
      </c>
      <c r="J99" s="6">
        <v>65</v>
      </c>
      <c r="K99" s="6">
        <v>47</v>
      </c>
      <c r="L99" s="6">
        <v>8</v>
      </c>
      <c r="M99" s="6">
        <v>436</v>
      </c>
      <c r="N99" s="115">
        <v>5.82768348623853</v>
      </c>
      <c r="S99"/>
    </row>
    <row r="100" customHeight="1" spans="1:19">
      <c r="A100" s="6" t="s">
        <v>111</v>
      </c>
      <c r="B100" s="6">
        <v>2520.07</v>
      </c>
      <c r="C100" s="6">
        <v>223682</v>
      </c>
      <c r="D100" s="6">
        <v>10761</v>
      </c>
      <c r="E100" s="9">
        <v>0.0481084754249336</v>
      </c>
      <c r="F100" s="10">
        <v>0.234185484620388</v>
      </c>
      <c r="G100" s="10">
        <v>11.2663066317361</v>
      </c>
      <c r="H100" s="6">
        <v>249</v>
      </c>
      <c r="I100" s="12">
        <v>6</v>
      </c>
      <c r="J100" s="6">
        <v>56</v>
      </c>
      <c r="K100" s="6">
        <v>48</v>
      </c>
      <c r="L100" s="6">
        <v>4</v>
      </c>
      <c r="M100" s="6">
        <v>363</v>
      </c>
      <c r="N100" s="115">
        <v>6.94234159779614</v>
      </c>
      <c r="S100"/>
    </row>
    <row r="101" customHeight="1" spans="1:19">
      <c r="A101" s="6" t="s">
        <v>112</v>
      </c>
      <c r="B101" s="6">
        <v>2657.73</v>
      </c>
      <c r="C101" s="6">
        <v>194413</v>
      </c>
      <c r="D101" s="6">
        <v>11132</v>
      </c>
      <c r="E101" s="9">
        <v>0.0572595454007705</v>
      </c>
      <c r="F101" s="10">
        <v>0.238746855910888</v>
      </c>
      <c r="G101" s="10">
        <v>13.6705364353207</v>
      </c>
      <c r="H101" s="6">
        <v>289</v>
      </c>
      <c r="I101" s="12">
        <v>6</v>
      </c>
      <c r="J101" s="6">
        <v>84</v>
      </c>
      <c r="K101" s="6">
        <v>29</v>
      </c>
      <c r="L101" s="6">
        <v>10</v>
      </c>
      <c r="M101" s="6">
        <v>418</v>
      </c>
      <c r="N101" s="115">
        <v>6.3582057416268</v>
      </c>
      <c r="S101"/>
    </row>
    <row r="102" customHeight="1" spans="1:19">
      <c r="A102" s="6" t="s">
        <v>113</v>
      </c>
      <c r="B102" s="6">
        <v>3345.5</v>
      </c>
      <c r="C102" s="6">
        <v>332251</v>
      </c>
      <c r="D102" s="6">
        <v>16280</v>
      </c>
      <c r="E102" s="9">
        <v>0.0489991000779531</v>
      </c>
      <c r="F102" s="10">
        <v>0.205497542997543</v>
      </c>
      <c r="G102" s="10">
        <v>10.0691946751101</v>
      </c>
      <c r="H102" s="6">
        <v>375</v>
      </c>
      <c r="I102" s="12">
        <v>10</v>
      </c>
      <c r="J102" s="6">
        <v>102</v>
      </c>
      <c r="K102" s="6">
        <v>48</v>
      </c>
      <c r="L102" s="6">
        <v>17</v>
      </c>
      <c r="M102" s="6">
        <v>552</v>
      </c>
      <c r="N102" s="115">
        <v>6.0606884057971</v>
      </c>
      <c r="S102"/>
    </row>
    <row r="103" customHeight="1" spans="1:19">
      <c r="A103" s="6" t="s">
        <v>114</v>
      </c>
      <c r="B103" s="6">
        <v>2779.34</v>
      </c>
      <c r="C103" s="6">
        <v>188919</v>
      </c>
      <c r="D103" s="6">
        <v>10243</v>
      </c>
      <c r="E103" s="9">
        <v>0.0542190039117294</v>
      </c>
      <c r="F103" s="10">
        <v>0.271340427609099</v>
      </c>
      <c r="G103" s="10">
        <v>14.7118077059481</v>
      </c>
      <c r="H103" s="6">
        <v>322</v>
      </c>
      <c r="I103" s="12">
        <v>3</v>
      </c>
      <c r="J103" s="6">
        <v>101</v>
      </c>
      <c r="K103" s="6">
        <v>48</v>
      </c>
      <c r="L103" s="6">
        <v>9</v>
      </c>
      <c r="M103" s="6">
        <v>483</v>
      </c>
      <c r="N103" s="115">
        <v>5.75432712215321</v>
      </c>
      <c r="S103"/>
    </row>
    <row r="104" customHeight="1" spans="1:19">
      <c r="A104" s="6" t="s">
        <v>115</v>
      </c>
      <c r="B104" s="6">
        <v>2198.76</v>
      </c>
      <c r="C104" s="6">
        <v>162867</v>
      </c>
      <c r="D104" s="6">
        <v>6690</v>
      </c>
      <c r="E104" s="9">
        <v>0.0410764611615613</v>
      </c>
      <c r="F104" s="10">
        <v>0.328663677130045</v>
      </c>
      <c r="G104" s="10">
        <v>13.5003407688482</v>
      </c>
      <c r="H104" s="6">
        <v>210</v>
      </c>
      <c r="I104" s="12">
        <v>8</v>
      </c>
      <c r="J104" s="6">
        <v>47</v>
      </c>
      <c r="K104" s="6">
        <v>16</v>
      </c>
      <c r="L104" s="6">
        <v>12</v>
      </c>
      <c r="M104" s="6">
        <v>293</v>
      </c>
      <c r="N104" s="115">
        <v>7.50430034129693</v>
      </c>
      <c r="S104"/>
    </row>
    <row r="105" customHeight="1" spans="1:19">
      <c r="A105" s="6" t="s">
        <v>116</v>
      </c>
      <c r="B105" s="6">
        <v>1762.01</v>
      </c>
      <c r="C105" s="6">
        <v>108509</v>
      </c>
      <c r="D105" s="6">
        <v>5259</v>
      </c>
      <c r="E105" s="9">
        <v>0.0484660258596061</v>
      </c>
      <c r="F105" s="10">
        <v>0.335046586803575</v>
      </c>
      <c r="G105" s="10">
        <v>16.2383765401948</v>
      </c>
      <c r="H105" s="6">
        <v>155</v>
      </c>
      <c r="I105" s="12">
        <v>0</v>
      </c>
      <c r="J105" s="6">
        <v>31</v>
      </c>
      <c r="K105" s="6">
        <v>38</v>
      </c>
      <c r="L105" s="6">
        <v>4</v>
      </c>
      <c r="M105" s="6">
        <v>228</v>
      </c>
      <c r="N105" s="115">
        <v>7.72811403508772</v>
      </c>
      <c r="S105"/>
    </row>
    <row r="106" customHeight="1" spans="1:19">
      <c r="A106" s="6" t="s">
        <v>117</v>
      </c>
      <c r="B106" s="6">
        <v>2441.59</v>
      </c>
      <c r="C106" s="6">
        <v>207508</v>
      </c>
      <c r="D106" s="6">
        <v>8076</v>
      </c>
      <c r="E106" s="9">
        <v>0.0389189814368603</v>
      </c>
      <c r="F106" s="10">
        <v>0.302326646854879</v>
      </c>
      <c r="G106" s="10">
        <v>11.7662451568132</v>
      </c>
      <c r="H106" s="6">
        <v>257</v>
      </c>
      <c r="I106" s="12">
        <v>5</v>
      </c>
      <c r="J106" s="6">
        <v>77</v>
      </c>
      <c r="K106" s="6">
        <v>17</v>
      </c>
      <c r="L106" s="6">
        <v>12</v>
      </c>
      <c r="M106" s="6">
        <v>368</v>
      </c>
      <c r="N106" s="115">
        <v>6.63475543478261</v>
      </c>
      <c r="S106"/>
    </row>
    <row r="107" customHeight="1" spans="1:19">
      <c r="A107" s="6" t="s">
        <v>118</v>
      </c>
      <c r="B107" s="6">
        <v>4500.4</v>
      </c>
      <c r="C107" s="6">
        <v>494484</v>
      </c>
      <c r="D107" s="6">
        <v>13754</v>
      </c>
      <c r="E107" s="9">
        <v>0.0278148534634083</v>
      </c>
      <c r="F107" s="10">
        <v>0.327206630798313</v>
      </c>
      <c r="G107" s="10">
        <v>9.10120448791063</v>
      </c>
      <c r="H107" s="6">
        <v>463</v>
      </c>
      <c r="I107" s="12">
        <v>11</v>
      </c>
      <c r="J107" s="6">
        <v>184</v>
      </c>
      <c r="K107" s="6">
        <v>14</v>
      </c>
      <c r="L107" s="6">
        <v>34</v>
      </c>
      <c r="M107" s="6">
        <v>706</v>
      </c>
      <c r="N107" s="115">
        <v>6.37450424929179</v>
      </c>
      <c r="S107"/>
    </row>
    <row r="108" customHeight="1" spans="1:19">
      <c r="A108" s="6" t="s">
        <v>119</v>
      </c>
      <c r="B108" s="6">
        <v>2825.65</v>
      </c>
      <c r="C108" s="6">
        <v>225265</v>
      </c>
      <c r="D108" s="6">
        <v>9946</v>
      </c>
      <c r="E108" s="9">
        <v>0.044152442678623</v>
      </c>
      <c r="F108" s="10">
        <v>0.284099135330786</v>
      </c>
      <c r="G108" s="10">
        <v>12.5436707877389</v>
      </c>
      <c r="H108" s="6">
        <v>259</v>
      </c>
      <c r="I108" s="12">
        <v>8</v>
      </c>
      <c r="J108" s="6">
        <v>85</v>
      </c>
      <c r="K108" s="6">
        <v>20</v>
      </c>
      <c r="L108" s="6">
        <v>24</v>
      </c>
      <c r="M108" s="6">
        <v>396</v>
      </c>
      <c r="N108" s="115">
        <v>7.1354797979798</v>
      </c>
      <c r="S108"/>
    </row>
    <row r="109" customHeight="1" spans="1:19">
      <c r="A109" s="6" t="s">
        <v>120</v>
      </c>
      <c r="B109" s="6">
        <v>2061.54</v>
      </c>
      <c r="C109" s="6">
        <v>125823</v>
      </c>
      <c r="D109" s="6">
        <v>5976</v>
      </c>
      <c r="E109" s="9">
        <v>0.0474952910040295</v>
      </c>
      <c r="F109" s="10">
        <v>0.344969879518072</v>
      </c>
      <c r="G109" s="10">
        <v>16.3844448153358</v>
      </c>
      <c r="H109" s="6">
        <v>200</v>
      </c>
      <c r="I109" s="12">
        <v>4</v>
      </c>
      <c r="J109" s="6">
        <v>60</v>
      </c>
      <c r="K109" s="6">
        <v>13</v>
      </c>
      <c r="L109" s="6">
        <v>12</v>
      </c>
      <c r="M109" s="6">
        <v>289</v>
      </c>
      <c r="N109" s="115">
        <v>7.13335640138408</v>
      </c>
      <c r="S109"/>
    </row>
    <row r="110" customHeight="1" spans="1:19">
      <c r="A110" s="6" t="s">
        <v>121</v>
      </c>
      <c r="B110" s="6">
        <v>2617.78</v>
      </c>
      <c r="C110" s="6">
        <v>201058</v>
      </c>
      <c r="D110" s="6">
        <v>8172</v>
      </c>
      <c r="E110" s="9">
        <v>0.0406449880134091</v>
      </c>
      <c r="F110" s="10">
        <v>0.320335291238375</v>
      </c>
      <c r="G110" s="10">
        <v>13.0200240726557</v>
      </c>
      <c r="H110" s="6">
        <v>249</v>
      </c>
      <c r="I110" s="12">
        <v>6</v>
      </c>
      <c r="J110" s="6">
        <v>98</v>
      </c>
      <c r="K110" s="6">
        <v>10</v>
      </c>
      <c r="L110" s="6">
        <v>22</v>
      </c>
      <c r="M110" s="6">
        <v>385</v>
      </c>
      <c r="N110" s="115">
        <v>6.79942857142857</v>
      </c>
      <c r="S110"/>
    </row>
    <row r="111" customHeight="1" spans="1:19">
      <c r="A111" s="6" t="s">
        <v>122</v>
      </c>
      <c r="B111" s="6">
        <v>2405.74</v>
      </c>
      <c r="C111" s="6">
        <v>74262</v>
      </c>
      <c r="D111" s="6">
        <v>3804</v>
      </c>
      <c r="E111" s="9">
        <v>0.0512240445988527</v>
      </c>
      <c r="F111" s="10">
        <v>0.632423764458465</v>
      </c>
      <c r="G111" s="10">
        <v>32.3953031159947</v>
      </c>
      <c r="H111" s="6">
        <v>415</v>
      </c>
      <c r="I111" s="12">
        <v>6</v>
      </c>
      <c r="J111" s="6">
        <v>164</v>
      </c>
      <c r="K111" s="6">
        <v>3</v>
      </c>
      <c r="L111" s="6">
        <v>23</v>
      </c>
      <c r="M111" s="6">
        <v>611</v>
      </c>
      <c r="N111" s="115">
        <v>3.93738134206219</v>
      </c>
      <c r="S111"/>
    </row>
    <row r="112" customHeight="1" spans="1:19">
      <c r="A112" s="6" t="s">
        <v>123</v>
      </c>
      <c r="B112" s="6">
        <v>2462.59</v>
      </c>
      <c r="C112" s="6">
        <v>149679</v>
      </c>
      <c r="D112" s="6">
        <v>9021</v>
      </c>
      <c r="E112" s="9">
        <v>0.0602689756078007</v>
      </c>
      <c r="F112" s="10">
        <v>0.27298414809888</v>
      </c>
      <c r="G112" s="10">
        <v>16.4524749630877</v>
      </c>
      <c r="H112" s="6">
        <v>383</v>
      </c>
      <c r="I112" s="12">
        <v>6</v>
      </c>
      <c r="J112" s="6">
        <v>148</v>
      </c>
      <c r="K112" s="6">
        <v>3</v>
      </c>
      <c r="L112" s="6">
        <v>21</v>
      </c>
      <c r="M112" s="6">
        <v>561</v>
      </c>
      <c r="N112" s="115">
        <v>4.38964349376114</v>
      </c>
      <c r="S112"/>
    </row>
    <row r="113" customHeight="1" spans="1:19">
      <c r="A113" s="6" t="s">
        <v>124</v>
      </c>
      <c r="B113" s="6">
        <v>3517.39</v>
      </c>
      <c r="C113" s="6">
        <v>192795</v>
      </c>
      <c r="D113" s="6">
        <v>11849</v>
      </c>
      <c r="E113" s="9">
        <v>0.0614590627350294</v>
      </c>
      <c r="F113" s="10">
        <v>0.296851211072664</v>
      </c>
      <c r="G113" s="10">
        <v>18.2441972042843</v>
      </c>
      <c r="H113" s="6">
        <v>737</v>
      </c>
      <c r="I113" s="12">
        <v>6</v>
      </c>
      <c r="J113" s="6">
        <v>183</v>
      </c>
      <c r="K113" s="6">
        <v>5</v>
      </c>
      <c r="L113" s="6">
        <v>19</v>
      </c>
      <c r="M113" s="6">
        <v>950</v>
      </c>
      <c r="N113" s="115">
        <v>3.70251578947368</v>
      </c>
      <c r="S113"/>
    </row>
    <row r="114" customHeight="1" spans="1:19">
      <c r="A114" s="6" t="s">
        <v>125</v>
      </c>
      <c r="B114" s="6">
        <v>4498.95</v>
      </c>
      <c r="C114" s="6">
        <v>187060</v>
      </c>
      <c r="D114" s="6">
        <v>9145</v>
      </c>
      <c r="E114" s="9">
        <v>0.0488880573078157</v>
      </c>
      <c r="F114" s="10">
        <v>0.491957353745216</v>
      </c>
      <c r="G114" s="10">
        <v>24.0508393028975</v>
      </c>
      <c r="H114" s="6">
        <v>1049</v>
      </c>
      <c r="I114" s="12">
        <v>8</v>
      </c>
      <c r="J114" s="6">
        <v>271</v>
      </c>
      <c r="K114" s="6">
        <v>3</v>
      </c>
      <c r="L114" s="6">
        <v>27</v>
      </c>
      <c r="M114" s="6">
        <v>1358</v>
      </c>
      <c r="N114" s="115">
        <v>3.3129234167894</v>
      </c>
      <c r="S114"/>
    </row>
    <row r="115" customHeight="1" spans="1:19">
      <c r="A115" s="6" t="s">
        <v>126</v>
      </c>
      <c r="B115" s="6">
        <v>2702.87</v>
      </c>
      <c r="C115" s="6">
        <v>115601</v>
      </c>
      <c r="D115" s="6">
        <v>7074</v>
      </c>
      <c r="E115" s="9">
        <v>0.0611932422729907</v>
      </c>
      <c r="F115" s="10">
        <v>0.382085100367543</v>
      </c>
      <c r="G115" s="10">
        <v>23.381026115691</v>
      </c>
      <c r="H115" s="6">
        <v>629</v>
      </c>
      <c r="I115" s="12">
        <v>8</v>
      </c>
      <c r="J115" s="6">
        <v>158</v>
      </c>
      <c r="K115" s="6">
        <v>3</v>
      </c>
      <c r="L115" s="6">
        <v>17</v>
      </c>
      <c r="M115" s="6">
        <v>815</v>
      </c>
      <c r="N115" s="115">
        <v>3.31640490797546</v>
      </c>
      <c r="S115"/>
    </row>
    <row r="116" customHeight="1" spans="1:19">
      <c r="A116" s="6" t="s">
        <v>127</v>
      </c>
      <c r="B116" s="6">
        <v>2837.68</v>
      </c>
      <c r="C116" s="6">
        <v>214265</v>
      </c>
      <c r="D116" s="6">
        <v>11701</v>
      </c>
      <c r="E116" s="9">
        <v>0.0546099456280774</v>
      </c>
      <c r="F116" s="10">
        <v>0.24251602427143</v>
      </c>
      <c r="G116" s="10">
        <v>13.2437868994003</v>
      </c>
      <c r="H116" s="6">
        <v>380</v>
      </c>
      <c r="I116" s="12">
        <v>11</v>
      </c>
      <c r="J116" s="6">
        <v>89</v>
      </c>
      <c r="K116" s="6">
        <v>5</v>
      </c>
      <c r="L116" s="6">
        <v>22</v>
      </c>
      <c r="M116" s="6">
        <v>507</v>
      </c>
      <c r="N116" s="115">
        <v>5.59700197238659</v>
      </c>
      <c r="S116"/>
    </row>
    <row r="117" customHeight="1" spans="1:19">
      <c r="A117" s="6" t="s">
        <v>128</v>
      </c>
      <c r="B117" s="6">
        <v>802.96</v>
      </c>
      <c r="C117" s="6">
        <v>40114</v>
      </c>
      <c r="D117" s="6">
        <v>2326</v>
      </c>
      <c r="E117" s="9">
        <v>0.0579847434810789</v>
      </c>
      <c r="F117" s="10">
        <v>0.345210662080825</v>
      </c>
      <c r="G117" s="10">
        <v>20.0169516876901</v>
      </c>
      <c r="H117" s="6">
        <v>148</v>
      </c>
      <c r="I117" s="12">
        <v>0</v>
      </c>
      <c r="J117" s="6">
        <v>44</v>
      </c>
      <c r="K117" s="6">
        <v>2</v>
      </c>
      <c r="L117" s="6">
        <v>5</v>
      </c>
      <c r="M117" s="6">
        <v>199</v>
      </c>
      <c r="N117" s="115">
        <v>4.03497487437186</v>
      </c>
      <c r="S117"/>
    </row>
    <row r="118" customHeight="1" spans="1:19">
      <c r="A118" s="6" t="s">
        <v>129</v>
      </c>
      <c r="B118" s="6">
        <v>648.05</v>
      </c>
      <c r="C118" s="6">
        <v>41172</v>
      </c>
      <c r="D118" s="6">
        <v>1833</v>
      </c>
      <c r="E118" s="9">
        <v>0.0445205479452055</v>
      </c>
      <c r="F118" s="10">
        <v>0.35354609929078</v>
      </c>
      <c r="G118" s="10">
        <v>15.7400660643156</v>
      </c>
      <c r="H118" s="6">
        <v>27</v>
      </c>
      <c r="I118" s="12">
        <v>0</v>
      </c>
      <c r="J118" s="6">
        <v>13</v>
      </c>
      <c r="K118" s="6">
        <v>0</v>
      </c>
      <c r="L118" s="6">
        <v>1</v>
      </c>
      <c r="M118" s="6">
        <v>41</v>
      </c>
      <c r="N118" s="115">
        <v>15.8060975609756</v>
      </c>
      <c r="S118"/>
    </row>
    <row r="119" customHeight="1" spans="1:19">
      <c r="A119" s="6" t="s">
        <v>130</v>
      </c>
      <c r="B119" s="6">
        <v>1231.17</v>
      </c>
      <c r="C119" s="6">
        <v>68647</v>
      </c>
      <c r="D119" s="6">
        <v>2632</v>
      </c>
      <c r="E119" s="9">
        <v>0.03834107826999</v>
      </c>
      <c r="F119" s="10">
        <v>0.467769756838906</v>
      </c>
      <c r="G119" s="10">
        <v>17.9347968592947</v>
      </c>
      <c r="H119" s="6">
        <v>44</v>
      </c>
      <c r="I119" s="12">
        <v>0</v>
      </c>
      <c r="J119" s="6">
        <v>21</v>
      </c>
      <c r="K119" s="6">
        <v>0</v>
      </c>
      <c r="L119" s="6">
        <v>2</v>
      </c>
      <c r="M119" s="6">
        <v>67</v>
      </c>
      <c r="N119" s="115">
        <v>18.375671641791</v>
      </c>
      <c r="S119"/>
    </row>
    <row r="120" customHeight="1" spans="1:19">
      <c r="A120" s="6" t="s">
        <v>131</v>
      </c>
      <c r="B120" s="6">
        <v>1231.32</v>
      </c>
      <c r="C120" s="6">
        <v>70397</v>
      </c>
      <c r="D120" s="6">
        <v>2652</v>
      </c>
      <c r="E120" s="9">
        <v>0.0376720598889157</v>
      </c>
      <c r="F120" s="10">
        <v>0.464298642533937</v>
      </c>
      <c r="G120" s="10">
        <v>17.4910862678807</v>
      </c>
      <c r="H120" s="6">
        <v>35</v>
      </c>
      <c r="I120" s="12">
        <v>0</v>
      </c>
      <c r="J120" s="6">
        <v>13</v>
      </c>
      <c r="K120" s="6">
        <v>1</v>
      </c>
      <c r="L120" s="6">
        <v>0</v>
      </c>
      <c r="M120" s="6">
        <v>49</v>
      </c>
      <c r="N120" s="115">
        <v>25.1289795918367</v>
      </c>
      <c r="S120"/>
    </row>
    <row r="121" customHeight="1" spans="1:19">
      <c r="A121" s="6" t="s">
        <v>132</v>
      </c>
      <c r="B121" s="6">
        <v>1028.68</v>
      </c>
      <c r="C121" s="6">
        <v>64345</v>
      </c>
      <c r="D121" s="6">
        <v>2500</v>
      </c>
      <c r="E121" s="9">
        <v>0.0388530577356438</v>
      </c>
      <c r="F121" s="10">
        <v>0.411472</v>
      </c>
      <c r="G121" s="10">
        <v>15.9869453726008</v>
      </c>
      <c r="H121" s="6">
        <v>42</v>
      </c>
      <c r="I121" s="12">
        <v>1</v>
      </c>
      <c r="J121" s="6">
        <v>13</v>
      </c>
      <c r="K121" s="6">
        <v>1</v>
      </c>
      <c r="L121" s="6">
        <v>0</v>
      </c>
      <c r="M121" s="6">
        <v>57</v>
      </c>
      <c r="N121" s="115">
        <v>18.0470175438597</v>
      </c>
      <c r="S121"/>
    </row>
    <row r="122" customHeight="1" spans="1:19">
      <c r="A122" s="6" t="s">
        <v>133</v>
      </c>
      <c r="B122" s="6">
        <v>1026.54</v>
      </c>
      <c r="C122" s="6">
        <v>67122</v>
      </c>
      <c r="D122" s="6">
        <v>2506</v>
      </c>
      <c r="E122" s="9">
        <v>0.0373350019367719</v>
      </c>
      <c r="F122" s="10">
        <v>0.409632881085395</v>
      </c>
      <c r="G122" s="10">
        <v>15.2936444086887</v>
      </c>
      <c r="H122" s="6">
        <v>29</v>
      </c>
      <c r="I122" s="12">
        <v>0</v>
      </c>
      <c r="J122" s="6">
        <v>17</v>
      </c>
      <c r="K122" s="6">
        <v>2</v>
      </c>
      <c r="L122" s="6">
        <v>0</v>
      </c>
      <c r="M122" s="6">
        <v>48</v>
      </c>
      <c r="N122" s="115">
        <v>21.38625</v>
      </c>
      <c r="S122"/>
    </row>
    <row r="123" customHeight="1" spans="1:19">
      <c r="A123" s="6" t="s">
        <v>134</v>
      </c>
      <c r="B123" s="6">
        <v>1020.38</v>
      </c>
      <c r="C123" s="6">
        <v>63058</v>
      </c>
      <c r="D123" s="6">
        <v>2516</v>
      </c>
      <c r="E123" s="9">
        <v>0.0398997748104919</v>
      </c>
      <c r="F123" s="10">
        <v>0.405556438791733</v>
      </c>
      <c r="G123" s="10">
        <v>16.1816105807352</v>
      </c>
      <c r="H123" s="6">
        <v>30</v>
      </c>
      <c r="I123" s="12">
        <v>0</v>
      </c>
      <c r="J123" s="6">
        <v>8</v>
      </c>
      <c r="K123" s="6">
        <v>0</v>
      </c>
      <c r="L123" s="6">
        <v>1</v>
      </c>
      <c r="M123" s="6">
        <v>39</v>
      </c>
      <c r="N123" s="115">
        <v>26.1635897435897</v>
      </c>
      <c r="S123"/>
    </row>
    <row r="124" customHeight="1" spans="1:19">
      <c r="A124" s="6" t="s">
        <v>135</v>
      </c>
      <c r="B124" s="6">
        <v>1018.38</v>
      </c>
      <c r="C124" s="6">
        <v>64931</v>
      </c>
      <c r="D124" s="6">
        <v>2478</v>
      </c>
      <c r="E124" s="9">
        <v>0.038163589040674</v>
      </c>
      <c r="F124" s="10">
        <v>0.410968523002421</v>
      </c>
      <c r="G124" s="10">
        <v>15.6840338205172</v>
      </c>
      <c r="H124" s="6">
        <v>34</v>
      </c>
      <c r="I124" s="12">
        <v>0</v>
      </c>
      <c r="J124" s="6">
        <v>13</v>
      </c>
      <c r="K124" s="6">
        <v>1</v>
      </c>
      <c r="L124" s="6">
        <v>0</v>
      </c>
      <c r="M124" s="6">
        <v>48</v>
      </c>
      <c r="N124" s="115">
        <v>21.21625</v>
      </c>
      <c r="S124"/>
    </row>
    <row r="125" customHeight="1" spans="1:19">
      <c r="A125" s="6" t="s">
        <v>136</v>
      </c>
      <c r="B125" s="6">
        <v>1019.17</v>
      </c>
      <c r="C125" s="6">
        <v>72590</v>
      </c>
      <c r="D125" s="6">
        <v>2611</v>
      </c>
      <c r="E125" s="9">
        <v>0.0359691417550627</v>
      </c>
      <c r="F125" s="10">
        <v>0.390337035618537</v>
      </c>
      <c r="G125" s="10">
        <v>14.0400881664141</v>
      </c>
      <c r="H125" s="6">
        <v>37</v>
      </c>
      <c r="I125" s="12">
        <v>0</v>
      </c>
      <c r="J125" s="6">
        <v>9</v>
      </c>
      <c r="K125" s="6">
        <v>0</v>
      </c>
      <c r="L125" s="6">
        <v>1</v>
      </c>
      <c r="M125" s="6">
        <v>47</v>
      </c>
      <c r="N125" s="115">
        <v>21.6844680851064</v>
      </c>
      <c r="S125"/>
    </row>
    <row r="126" customHeight="1" spans="1:19">
      <c r="A126" s="6" t="s">
        <v>137</v>
      </c>
      <c r="B126" s="6">
        <v>511.86</v>
      </c>
      <c r="C126" s="6">
        <v>35878</v>
      </c>
      <c r="D126" s="6">
        <v>1602</v>
      </c>
      <c r="E126" s="9">
        <v>0.0446513183566531</v>
      </c>
      <c r="F126" s="10">
        <v>0.319513108614232</v>
      </c>
      <c r="G126" s="10">
        <v>14.266681531858</v>
      </c>
      <c r="H126" s="6">
        <v>21</v>
      </c>
      <c r="I126" s="12">
        <v>1</v>
      </c>
      <c r="J126" s="6">
        <v>12</v>
      </c>
      <c r="K126" s="6">
        <v>1</v>
      </c>
      <c r="L126" s="6">
        <v>1</v>
      </c>
      <c r="M126" s="6">
        <v>36</v>
      </c>
      <c r="N126" s="115">
        <v>14.2183333333333</v>
      </c>
      <c r="S126"/>
    </row>
    <row r="127" customHeight="1" spans="1:19">
      <c r="A127" s="6" t="s">
        <v>138</v>
      </c>
      <c r="B127" s="6">
        <v>491.69</v>
      </c>
      <c r="C127" s="6">
        <v>18559</v>
      </c>
      <c r="D127" s="6">
        <v>1161</v>
      </c>
      <c r="E127" s="9">
        <v>0.0625572498518239</v>
      </c>
      <c r="F127" s="10">
        <v>0.423505598621878</v>
      </c>
      <c r="G127" s="10">
        <v>26.4933455466351</v>
      </c>
      <c r="H127" s="6">
        <v>119</v>
      </c>
      <c r="I127" s="12">
        <v>4</v>
      </c>
      <c r="J127" s="6">
        <v>33</v>
      </c>
      <c r="K127" s="6">
        <v>0</v>
      </c>
      <c r="L127" s="6">
        <v>3</v>
      </c>
      <c r="M127" s="6">
        <v>159</v>
      </c>
      <c r="N127" s="115">
        <v>3.09238993710692</v>
      </c>
      <c r="S127"/>
    </row>
    <row r="128" customHeight="1" spans="1:19">
      <c r="A128" s="6" t="s">
        <v>139</v>
      </c>
      <c r="B128" s="6">
        <v>9.32</v>
      </c>
      <c r="C128" s="6">
        <v>178</v>
      </c>
      <c r="D128" s="6">
        <v>27</v>
      </c>
      <c r="E128" s="9">
        <v>0.151685393258427</v>
      </c>
      <c r="F128" s="10">
        <v>0.345185185185185</v>
      </c>
      <c r="G128" s="10">
        <v>52.3595505617978</v>
      </c>
      <c r="H128" s="6">
        <v>8</v>
      </c>
      <c r="I128" s="12">
        <v>0</v>
      </c>
      <c r="J128" s="6">
        <v>0</v>
      </c>
      <c r="K128" s="6">
        <v>0</v>
      </c>
      <c r="L128" s="6">
        <v>0</v>
      </c>
      <c r="M128" s="6">
        <v>8</v>
      </c>
      <c r="N128" s="115">
        <v>1.165</v>
      </c>
      <c r="S128"/>
    </row>
    <row r="129" customHeight="1" spans="1:19">
      <c r="A129" s="6" t="s">
        <v>140</v>
      </c>
      <c r="B129" s="6">
        <v>840.4</v>
      </c>
      <c r="C129" s="6">
        <v>53600</v>
      </c>
      <c r="D129" s="6">
        <v>1537</v>
      </c>
      <c r="E129" s="9">
        <v>0.0286753731343284</v>
      </c>
      <c r="F129" s="10">
        <v>0.546779440468445</v>
      </c>
      <c r="G129" s="10">
        <v>15.6791044776119</v>
      </c>
      <c r="H129" s="6">
        <v>69</v>
      </c>
      <c r="I129" s="12">
        <v>1</v>
      </c>
      <c r="J129" s="6">
        <v>26</v>
      </c>
      <c r="K129" s="6">
        <v>0</v>
      </c>
      <c r="L129" s="6">
        <v>1</v>
      </c>
      <c r="M129" s="6">
        <v>97</v>
      </c>
      <c r="N129" s="115">
        <v>8.6639175257732</v>
      </c>
      <c r="S129"/>
    </row>
    <row r="130" customHeight="1" spans="1:19">
      <c r="A130" s="6" t="s">
        <v>141</v>
      </c>
      <c r="B130" s="6">
        <v>411.82</v>
      </c>
      <c r="C130" s="6">
        <v>35017</v>
      </c>
      <c r="D130" s="6">
        <v>1188</v>
      </c>
      <c r="E130" s="9">
        <v>0.0339263786161008</v>
      </c>
      <c r="F130" s="10">
        <v>0.346649831649832</v>
      </c>
      <c r="G130" s="10">
        <v>11.7605734357598</v>
      </c>
      <c r="H130" s="6">
        <v>32</v>
      </c>
      <c r="I130" s="12">
        <v>0</v>
      </c>
      <c r="J130" s="6">
        <v>10</v>
      </c>
      <c r="K130" s="6">
        <v>0</v>
      </c>
      <c r="L130" s="6">
        <v>0</v>
      </c>
      <c r="M130" s="6">
        <v>42</v>
      </c>
      <c r="N130" s="115">
        <v>9.8052380952381</v>
      </c>
      <c r="S130"/>
    </row>
    <row r="131" customHeight="1" spans="1:19">
      <c r="A131" s="6" t="s">
        <v>142</v>
      </c>
      <c r="B131" s="6">
        <v>814.84</v>
      </c>
      <c r="C131" s="6">
        <v>83631</v>
      </c>
      <c r="D131" s="6">
        <v>3632</v>
      </c>
      <c r="E131" s="9">
        <v>0.0434288720689696</v>
      </c>
      <c r="F131" s="10">
        <v>0.224350220264317</v>
      </c>
      <c r="G131" s="10">
        <v>9.74327701450419</v>
      </c>
      <c r="H131" s="6">
        <v>43</v>
      </c>
      <c r="I131" s="12">
        <v>1</v>
      </c>
      <c r="J131" s="6">
        <v>11</v>
      </c>
      <c r="K131" s="6">
        <v>0</v>
      </c>
      <c r="L131" s="6">
        <v>6</v>
      </c>
      <c r="M131" s="6">
        <v>61</v>
      </c>
      <c r="N131" s="115">
        <v>13.3580327868852</v>
      </c>
      <c r="S131"/>
    </row>
    <row r="132" customHeight="1" spans="1:19">
      <c r="A132" s="6" t="s">
        <v>143</v>
      </c>
      <c r="B132" s="6">
        <v>1525.52</v>
      </c>
      <c r="C132" s="6">
        <v>102628</v>
      </c>
      <c r="D132" s="6">
        <v>4667</v>
      </c>
      <c r="E132" s="9">
        <v>0.0454749191253849</v>
      </c>
      <c r="F132" s="10">
        <v>0.326873794728948</v>
      </c>
      <c r="G132" s="10">
        <v>14.8645593795066</v>
      </c>
      <c r="H132" s="6">
        <v>187</v>
      </c>
      <c r="I132" s="12">
        <v>2</v>
      </c>
      <c r="J132" s="6">
        <v>107</v>
      </c>
      <c r="K132" s="6">
        <v>1</v>
      </c>
      <c r="L132" s="6">
        <v>6</v>
      </c>
      <c r="M132" s="6">
        <v>303</v>
      </c>
      <c r="N132" s="115">
        <v>5.0347194719472</v>
      </c>
      <c r="S132"/>
    </row>
    <row r="133" customHeight="1" spans="1:19">
      <c r="A133" s="6" t="s">
        <v>144</v>
      </c>
      <c r="B133" s="6">
        <v>2025.72</v>
      </c>
      <c r="C133" s="6">
        <v>207775</v>
      </c>
      <c r="D133" s="6">
        <v>9049</v>
      </c>
      <c r="E133" s="9">
        <v>0.0435519191433041</v>
      </c>
      <c r="F133" s="10">
        <v>0.223861200132611</v>
      </c>
      <c r="G133" s="10">
        <v>9.7495848874985</v>
      </c>
      <c r="H133" s="6">
        <v>234</v>
      </c>
      <c r="I133" s="12">
        <v>2</v>
      </c>
      <c r="J133" s="6">
        <v>126</v>
      </c>
      <c r="K133" s="6">
        <v>10</v>
      </c>
      <c r="L133" s="6">
        <v>12</v>
      </c>
      <c r="M133" s="6">
        <v>384</v>
      </c>
      <c r="N133" s="115">
        <v>5.2753125</v>
      </c>
      <c r="S133"/>
    </row>
    <row r="134" customHeight="1" spans="1:19">
      <c r="A134" s="6" t="s">
        <v>145</v>
      </c>
      <c r="B134" s="6">
        <v>2016.5</v>
      </c>
      <c r="C134" s="6">
        <v>203783</v>
      </c>
      <c r="D134" s="6">
        <v>9869</v>
      </c>
      <c r="E134" s="9">
        <v>0.0484289661061031</v>
      </c>
      <c r="F134" s="10">
        <v>0.204326679501469</v>
      </c>
      <c r="G134" s="10">
        <v>9.89532983614924</v>
      </c>
      <c r="H134" s="6">
        <v>354</v>
      </c>
      <c r="I134" s="12">
        <v>3</v>
      </c>
      <c r="J134" s="6">
        <v>147</v>
      </c>
      <c r="K134" s="6">
        <v>15</v>
      </c>
      <c r="L134" s="6">
        <v>15</v>
      </c>
      <c r="M134" s="6">
        <v>534</v>
      </c>
      <c r="N134" s="115">
        <v>3.77621722846442</v>
      </c>
      <c r="S134"/>
    </row>
    <row r="135" customHeight="1" spans="1:19">
      <c r="A135" s="6" t="s">
        <v>146</v>
      </c>
      <c r="B135" s="6">
        <v>2471.93</v>
      </c>
      <c r="C135" s="6">
        <v>256402</v>
      </c>
      <c r="D135" s="6">
        <v>8166</v>
      </c>
      <c r="E135" s="9">
        <v>0.0318484255193017</v>
      </c>
      <c r="F135" s="10">
        <v>0.302710017144257</v>
      </c>
      <c r="G135" s="10">
        <v>9.64083743496541</v>
      </c>
      <c r="H135" s="6">
        <v>253</v>
      </c>
      <c r="I135" s="12">
        <v>3</v>
      </c>
      <c r="J135" s="6">
        <v>98</v>
      </c>
      <c r="K135" s="6">
        <v>6</v>
      </c>
      <c r="L135" s="6">
        <v>11</v>
      </c>
      <c r="M135" s="6">
        <v>371</v>
      </c>
      <c r="N135" s="115">
        <v>6.66288409703504</v>
      </c>
      <c r="S135"/>
    </row>
    <row r="136" customHeight="1" spans="1:19">
      <c r="A136" s="6" t="s">
        <v>147</v>
      </c>
      <c r="B136" s="6">
        <v>817.04</v>
      </c>
      <c r="C136" s="6">
        <v>66411</v>
      </c>
      <c r="D136" s="6">
        <v>1214</v>
      </c>
      <c r="E136" s="9">
        <v>0.0182801041996055</v>
      </c>
      <c r="F136" s="10">
        <v>0.673014827018122</v>
      </c>
      <c r="G136" s="10">
        <v>12.3027811657707</v>
      </c>
      <c r="H136" s="6">
        <v>34</v>
      </c>
      <c r="I136" s="12">
        <v>2</v>
      </c>
      <c r="J136" s="6">
        <v>12</v>
      </c>
      <c r="K136" s="6">
        <v>2</v>
      </c>
      <c r="L136" s="6">
        <v>4</v>
      </c>
      <c r="M136" s="6">
        <v>54</v>
      </c>
      <c r="N136" s="115">
        <v>15.1303703703704</v>
      </c>
      <c r="S136"/>
    </row>
    <row r="137" customHeight="1" spans="1:19">
      <c r="A137" s="6" t="s">
        <v>148</v>
      </c>
      <c r="B137" s="6">
        <v>2916</v>
      </c>
      <c r="C137" s="6">
        <v>214618</v>
      </c>
      <c r="D137" s="6">
        <v>10741</v>
      </c>
      <c r="E137" s="9">
        <v>0.0500470603584042</v>
      </c>
      <c r="F137" s="10">
        <v>0.271483102132017</v>
      </c>
      <c r="G137" s="10">
        <v>13.5869311986879</v>
      </c>
      <c r="H137" s="6">
        <v>357</v>
      </c>
      <c r="I137" s="12">
        <v>6</v>
      </c>
      <c r="J137" s="6">
        <v>170</v>
      </c>
      <c r="K137" s="6">
        <v>9</v>
      </c>
      <c r="L137" s="6">
        <v>10</v>
      </c>
      <c r="M137" s="6">
        <v>552</v>
      </c>
      <c r="N137" s="115">
        <v>5.28260869565217</v>
      </c>
      <c r="S137"/>
    </row>
    <row r="138" customHeight="1" spans="1:19">
      <c r="A138" s="6" t="s">
        <v>149</v>
      </c>
      <c r="B138" s="6">
        <v>3226.57</v>
      </c>
      <c r="C138" s="6">
        <v>187089</v>
      </c>
      <c r="D138" s="6">
        <v>11587</v>
      </c>
      <c r="E138" s="9">
        <v>0.0619330906680778</v>
      </c>
      <c r="F138" s="10">
        <v>0.278464658669198</v>
      </c>
      <c r="G138" s="10">
        <v>17.2461769532148</v>
      </c>
      <c r="H138" s="6">
        <v>409</v>
      </c>
      <c r="I138" s="12">
        <v>0</v>
      </c>
      <c r="J138" s="6">
        <v>241</v>
      </c>
      <c r="K138" s="6">
        <v>27</v>
      </c>
      <c r="L138" s="6">
        <v>10</v>
      </c>
      <c r="M138" s="6">
        <v>687</v>
      </c>
      <c r="N138" s="115">
        <v>4.69660844250364</v>
      </c>
      <c r="S138"/>
    </row>
    <row r="139" customHeight="1" spans="1:19">
      <c r="A139" s="6" t="s">
        <v>150</v>
      </c>
      <c r="B139" s="6">
        <v>2988.86</v>
      </c>
      <c r="C139" s="6">
        <v>153849</v>
      </c>
      <c r="D139" s="6">
        <v>11208</v>
      </c>
      <c r="E139" s="9">
        <v>0.0728506522629331</v>
      </c>
      <c r="F139" s="10">
        <v>0.266672019985725</v>
      </c>
      <c r="G139" s="10">
        <v>19.427230596234</v>
      </c>
      <c r="H139" s="6">
        <v>475</v>
      </c>
      <c r="I139" s="12">
        <v>9</v>
      </c>
      <c r="J139" s="6">
        <v>199</v>
      </c>
      <c r="K139" s="6">
        <v>10</v>
      </c>
      <c r="L139" s="6">
        <v>19</v>
      </c>
      <c r="M139" s="6">
        <v>712</v>
      </c>
      <c r="N139" s="115">
        <v>4.19783707865169</v>
      </c>
      <c r="S139"/>
    </row>
    <row r="140" customHeight="1" spans="1:19">
      <c r="A140" s="6" t="s">
        <v>151</v>
      </c>
      <c r="B140" s="6">
        <v>3146.58</v>
      </c>
      <c r="C140" s="6">
        <v>191007</v>
      </c>
      <c r="D140" s="6">
        <v>11280</v>
      </c>
      <c r="E140" s="9">
        <v>0.0590554272880052</v>
      </c>
      <c r="F140" s="10">
        <v>0.278952127659574</v>
      </c>
      <c r="G140" s="10">
        <v>16.4736370918343</v>
      </c>
      <c r="H140" s="6">
        <v>616</v>
      </c>
      <c r="I140" s="12">
        <v>9</v>
      </c>
      <c r="J140" s="6">
        <v>444</v>
      </c>
      <c r="K140" s="6">
        <v>41</v>
      </c>
      <c r="L140" s="6">
        <v>22</v>
      </c>
      <c r="M140" s="6">
        <v>1132</v>
      </c>
      <c r="N140" s="115">
        <v>2.77966431095406</v>
      </c>
      <c r="S140"/>
    </row>
    <row r="141" customHeight="1" spans="1:19">
      <c r="A141" s="6" t="s">
        <v>152</v>
      </c>
      <c r="B141" s="6">
        <v>3012.71</v>
      </c>
      <c r="C141" s="6">
        <v>223752</v>
      </c>
      <c r="D141" s="6">
        <v>14794</v>
      </c>
      <c r="E141" s="9">
        <v>0.0661178447566949</v>
      </c>
      <c r="F141" s="10">
        <v>0.203644044883061</v>
      </c>
      <c r="G141" s="10">
        <v>13.4645053452036</v>
      </c>
      <c r="H141" s="6">
        <v>530</v>
      </c>
      <c r="I141" s="12">
        <v>6</v>
      </c>
      <c r="J141" s="6">
        <v>455</v>
      </c>
      <c r="K141" s="6">
        <v>36</v>
      </c>
      <c r="L141" s="6">
        <v>22</v>
      </c>
      <c r="M141" s="6">
        <v>1049</v>
      </c>
      <c r="N141" s="115">
        <v>2.87198284080076</v>
      </c>
      <c r="S141"/>
    </row>
    <row r="142" customHeight="1" spans="1:19">
      <c r="A142" s="6" t="s">
        <v>153</v>
      </c>
      <c r="B142" s="6">
        <v>3965.07</v>
      </c>
      <c r="C142" s="6">
        <v>287043</v>
      </c>
      <c r="D142" s="6">
        <v>16912</v>
      </c>
      <c r="E142" s="9">
        <v>0.0589180018324781</v>
      </c>
      <c r="F142" s="10">
        <v>0.234453051087985</v>
      </c>
      <c r="G142" s="10">
        <v>13.813505293632</v>
      </c>
      <c r="H142" s="6">
        <v>687</v>
      </c>
      <c r="I142" s="12">
        <v>9</v>
      </c>
      <c r="J142" s="6">
        <v>781</v>
      </c>
      <c r="K142" s="6">
        <v>49</v>
      </c>
      <c r="L142" s="6">
        <v>36</v>
      </c>
      <c r="M142" s="6">
        <v>1562</v>
      </c>
      <c r="N142" s="115">
        <v>2.53845710627401</v>
      </c>
      <c r="S142"/>
    </row>
    <row r="143" customHeight="1" spans="1:19">
      <c r="A143" s="6" t="s">
        <v>154</v>
      </c>
      <c r="B143" s="6">
        <v>3612.32</v>
      </c>
      <c r="C143" s="6">
        <v>218006</v>
      </c>
      <c r="D143" s="6">
        <v>10809</v>
      </c>
      <c r="E143" s="9">
        <v>0.0495812041870407</v>
      </c>
      <c r="F143" s="10">
        <v>0.334195577759275</v>
      </c>
      <c r="G143" s="10">
        <v>16.5698191792886</v>
      </c>
      <c r="H143" s="6">
        <v>282</v>
      </c>
      <c r="I143" s="12">
        <v>6</v>
      </c>
      <c r="J143" s="6">
        <v>139</v>
      </c>
      <c r="K143" s="6">
        <v>9</v>
      </c>
      <c r="L143" s="6">
        <v>9</v>
      </c>
      <c r="M143" s="6">
        <v>445</v>
      </c>
      <c r="N143" s="115">
        <v>8.11757303370787</v>
      </c>
      <c r="S143"/>
    </row>
    <row r="144" customHeight="1" spans="1:19">
      <c r="A144" s="6" t="s">
        <v>155</v>
      </c>
      <c r="B144" s="6">
        <v>3423.15</v>
      </c>
      <c r="C144" s="6">
        <v>234031</v>
      </c>
      <c r="D144" s="6">
        <v>13542</v>
      </c>
      <c r="E144" s="9">
        <v>0.0578641291111007</v>
      </c>
      <c r="F144" s="10">
        <v>0.252780239255649</v>
      </c>
      <c r="G144" s="10">
        <v>14.6269084010238</v>
      </c>
      <c r="H144" s="6">
        <v>274</v>
      </c>
      <c r="I144" s="12">
        <v>8</v>
      </c>
      <c r="J144" s="6">
        <v>102</v>
      </c>
      <c r="K144" s="6">
        <v>1</v>
      </c>
      <c r="L144" s="6">
        <v>11</v>
      </c>
      <c r="M144" s="6">
        <v>396</v>
      </c>
      <c r="N144" s="115">
        <v>8.64431818181818</v>
      </c>
      <c r="S144"/>
    </row>
    <row r="145" customHeight="1" spans="1:19">
      <c r="A145" s="6" t="s">
        <v>156</v>
      </c>
      <c r="B145" s="6">
        <v>3314.99</v>
      </c>
      <c r="C145" s="6">
        <v>224042</v>
      </c>
      <c r="D145" s="6">
        <v>15411</v>
      </c>
      <c r="E145" s="9">
        <v>0.068786209728533</v>
      </c>
      <c r="F145" s="10">
        <v>0.21510544416326</v>
      </c>
      <c r="G145" s="10">
        <v>14.7962881959633</v>
      </c>
      <c r="H145" s="6">
        <v>958</v>
      </c>
      <c r="I145" s="12">
        <v>5</v>
      </c>
      <c r="J145" s="6">
        <v>1215</v>
      </c>
      <c r="K145" s="6">
        <v>64</v>
      </c>
      <c r="L145" s="6">
        <v>48</v>
      </c>
      <c r="M145" s="6">
        <v>2290</v>
      </c>
      <c r="N145" s="115">
        <v>1.44759388646288</v>
      </c>
      <c r="S145"/>
    </row>
    <row r="146" customHeight="1" spans="1:19">
      <c r="A146" s="6" t="s">
        <v>157</v>
      </c>
      <c r="B146" s="6">
        <v>2396.32</v>
      </c>
      <c r="C146" s="6">
        <v>132579</v>
      </c>
      <c r="D146" s="6">
        <v>10405</v>
      </c>
      <c r="E146" s="9">
        <v>0.0784815091379479</v>
      </c>
      <c r="F146" s="10">
        <v>0.230304661220567</v>
      </c>
      <c r="G146" s="10">
        <v>18.0746573740939</v>
      </c>
      <c r="H146" s="6">
        <v>827</v>
      </c>
      <c r="I146" s="12">
        <v>2</v>
      </c>
      <c r="J146" s="6">
        <v>993</v>
      </c>
      <c r="K146" s="6">
        <v>62</v>
      </c>
      <c r="L146" s="6">
        <v>47</v>
      </c>
      <c r="M146" s="6">
        <v>1931</v>
      </c>
      <c r="N146" s="115">
        <v>1.24097358881409</v>
      </c>
      <c r="S146"/>
    </row>
    <row r="147" customHeight="1" spans="1:19">
      <c r="A147" s="6" t="s">
        <v>158</v>
      </c>
      <c r="B147" s="6">
        <v>1809.45</v>
      </c>
      <c r="C147" s="6">
        <v>94196</v>
      </c>
      <c r="D147" s="6">
        <v>5841</v>
      </c>
      <c r="E147" s="9">
        <v>0.0620090025054143</v>
      </c>
      <c r="F147" s="10">
        <v>0.309784283513097</v>
      </c>
      <c r="G147" s="10">
        <v>19.2094144125016</v>
      </c>
      <c r="H147" s="6">
        <v>206</v>
      </c>
      <c r="I147" s="12">
        <v>3</v>
      </c>
      <c r="J147" s="6">
        <v>107</v>
      </c>
      <c r="K147" s="6">
        <v>5</v>
      </c>
      <c r="L147" s="6">
        <v>6</v>
      </c>
      <c r="M147" s="6">
        <v>327</v>
      </c>
      <c r="N147" s="115">
        <v>5.53348623853211</v>
      </c>
      <c r="S147"/>
    </row>
    <row r="148" customHeight="1" spans="1:19">
      <c r="A148" s="6" t="s">
        <v>159</v>
      </c>
      <c r="B148" s="6">
        <v>2957.05</v>
      </c>
      <c r="C148" s="6">
        <v>148309</v>
      </c>
      <c r="D148" s="6">
        <v>7281</v>
      </c>
      <c r="E148" s="9">
        <v>0.0490934467901476</v>
      </c>
      <c r="F148" s="10">
        <v>0.406132399395687</v>
      </c>
      <c r="G148" s="10">
        <v>19.9384393394872</v>
      </c>
      <c r="H148" s="6">
        <v>314</v>
      </c>
      <c r="I148" s="12">
        <v>1</v>
      </c>
      <c r="J148" s="6">
        <v>128</v>
      </c>
      <c r="K148" s="6">
        <v>3</v>
      </c>
      <c r="L148" s="6">
        <v>6</v>
      </c>
      <c r="M148" s="6">
        <v>452</v>
      </c>
      <c r="N148" s="115">
        <v>6.54214601769912</v>
      </c>
      <c r="S148"/>
    </row>
    <row r="149" customHeight="1" spans="1:19">
      <c r="A149" s="6" t="s">
        <v>160</v>
      </c>
      <c r="B149" s="6">
        <v>7655.77</v>
      </c>
      <c r="C149" s="6">
        <v>358517</v>
      </c>
      <c r="D149" s="6">
        <v>18368</v>
      </c>
      <c r="E149" s="9">
        <v>0.0512332748516807</v>
      </c>
      <c r="F149" s="10">
        <v>0.416799324912892</v>
      </c>
      <c r="G149" s="10">
        <v>21.3539943712572</v>
      </c>
      <c r="H149" s="6">
        <v>573</v>
      </c>
      <c r="I149" s="12">
        <v>15</v>
      </c>
      <c r="J149" s="6">
        <v>216</v>
      </c>
      <c r="K149" s="6">
        <v>10</v>
      </c>
      <c r="L149" s="6">
        <v>11</v>
      </c>
      <c r="M149" s="6">
        <v>825</v>
      </c>
      <c r="N149" s="115">
        <v>9.27972121212121</v>
      </c>
      <c r="S149"/>
    </row>
    <row r="150" customHeight="1" spans="1:19">
      <c r="A150" s="6" t="s">
        <v>161</v>
      </c>
      <c r="B150" s="6">
        <v>6008.38</v>
      </c>
      <c r="C150" s="6">
        <v>318375</v>
      </c>
      <c r="D150" s="6">
        <v>20130</v>
      </c>
      <c r="E150" s="9">
        <v>0.0632273262661955</v>
      </c>
      <c r="F150" s="10">
        <v>0.298478887232986</v>
      </c>
      <c r="G150" s="10">
        <v>18.872021986651</v>
      </c>
      <c r="H150" s="6">
        <v>576</v>
      </c>
      <c r="I150" s="12">
        <v>17</v>
      </c>
      <c r="J150" s="6">
        <v>330</v>
      </c>
      <c r="K150" s="6">
        <v>27</v>
      </c>
      <c r="L150" s="6">
        <v>39</v>
      </c>
      <c r="M150" s="6">
        <v>989</v>
      </c>
      <c r="N150" s="115">
        <v>6.07520728008089</v>
      </c>
      <c r="S150"/>
    </row>
    <row r="151" customHeight="1" spans="1:19">
      <c r="A151" s="6" t="s">
        <v>162</v>
      </c>
      <c r="B151" s="6">
        <v>5690.98</v>
      </c>
      <c r="C151" s="6">
        <v>357553</v>
      </c>
      <c r="D151" s="6">
        <v>22017</v>
      </c>
      <c r="E151" s="9">
        <v>0.0615768851051453</v>
      </c>
      <c r="F151" s="10">
        <v>0.258481173638552</v>
      </c>
      <c r="G151" s="10">
        <v>15.9164655309842</v>
      </c>
      <c r="H151" s="6">
        <v>712</v>
      </c>
      <c r="I151" s="12">
        <v>18</v>
      </c>
      <c r="J151" s="6">
        <v>497</v>
      </c>
      <c r="K151" s="6">
        <v>30</v>
      </c>
      <c r="L151" s="6">
        <v>29</v>
      </c>
      <c r="M151" s="6">
        <v>1286</v>
      </c>
      <c r="N151" s="115">
        <v>4.42533437013997</v>
      </c>
      <c r="S151"/>
    </row>
    <row r="152" customHeight="1" spans="1:19">
      <c r="A152" s="6" t="s">
        <v>163</v>
      </c>
      <c r="B152" s="6">
        <v>5121.21</v>
      </c>
      <c r="C152" s="6">
        <v>327107</v>
      </c>
      <c r="D152" s="6">
        <v>19425</v>
      </c>
      <c r="E152" s="9">
        <v>0.0593842381850587</v>
      </c>
      <c r="F152" s="10">
        <v>0.263640154440154</v>
      </c>
      <c r="G152" s="10">
        <v>15.6560697264198</v>
      </c>
      <c r="H152" s="6">
        <v>593</v>
      </c>
      <c r="I152" s="12">
        <v>20</v>
      </c>
      <c r="J152" s="6">
        <v>356</v>
      </c>
      <c r="K152" s="6">
        <v>32</v>
      </c>
      <c r="L152" s="6">
        <v>34</v>
      </c>
      <c r="M152" s="6">
        <v>1035</v>
      </c>
      <c r="N152" s="115">
        <v>4.94802898550725</v>
      </c>
      <c r="S152"/>
    </row>
    <row r="153" customHeight="1" spans="1:19">
      <c r="A153" s="6" t="s">
        <v>164</v>
      </c>
      <c r="B153" s="6">
        <v>2037.16</v>
      </c>
      <c r="C153" s="6">
        <v>84848</v>
      </c>
      <c r="D153" s="6">
        <v>4465</v>
      </c>
      <c r="E153" s="9">
        <v>0.0526235149915142</v>
      </c>
      <c r="F153" s="10">
        <v>0.456250839865622</v>
      </c>
      <c r="G153" s="10">
        <v>24.0095229115595</v>
      </c>
      <c r="H153" s="6">
        <v>551</v>
      </c>
      <c r="I153" s="12">
        <v>2</v>
      </c>
      <c r="J153" s="6">
        <v>423</v>
      </c>
      <c r="K153" s="6">
        <v>33</v>
      </c>
      <c r="L153" s="6">
        <v>27</v>
      </c>
      <c r="M153" s="6">
        <v>1036</v>
      </c>
      <c r="N153" s="115">
        <v>1.96637065637066</v>
      </c>
      <c r="S153"/>
    </row>
    <row r="154" customHeight="1" spans="1:19">
      <c r="A154" s="6" t="s">
        <v>165</v>
      </c>
      <c r="B154" s="6">
        <v>2032.54</v>
      </c>
      <c r="C154" s="6">
        <v>118427</v>
      </c>
      <c r="D154" s="6">
        <v>7742</v>
      </c>
      <c r="E154" s="9">
        <v>0.0653736056811369</v>
      </c>
      <c r="F154" s="10">
        <v>0.262534228881426</v>
      </c>
      <c r="G154" s="10">
        <v>17.1628091566957</v>
      </c>
      <c r="H154" s="6">
        <v>287</v>
      </c>
      <c r="I154" s="12">
        <v>2</v>
      </c>
      <c r="J154" s="6">
        <v>86</v>
      </c>
      <c r="K154" s="6">
        <v>3</v>
      </c>
      <c r="L154" s="6">
        <v>4</v>
      </c>
      <c r="M154" s="6">
        <v>382</v>
      </c>
      <c r="N154" s="115">
        <v>5.32078534031414</v>
      </c>
      <c r="S154"/>
    </row>
    <row r="155" customHeight="1" spans="1:19">
      <c r="A155" s="6" t="s">
        <v>166</v>
      </c>
      <c r="B155" s="6">
        <v>2014.03</v>
      </c>
      <c r="C155" s="6">
        <v>117288</v>
      </c>
      <c r="D155" s="6">
        <v>7851</v>
      </c>
      <c r="E155" s="9">
        <v>0.0669377941477389</v>
      </c>
      <c r="F155" s="10">
        <v>0.256531652018851</v>
      </c>
      <c r="G155" s="10">
        <v>17.1716629152172</v>
      </c>
      <c r="H155" s="6">
        <v>371</v>
      </c>
      <c r="I155" s="12">
        <v>3</v>
      </c>
      <c r="J155" s="6">
        <v>234</v>
      </c>
      <c r="K155" s="6">
        <v>10</v>
      </c>
      <c r="L155" s="6">
        <v>6</v>
      </c>
      <c r="M155" s="6">
        <v>624</v>
      </c>
      <c r="N155" s="115">
        <v>3.22761217948718</v>
      </c>
      <c r="S155"/>
    </row>
    <row r="156" customHeight="1" spans="1:19">
      <c r="A156" s="6" t="s">
        <v>167</v>
      </c>
      <c r="B156" s="6">
        <v>5318.25</v>
      </c>
      <c r="C156" s="6">
        <v>334317</v>
      </c>
      <c r="D156" s="6">
        <v>17088</v>
      </c>
      <c r="E156" s="9">
        <v>0.0511131650499376</v>
      </c>
      <c r="F156" s="10">
        <v>0.311227176966292</v>
      </c>
      <c r="G156" s="10">
        <v>15.9078060643042</v>
      </c>
      <c r="H156" s="6">
        <v>564</v>
      </c>
      <c r="I156" s="12">
        <v>7</v>
      </c>
      <c r="J156" s="6">
        <v>148</v>
      </c>
      <c r="K156" s="6">
        <v>25</v>
      </c>
      <c r="L156" s="6">
        <v>16</v>
      </c>
      <c r="M156" s="6">
        <v>760</v>
      </c>
      <c r="N156" s="115">
        <v>6.99769736842105</v>
      </c>
      <c r="S156"/>
    </row>
    <row r="157" customHeight="1" spans="1:19">
      <c r="A157" s="6" t="s">
        <v>168</v>
      </c>
      <c r="B157" s="6">
        <v>6715.53</v>
      </c>
      <c r="C157" s="6">
        <v>487956</v>
      </c>
      <c r="D157" s="6">
        <v>29513</v>
      </c>
      <c r="E157" s="9">
        <v>0.0604829123937404</v>
      </c>
      <c r="F157" s="10">
        <v>0.227544810761359</v>
      </c>
      <c r="G157" s="10">
        <v>13.7625728549295</v>
      </c>
      <c r="H157" s="6">
        <v>632</v>
      </c>
      <c r="I157" s="12">
        <v>22</v>
      </c>
      <c r="J157" s="6">
        <v>154</v>
      </c>
      <c r="K157" s="6">
        <v>36</v>
      </c>
      <c r="L157" s="6">
        <v>9</v>
      </c>
      <c r="M157" s="6">
        <v>853</v>
      </c>
      <c r="N157" s="115">
        <v>7.87283704572099</v>
      </c>
      <c r="S157"/>
    </row>
    <row r="158" customHeight="1" spans="1:19">
      <c r="A158" s="6" t="s">
        <v>169</v>
      </c>
      <c r="B158" s="6">
        <v>7083.61</v>
      </c>
      <c r="C158" s="6">
        <v>357111</v>
      </c>
      <c r="D158" s="6">
        <v>19639</v>
      </c>
      <c r="E158" s="9">
        <v>0.0549941054742083</v>
      </c>
      <c r="F158" s="10">
        <v>0.36069097204542</v>
      </c>
      <c r="G158" s="10">
        <v>19.8358773602605</v>
      </c>
      <c r="H158" s="6">
        <v>706</v>
      </c>
      <c r="I158" s="12">
        <v>9</v>
      </c>
      <c r="J158" s="6">
        <v>407</v>
      </c>
      <c r="K158" s="6">
        <v>28</v>
      </c>
      <c r="L158" s="6">
        <v>26</v>
      </c>
      <c r="M158" s="6">
        <v>1176</v>
      </c>
      <c r="N158" s="115">
        <v>6.02347789115646</v>
      </c>
      <c r="S158"/>
    </row>
    <row r="159" customHeight="1" spans="1:19">
      <c r="A159" s="6" t="s">
        <v>170</v>
      </c>
      <c r="B159" s="6">
        <v>8682.58</v>
      </c>
      <c r="C159" s="6">
        <v>449434</v>
      </c>
      <c r="D159" s="6">
        <v>24394</v>
      </c>
      <c r="E159" s="9">
        <v>0.0542771574914226</v>
      </c>
      <c r="F159" s="10">
        <v>0.355930966631139</v>
      </c>
      <c r="G159" s="10">
        <v>19.3189211319126</v>
      </c>
      <c r="H159" s="6">
        <v>757</v>
      </c>
      <c r="I159" s="12">
        <v>6</v>
      </c>
      <c r="J159" s="6">
        <v>320</v>
      </c>
      <c r="K159" s="6">
        <v>15</v>
      </c>
      <c r="L159" s="6">
        <v>27</v>
      </c>
      <c r="M159" s="6">
        <v>1125</v>
      </c>
      <c r="N159" s="115">
        <v>7.71784888888889</v>
      </c>
      <c r="S159"/>
    </row>
    <row r="160" customHeight="1" spans="1:19">
      <c r="A160" s="6" t="s">
        <v>171</v>
      </c>
      <c r="B160" s="6">
        <v>12545.12</v>
      </c>
      <c r="C160" s="6">
        <v>539306</v>
      </c>
      <c r="D160" s="6">
        <v>28765</v>
      </c>
      <c r="E160" s="9">
        <v>0.0533370665262393</v>
      </c>
      <c r="F160" s="10">
        <v>0.436124456805145</v>
      </c>
      <c r="G160" s="10">
        <v>23.261599166336</v>
      </c>
      <c r="H160" s="6">
        <v>1117</v>
      </c>
      <c r="I160" s="12">
        <v>9</v>
      </c>
      <c r="J160" s="6">
        <v>437</v>
      </c>
      <c r="K160" s="6">
        <v>29</v>
      </c>
      <c r="L160" s="6">
        <v>23</v>
      </c>
      <c r="M160" s="6">
        <v>1615</v>
      </c>
      <c r="N160" s="115">
        <v>7.76787616099071</v>
      </c>
      <c r="S160"/>
    </row>
    <row r="161" customHeight="1" spans="1:19">
      <c r="A161" s="6" t="s">
        <v>172</v>
      </c>
      <c r="B161" s="6">
        <v>25.38</v>
      </c>
      <c r="C161" s="6">
        <v>1453</v>
      </c>
      <c r="D161" s="6">
        <v>83</v>
      </c>
      <c r="E161" s="9">
        <v>0.05712319339298</v>
      </c>
      <c r="F161" s="10">
        <v>0.30578313253012</v>
      </c>
      <c r="G161" s="10">
        <v>17.4673090158293</v>
      </c>
      <c r="H161" s="6">
        <v>3</v>
      </c>
      <c r="I161" s="12">
        <v>0</v>
      </c>
      <c r="J161" s="6">
        <v>0</v>
      </c>
      <c r="K161" s="6">
        <v>0</v>
      </c>
      <c r="L161" s="6">
        <v>0</v>
      </c>
      <c r="M161" s="6">
        <v>3</v>
      </c>
      <c r="N161" s="115">
        <v>8.46</v>
      </c>
      <c r="S161"/>
    </row>
    <row r="162" customHeight="1" spans="1:19">
      <c r="A162" s="6" t="s">
        <v>173</v>
      </c>
      <c r="B162" s="6">
        <v>1012.46</v>
      </c>
      <c r="C162" s="6">
        <v>81882</v>
      </c>
      <c r="D162" s="6">
        <v>5326</v>
      </c>
      <c r="E162" s="9">
        <v>0.0650448205954911</v>
      </c>
      <c r="F162" s="10">
        <v>0.19009763424709</v>
      </c>
      <c r="G162" s="10">
        <v>12.3648665152292</v>
      </c>
      <c r="H162" s="6">
        <v>261</v>
      </c>
      <c r="I162" s="12">
        <v>1</v>
      </c>
      <c r="J162" s="6">
        <v>135</v>
      </c>
      <c r="K162" s="6">
        <v>10</v>
      </c>
      <c r="L162" s="6">
        <v>4</v>
      </c>
      <c r="M162" s="6">
        <v>411</v>
      </c>
      <c r="N162" s="115">
        <v>2.46340632603406</v>
      </c>
      <c r="S162"/>
    </row>
    <row r="163" customHeight="1" spans="1:19">
      <c r="A163" s="6" t="s">
        <v>174</v>
      </c>
      <c r="B163" s="6">
        <v>1817.16</v>
      </c>
      <c r="C163" s="6">
        <v>186035</v>
      </c>
      <c r="D163" s="6">
        <v>22199</v>
      </c>
      <c r="E163" s="9">
        <v>0.119327008358642</v>
      </c>
      <c r="F163" s="10">
        <v>0.0818577413397</v>
      </c>
      <c r="G163" s="10">
        <v>9.76783938506195</v>
      </c>
      <c r="H163" s="6">
        <v>387</v>
      </c>
      <c r="I163" s="12">
        <v>23</v>
      </c>
      <c r="J163" s="6">
        <v>79</v>
      </c>
      <c r="K163" s="6">
        <v>95</v>
      </c>
      <c r="L163" s="6">
        <v>15</v>
      </c>
      <c r="M163" s="6">
        <v>599</v>
      </c>
      <c r="N163" s="115">
        <v>3.03365609348915</v>
      </c>
      <c r="S163"/>
    </row>
    <row r="164" customHeight="1" spans="1:19">
      <c r="A164" s="6" t="s">
        <v>175</v>
      </c>
      <c r="B164" s="6">
        <v>1518.67</v>
      </c>
      <c r="C164" s="6">
        <v>173562</v>
      </c>
      <c r="D164" s="6">
        <v>13636</v>
      </c>
      <c r="E164" s="9">
        <v>0.0785655846325809</v>
      </c>
      <c r="F164" s="10">
        <v>0.111372103256087</v>
      </c>
      <c r="G164" s="10">
        <v>8.75001440407463</v>
      </c>
      <c r="H164" s="6">
        <v>280</v>
      </c>
      <c r="I164" s="12">
        <v>6</v>
      </c>
      <c r="J164" s="6">
        <v>99</v>
      </c>
      <c r="K164" s="6">
        <v>9</v>
      </c>
      <c r="L164" s="6">
        <v>6</v>
      </c>
      <c r="M164" s="6">
        <v>400</v>
      </c>
      <c r="N164" s="115">
        <v>3.796675</v>
      </c>
      <c r="S164"/>
    </row>
    <row r="165" customHeight="1" spans="1:19">
      <c r="A165" s="6" t="s">
        <v>176</v>
      </c>
      <c r="B165" s="6">
        <v>2006.84</v>
      </c>
      <c r="C165" s="6">
        <v>159722</v>
      </c>
      <c r="D165" s="6">
        <v>12660</v>
      </c>
      <c r="E165" s="9">
        <v>0.0792627189742177</v>
      </c>
      <c r="F165" s="10">
        <v>0.158518167456556</v>
      </c>
      <c r="G165" s="10">
        <v>12.564580959417</v>
      </c>
      <c r="H165" s="6">
        <v>618</v>
      </c>
      <c r="I165" s="12">
        <v>4</v>
      </c>
      <c r="J165" s="6">
        <v>295</v>
      </c>
      <c r="K165" s="6">
        <v>9</v>
      </c>
      <c r="L165" s="6">
        <v>14</v>
      </c>
      <c r="M165" s="6">
        <v>940</v>
      </c>
      <c r="N165" s="115">
        <v>2.13493617021277</v>
      </c>
      <c r="S165"/>
    </row>
    <row r="166" customHeight="1" spans="1:19">
      <c r="A166" s="6" t="s">
        <v>177</v>
      </c>
      <c r="B166" s="6">
        <v>4992.13</v>
      </c>
      <c r="C166" s="6">
        <v>461170</v>
      </c>
      <c r="D166" s="6">
        <v>33514</v>
      </c>
      <c r="E166" s="9">
        <v>0.07267168289351</v>
      </c>
      <c r="F166" s="10">
        <v>0.148956555469356</v>
      </c>
      <c r="G166" s="10">
        <v>10.8249235639786</v>
      </c>
      <c r="H166" s="6">
        <v>1197</v>
      </c>
      <c r="I166" s="12">
        <v>16</v>
      </c>
      <c r="J166" s="6">
        <v>531</v>
      </c>
      <c r="K166" s="6">
        <v>15</v>
      </c>
      <c r="L166" s="6">
        <v>34</v>
      </c>
      <c r="M166" s="6">
        <v>1793</v>
      </c>
      <c r="N166" s="115">
        <v>2.78423312883436</v>
      </c>
      <c r="S166"/>
    </row>
    <row r="167" customHeight="1" spans="1:19">
      <c r="A167" s="6" t="s">
        <v>178</v>
      </c>
      <c r="B167" s="6">
        <v>5086.88</v>
      </c>
      <c r="C167" s="6">
        <v>473144</v>
      </c>
      <c r="D167" s="6">
        <v>34771</v>
      </c>
      <c r="E167" s="9">
        <v>0.0734892548568723</v>
      </c>
      <c r="F167" s="10">
        <v>0.146296626499094</v>
      </c>
      <c r="G167" s="10">
        <v>10.7512300694926</v>
      </c>
      <c r="H167" s="6">
        <v>1146</v>
      </c>
      <c r="I167" s="12">
        <v>13</v>
      </c>
      <c r="J167" s="6">
        <v>604</v>
      </c>
      <c r="K167" s="6">
        <v>11</v>
      </c>
      <c r="L167" s="6">
        <v>49</v>
      </c>
      <c r="M167" s="6">
        <v>1823</v>
      </c>
      <c r="N167" s="115">
        <v>2.79038946791004</v>
      </c>
      <c r="S167"/>
    </row>
    <row r="168" customHeight="1" spans="1:19">
      <c r="A168" s="6" t="s">
        <v>179</v>
      </c>
      <c r="B168" s="6">
        <v>4612.74</v>
      </c>
      <c r="C168" s="6">
        <v>385448</v>
      </c>
      <c r="D168" s="6">
        <v>25526</v>
      </c>
      <c r="E168" s="9">
        <v>0.0662242377700753</v>
      </c>
      <c r="F168" s="10">
        <v>0.180707513907389</v>
      </c>
      <c r="G168" s="10">
        <v>11.9672173678421</v>
      </c>
      <c r="H168" s="6">
        <v>744</v>
      </c>
      <c r="I168" s="12">
        <v>12</v>
      </c>
      <c r="J168" s="6">
        <v>365</v>
      </c>
      <c r="K168" s="6">
        <v>9</v>
      </c>
      <c r="L168" s="6">
        <v>16</v>
      </c>
      <c r="M168" s="6">
        <v>1146</v>
      </c>
      <c r="N168" s="115">
        <v>4.02507853403141</v>
      </c>
      <c r="S168"/>
    </row>
    <row r="169" customHeight="1" spans="1:19">
      <c r="A169" s="6" t="s">
        <v>180</v>
      </c>
      <c r="B169" s="6">
        <v>3353.28</v>
      </c>
      <c r="C169" s="6">
        <v>252154</v>
      </c>
      <c r="D169" s="6">
        <v>15606</v>
      </c>
      <c r="E169" s="9">
        <v>0.0618907493039968</v>
      </c>
      <c r="F169" s="10">
        <v>0.214871203383314</v>
      </c>
      <c r="G169" s="10">
        <v>13.2985397812448</v>
      </c>
      <c r="H169" s="6">
        <v>560</v>
      </c>
      <c r="I169" s="12">
        <v>14</v>
      </c>
      <c r="J169" s="6">
        <v>267</v>
      </c>
      <c r="K169" s="6">
        <v>7</v>
      </c>
      <c r="L169" s="6">
        <v>20</v>
      </c>
      <c r="M169" s="6">
        <v>868</v>
      </c>
      <c r="N169" s="115">
        <v>3.86322580645161</v>
      </c>
      <c r="S169"/>
    </row>
    <row r="170" customHeight="1" spans="1:19">
      <c r="A170" s="6" t="s">
        <v>181</v>
      </c>
      <c r="B170" s="6">
        <v>2705.57</v>
      </c>
      <c r="C170" s="6">
        <v>179168</v>
      </c>
      <c r="D170" s="6">
        <v>13148</v>
      </c>
      <c r="E170" s="9">
        <v>0.0733836399357028</v>
      </c>
      <c r="F170" s="10">
        <v>0.205778065104959</v>
      </c>
      <c r="G170" s="10">
        <v>15.1007434363279</v>
      </c>
      <c r="H170" s="6">
        <v>523</v>
      </c>
      <c r="I170" s="12">
        <v>3</v>
      </c>
      <c r="J170" s="6">
        <v>300</v>
      </c>
      <c r="K170" s="6">
        <v>6</v>
      </c>
      <c r="L170" s="6">
        <v>17</v>
      </c>
      <c r="M170" s="6">
        <v>849</v>
      </c>
      <c r="N170" s="115">
        <v>3.1867726737338</v>
      </c>
      <c r="S170"/>
    </row>
    <row r="171" customHeight="1" spans="1:19">
      <c r="A171" s="6" t="s">
        <v>182</v>
      </c>
      <c r="B171" s="6">
        <v>3330.81</v>
      </c>
      <c r="C171" s="6">
        <v>213946</v>
      </c>
      <c r="D171" s="6">
        <v>14742</v>
      </c>
      <c r="E171" s="9">
        <v>0.0689052377702785</v>
      </c>
      <c r="F171" s="10">
        <v>0.225940170940171</v>
      </c>
      <c r="G171" s="10">
        <v>15.5684612004898</v>
      </c>
      <c r="H171" s="6">
        <v>547</v>
      </c>
      <c r="I171" s="12">
        <v>5</v>
      </c>
      <c r="J171" s="6">
        <v>205</v>
      </c>
      <c r="K171" s="6">
        <v>3</v>
      </c>
      <c r="L171" s="6">
        <v>15</v>
      </c>
      <c r="M171" s="6">
        <v>775</v>
      </c>
      <c r="N171" s="115">
        <v>4.29781935483871</v>
      </c>
      <c r="S171"/>
    </row>
    <row r="172" customHeight="1" spans="1:19">
      <c r="A172" s="6" t="s">
        <v>183</v>
      </c>
      <c r="B172" s="6">
        <v>4091.22</v>
      </c>
      <c r="C172" s="6">
        <v>302306</v>
      </c>
      <c r="D172" s="6">
        <v>19051</v>
      </c>
      <c r="E172" s="9">
        <v>0.0630189278413264</v>
      </c>
      <c r="F172" s="10">
        <v>0.214750931709622</v>
      </c>
      <c r="G172" s="10">
        <v>13.5333734692662</v>
      </c>
      <c r="H172" s="6">
        <v>647</v>
      </c>
      <c r="I172" s="12">
        <v>7</v>
      </c>
      <c r="J172" s="6">
        <v>241</v>
      </c>
      <c r="K172" s="6">
        <v>5</v>
      </c>
      <c r="L172" s="6">
        <v>16</v>
      </c>
      <c r="M172" s="6">
        <v>916</v>
      </c>
      <c r="N172" s="115">
        <v>4.46639737991266</v>
      </c>
      <c r="S172"/>
    </row>
    <row r="173" customHeight="1" spans="1:19">
      <c r="A173" s="6" t="s">
        <v>184</v>
      </c>
      <c r="B173" s="6">
        <v>2499.96</v>
      </c>
      <c r="C173" s="6">
        <v>111308</v>
      </c>
      <c r="D173" s="6">
        <v>6547</v>
      </c>
      <c r="E173" s="9">
        <v>0.0588187731340065</v>
      </c>
      <c r="F173" s="10">
        <v>0.381848174736521</v>
      </c>
      <c r="G173" s="10">
        <v>22.4598411614619</v>
      </c>
      <c r="H173" s="6">
        <v>227</v>
      </c>
      <c r="I173" s="12">
        <v>3</v>
      </c>
      <c r="J173" s="6">
        <v>106</v>
      </c>
      <c r="K173" s="6">
        <v>5</v>
      </c>
      <c r="L173" s="6">
        <v>8</v>
      </c>
      <c r="M173" s="6">
        <v>349</v>
      </c>
      <c r="N173" s="115">
        <v>7.16320916905444</v>
      </c>
      <c r="S173"/>
    </row>
    <row r="174" customHeight="1" spans="1:19">
      <c r="A174" s="6" t="s">
        <v>185</v>
      </c>
      <c r="B174" s="6"/>
      <c r="C174" s="6"/>
      <c r="D174" s="6"/>
      <c r="E174" s="9" t="e">
        <v>#DIV/0!</v>
      </c>
      <c r="F174" s="10" t="e">
        <v>#DIV/0!</v>
      </c>
      <c r="G174" s="10" t="e">
        <v>#DIV/0!</v>
      </c>
      <c r="H174" s="6"/>
      <c r="I174" s="12"/>
      <c r="J174" s="6"/>
      <c r="K174" s="6"/>
      <c r="L174" s="6"/>
      <c r="M174" s="6"/>
      <c r="N174" s="115" t="e">
        <v>#DIV/0!</v>
      </c>
      <c r="S174"/>
    </row>
    <row r="175" customHeight="1" spans="1:19">
      <c r="A175" s="6" t="s">
        <v>186</v>
      </c>
      <c r="B175" s="6">
        <v>543386.97</v>
      </c>
      <c r="C175" s="6">
        <v>41608428</v>
      </c>
      <c r="D175" s="6">
        <v>2734463</v>
      </c>
      <c r="E175" s="9">
        <v>0.0657189692434427</v>
      </c>
      <c r="F175" s="10">
        <v>0.198717982287564</v>
      </c>
      <c r="G175" s="10">
        <v>13.0595409660754</v>
      </c>
      <c r="H175" s="6">
        <v>80994</v>
      </c>
      <c r="I175" s="12">
        <v>1921</v>
      </c>
      <c r="J175" s="6">
        <v>46094</v>
      </c>
      <c r="K175" s="6">
        <v>7165</v>
      </c>
      <c r="L175" s="6">
        <v>3884</v>
      </c>
      <c r="M175" s="6">
        <v>140058</v>
      </c>
      <c r="N175" s="115">
        <v>3.87972818403804</v>
      </c>
      <c r="S175"/>
    </row>
    <row r="176" customHeight="1" spans="19:19">
      <c r="S176"/>
    </row>
    <row r="177" customHeight="1" spans="19:19">
      <c r="S177"/>
    </row>
    <row r="178" customHeight="1" spans="19:19">
      <c r="S178"/>
    </row>
    <row r="179" customHeight="1" spans="19:19">
      <c r="S179"/>
    </row>
  </sheetData>
  <mergeCells count="1">
    <mergeCell ref="A1:N2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866"/>
  <sheetViews>
    <sheetView workbookViewId="0">
      <pane ySplit="3" topLeftCell="A141" activePane="bottomLeft" state="frozen"/>
      <selection/>
      <selection pane="bottomLeft" activeCell="I154" sqref="I154"/>
    </sheetView>
  </sheetViews>
  <sheetFormatPr defaultColWidth="9" defaultRowHeight="20" customHeight="1"/>
  <cols>
    <col min="1" max="1" width="13.8333333333333" customWidth="1"/>
    <col min="2" max="2" width="9.62962962962963" customWidth="1"/>
    <col min="3" max="3" width="13.3796296296296" customWidth="1"/>
    <col min="4" max="4" width="16.9537037037037" customWidth="1"/>
    <col min="5" max="5" width="17.6111111111111" customWidth="1"/>
    <col min="6" max="6" width="15.4351851851852" customWidth="1"/>
    <col min="7" max="11" width="8.62962962962963" customWidth="1"/>
    <col min="12" max="12" width="8.25" customWidth="1"/>
    <col min="13" max="14" width="8.62962962962963" customWidth="1"/>
    <col min="15" max="16" width="4.87962962962963" customWidth="1"/>
    <col min="17" max="18" width="5.87962962962963" customWidth="1"/>
    <col min="19" max="19" width="4.87962962962963" customWidth="1"/>
    <col min="20" max="20" width="7" customWidth="1"/>
    <col min="21" max="21" width="8.62962962962963" style="1" customWidth="1"/>
  </cols>
  <sheetData>
    <row r="1" customHeight="1" spans="1:21">
      <c r="A1" s="110" t="s">
        <v>187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</row>
    <row r="2" customHeight="1" spans="1:21">
      <c r="A2" s="110"/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</row>
    <row r="3" customHeight="1" spans="1:21">
      <c r="A3" s="112" t="s">
        <v>1</v>
      </c>
      <c r="B3" s="112" t="s">
        <v>188</v>
      </c>
      <c r="C3" s="112" t="s">
        <v>189</v>
      </c>
      <c r="D3" s="112" t="s">
        <v>190</v>
      </c>
      <c r="E3" s="112" t="s">
        <v>191</v>
      </c>
      <c r="F3" s="112" t="s">
        <v>192</v>
      </c>
      <c r="G3" s="112" t="s">
        <v>193</v>
      </c>
      <c r="H3" s="112" t="s">
        <v>194</v>
      </c>
      <c r="I3" s="113" t="s">
        <v>2</v>
      </c>
      <c r="J3" s="113" t="s">
        <v>3</v>
      </c>
      <c r="K3" s="113" t="s">
        <v>4</v>
      </c>
      <c r="L3" s="113" t="s">
        <v>5</v>
      </c>
      <c r="M3" s="113" t="s">
        <v>6</v>
      </c>
      <c r="N3" s="113" t="s">
        <v>7</v>
      </c>
      <c r="O3" s="113" t="s">
        <v>8</v>
      </c>
      <c r="P3" s="113" t="s">
        <v>9</v>
      </c>
      <c r="Q3" s="113" t="s">
        <v>10</v>
      </c>
      <c r="R3" s="113" t="s">
        <v>11</v>
      </c>
      <c r="S3" s="113" t="s">
        <v>12</v>
      </c>
      <c r="T3" s="113" t="s">
        <v>13</v>
      </c>
      <c r="U3" s="114" t="s">
        <v>14</v>
      </c>
    </row>
    <row r="4" customHeight="1" spans="1:21">
      <c r="A4" s="8" t="s">
        <v>171</v>
      </c>
      <c r="B4" s="8" t="s">
        <v>195</v>
      </c>
      <c r="C4" s="8" t="s">
        <v>196</v>
      </c>
      <c r="D4" s="8" t="s">
        <v>197</v>
      </c>
      <c r="E4" s="8" t="s">
        <v>198</v>
      </c>
      <c r="F4" s="8" t="s">
        <v>199</v>
      </c>
      <c r="G4" s="8" t="s">
        <v>200</v>
      </c>
      <c r="H4" s="8" t="s">
        <v>201</v>
      </c>
      <c r="I4" s="6">
        <v>870.41</v>
      </c>
      <c r="J4" s="6">
        <v>8094</v>
      </c>
      <c r="K4" s="6">
        <v>1003</v>
      </c>
      <c r="L4" s="9">
        <v>0.123918952310353</v>
      </c>
      <c r="M4" s="10">
        <v>0.867806580259222</v>
      </c>
      <c r="N4" s="10">
        <v>107.537682233753</v>
      </c>
      <c r="O4" s="6">
        <v>7</v>
      </c>
      <c r="P4" s="12">
        <v>0</v>
      </c>
      <c r="Q4" s="6">
        <v>2</v>
      </c>
      <c r="R4" s="6">
        <v>0</v>
      </c>
      <c r="S4" s="6">
        <v>0</v>
      </c>
      <c r="T4" s="6">
        <v>9</v>
      </c>
      <c r="U4" s="115">
        <v>96.7122222222222</v>
      </c>
    </row>
    <row r="5" customHeight="1" spans="1:21">
      <c r="A5" s="6"/>
      <c r="B5" s="6"/>
      <c r="C5" s="6"/>
      <c r="D5" s="8" t="s">
        <v>202</v>
      </c>
      <c r="E5" s="8" t="s">
        <v>198</v>
      </c>
      <c r="F5" s="8" t="s">
        <v>203</v>
      </c>
      <c r="G5" s="8" t="s">
        <v>204</v>
      </c>
      <c r="H5" s="8" t="s">
        <v>205</v>
      </c>
      <c r="I5" s="6">
        <v>311.58</v>
      </c>
      <c r="J5" s="6">
        <v>5050</v>
      </c>
      <c r="K5" s="6">
        <v>216</v>
      </c>
      <c r="L5" s="9">
        <v>0.0427722772277228</v>
      </c>
      <c r="M5" s="10">
        <v>1.4425</v>
      </c>
      <c r="N5" s="10">
        <v>61.6990099009901</v>
      </c>
      <c r="O5" s="6">
        <v>7</v>
      </c>
      <c r="P5" s="12">
        <v>0</v>
      </c>
      <c r="Q5" s="6">
        <v>2</v>
      </c>
      <c r="R5" s="6">
        <v>1</v>
      </c>
      <c r="S5" s="6">
        <v>0</v>
      </c>
      <c r="T5" s="6">
        <v>10</v>
      </c>
      <c r="U5" s="115">
        <v>31.158</v>
      </c>
    </row>
    <row r="6" customHeight="1" spans="1:21">
      <c r="A6" s="6"/>
      <c r="B6" s="6"/>
      <c r="C6" s="6"/>
      <c r="D6" s="8" t="s">
        <v>206</v>
      </c>
      <c r="E6" s="8" t="s">
        <v>198</v>
      </c>
      <c r="F6" s="8" t="s">
        <v>203</v>
      </c>
      <c r="G6" s="8" t="s">
        <v>207</v>
      </c>
      <c r="H6" s="8" t="s">
        <v>208</v>
      </c>
      <c r="I6" s="6">
        <v>1029.35</v>
      </c>
      <c r="J6" s="6">
        <v>41838</v>
      </c>
      <c r="K6" s="6">
        <v>2067</v>
      </c>
      <c r="L6" s="9">
        <v>0.0494048472680338</v>
      </c>
      <c r="M6" s="10">
        <v>0.497992259313014</v>
      </c>
      <c r="N6" s="10">
        <v>24.6032315120226</v>
      </c>
      <c r="O6" s="6">
        <v>29</v>
      </c>
      <c r="P6" s="12">
        <v>0</v>
      </c>
      <c r="Q6" s="6">
        <v>12</v>
      </c>
      <c r="R6" s="6">
        <v>1</v>
      </c>
      <c r="S6" s="6">
        <v>0</v>
      </c>
      <c r="T6" s="6">
        <v>42</v>
      </c>
      <c r="U6" s="115">
        <v>24.5083333333333</v>
      </c>
    </row>
    <row r="7" customHeight="1" spans="1:21">
      <c r="A7" s="6"/>
      <c r="B7" s="6"/>
      <c r="C7" s="8" t="s">
        <v>209</v>
      </c>
      <c r="D7" s="8" t="s">
        <v>210</v>
      </c>
      <c r="E7" s="8" t="s">
        <v>211</v>
      </c>
      <c r="F7" s="8" t="s">
        <v>212</v>
      </c>
      <c r="G7" s="8" t="s">
        <v>213</v>
      </c>
      <c r="H7" s="8" t="s">
        <v>214</v>
      </c>
      <c r="I7" s="6">
        <v>2417.47</v>
      </c>
      <c r="J7" s="6">
        <v>173369</v>
      </c>
      <c r="K7" s="6">
        <v>8861</v>
      </c>
      <c r="L7" s="9">
        <v>0.0511106368497252</v>
      </c>
      <c r="M7" s="10">
        <v>0.272821351991874</v>
      </c>
      <c r="N7" s="10">
        <v>13.9440730465077</v>
      </c>
      <c r="O7" s="6">
        <v>481</v>
      </c>
      <c r="P7" s="12">
        <v>2</v>
      </c>
      <c r="Q7" s="6">
        <v>162</v>
      </c>
      <c r="R7" s="6">
        <v>0</v>
      </c>
      <c r="S7" s="6">
        <v>10</v>
      </c>
      <c r="T7" s="6">
        <v>655</v>
      </c>
      <c r="U7" s="115">
        <v>3.69079389312977</v>
      </c>
    </row>
    <row r="8" customHeight="1" spans="1:21">
      <c r="A8" s="6"/>
      <c r="B8" s="6"/>
      <c r="C8" s="6"/>
      <c r="D8" s="8" t="s">
        <v>206</v>
      </c>
      <c r="E8" s="8" t="s">
        <v>198</v>
      </c>
      <c r="F8" s="8" t="s">
        <v>203</v>
      </c>
      <c r="G8" s="8" t="s">
        <v>207</v>
      </c>
      <c r="H8" s="8" t="s">
        <v>208</v>
      </c>
      <c r="I8" s="6">
        <v>3996.82</v>
      </c>
      <c r="J8" s="6">
        <v>146478</v>
      </c>
      <c r="K8" s="6">
        <v>7200</v>
      </c>
      <c r="L8" s="9">
        <v>0.0491541391881375</v>
      </c>
      <c r="M8" s="10">
        <v>0.555113888888889</v>
      </c>
      <c r="N8" s="10">
        <v>27.2861453597127</v>
      </c>
      <c r="O8" s="6">
        <v>237</v>
      </c>
      <c r="P8" s="12">
        <v>3</v>
      </c>
      <c r="Q8" s="6">
        <v>112</v>
      </c>
      <c r="R8" s="6">
        <v>2</v>
      </c>
      <c r="S8" s="6">
        <v>7</v>
      </c>
      <c r="T8" s="6">
        <v>361</v>
      </c>
      <c r="U8" s="115">
        <v>11.0715235457064</v>
      </c>
    </row>
    <row r="9" customHeight="1" spans="1:21">
      <c r="A9" s="6"/>
      <c r="B9" s="6"/>
      <c r="C9" s="6"/>
      <c r="D9" s="8" t="s">
        <v>215</v>
      </c>
      <c r="E9" s="8" t="s">
        <v>198</v>
      </c>
      <c r="F9" s="8" t="s">
        <v>203</v>
      </c>
      <c r="G9" s="8" t="s">
        <v>216</v>
      </c>
      <c r="H9" s="8" t="s">
        <v>217</v>
      </c>
      <c r="I9" s="6">
        <v>1.26</v>
      </c>
      <c r="J9" s="6">
        <v>87</v>
      </c>
      <c r="K9" s="6">
        <v>10</v>
      </c>
      <c r="L9" s="9">
        <v>0.114942528735632</v>
      </c>
      <c r="M9" s="10">
        <v>0.126</v>
      </c>
      <c r="N9" s="10">
        <v>14.4827586206897</v>
      </c>
      <c r="O9" s="6">
        <v>0</v>
      </c>
      <c r="P9" s="12">
        <v>0</v>
      </c>
      <c r="Q9" s="6">
        <v>0</v>
      </c>
      <c r="R9" s="6">
        <v>0</v>
      </c>
      <c r="S9" s="6">
        <v>0</v>
      </c>
      <c r="T9" s="6">
        <v>0</v>
      </c>
      <c r="U9" s="115" t="e">
        <v>#DIV/0!</v>
      </c>
    </row>
    <row r="10" customHeight="1" spans="1:21">
      <c r="A10" s="6"/>
      <c r="B10" s="6"/>
      <c r="C10" s="6"/>
      <c r="D10" s="8" t="s">
        <v>218</v>
      </c>
      <c r="E10" s="8" t="s">
        <v>198</v>
      </c>
      <c r="F10" s="8" t="s">
        <v>203</v>
      </c>
      <c r="G10" s="8" t="s">
        <v>219</v>
      </c>
      <c r="H10" s="8" t="s">
        <v>220</v>
      </c>
      <c r="I10" s="6">
        <v>1012.72</v>
      </c>
      <c r="J10" s="6">
        <v>53638</v>
      </c>
      <c r="K10" s="6">
        <v>2476</v>
      </c>
      <c r="L10" s="9">
        <v>0.0461613035534509</v>
      </c>
      <c r="M10" s="10">
        <v>0.409014539579968</v>
      </c>
      <c r="N10" s="10">
        <v>18.8806443193259</v>
      </c>
      <c r="O10" s="6">
        <v>114</v>
      </c>
      <c r="P10" s="12">
        <v>0</v>
      </c>
      <c r="Q10" s="6">
        <v>37</v>
      </c>
      <c r="R10" s="6">
        <v>1</v>
      </c>
      <c r="S10" s="6">
        <v>2</v>
      </c>
      <c r="T10" s="6">
        <v>154</v>
      </c>
      <c r="U10" s="115">
        <v>6.5761038961039</v>
      </c>
    </row>
    <row r="11" customHeight="1" spans="1:21">
      <c r="A11" s="6"/>
      <c r="B11" s="6"/>
      <c r="C11" s="6"/>
      <c r="D11" s="8" t="s">
        <v>221</v>
      </c>
      <c r="E11" s="8" t="s">
        <v>211</v>
      </c>
      <c r="F11" s="8" t="s">
        <v>212</v>
      </c>
      <c r="G11" s="8" t="s">
        <v>222</v>
      </c>
      <c r="H11" s="8" t="s">
        <v>223</v>
      </c>
      <c r="I11" s="6">
        <v>5.12</v>
      </c>
      <c r="J11" s="6">
        <v>166</v>
      </c>
      <c r="K11" s="6">
        <v>6</v>
      </c>
      <c r="L11" s="9">
        <v>0.036144578313253</v>
      </c>
      <c r="M11" s="10">
        <v>0.853333333333333</v>
      </c>
      <c r="N11" s="10">
        <v>30.8433734939759</v>
      </c>
      <c r="O11" s="6">
        <v>0</v>
      </c>
      <c r="P11" s="12">
        <v>0</v>
      </c>
      <c r="Q11" s="6">
        <v>0</v>
      </c>
      <c r="R11" s="6">
        <v>0</v>
      </c>
      <c r="S11" s="6">
        <v>0</v>
      </c>
      <c r="T11" s="6">
        <v>0</v>
      </c>
      <c r="U11" s="115" t="e">
        <v>#DIV/0!</v>
      </c>
    </row>
    <row r="12" customHeight="1" spans="1:21">
      <c r="A12" s="6"/>
      <c r="B12" s="6"/>
      <c r="C12" s="6"/>
      <c r="D12" s="8" t="s">
        <v>224</v>
      </c>
      <c r="E12" s="8" t="s">
        <v>225</v>
      </c>
      <c r="F12" s="8" t="s">
        <v>226</v>
      </c>
      <c r="G12" s="8" t="s">
        <v>227</v>
      </c>
      <c r="H12" s="8" t="s">
        <v>228</v>
      </c>
      <c r="I12" s="6">
        <v>0</v>
      </c>
      <c r="J12" s="6">
        <v>0</v>
      </c>
      <c r="K12" s="6">
        <v>0</v>
      </c>
      <c r="L12" s="9" t="e">
        <v>#DIV/0!</v>
      </c>
      <c r="M12" s="10" t="e">
        <v>#DIV/0!</v>
      </c>
      <c r="N12" s="10" t="e">
        <v>#DIV/0!</v>
      </c>
      <c r="O12" s="6">
        <v>0</v>
      </c>
      <c r="P12" s="12">
        <v>0</v>
      </c>
      <c r="Q12" s="6">
        <v>0</v>
      </c>
      <c r="R12" s="6">
        <v>0</v>
      </c>
      <c r="S12" s="6">
        <v>0</v>
      </c>
      <c r="T12" s="6">
        <v>0</v>
      </c>
      <c r="U12" s="115" t="e">
        <v>#DIV/0!</v>
      </c>
    </row>
    <row r="13" customHeight="1" spans="1:21">
      <c r="A13" s="6"/>
      <c r="B13" s="8" t="s">
        <v>229</v>
      </c>
      <c r="C13" s="6"/>
      <c r="D13" s="6"/>
      <c r="E13" s="6"/>
      <c r="F13" s="6"/>
      <c r="G13" s="6"/>
      <c r="H13" s="6"/>
      <c r="I13" s="6">
        <v>9644.73</v>
      </c>
      <c r="J13" s="6">
        <v>428720</v>
      </c>
      <c r="K13" s="6">
        <v>21839</v>
      </c>
      <c r="L13" s="9">
        <v>0.0509400074640791</v>
      </c>
      <c r="M13" s="10">
        <v>0.44162873757956</v>
      </c>
      <c r="N13" s="10">
        <v>22.4965711886546</v>
      </c>
      <c r="O13" s="6">
        <v>875</v>
      </c>
      <c r="P13" s="12">
        <v>5</v>
      </c>
      <c r="Q13" s="6">
        <v>327</v>
      </c>
      <c r="R13" s="6">
        <v>5</v>
      </c>
      <c r="S13" s="6">
        <v>19</v>
      </c>
      <c r="T13" s="6">
        <v>1231</v>
      </c>
      <c r="U13" s="115">
        <v>7.83487408610886</v>
      </c>
    </row>
    <row r="14" customHeight="1" spans="1:21">
      <c r="A14" s="6"/>
      <c r="B14" s="8" t="s">
        <v>230</v>
      </c>
      <c r="C14" s="8" t="s">
        <v>196</v>
      </c>
      <c r="D14" s="8" t="s">
        <v>231</v>
      </c>
      <c r="E14" s="8" t="s">
        <v>232</v>
      </c>
      <c r="F14" s="8" t="s">
        <v>232</v>
      </c>
      <c r="G14" s="8" t="s">
        <v>233</v>
      </c>
      <c r="H14" s="8" t="s">
        <v>234</v>
      </c>
      <c r="I14" s="6">
        <v>0</v>
      </c>
      <c r="J14" s="6">
        <v>2</v>
      </c>
      <c r="K14" s="6">
        <v>0</v>
      </c>
      <c r="L14" s="9">
        <v>0</v>
      </c>
      <c r="M14" s="10" t="e">
        <v>#DIV/0!</v>
      </c>
      <c r="N14" s="10">
        <v>0</v>
      </c>
      <c r="O14" s="6">
        <v>0</v>
      </c>
      <c r="P14" s="12">
        <v>0</v>
      </c>
      <c r="Q14" s="6">
        <v>0</v>
      </c>
      <c r="R14" s="6">
        <v>0</v>
      </c>
      <c r="S14" s="6">
        <v>0</v>
      </c>
      <c r="T14" s="6">
        <v>0</v>
      </c>
      <c r="U14" s="115" t="e">
        <v>#DIV/0!</v>
      </c>
    </row>
    <row r="15" customHeight="1" spans="1:21">
      <c r="A15" s="6"/>
      <c r="B15" s="6"/>
      <c r="C15" s="6"/>
      <c r="D15" s="8" t="s">
        <v>235</v>
      </c>
      <c r="E15" s="8" t="s">
        <v>232</v>
      </c>
      <c r="F15" s="8" t="s">
        <v>236</v>
      </c>
      <c r="G15" s="8" t="s">
        <v>237</v>
      </c>
      <c r="H15" s="8" t="s">
        <v>238</v>
      </c>
      <c r="I15" s="6">
        <v>345.69</v>
      </c>
      <c r="J15" s="6">
        <v>3380</v>
      </c>
      <c r="K15" s="6">
        <v>347</v>
      </c>
      <c r="L15" s="9">
        <v>0.102662721893491</v>
      </c>
      <c r="M15" s="10">
        <v>0.996224783861672</v>
      </c>
      <c r="N15" s="10">
        <v>102.275147928994</v>
      </c>
      <c r="O15" s="6">
        <v>21</v>
      </c>
      <c r="P15" s="12">
        <v>0</v>
      </c>
      <c r="Q15" s="6">
        <v>13</v>
      </c>
      <c r="R15" s="6">
        <v>6</v>
      </c>
      <c r="S15" s="6">
        <v>1</v>
      </c>
      <c r="T15" s="6">
        <v>41</v>
      </c>
      <c r="U15" s="115">
        <v>8.43146341463415</v>
      </c>
    </row>
    <row r="16" customHeight="1" spans="1:21">
      <c r="A16" s="6"/>
      <c r="B16" s="6"/>
      <c r="C16" s="8" t="s">
        <v>209</v>
      </c>
      <c r="D16" s="8" t="s">
        <v>239</v>
      </c>
      <c r="E16" s="8" t="s">
        <v>232</v>
      </c>
      <c r="F16" s="8" t="s">
        <v>232</v>
      </c>
      <c r="G16" s="8" t="s">
        <v>240</v>
      </c>
      <c r="H16" s="8" t="s">
        <v>241</v>
      </c>
      <c r="I16" s="6">
        <v>2031.23</v>
      </c>
      <c r="J16" s="6">
        <v>76858</v>
      </c>
      <c r="K16" s="6">
        <v>5603</v>
      </c>
      <c r="L16" s="9">
        <v>0.0729006739701788</v>
      </c>
      <c r="M16" s="10">
        <v>0.362525432803855</v>
      </c>
      <c r="N16" s="10">
        <v>26.4283483827318</v>
      </c>
      <c r="O16" s="6">
        <v>159</v>
      </c>
      <c r="P16" s="12">
        <v>4</v>
      </c>
      <c r="Q16" s="6">
        <v>58</v>
      </c>
      <c r="R16" s="6">
        <v>13</v>
      </c>
      <c r="S16" s="6">
        <v>3</v>
      </c>
      <c r="T16" s="6">
        <v>237</v>
      </c>
      <c r="U16" s="115">
        <v>8.57059071729958</v>
      </c>
    </row>
    <row r="17" customHeight="1" spans="1:21">
      <c r="A17" s="6"/>
      <c r="B17" s="8" t="s">
        <v>242</v>
      </c>
      <c r="C17" s="6"/>
      <c r="D17" s="6"/>
      <c r="E17" s="6"/>
      <c r="F17" s="6"/>
      <c r="G17" s="6"/>
      <c r="H17" s="6"/>
      <c r="I17" s="6">
        <v>2376.92</v>
      </c>
      <c r="J17" s="6">
        <v>80240</v>
      </c>
      <c r="K17" s="6">
        <v>5950</v>
      </c>
      <c r="L17" s="9">
        <v>0.0741525423728814</v>
      </c>
      <c r="M17" s="10">
        <v>0.399482352941176</v>
      </c>
      <c r="N17" s="10">
        <v>29.6226321036889</v>
      </c>
      <c r="O17" s="6">
        <v>180</v>
      </c>
      <c r="P17" s="12">
        <v>4</v>
      </c>
      <c r="Q17" s="6">
        <v>71</v>
      </c>
      <c r="R17" s="6">
        <v>19</v>
      </c>
      <c r="S17" s="6">
        <v>4</v>
      </c>
      <c r="T17" s="6">
        <v>278</v>
      </c>
      <c r="U17" s="115">
        <v>8.55007194244604</v>
      </c>
    </row>
    <row r="18" customHeight="1" spans="1:21">
      <c r="A18" s="6"/>
      <c r="B18" s="8" t="s">
        <v>243</v>
      </c>
      <c r="C18" s="8" t="s">
        <v>209</v>
      </c>
      <c r="D18" s="8" t="s">
        <v>244</v>
      </c>
      <c r="E18" s="8" t="s">
        <v>245</v>
      </c>
      <c r="F18" s="8" t="s">
        <v>245</v>
      </c>
      <c r="G18" s="8" t="s">
        <v>246</v>
      </c>
      <c r="H18" s="8" t="s">
        <v>247</v>
      </c>
      <c r="I18" s="6">
        <v>523.47</v>
      </c>
      <c r="J18" s="6">
        <v>30346</v>
      </c>
      <c r="K18" s="6">
        <v>976</v>
      </c>
      <c r="L18" s="9">
        <v>0.032162393725697</v>
      </c>
      <c r="M18" s="10">
        <v>0.536342213114754</v>
      </c>
      <c r="N18" s="10">
        <v>17.2500494299084</v>
      </c>
      <c r="O18" s="6">
        <v>62</v>
      </c>
      <c r="P18" s="12">
        <v>0</v>
      </c>
      <c r="Q18" s="6">
        <v>39</v>
      </c>
      <c r="R18" s="6">
        <v>5</v>
      </c>
      <c r="S18" s="6">
        <v>0</v>
      </c>
      <c r="T18" s="6">
        <v>106</v>
      </c>
      <c r="U18" s="115">
        <v>4.93839622641509</v>
      </c>
    </row>
    <row r="19" customHeight="1" spans="1:21">
      <c r="A19" s="6"/>
      <c r="B19" s="8" t="s">
        <v>248</v>
      </c>
      <c r="C19" s="6"/>
      <c r="D19" s="6"/>
      <c r="E19" s="6"/>
      <c r="F19" s="6"/>
      <c r="G19" s="6"/>
      <c r="H19" s="6"/>
      <c r="I19" s="6">
        <v>523.47</v>
      </c>
      <c r="J19" s="6">
        <v>30346</v>
      </c>
      <c r="K19" s="6">
        <v>976</v>
      </c>
      <c r="L19" s="9">
        <v>0.032162393725697</v>
      </c>
      <c r="M19" s="10">
        <v>0.536342213114754</v>
      </c>
      <c r="N19" s="10">
        <v>17.2500494299084</v>
      </c>
      <c r="O19" s="6">
        <v>62</v>
      </c>
      <c r="P19" s="12">
        <v>0</v>
      </c>
      <c r="Q19" s="6">
        <v>39</v>
      </c>
      <c r="R19" s="6">
        <v>5</v>
      </c>
      <c r="S19" s="6">
        <v>0</v>
      </c>
      <c r="T19" s="6">
        <v>106</v>
      </c>
      <c r="U19" s="115">
        <v>4.93839622641509</v>
      </c>
    </row>
    <row r="20" customHeight="1" spans="1:21">
      <c r="A20" s="8" t="s">
        <v>249</v>
      </c>
      <c r="B20" s="6"/>
      <c r="C20" s="6"/>
      <c r="D20" s="6"/>
      <c r="E20" s="6"/>
      <c r="F20" s="6"/>
      <c r="G20" s="6"/>
      <c r="H20" s="6"/>
      <c r="I20" s="6">
        <v>12545.12</v>
      </c>
      <c r="J20" s="6">
        <v>539306</v>
      </c>
      <c r="K20" s="6">
        <v>28765</v>
      </c>
      <c r="L20" s="9">
        <v>0.0533370665262393</v>
      </c>
      <c r="M20" s="10">
        <v>0.436124456805145</v>
      </c>
      <c r="N20" s="10">
        <v>23.261599166336</v>
      </c>
      <c r="O20" s="6">
        <v>1117</v>
      </c>
      <c r="P20" s="12">
        <v>9</v>
      </c>
      <c r="Q20" s="6">
        <v>437</v>
      </c>
      <c r="R20" s="6">
        <v>29</v>
      </c>
      <c r="S20" s="6">
        <v>23</v>
      </c>
      <c r="T20" s="6">
        <v>1615</v>
      </c>
      <c r="U20" s="115">
        <v>7.76787616099071</v>
      </c>
    </row>
    <row r="21" customHeight="1" spans="1:21">
      <c r="A21" s="8" t="s">
        <v>170</v>
      </c>
      <c r="B21" s="8" t="s">
        <v>195</v>
      </c>
      <c r="C21" s="8" t="s">
        <v>196</v>
      </c>
      <c r="D21" s="8" t="s">
        <v>197</v>
      </c>
      <c r="E21" s="8" t="s">
        <v>198</v>
      </c>
      <c r="F21" s="8" t="s">
        <v>199</v>
      </c>
      <c r="G21" s="8" t="s">
        <v>200</v>
      </c>
      <c r="H21" s="8" t="s">
        <v>201</v>
      </c>
      <c r="I21" s="6">
        <v>617.87</v>
      </c>
      <c r="J21" s="6">
        <v>7706</v>
      </c>
      <c r="K21" s="6">
        <v>951</v>
      </c>
      <c r="L21" s="9">
        <v>0.123410329613288</v>
      </c>
      <c r="M21" s="10">
        <v>0.649705573080967</v>
      </c>
      <c r="N21" s="10">
        <v>80.1803789255126</v>
      </c>
      <c r="O21" s="6">
        <v>7</v>
      </c>
      <c r="P21" s="12">
        <v>0</v>
      </c>
      <c r="Q21" s="6">
        <v>2</v>
      </c>
      <c r="R21" s="6">
        <v>1</v>
      </c>
      <c r="S21" s="6">
        <v>0</v>
      </c>
      <c r="T21" s="6">
        <v>10</v>
      </c>
      <c r="U21" s="115">
        <v>61.787</v>
      </c>
    </row>
    <row r="22" customHeight="1" spans="1:21">
      <c r="A22" s="6"/>
      <c r="B22" s="6"/>
      <c r="C22" s="6"/>
      <c r="D22" s="8" t="s">
        <v>206</v>
      </c>
      <c r="E22" s="8" t="s">
        <v>198</v>
      </c>
      <c r="F22" s="8" t="s">
        <v>203</v>
      </c>
      <c r="G22" s="8" t="s">
        <v>207</v>
      </c>
      <c r="H22" s="8" t="s">
        <v>208</v>
      </c>
      <c r="I22" s="6">
        <v>516.42</v>
      </c>
      <c r="J22" s="6">
        <v>22854</v>
      </c>
      <c r="K22" s="6">
        <v>1130</v>
      </c>
      <c r="L22" s="9">
        <v>0.0494442985910563</v>
      </c>
      <c r="M22" s="10">
        <v>0.457008849557522</v>
      </c>
      <c r="N22" s="10">
        <v>22.5964820162772</v>
      </c>
      <c r="O22" s="6">
        <v>16</v>
      </c>
      <c r="P22" s="12">
        <v>0</v>
      </c>
      <c r="Q22" s="6">
        <v>6</v>
      </c>
      <c r="R22" s="6">
        <v>0</v>
      </c>
      <c r="S22" s="6">
        <v>0</v>
      </c>
      <c r="T22" s="6">
        <v>22</v>
      </c>
      <c r="U22" s="115">
        <v>23.4736363636364</v>
      </c>
    </row>
    <row r="23" customHeight="1" spans="1:21">
      <c r="A23" s="6"/>
      <c r="B23" s="6"/>
      <c r="C23" s="8" t="s">
        <v>209</v>
      </c>
      <c r="D23" s="8" t="s">
        <v>210</v>
      </c>
      <c r="E23" s="8" t="s">
        <v>211</v>
      </c>
      <c r="F23" s="8" t="s">
        <v>212</v>
      </c>
      <c r="G23" s="8" t="s">
        <v>213</v>
      </c>
      <c r="H23" s="8" t="s">
        <v>214</v>
      </c>
      <c r="I23" s="6">
        <v>1516.14</v>
      </c>
      <c r="J23" s="6">
        <v>127057</v>
      </c>
      <c r="K23" s="6">
        <v>6294</v>
      </c>
      <c r="L23" s="9">
        <v>0.0495368220562425</v>
      </c>
      <c r="M23" s="10">
        <v>0.240886558627264</v>
      </c>
      <c r="N23" s="10">
        <v>11.9327545904594</v>
      </c>
      <c r="O23" s="6">
        <v>267</v>
      </c>
      <c r="P23" s="12">
        <v>3</v>
      </c>
      <c r="Q23" s="6">
        <v>67</v>
      </c>
      <c r="R23" s="6">
        <v>2</v>
      </c>
      <c r="S23" s="6">
        <v>13</v>
      </c>
      <c r="T23" s="6">
        <v>352</v>
      </c>
      <c r="U23" s="115">
        <v>4.30721590909091</v>
      </c>
    </row>
    <row r="24" customHeight="1" spans="1:21">
      <c r="A24" s="6"/>
      <c r="B24" s="6"/>
      <c r="C24" s="6"/>
      <c r="D24" s="8" t="s">
        <v>250</v>
      </c>
      <c r="E24" s="8" t="s">
        <v>211</v>
      </c>
      <c r="F24" s="8" t="s">
        <v>212</v>
      </c>
      <c r="G24" s="8" t="s">
        <v>251</v>
      </c>
      <c r="H24" s="8" t="s">
        <v>252</v>
      </c>
      <c r="I24" s="6">
        <v>0</v>
      </c>
      <c r="J24" s="6">
        <v>0</v>
      </c>
      <c r="K24" s="6">
        <v>0</v>
      </c>
      <c r="L24" s="9" t="e">
        <v>#DIV/0!</v>
      </c>
      <c r="M24" s="10" t="e">
        <v>#DIV/0!</v>
      </c>
      <c r="N24" s="10" t="e">
        <v>#DIV/0!</v>
      </c>
      <c r="O24" s="6">
        <v>0</v>
      </c>
      <c r="P24" s="12">
        <v>0</v>
      </c>
      <c r="Q24" s="6">
        <v>0</v>
      </c>
      <c r="R24" s="6">
        <v>0</v>
      </c>
      <c r="S24" s="6">
        <v>0</v>
      </c>
      <c r="T24" s="6">
        <v>0</v>
      </c>
      <c r="U24" s="115" t="e">
        <v>#DIV/0!</v>
      </c>
    </row>
    <row r="25" customHeight="1" spans="1:21">
      <c r="A25" s="6"/>
      <c r="B25" s="6"/>
      <c r="C25" s="6"/>
      <c r="D25" s="8" t="s">
        <v>206</v>
      </c>
      <c r="E25" s="8" t="s">
        <v>198</v>
      </c>
      <c r="F25" s="8" t="s">
        <v>203</v>
      </c>
      <c r="G25" s="8" t="s">
        <v>207</v>
      </c>
      <c r="H25" s="8" t="s">
        <v>208</v>
      </c>
      <c r="I25" s="6">
        <v>2840.13</v>
      </c>
      <c r="J25" s="6">
        <v>129460</v>
      </c>
      <c r="K25" s="6">
        <v>6827</v>
      </c>
      <c r="L25" s="9">
        <v>0.0527344353468253</v>
      </c>
      <c r="M25" s="10">
        <v>0.416014354767834</v>
      </c>
      <c r="N25" s="10">
        <v>21.9382820948556</v>
      </c>
      <c r="O25" s="6">
        <v>160</v>
      </c>
      <c r="P25" s="12">
        <v>1</v>
      </c>
      <c r="Q25" s="6">
        <v>92</v>
      </c>
      <c r="R25" s="6">
        <v>2</v>
      </c>
      <c r="S25" s="6">
        <v>5</v>
      </c>
      <c r="T25" s="6">
        <v>260</v>
      </c>
      <c r="U25" s="115">
        <v>10.9235769230769</v>
      </c>
    </row>
    <row r="26" customHeight="1" spans="1:21">
      <c r="A26" s="6"/>
      <c r="B26" s="6"/>
      <c r="C26" s="6"/>
      <c r="D26" s="8" t="s">
        <v>215</v>
      </c>
      <c r="E26" s="8" t="s">
        <v>198</v>
      </c>
      <c r="F26" s="8" t="s">
        <v>203</v>
      </c>
      <c r="G26" s="8" t="s">
        <v>216</v>
      </c>
      <c r="H26" s="8" t="s">
        <v>217</v>
      </c>
      <c r="I26" s="6">
        <v>505.53</v>
      </c>
      <c r="J26" s="6">
        <v>20000</v>
      </c>
      <c r="K26" s="6">
        <v>2043</v>
      </c>
      <c r="L26" s="9">
        <v>0.10215</v>
      </c>
      <c r="M26" s="10">
        <v>0.247444933920705</v>
      </c>
      <c r="N26" s="10">
        <v>25.2765</v>
      </c>
      <c r="O26" s="6">
        <v>84</v>
      </c>
      <c r="P26" s="12">
        <v>0</v>
      </c>
      <c r="Q26" s="6">
        <v>50</v>
      </c>
      <c r="R26" s="6">
        <v>0</v>
      </c>
      <c r="S26" s="6">
        <v>2</v>
      </c>
      <c r="T26" s="6">
        <v>136</v>
      </c>
      <c r="U26" s="115">
        <v>3.71713235294118</v>
      </c>
    </row>
    <row r="27" customHeight="1" spans="1:21">
      <c r="A27" s="6"/>
      <c r="B27" s="6"/>
      <c r="C27" s="6"/>
      <c r="D27" s="8" t="s">
        <v>218</v>
      </c>
      <c r="E27" s="8" t="s">
        <v>198</v>
      </c>
      <c r="F27" s="8" t="s">
        <v>203</v>
      </c>
      <c r="G27" s="8" t="s">
        <v>219</v>
      </c>
      <c r="H27" s="8" t="s">
        <v>220</v>
      </c>
      <c r="I27" s="6">
        <v>1004.83</v>
      </c>
      <c r="J27" s="6">
        <v>52446</v>
      </c>
      <c r="K27" s="6">
        <v>2320</v>
      </c>
      <c r="L27" s="9">
        <v>0.0442359760515578</v>
      </c>
      <c r="M27" s="10">
        <v>0.433116379310345</v>
      </c>
      <c r="N27" s="10">
        <v>19.1593257827098</v>
      </c>
      <c r="O27" s="6">
        <v>112</v>
      </c>
      <c r="P27" s="12">
        <v>1</v>
      </c>
      <c r="Q27" s="6">
        <v>49</v>
      </c>
      <c r="R27" s="6">
        <v>0</v>
      </c>
      <c r="S27" s="6">
        <v>0</v>
      </c>
      <c r="T27" s="6">
        <v>162</v>
      </c>
      <c r="U27" s="115">
        <v>6.20265432098766</v>
      </c>
    </row>
    <row r="28" customHeight="1" spans="1:21">
      <c r="A28" s="6"/>
      <c r="B28" s="6"/>
      <c r="C28" s="6"/>
      <c r="D28" s="8" t="s">
        <v>221</v>
      </c>
      <c r="E28" s="8" t="s">
        <v>211</v>
      </c>
      <c r="F28" s="8" t="s">
        <v>212</v>
      </c>
      <c r="G28" s="8" t="s">
        <v>222</v>
      </c>
      <c r="H28" s="8" t="s">
        <v>223</v>
      </c>
      <c r="I28" s="6">
        <v>325.27</v>
      </c>
      <c r="J28" s="6">
        <v>14718</v>
      </c>
      <c r="K28" s="6">
        <v>672</v>
      </c>
      <c r="L28" s="9">
        <v>0.0456583774969425</v>
      </c>
      <c r="M28" s="10">
        <v>0.484032738095238</v>
      </c>
      <c r="N28" s="10">
        <v>22.1001494768311</v>
      </c>
      <c r="O28" s="6">
        <v>21</v>
      </c>
      <c r="P28" s="12">
        <v>0</v>
      </c>
      <c r="Q28" s="6">
        <v>7</v>
      </c>
      <c r="R28" s="6">
        <v>1</v>
      </c>
      <c r="S28" s="6">
        <v>1</v>
      </c>
      <c r="T28" s="6">
        <v>30</v>
      </c>
      <c r="U28" s="115">
        <v>10.8423333333333</v>
      </c>
    </row>
    <row r="29" customHeight="1" spans="1:21">
      <c r="A29" s="6"/>
      <c r="B29" s="6"/>
      <c r="C29" s="6"/>
      <c r="D29" s="8" t="s">
        <v>224</v>
      </c>
      <c r="E29" s="8" t="s">
        <v>225</v>
      </c>
      <c r="F29" s="8" t="s">
        <v>226</v>
      </c>
      <c r="G29" s="8" t="s">
        <v>227</v>
      </c>
      <c r="H29" s="8" t="s">
        <v>228</v>
      </c>
      <c r="I29" s="6">
        <v>0</v>
      </c>
      <c r="J29" s="6">
        <v>0</v>
      </c>
      <c r="K29" s="6">
        <v>0</v>
      </c>
      <c r="L29" s="9" t="e">
        <v>#DIV/0!</v>
      </c>
      <c r="M29" s="10" t="e">
        <v>#DIV/0!</v>
      </c>
      <c r="N29" s="10" t="e">
        <v>#DIV/0!</v>
      </c>
      <c r="O29" s="6">
        <v>0</v>
      </c>
      <c r="P29" s="12">
        <v>0</v>
      </c>
      <c r="Q29" s="6">
        <v>0</v>
      </c>
      <c r="R29" s="6">
        <v>0</v>
      </c>
      <c r="S29" s="6">
        <v>0</v>
      </c>
      <c r="T29" s="6">
        <v>0</v>
      </c>
      <c r="U29" s="115" t="e">
        <v>#DIV/0!</v>
      </c>
    </row>
    <row r="30" customHeight="1" spans="1:21">
      <c r="A30" s="6"/>
      <c r="B30" s="8" t="s">
        <v>229</v>
      </c>
      <c r="C30" s="6"/>
      <c r="D30" s="6"/>
      <c r="E30" s="6"/>
      <c r="F30" s="6"/>
      <c r="G30" s="6"/>
      <c r="H30" s="6"/>
      <c r="I30" s="6">
        <v>7326.19</v>
      </c>
      <c r="J30" s="6">
        <v>374241</v>
      </c>
      <c r="K30" s="6">
        <v>20237</v>
      </c>
      <c r="L30" s="9">
        <v>0.0540747806894488</v>
      </c>
      <c r="M30" s="10">
        <v>0.362019568117804</v>
      </c>
      <c r="N30" s="10">
        <v>19.5761287512592</v>
      </c>
      <c r="O30" s="6">
        <v>667</v>
      </c>
      <c r="P30" s="12">
        <v>5</v>
      </c>
      <c r="Q30" s="6">
        <v>273</v>
      </c>
      <c r="R30" s="6">
        <v>6</v>
      </c>
      <c r="S30" s="6">
        <v>21</v>
      </c>
      <c r="T30" s="6">
        <v>972</v>
      </c>
      <c r="U30" s="115">
        <v>7.53723251028807</v>
      </c>
    </row>
    <row r="31" customHeight="1" spans="1:21">
      <c r="A31" s="6"/>
      <c r="B31" s="8" t="s">
        <v>230</v>
      </c>
      <c r="C31" s="8" t="s">
        <v>196</v>
      </c>
      <c r="D31" s="8" t="s">
        <v>231</v>
      </c>
      <c r="E31" s="8" t="s">
        <v>232</v>
      </c>
      <c r="F31" s="8" t="s">
        <v>232</v>
      </c>
      <c r="G31" s="8" t="s">
        <v>233</v>
      </c>
      <c r="H31" s="8" t="s">
        <v>234</v>
      </c>
      <c r="I31" s="6">
        <v>305.12</v>
      </c>
      <c r="J31" s="6">
        <v>5637</v>
      </c>
      <c r="K31" s="6">
        <v>347</v>
      </c>
      <c r="L31" s="9">
        <v>0.0615575660812489</v>
      </c>
      <c r="M31" s="10">
        <v>0.879308357348703</v>
      </c>
      <c r="N31" s="10">
        <v>54.1280823132872</v>
      </c>
      <c r="O31" s="6">
        <v>0</v>
      </c>
      <c r="P31" s="12">
        <v>0</v>
      </c>
      <c r="Q31" s="6">
        <v>0</v>
      </c>
      <c r="R31" s="6">
        <v>0</v>
      </c>
      <c r="S31" s="6">
        <v>0</v>
      </c>
      <c r="T31" s="6">
        <v>0</v>
      </c>
      <c r="U31" s="115" t="e">
        <v>#DIV/0!</v>
      </c>
    </row>
    <row r="32" customHeight="1" spans="1:21">
      <c r="A32" s="6"/>
      <c r="B32" s="6"/>
      <c r="C32" s="6"/>
      <c r="D32" s="8" t="s">
        <v>235</v>
      </c>
      <c r="E32" s="8" t="s">
        <v>232</v>
      </c>
      <c r="F32" s="8" t="s">
        <v>236</v>
      </c>
      <c r="G32" s="8" t="s">
        <v>237</v>
      </c>
      <c r="H32" s="8" t="s">
        <v>238</v>
      </c>
      <c r="I32" s="6">
        <v>204.03</v>
      </c>
      <c r="J32" s="6">
        <v>3810</v>
      </c>
      <c r="K32" s="6">
        <v>431</v>
      </c>
      <c r="L32" s="9">
        <v>0.113123359580053</v>
      </c>
      <c r="M32" s="10">
        <v>0.47338747099768</v>
      </c>
      <c r="N32" s="10">
        <v>53.5511811023622</v>
      </c>
      <c r="O32" s="6">
        <v>28</v>
      </c>
      <c r="P32" s="12">
        <v>0</v>
      </c>
      <c r="Q32" s="6">
        <v>27</v>
      </c>
      <c r="R32" s="6">
        <v>5</v>
      </c>
      <c r="S32" s="6">
        <v>2</v>
      </c>
      <c r="T32" s="6">
        <v>62</v>
      </c>
      <c r="U32" s="115">
        <v>3.2908064516129</v>
      </c>
    </row>
    <row r="33" customHeight="1" spans="1:21">
      <c r="A33" s="6"/>
      <c r="B33" s="6"/>
      <c r="C33" s="8" t="s">
        <v>209</v>
      </c>
      <c r="D33" s="8" t="s">
        <v>253</v>
      </c>
      <c r="E33" s="8" t="s">
        <v>232</v>
      </c>
      <c r="F33" s="8" t="s">
        <v>232</v>
      </c>
      <c r="G33" s="8" t="s">
        <v>254</v>
      </c>
      <c r="H33" s="8" t="s">
        <v>255</v>
      </c>
      <c r="I33" s="6">
        <v>0</v>
      </c>
      <c r="J33" s="6">
        <v>4</v>
      </c>
      <c r="K33" s="6">
        <v>0</v>
      </c>
      <c r="L33" s="9">
        <v>0</v>
      </c>
      <c r="M33" s="10" t="e">
        <v>#DIV/0!</v>
      </c>
      <c r="N33" s="10">
        <v>0</v>
      </c>
      <c r="O33" s="6">
        <v>0</v>
      </c>
      <c r="P33" s="12">
        <v>0</v>
      </c>
      <c r="Q33" s="6">
        <v>0</v>
      </c>
      <c r="R33" s="6">
        <v>0</v>
      </c>
      <c r="S33" s="6">
        <v>0</v>
      </c>
      <c r="T33" s="6">
        <v>0</v>
      </c>
      <c r="U33" s="115" t="e">
        <v>#DIV/0!</v>
      </c>
    </row>
    <row r="34" customHeight="1" spans="1:21">
      <c r="A34" s="6"/>
      <c r="B34" s="6"/>
      <c r="C34" s="6"/>
      <c r="D34" s="8" t="s">
        <v>239</v>
      </c>
      <c r="E34" s="8" t="s">
        <v>232</v>
      </c>
      <c r="F34" s="8" t="s">
        <v>232</v>
      </c>
      <c r="G34" s="8" t="s">
        <v>240</v>
      </c>
      <c r="H34" s="8" t="s">
        <v>241</v>
      </c>
      <c r="I34" s="6">
        <v>507.85</v>
      </c>
      <c r="J34" s="6">
        <v>62864</v>
      </c>
      <c r="K34" s="6">
        <v>3001</v>
      </c>
      <c r="L34" s="9">
        <v>0.0477379740391957</v>
      </c>
      <c r="M34" s="10">
        <v>0.169226924358547</v>
      </c>
      <c r="N34" s="10">
        <v>8.07855052176126</v>
      </c>
      <c r="O34" s="6">
        <v>48</v>
      </c>
      <c r="P34" s="12">
        <v>1</v>
      </c>
      <c r="Q34" s="6">
        <v>14</v>
      </c>
      <c r="R34" s="6">
        <v>3</v>
      </c>
      <c r="S34" s="6">
        <v>3</v>
      </c>
      <c r="T34" s="6">
        <v>69</v>
      </c>
      <c r="U34" s="115">
        <v>7.36014492753623</v>
      </c>
    </row>
    <row r="35" customHeight="1" spans="1:21">
      <c r="A35" s="6"/>
      <c r="B35" s="6"/>
      <c r="C35" s="6"/>
      <c r="D35" s="8" t="s">
        <v>235</v>
      </c>
      <c r="E35" s="8" t="s">
        <v>232</v>
      </c>
      <c r="F35" s="8" t="s">
        <v>236</v>
      </c>
      <c r="G35" s="8" t="s">
        <v>237</v>
      </c>
      <c r="H35" s="8" t="s">
        <v>238</v>
      </c>
      <c r="I35" s="6">
        <v>0</v>
      </c>
      <c r="J35" s="6">
        <v>0</v>
      </c>
      <c r="K35" s="6">
        <v>0</v>
      </c>
      <c r="L35" s="9" t="e">
        <v>#DIV/0!</v>
      </c>
      <c r="M35" s="10" t="e">
        <v>#DIV/0!</v>
      </c>
      <c r="N35" s="10" t="e">
        <v>#DIV/0!</v>
      </c>
      <c r="O35" s="6">
        <v>0</v>
      </c>
      <c r="P35" s="12">
        <v>0</v>
      </c>
      <c r="Q35" s="6">
        <v>0</v>
      </c>
      <c r="R35" s="6">
        <v>0</v>
      </c>
      <c r="S35" s="6">
        <v>0</v>
      </c>
      <c r="T35" s="6">
        <v>0</v>
      </c>
      <c r="U35" s="115" t="e">
        <v>#DIV/0!</v>
      </c>
    </row>
    <row r="36" customHeight="1" spans="1:21">
      <c r="A36" s="6"/>
      <c r="B36" s="8" t="s">
        <v>242</v>
      </c>
      <c r="C36" s="6"/>
      <c r="D36" s="6"/>
      <c r="E36" s="6"/>
      <c r="F36" s="6"/>
      <c r="G36" s="6"/>
      <c r="H36" s="6"/>
      <c r="I36" s="6">
        <v>1017</v>
      </c>
      <c r="J36" s="6">
        <v>72315</v>
      </c>
      <c r="K36" s="6">
        <v>3779</v>
      </c>
      <c r="L36" s="9">
        <v>0.0522574846159165</v>
      </c>
      <c r="M36" s="10">
        <v>0.269118814501191</v>
      </c>
      <c r="N36" s="10">
        <v>14.0634723086497</v>
      </c>
      <c r="O36" s="6">
        <v>76</v>
      </c>
      <c r="P36" s="12">
        <v>1</v>
      </c>
      <c r="Q36" s="6">
        <v>41</v>
      </c>
      <c r="R36" s="6">
        <v>8</v>
      </c>
      <c r="S36" s="6">
        <v>5</v>
      </c>
      <c r="T36" s="6">
        <v>131</v>
      </c>
      <c r="U36" s="115">
        <v>7.76335877862595</v>
      </c>
    </row>
    <row r="37" customHeight="1" spans="1:21">
      <c r="A37" s="6"/>
      <c r="B37" s="8" t="s">
        <v>243</v>
      </c>
      <c r="C37" s="8" t="s">
        <v>196</v>
      </c>
      <c r="D37" s="8" t="s">
        <v>256</v>
      </c>
      <c r="E37" s="8" t="s">
        <v>245</v>
      </c>
      <c r="F37" s="8" t="s">
        <v>245</v>
      </c>
      <c r="G37" s="8" t="s">
        <v>257</v>
      </c>
      <c r="H37" s="8" t="s">
        <v>258</v>
      </c>
      <c r="I37" s="6">
        <v>339.39</v>
      </c>
      <c r="J37" s="6">
        <v>2878</v>
      </c>
      <c r="K37" s="6">
        <v>378</v>
      </c>
      <c r="L37" s="9">
        <v>0.131341209173037</v>
      </c>
      <c r="M37" s="10">
        <v>0.897857142857143</v>
      </c>
      <c r="N37" s="10">
        <v>117.925642807505</v>
      </c>
      <c r="O37" s="6">
        <v>14</v>
      </c>
      <c r="P37" s="12">
        <v>0</v>
      </c>
      <c r="Q37" s="6">
        <v>6</v>
      </c>
      <c r="R37" s="6">
        <v>1</v>
      </c>
      <c r="S37" s="6">
        <v>1</v>
      </c>
      <c r="T37" s="6">
        <v>22</v>
      </c>
      <c r="U37" s="115">
        <v>15.4268181818182</v>
      </c>
    </row>
    <row r="38" customHeight="1" spans="1:21">
      <c r="A38" s="6"/>
      <c r="B38" s="8" t="s">
        <v>248</v>
      </c>
      <c r="C38" s="6"/>
      <c r="D38" s="6"/>
      <c r="E38" s="6"/>
      <c r="F38" s="6"/>
      <c r="G38" s="6"/>
      <c r="H38" s="6"/>
      <c r="I38" s="6">
        <v>339.39</v>
      </c>
      <c r="J38" s="6">
        <v>2878</v>
      </c>
      <c r="K38" s="6">
        <v>378</v>
      </c>
      <c r="L38" s="9">
        <v>0.131341209173037</v>
      </c>
      <c r="M38" s="10">
        <v>0.897857142857143</v>
      </c>
      <c r="N38" s="10">
        <v>117.925642807505</v>
      </c>
      <c r="O38" s="6">
        <v>14</v>
      </c>
      <c r="P38" s="12">
        <v>0</v>
      </c>
      <c r="Q38" s="6">
        <v>6</v>
      </c>
      <c r="R38" s="6">
        <v>1</v>
      </c>
      <c r="S38" s="6">
        <v>1</v>
      </c>
      <c r="T38" s="6">
        <v>22</v>
      </c>
      <c r="U38" s="115">
        <v>15.4268181818182</v>
      </c>
    </row>
    <row r="39" customHeight="1" spans="1:21">
      <c r="A39" s="8" t="s">
        <v>259</v>
      </c>
      <c r="B39" s="6"/>
      <c r="C39" s="6"/>
      <c r="D39" s="6"/>
      <c r="E39" s="6"/>
      <c r="F39" s="6"/>
      <c r="G39" s="6"/>
      <c r="H39" s="6"/>
      <c r="I39" s="6">
        <v>8682.58</v>
      </c>
      <c r="J39" s="6">
        <v>449434</v>
      </c>
      <c r="K39" s="6">
        <v>24394</v>
      </c>
      <c r="L39" s="9">
        <v>0.0542771574914226</v>
      </c>
      <c r="M39" s="10">
        <v>0.355930966631139</v>
      </c>
      <c r="N39" s="10">
        <v>19.3189211319126</v>
      </c>
      <c r="O39" s="6">
        <v>757</v>
      </c>
      <c r="P39" s="12">
        <v>6</v>
      </c>
      <c r="Q39" s="6">
        <v>320</v>
      </c>
      <c r="R39" s="6">
        <v>15</v>
      </c>
      <c r="S39" s="6">
        <v>27</v>
      </c>
      <c r="T39" s="6">
        <v>1125</v>
      </c>
      <c r="U39" s="115">
        <v>7.71784888888889</v>
      </c>
    </row>
    <row r="40" customHeight="1" spans="1:21">
      <c r="A40" s="8" t="s">
        <v>169</v>
      </c>
      <c r="B40" s="8" t="s">
        <v>195</v>
      </c>
      <c r="C40" s="8" t="s">
        <v>196</v>
      </c>
      <c r="D40" s="8" t="s">
        <v>197</v>
      </c>
      <c r="E40" s="8" t="s">
        <v>198</v>
      </c>
      <c r="F40" s="8" t="s">
        <v>199</v>
      </c>
      <c r="G40" s="8" t="s">
        <v>200</v>
      </c>
      <c r="H40" s="8" t="s">
        <v>201</v>
      </c>
      <c r="I40" s="6">
        <v>254.19</v>
      </c>
      <c r="J40" s="6">
        <v>4515</v>
      </c>
      <c r="K40" s="6">
        <v>406</v>
      </c>
      <c r="L40" s="9">
        <v>0.089922480620155</v>
      </c>
      <c r="M40" s="10">
        <v>0.626083743842365</v>
      </c>
      <c r="N40" s="10">
        <v>56.2990033222591</v>
      </c>
      <c r="O40" s="6">
        <v>4</v>
      </c>
      <c r="P40" s="12">
        <v>1</v>
      </c>
      <c r="Q40" s="6">
        <v>0</v>
      </c>
      <c r="R40" s="6">
        <v>0</v>
      </c>
      <c r="S40" s="6">
        <v>0</v>
      </c>
      <c r="T40" s="6">
        <v>5</v>
      </c>
      <c r="U40" s="115">
        <v>50.838</v>
      </c>
    </row>
    <row r="41" customHeight="1" spans="1:21">
      <c r="A41" s="6"/>
      <c r="B41" s="6"/>
      <c r="C41" s="6"/>
      <c r="D41" s="8" t="s">
        <v>206</v>
      </c>
      <c r="E41" s="8" t="s">
        <v>198</v>
      </c>
      <c r="F41" s="8" t="s">
        <v>203</v>
      </c>
      <c r="G41" s="8" t="s">
        <v>207</v>
      </c>
      <c r="H41" s="8" t="s">
        <v>208</v>
      </c>
      <c r="I41" s="6">
        <v>563.88</v>
      </c>
      <c r="J41" s="6">
        <v>25320</v>
      </c>
      <c r="K41" s="6">
        <v>1261</v>
      </c>
      <c r="L41" s="9">
        <v>0.0498025276461295</v>
      </c>
      <c r="M41" s="10">
        <v>0.447168913560666</v>
      </c>
      <c r="N41" s="10">
        <v>22.2701421800948</v>
      </c>
      <c r="O41" s="6">
        <v>11</v>
      </c>
      <c r="P41" s="12">
        <v>0</v>
      </c>
      <c r="Q41" s="6">
        <v>5</v>
      </c>
      <c r="R41" s="6">
        <v>0</v>
      </c>
      <c r="S41" s="6">
        <v>1</v>
      </c>
      <c r="T41" s="6">
        <v>17</v>
      </c>
      <c r="U41" s="115">
        <v>33.1694117647059</v>
      </c>
    </row>
    <row r="42" customHeight="1" spans="1:21">
      <c r="A42" s="6"/>
      <c r="B42" s="6"/>
      <c r="C42" s="6"/>
      <c r="D42" s="8" t="s">
        <v>256</v>
      </c>
      <c r="E42" s="8" t="s">
        <v>225</v>
      </c>
      <c r="F42" s="8" t="s">
        <v>212</v>
      </c>
      <c r="G42" s="8" t="s">
        <v>260</v>
      </c>
      <c r="H42" s="8" t="s">
        <v>261</v>
      </c>
      <c r="I42" s="6">
        <v>488.69</v>
      </c>
      <c r="J42" s="6">
        <v>5346</v>
      </c>
      <c r="K42" s="6">
        <v>691</v>
      </c>
      <c r="L42" s="9">
        <v>0.129255518144407</v>
      </c>
      <c r="M42" s="10">
        <v>0.707221418234443</v>
      </c>
      <c r="N42" s="10">
        <v>91.4122708567153</v>
      </c>
      <c r="O42" s="6">
        <v>11</v>
      </c>
      <c r="P42" s="12">
        <v>0</v>
      </c>
      <c r="Q42" s="6">
        <v>5</v>
      </c>
      <c r="R42" s="6">
        <v>0</v>
      </c>
      <c r="S42" s="6">
        <v>1</v>
      </c>
      <c r="T42" s="6">
        <v>17</v>
      </c>
      <c r="U42" s="115">
        <v>28.7464705882353</v>
      </c>
    </row>
    <row r="43" customHeight="1" spans="1:21">
      <c r="A43" s="6"/>
      <c r="B43" s="6"/>
      <c r="C43" s="8" t="s">
        <v>209</v>
      </c>
      <c r="D43" s="8" t="s">
        <v>262</v>
      </c>
      <c r="E43" s="8" t="s">
        <v>198</v>
      </c>
      <c r="F43" s="8" t="s">
        <v>203</v>
      </c>
      <c r="G43" s="8" t="s">
        <v>263</v>
      </c>
      <c r="H43" s="8" t="s">
        <v>264</v>
      </c>
      <c r="I43" s="6">
        <v>0</v>
      </c>
      <c r="J43" s="6">
        <v>0</v>
      </c>
      <c r="K43" s="6">
        <v>0</v>
      </c>
      <c r="L43" s="9" t="e">
        <v>#DIV/0!</v>
      </c>
      <c r="M43" s="10" t="e">
        <v>#DIV/0!</v>
      </c>
      <c r="N43" s="10" t="e">
        <v>#DIV/0!</v>
      </c>
      <c r="O43" s="6">
        <v>0</v>
      </c>
      <c r="P43" s="12">
        <v>0</v>
      </c>
      <c r="Q43" s="6">
        <v>0</v>
      </c>
      <c r="R43" s="6">
        <v>0</v>
      </c>
      <c r="S43" s="6">
        <v>0</v>
      </c>
      <c r="T43" s="6">
        <v>0</v>
      </c>
      <c r="U43" s="115" t="e">
        <v>#DIV/0!</v>
      </c>
    </row>
    <row r="44" customHeight="1" spans="1:21">
      <c r="A44" s="6"/>
      <c r="B44" s="6"/>
      <c r="C44" s="6"/>
      <c r="D44" s="8" t="s">
        <v>210</v>
      </c>
      <c r="E44" s="8" t="s">
        <v>211</v>
      </c>
      <c r="F44" s="8" t="s">
        <v>212</v>
      </c>
      <c r="G44" s="8" t="s">
        <v>213</v>
      </c>
      <c r="H44" s="8" t="s">
        <v>214</v>
      </c>
      <c r="I44" s="6">
        <v>1015.34</v>
      </c>
      <c r="J44" s="6">
        <v>64525</v>
      </c>
      <c r="K44" s="6">
        <v>3655</v>
      </c>
      <c r="L44" s="9">
        <v>0.0566447113521891</v>
      </c>
      <c r="M44" s="10">
        <v>0.277794801641587</v>
      </c>
      <c r="N44" s="10">
        <v>15.7356063541263</v>
      </c>
      <c r="O44" s="6">
        <v>194</v>
      </c>
      <c r="P44" s="12">
        <v>2</v>
      </c>
      <c r="Q44" s="6">
        <v>53</v>
      </c>
      <c r="R44" s="6">
        <v>1</v>
      </c>
      <c r="S44" s="6">
        <v>3</v>
      </c>
      <c r="T44" s="6">
        <v>253</v>
      </c>
      <c r="U44" s="115">
        <v>4.01320158102767</v>
      </c>
    </row>
    <row r="45" customHeight="1" spans="1:21">
      <c r="A45" s="6"/>
      <c r="B45" s="6"/>
      <c r="C45" s="6"/>
      <c r="D45" s="8" t="s">
        <v>206</v>
      </c>
      <c r="E45" s="8" t="s">
        <v>198</v>
      </c>
      <c r="F45" s="8" t="s">
        <v>203</v>
      </c>
      <c r="G45" s="8" t="s">
        <v>207</v>
      </c>
      <c r="H45" s="8" t="s">
        <v>208</v>
      </c>
      <c r="I45" s="6">
        <v>3051.56</v>
      </c>
      <c r="J45" s="6">
        <v>159826</v>
      </c>
      <c r="K45" s="6">
        <v>8205</v>
      </c>
      <c r="L45" s="9">
        <v>0.0513370790734924</v>
      </c>
      <c r="M45" s="10">
        <v>0.371914686166971</v>
      </c>
      <c r="N45" s="10">
        <v>19.0930136523469</v>
      </c>
      <c r="O45" s="6">
        <v>191</v>
      </c>
      <c r="P45" s="12">
        <v>5</v>
      </c>
      <c r="Q45" s="6">
        <v>86</v>
      </c>
      <c r="R45" s="6">
        <v>1</v>
      </c>
      <c r="S45" s="6">
        <v>6</v>
      </c>
      <c r="T45" s="6">
        <v>289</v>
      </c>
      <c r="U45" s="115">
        <v>10.5590311418685</v>
      </c>
    </row>
    <row r="46" customHeight="1" spans="1:21">
      <c r="A46" s="6"/>
      <c r="B46" s="6"/>
      <c r="C46" s="6"/>
      <c r="D46" s="8" t="s">
        <v>218</v>
      </c>
      <c r="E46" s="8" t="s">
        <v>198</v>
      </c>
      <c r="F46" s="8" t="s">
        <v>203</v>
      </c>
      <c r="G46" s="8" t="s">
        <v>219</v>
      </c>
      <c r="H46" s="8" t="s">
        <v>220</v>
      </c>
      <c r="I46" s="6">
        <v>973.58</v>
      </c>
      <c r="J46" s="6">
        <v>65394</v>
      </c>
      <c r="K46" s="6">
        <v>2704</v>
      </c>
      <c r="L46" s="9">
        <v>0.0413493592684344</v>
      </c>
      <c r="M46" s="10">
        <v>0.360051775147929</v>
      </c>
      <c r="N46" s="10">
        <v>14.8879102058293</v>
      </c>
      <c r="O46" s="6">
        <v>102</v>
      </c>
      <c r="P46" s="12">
        <v>1</v>
      </c>
      <c r="Q46" s="6">
        <v>38</v>
      </c>
      <c r="R46" s="6">
        <v>0</v>
      </c>
      <c r="S46" s="6">
        <v>1</v>
      </c>
      <c r="T46" s="6">
        <v>142</v>
      </c>
      <c r="U46" s="115">
        <v>6.85619718309859</v>
      </c>
    </row>
    <row r="47" customHeight="1" spans="1:21">
      <c r="A47" s="6"/>
      <c r="B47" s="6"/>
      <c r="C47" s="6"/>
      <c r="D47" s="8" t="s">
        <v>224</v>
      </c>
      <c r="E47" s="8" t="s">
        <v>225</v>
      </c>
      <c r="F47" s="8" t="s">
        <v>226</v>
      </c>
      <c r="G47" s="8" t="s">
        <v>227</v>
      </c>
      <c r="H47" s="8" t="s">
        <v>228</v>
      </c>
      <c r="I47" s="6">
        <v>0</v>
      </c>
      <c r="J47" s="6">
        <v>0</v>
      </c>
      <c r="K47" s="6">
        <v>0</v>
      </c>
      <c r="L47" s="9" t="e">
        <v>#DIV/0!</v>
      </c>
      <c r="M47" s="10" t="e">
        <v>#DIV/0!</v>
      </c>
      <c r="N47" s="10" t="e">
        <v>#DIV/0!</v>
      </c>
      <c r="O47" s="6">
        <v>0</v>
      </c>
      <c r="P47" s="12">
        <v>0</v>
      </c>
      <c r="Q47" s="6">
        <v>0</v>
      </c>
      <c r="R47" s="6">
        <v>0</v>
      </c>
      <c r="S47" s="6">
        <v>0</v>
      </c>
      <c r="T47" s="6">
        <v>0</v>
      </c>
      <c r="U47" s="115" t="e">
        <v>#DIV/0!</v>
      </c>
    </row>
    <row r="48" customHeight="1" spans="1:21">
      <c r="A48" s="6"/>
      <c r="B48" s="8" t="s">
        <v>229</v>
      </c>
      <c r="C48" s="6"/>
      <c r="D48" s="6"/>
      <c r="E48" s="6"/>
      <c r="F48" s="6"/>
      <c r="G48" s="6"/>
      <c r="H48" s="6"/>
      <c r="I48" s="6">
        <v>6347.24</v>
      </c>
      <c r="J48" s="6">
        <v>324926</v>
      </c>
      <c r="K48" s="6">
        <v>16922</v>
      </c>
      <c r="L48" s="9">
        <v>0.0520795504207112</v>
      </c>
      <c r="M48" s="10">
        <v>0.375088051057795</v>
      </c>
      <c r="N48" s="10">
        <v>19.5344170672707</v>
      </c>
      <c r="O48" s="6">
        <v>513</v>
      </c>
      <c r="P48" s="12">
        <v>9</v>
      </c>
      <c r="Q48" s="6">
        <v>187</v>
      </c>
      <c r="R48" s="6">
        <v>2</v>
      </c>
      <c r="S48" s="6">
        <v>12</v>
      </c>
      <c r="T48" s="6">
        <v>723</v>
      </c>
      <c r="U48" s="115">
        <v>8.77903181189488</v>
      </c>
    </row>
    <row r="49" customHeight="1" spans="1:21">
      <c r="A49" s="6"/>
      <c r="B49" s="8" t="s">
        <v>230</v>
      </c>
      <c r="C49" s="8" t="s">
        <v>196</v>
      </c>
      <c r="D49" s="8" t="s">
        <v>231</v>
      </c>
      <c r="E49" s="8" t="s">
        <v>232</v>
      </c>
      <c r="F49" s="8" t="s">
        <v>232</v>
      </c>
      <c r="G49" s="8" t="s">
        <v>233</v>
      </c>
      <c r="H49" s="8" t="s">
        <v>234</v>
      </c>
      <c r="I49" s="6">
        <v>137.25</v>
      </c>
      <c r="J49" s="6">
        <v>3861</v>
      </c>
      <c r="K49" s="6">
        <v>153</v>
      </c>
      <c r="L49" s="9">
        <v>0.0396270396270396</v>
      </c>
      <c r="M49" s="10">
        <v>0.897058823529412</v>
      </c>
      <c r="N49" s="10">
        <v>35.5477855477855</v>
      </c>
      <c r="O49" s="6">
        <v>2</v>
      </c>
      <c r="P49" s="12">
        <v>0</v>
      </c>
      <c r="Q49" s="6">
        <v>0</v>
      </c>
      <c r="R49" s="6">
        <v>0</v>
      </c>
      <c r="S49" s="6">
        <v>2</v>
      </c>
      <c r="T49" s="6">
        <v>4</v>
      </c>
      <c r="U49" s="115">
        <v>34.3125</v>
      </c>
    </row>
    <row r="50" customHeight="1" spans="1:21">
      <c r="A50" s="6"/>
      <c r="B50" s="6"/>
      <c r="C50" s="8" t="s">
        <v>209</v>
      </c>
      <c r="D50" s="8" t="s">
        <v>253</v>
      </c>
      <c r="E50" s="8" t="s">
        <v>232</v>
      </c>
      <c r="F50" s="8" t="s">
        <v>232</v>
      </c>
      <c r="G50" s="8" t="s">
        <v>254</v>
      </c>
      <c r="H50" s="8" t="s">
        <v>255</v>
      </c>
      <c r="I50" s="6">
        <v>239.12</v>
      </c>
      <c r="J50" s="6">
        <v>13553</v>
      </c>
      <c r="K50" s="6">
        <v>848</v>
      </c>
      <c r="L50" s="9">
        <v>0.0625691728768538</v>
      </c>
      <c r="M50" s="10">
        <v>0.281981132075472</v>
      </c>
      <c r="N50" s="10">
        <v>17.6433262008411</v>
      </c>
      <c r="O50" s="6">
        <v>13</v>
      </c>
      <c r="P50" s="12">
        <v>0</v>
      </c>
      <c r="Q50" s="6">
        <v>5</v>
      </c>
      <c r="R50" s="6">
        <v>0</v>
      </c>
      <c r="S50" s="6">
        <v>0</v>
      </c>
      <c r="T50" s="6">
        <v>18</v>
      </c>
      <c r="U50" s="115">
        <v>13.2844444444444</v>
      </c>
    </row>
    <row r="51" customHeight="1" spans="1:21">
      <c r="A51" s="6"/>
      <c r="B51" s="6"/>
      <c r="C51" s="6"/>
      <c r="D51" s="8" t="s">
        <v>265</v>
      </c>
      <c r="E51" s="8" t="s">
        <v>232</v>
      </c>
      <c r="F51" s="8" t="s">
        <v>232</v>
      </c>
      <c r="G51" s="8" t="s">
        <v>266</v>
      </c>
      <c r="H51" s="8" t="s">
        <v>267</v>
      </c>
      <c r="I51" s="6">
        <v>0</v>
      </c>
      <c r="J51" s="6">
        <v>0</v>
      </c>
      <c r="K51" s="6">
        <v>0</v>
      </c>
      <c r="L51" s="9" t="e">
        <v>#DIV/0!</v>
      </c>
      <c r="M51" s="10" t="e">
        <v>#DIV/0!</v>
      </c>
      <c r="N51" s="10" t="e">
        <v>#DIV/0!</v>
      </c>
      <c r="O51" s="6">
        <v>0</v>
      </c>
      <c r="P51" s="12">
        <v>0</v>
      </c>
      <c r="Q51" s="6">
        <v>0</v>
      </c>
      <c r="R51" s="6">
        <v>0</v>
      </c>
      <c r="S51" s="6">
        <v>0</v>
      </c>
      <c r="T51" s="6">
        <v>0</v>
      </c>
      <c r="U51" s="115" t="e">
        <v>#DIV/0!</v>
      </c>
    </row>
    <row r="52" customHeight="1" spans="1:21">
      <c r="A52" s="6"/>
      <c r="B52" s="6"/>
      <c r="C52" s="6"/>
      <c r="D52" s="8" t="s">
        <v>235</v>
      </c>
      <c r="E52" s="8" t="s">
        <v>232</v>
      </c>
      <c r="F52" s="8" t="s">
        <v>236</v>
      </c>
      <c r="G52" s="8" t="s">
        <v>237</v>
      </c>
      <c r="H52" s="8" t="s">
        <v>238</v>
      </c>
      <c r="I52" s="6">
        <v>360</v>
      </c>
      <c r="J52" s="6">
        <v>14771</v>
      </c>
      <c r="K52" s="6">
        <v>1716</v>
      </c>
      <c r="L52" s="9">
        <v>0.116173583372825</v>
      </c>
      <c r="M52" s="10">
        <v>0.20979020979021</v>
      </c>
      <c r="N52" s="10">
        <v>24.3720804278654</v>
      </c>
      <c r="O52" s="6">
        <v>178</v>
      </c>
      <c r="P52" s="12">
        <v>0</v>
      </c>
      <c r="Q52" s="6">
        <v>215</v>
      </c>
      <c r="R52" s="6">
        <v>26</v>
      </c>
      <c r="S52" s="6">
        <v>12</v>
      </c>
      <c r="T52" s="6">
        <v>431</v>
      </c>
      <c r="U52" s="115">
        <v>0.835266821345708</v>
      </c>
    </row>
    <row r="53" customHeight="1" spans="1:21">
      <c r="A53" s="6"/>
      <c r="B53" s="8" t="s">
        <v>242</v>
      </c>
      <c r="C53" s="6"/>
      <c r="D53" s="6"/>
      <c r="E53" s="6"/>
      <c r="F53" s="6"/>
      <c r="G53" s="6"/>
      <c r="H53" s="6"/>
      <c r="I53" s="6">
        <v>736.37</v>
      </c>
      <c r="J53" s="6">
        <v>32185</v>
      </c>
      <c r="K53" s="6">
        <v>2717</v>
      </c>
      <c r="L53" s="9">
        <v>0.0844182072393972</v>
      </c>
      <c r="M53" s="10">
        <v>0.271023187338977</v>
      </c>
      <c r="N53" s="10">
        <v>22.8792915954637</v>
      </c>
      <c r="O53" s="6">
        <v>193</v>
      </c>
      <c r="P53" s="12">
        <v>0</v>
      </c>
      <c r="Q53" s="6">
        <v>220</v>
      </c>
      <c r="R53" s="6">
        <v>26</v>
      </c>
      <c r="S53" s="6">
        <v>14</v>
      </c>
      <c r="T53" s="6">
        <v>453</v>
      </c>
      <c r="U53" s="115">
        <v>1.6255408388521</v>
      </c>
    </row>
    <row r="54" customHeight="1" spans="1:21">
      <c r="A54" s="8" t="s">
        <v>268</v>
      </c>
      <c r="B54" s="6"/>
      <c r="C54" s="6"/>
      <c r="D54" s="6"/>
      <c r="E54" s="6"/>
      <c r="F54" s="6"/>
      <c r="G54" s="6"/>
      <c r="H54" s="6"/>
      <c r="I54" s="6">
        <v>7083.61</v>
      </c>
      <c r="J54" s="6">
        <v>357111</v>
      </c>
      <c r="K54" s="6">
        <v>19639</v>
      </c>
      <c r="L54" s="9">
        <v>0.0549941054742083</v>
      </c>
      <c r="M54" s="10">
        <v>0.36069097204542</v>
      </c>
      <c r="N54" s="10">
        <v>19.8358773602605</v>
      </c>
      <c r="O54" s="6">
        <v>706</v>
      </c>
      <c r="P54" s="12">
        <v>9</v>
      </c>
      <c r="Q54" s="6">
        <v>407</v>
      </c>
      <c r="R54" s="6">
        <v>28</v>
      </c>
      <c r="S54" s="6">
        <v>26</v>
      </c>
      <c r="T54" s="6">
        <v>1176</v>
      </c>
      <c r="U54" s="115">
        <v>6.02347789115646</v>
      </c>
    </row>
    <row r="55" customHeight="1" spans="1:21">
      <c r="A55" s="8" t="s">
        <v>168</v>
      </c>
      <c r="B55" s="8" t="s">
        <v>195</v>
      </c>
      <c r="C55" s="8" t="s">
        <v>196</v>
      </c>
      <c r="D55" s="8" t="s">
        <v>197</v>
      </c>
      <c r="E55" s="8" t="s">
        <v>198</v>
      </c>
      <c r="F55" s="8" t="s">
        <v>199</v>
      </c>
      <c r="G55" s="8" t="s">
        <v>200</v>
      </c>
      <c r="H55" s="8" t="s">
        <v>201</v>
      </c>
      <c r="I55" s="6">
        <v>404.28</v>
      </c>
      <c r="J55" s="6">
        <v>10055</v>
      </c>
      <c r="K55" s="6">
        <v>663</v>
      </c>
      <c r="L55" s="9">
        <v>0.0659373446046743</v>
      </c>
      <c r="M55" s="10">
        <v>0.609773755656109</v>
      </c>
      <c r="N55" s="10">
        <v>40.2068622575833</v>
      </c>
      <c r="O55" s="6">
        <v>8</v>
      </c>
      <c r="P55" s="12">
        <v>1</v>
      </c>
      <c r="Q55" s="6">
        <v>1</v>
      </c>
      <c r="R55" s="6">
        <v>0</v>
      </c>
      <c r="S55" s="6">
        <v>0</v>
      </c>
      <c r="T55" s="6">
        <v>10</v>
      </c>
      <c r="U55" s="115">
        <v>40.428</v>
      </c>
    </row>
    <row r="56" customHeight="1" spans="1:21">
      <c r="A56" s="6"/>
      <c r="B56" s="6"/>
      <c r="C56" s="6"/>
      <c r="D56" s="8" t="s">
        <v>206</v>
      </c>
      <c r="E56" s="8" t="s">
        <v>198</v>
      </c>
      <c r="F56" s="8" t="s">
        <v>203</v>
      </c>
      <c r="G56" s="8" t="s">
        <v>207</v>
      </c>
      <c r="H56" s="8" t="s">
        <v>208</v>
      </c>
      <c r="I56" s="6">
        <v>522.18</v>
      </c>
      <c r="J56" s="6">
        <v>28881</v>
      </c>
      <c r="K56" s="6">
        <v>1263</v>
      </c>
      <c r="L56" s="9">
        <v>0.0437311727433261</v>
      </c>
      <c r="M56" s="10">
        <v>0.413444180522565</v>
      </c>
      <c r="N56" s="10">
        <v>18.0803988781552</v>
      </c>
      <c r="O56" s="6">
        <v>11</v>
      </c>
      <c r="P56" s="12">
        <v>3</v>
      </c>
      <c r="Q56" s="6">
        <v>11</v>
      </c>
      <c r="R56" s="6">
        <v>1</v>
      </c>
      <c r="S56" s="6">
        <v>2</v>
      </c>
      <c r="T56" s="6">
        <v>28</v>
      </c>
      <c r="U56" s="115">
        <v>18.6492857142857</v>
      </c>
    </row>
    <row r="57" customHeight="1" spans="1:21">
      <c r="A57" s="6"/>
      <c r="B57" s="6"/>
      <c r="C57" s="6"/>
      <c r="D57" s="8" t="s">
        <v>218</v>
      </c>
      <c r="E57" s="8" t="s">
        <v>198</v>
      </c>
      <c r="F57" s="8" t="s">
        <v>203</v>
      </c>
      <c r="G57" s="8" t="s">
        <v>219</v>
      </c>
      <c r="H57" s="8" t="s">
        <v>220</v>
      </c>
      <c r="I57" s="6">
        <v>0</v>
      </c>
      <c r="J57" s="6">
        <v>11</v>
      </c>
      <c r="K57" s="6">
        <v>0</v>
      </c>
      <c r="L57" s="9">
        <v>0</v>
      </c>
      <c r="M57" s="10" t="e">
        <v>#DIV/0!</v>
      </c>
      <c r="N57" s="10">
        <v>0</v>
      </c>
      <c r="O57" s="6">
        <v>0</v>
      </c>
      <c r="P57" s="12">
        <v>0</v>
      </c>
      <c r="Q57" s="6">
        <v>0</v>
      </c>
      <c r="R57" s="6">
        <v>0</v>
      </c>
      <c r="S57" s="6">
        <v>0</v>
      </c>
      <c r="T57" s="6">
        <v>0</v>
      </c>
      <c r="U57" s="115" t="e">
        <v>#DIV/0!</v>
      </c>
    </row>
    <row r="58" customHeight="1" spans="1:21">
      <c r="A58" s="6"/>
      <c r="B58" s="6"/>
      <c r="C58" s="8" t="s">
        <v>209</v>
      </c>
      <c r="D58" s="8" t="s">
        <v>262</v>
      </c>
      <c r="E58" s="8" t="s">
        <v>198</v>
      </c>
      <c r="F58" s="8" t="s">
        <v>203</v>
      </c>
      <c r="G58" s="8" t="s">
        <v>263</v>
      </c>
      <c r="H58" s="8" t="s">
        <v>264</v>
      </c>
      <c r="I58" s="6">
        <v>512.23</v>
      </c>
      <c r="J58" s="6">
        <v>54588</v>
      </c>
      <c r="K58" s="6">
        <v>3696</v>
      </c>
      <c r="L58" s="9">
        <v>0.0677071883930534</v>
      </c>
      <c r="M58" s="10">
        <v>0.138590367965368</v>
      </c>
      <c r="N58" s="10">
        <v>9.38356415329377</v>
      </c>
      <c r="O58" s="6">
        <v>37</v>
      </c>
      <c r="P58" s="12">
        <v>5</v>
      </c>
      <c r="Q58" s="6">
        <v>14</v>
      </c>
      <c r="R58" s="6">
        <v>4</v>
      </c>
      <c r="S58" s="6">
        <v>3</v>
      </c>
      <c r="T58" s="6">
        <v>63</v>
      </c>
      <c r="U58" s="115">
        <v>8.13063492063492</v>
      </c>
    </row>
    <row r="59" customHeight="1" spans="1:21">
      <c r="A59" s="6"/>
      <c r="B59" s="6"/>
      <c r="C59" s="6"/>
      <c r="D59" s="8" t="s">
        <v>269</v>
      </c>
      <c r="E59" s="8" t="s">
        <v>198</v>
      </c>
      <c r="F59" s="8" t="s">
        <v>203</v>
      </c>
      <c r="G59" s="8" t="s">
        <v>270</v>
      </c>
      <c r="H59" s="8" t="s">
        <v>271</v>
      </c>
      <c r="I59" s="6">
        <v>0</v>
      </c>
      <c r="J59" s="6">
        <v>0</v>
      </c>
      <c r="K59" s="6">
        <v>0</v>
      </c>
      <c r="L59" s="9" t="e">
        <v>#DIV/0!</v>
      </c>
      <c r="M59" s="10" t="e">
        <v>#DIV/0!</v>
      </c>
      <c r="N59" s="10" t="e">
        <v>#DIV/0!</v>
      </c>
      <c r="O59" s="6">
        <v>0</v>
      </c>
      <c r="P59" s="12">
        <v>0</v>
      </c>
      <c r="Q59" s="6">
        <v>0</v>
      </c>
      <c r="R59" s="6">
        <v>0</v>
      </c>
      <c r="S59" s="6">
        <v>0</v>
      </c>
      <c r="T59" s="6">
        <v>0</v>
      </c>
      <c r="U59" s="115" t="e">
        <v>#DIV/0!</v>
      </c>
    </row>
    <row r="60" customHeight="1" spans="1:21">
      <c r="A60" s="6"/>
      <c r="B60" s="6"/>
      <c r="C60" s="6"/>
      <c r="D60" s="8" t="s">
        <v>250</v>
      </c>
      <c r="E60" s="8" t="s">
        <v>211</v>
      </c>
      <c r="F60" s="8" t="s">
        <v>212</v>
      </c>
      <c r="G60" s="8" t="s">
        <v>251</v>
      </c>
      <c r="H60" s="8" t="s">
        <v>252</v>
      </c>
      <c r="I60" s="6">
        <v>0</v>
      </c>
      <c r="J60" s="6">
        <v>0</v>
      </c>
      <c r="K60" s="6">
        <v>0</v>
      </c>
      <c r="L60" s="9" t="e">
        <v>#DIV/0!</v>
      </c>
      <c r="M60" s="10" t="e">
        <v>#DIV/0!</v>
      </c>
      <c r="N60" s="10" t="e">
        <v>#DIV/0!</v>
      </c>
      <c r="O60" s="6">
        <v>0</v>
      </c>
      <c r="P60" s="12">
        <v>0</v>
      </c>
      <c r="Q60" s="6">
        <v>0</v>
      </c>
      <c r="R60" s="6">
        <v>0</v>
      </c>
      <c r="S60" s="6">
        <v>0</v>
      </c>
      <c r="T60" s="6">
        <v>0</v>
      </c>
      <c r="U60" s="115" t="e">
        <v>#DIV/0!</v>
      </c>
    </row>
    <row r="61" customHeight="1" spans="1:21">
      <c r="A61" s="6"/>
      <c r="B61" s="6"/>
      <c r="C61" s="6"/>
      <c r="D61" s="8" t="s">
        <v>272</v>
      </c>
      <c r="E61" s="8" t="s">
        <v>198</v>
      </c>
      <c r="F61" s="8" t="s">
        <v>203</v>
      </c>
      <c r="G61" s="8" t="s">
        <v>273</v>
      </c>
      <c r="H61" s="8" t="s">
        <v>274</v>
      </c>
      <c r="I61" s="6">
        <v>0</v>
      </c>
      <c r="J61" s="6">
        <v>0</v>
      </c>
      <c r="K61" s="6">
        <v>0</v>
      </c>
      <c r="L61" s="9" t="e">
        <v>#DIV/0!</v>
      </c>
      <c r="M61" s="10" t="e">
        <v>#DIV/0!</v>
      </c>
      <c r="N61" s="10" t="e">
        <v>#DIV/0!</v>
      </c>
      <c r="O61" s="6">
        <v>0</v>
      </c>
      <c r="P61" s="12">
        <v>0</v>
      </c>
      <c r="Q61" s="6">
        <v>0</v>
      </c>
      <c r="R61" s="6">
        <v>0</v>
      </c>
      <c r="S61" s="6">
        <v>0</v>
      </c>
      <c r="T61" s="6">
        <v>0</v>
      </c>
      <c r="U61" s="115" t="e">
        <v>#DIV/0!</v>
      </c>
    </row>
    <row r="62" customHeight="1" spans="1:21">
      <c r="A62" s="6"/>
      <c r="B62" s="6"/>
      <c r="C62" s="6"/>
      <c r="D62" s="8" t="s">
        <v>206</v>
      </c>
      <c r="E62" s="8" t="s">
        <v>198</v>
      </c>
      <c r="F62" s="8" t="s">
        <v>203</v>
      </c>
      <c r="G62" s="8" t="s">
        <v>207</v>
      </c>
      <c r="H62" s="8" t="s">
        <v>208</v>
      </c>
      <c r="I62" s="6">
        <v>2060.92</v>
      </c>
      <c r="J62" s="6">
        <v>154544</v>
      </c>
      <c r="K62" s="6">
        <v>7863</v>
      </c>
      <c r="L62" s="9">
        <v>0.0508787141526038</v>
      </c>
      <c r="M62" s="10">
        <v>0.262103522828437</v>
      </c>
      <c r="N62" s="10">
        <v>13.3354902163785</v>
      </c>
      <c r="O62" s="6">
        <v>115</v>
      </c>
      <c r="P62" s="12">
        <v>7</v>
      </c>
      <c r="Q62" s="6">
        <v>53</v>
      </c>
      <c r="R62" s="6">
        <v>4</v>
      </c>
      <c r="S62" s="6">
        <v>1</v>
      </c>
      <c r="T62" s="6">
        <v>180</v>
      </c>
      <c r="U62" s="115">
        <v>11.4495555555556</v>
      </c>
    </row>
    <row r="63" customHeight="1" spans="1:21">
      <c r="A63" s="6"/>
      <c r="B63" s="6"/>
      <c r="C63" s="6"/>
      <c r="D63" s="8" t="s">
        <v>218</v>
      </c>
      <c r="E63" s="8" t="s">
        <v>198</v>
      </c>
      <c r="F63" s="8" t="s">
        <v>203</v>
      </c>
      <c r="G63" s="8" t="s">
        <v>219</v>
      </c>
      <c r="H63" s="8" t="s">
        <v>220</v>
      </c>
      <c r="I63" s="6">
        <v>1012.78</v>
      </c>
      <c r="J63" s="6">
        <v>78765</v>
      </c>
      <c r="K63" s="6">
        <v>2916</v>
      </c>
      <c r="L63" s="9">
        <v>0.0370215197105313</v>
      </c>
      <c r="M63" s="10">
        <v>0.347318244170096</v>
      </c>
      <c r="N63" s="10">
        <v>12.8582492223703</v>
      </c>
      <c r="O63" s="6">
        <v>116</v>
      </c>
      <c r="P63" s="12">
        <v>1</v>
      </c>
      <c r="Q63" s="6">
        <v>25</v>
      </c>
      <c r="R63" s="6">
        <v>1</v>
      </c>
      <c r="S63" s="6">
        <v>2</v>
      </c>
      <c r="T63" s="6">
        <v>145</v>
      </c>
      <c r="U63" s="115">
        <v>6.98468965517241</v>
      </c>
    </row>
    <row r="64" customHeight="1" spans="1:21">
      <c r="A64" s="6"/>
      <c r="B64" s="6"/>
      <c r="C64" s="6"/>
      <c r="D64" s="8" t="s">
        <v>275</v>
      </c>
      <c r="E64" s="8" t="s">
        <v>211</v>
      </c>
      <c r="F64" s="8" t="s">
        <v>212</v>
      </c>
      <c r="G64" s="8" t="s">
        <v>276</v>
      </c>
      <c r="H64" s="8" t="s">
        <v>277</v>
      </c>
      <c r="I64" s="6">
        <v>118.17</v>
      </c>
      <c r="J64" s="6">
        <v>11015</v>
      </c>
      <c r="K64" s="6">
        <v>314</v>
      </c>
      <c r="L64" s="9">
        <v>0.0285065819337267</v>
      </c>
      <c r="M64" s="10">
        <v>0.376337579617834</v>
      </c>
      <c r="N64" s="10">
        <v>10.7280980481162</v>
      </c>
      <c r="O64" s="6">
        <v>14</v>
      </c>
      <c r="P64" s="12">
        <v>1</v>
      </c>
      <c r="Q64" s="6">
        <v>2</v>
      </c>
      <c r="R64" s="6">
        <v>0</v>
      </c>
      <c r="S64" s="6">
        <v>0</v>
      </c>
      <c r="T64" s="6">
        <v>17</v>
      </c>
      <c r="U64" s="115">
        <v>6.95117647058824</v>
      </c>
    </row>
    <row r="65" customHeight="1" spans="1:21">
      <c r="A65" s="6"/>
      <c r="B65" s="6"/>
      <c r="C65" s="6"/>
      <c r="D65" s="8" t="s">
        <v>224</v>
      </c>
      <c r="E65" s="8" t="s">
        <v>225</v>
      </c>
      <c r="F65" s="8" t="s">
        <v>226</v>
      </c>
      <c r="G65" s="8" t="s">
        <v>227</v>
      </c>
      <c r="H65" s="8" t="s">
        <v>228</v>
      </c>
      <c r="I65" s="6">
        <v>1429.44</v>
      </c>
      <c r="J65" s="6">
        <v>67867</v>
      </c>
      <c r="K65" s="6">
        <v>8057</v>
      </c>
      <c r="L65" s="9">
        <v>0.118717491564383</v>
      </c>
      <c r="M65" s="10">
        <v>0.177415911629639</v>
      </c>
      <c r="N65" s="10">
        <v>21.062371992279</v>
      </c>
      <c r="O65" s="6">
        <v>311</v>
      </c>
      <c r="P65" s="12">
        <v>4</v>
      </c>
      <c r="Q65" s="6">
        <v>35</v>
      </c>
      <c r="R65" s="6">
        <v>22</v>
      </c>
      <c r="S65" s="6">
        <v>0</v>
      </c>
      <c r="T65" s="6">
        <v>372</v>
      </c>
      <c r="U65" s="115">
        <v>3.84258064516129</v>
      </c>
    </row>
    <row r="66" customHeight="1" spans="1:21">
      <c r="A66" s="6"/>
      <c r="B66" s="8" t="s">
        <v>229</v>
      </c>
      <c r="C66" s="6"/>
      <c r="D66" s="6"/>
      <c r="E66" s="6"/>
      <c r="F66" s="6"/>
      <c r="G66" s="6"/>
      <c r="H66" s="6"/>
      <c r="I66" s="6">
        <v>6060</v>
      </c>
      <c r="J66" s="6">
        <v>405726</v>
      </c>
      <c r="K66" s="6">
        <v>24772</v>
      </c>
      <c r="L66" s="9">
        <v>0.0610559835948399</v>
      </c>
      <c r="M66" s="10">
        <v>0.244631035039561</v>
      </c>
      <c r="N66" s="10">
        <v>14.9361884621641</v>
      </c>
      <c r="O66" s="6">
        <v>612</v>
      </c>
      <c r="P66" s="12">
        <v>22</v>
      </c>
      <c r="Q66" s="6">
        <v>141</v>
      </c>
      <c r="R66" s="6">
        <v>32</v>
      </c>
      <c r="S66" s="6">
        <v>8</v>
      </c>
      <c r="T66" s="6">
        <v>815</v>
      </c>
      <c r="U66" s="115">
        <v>7.43558282208589</v>
      </c>
    </row>
    <row r="67" customHeight="1" spans="1:21">
      <c r="A67" s="6"/>
      <c r="B67" s="8" t="s">
        <v>230</v>
      </c>
      <c r="C67" s="8" t="s">
        <v>209</v>
      </c>
      <c r="D67" s="8" t="s">
        <v>253</v>
      </c>
      <c r="E67" s="8" t="s">
        <v>232</v>
      </c>
      <c r="F67" s="8" t="s">
        <v>232</v>
      </c>
      <c r="G67" s="8" t="s">
        <v>254</v>
      </c>
      <c r="H67" s="8" t="s">
        <v>255</v>
      </c>
      <c r="I67" s="6">
        <v>126.07</v>
      </c>
      <c r="J67" s="6">
        <v>12533</v>
      </c>
      <c r="K67" s="6">
        <v>535</v>
      </c>
      <c r="L67" s="9">
        <v>0.0426873055134445</v>
      </c>
      <c r="M67" s="10">
        <v>0.235644859813084</v>
      </c>
      <c r="N67" s="10">
        <v>10.0590441235139</v>
      </c>
      <c r="O67" s="6">
        <v>8</v>
      </c>
      <c r="P67" s="12">
        <v>0</v>
      </c>
      <c r="Q67" s="6">
        <v>4</v>
      </c>
      <c r="R67" s="6">
        <v>0</v>
      </c>
      <c r="S67" s="6">
        <v>1</v>
      </c>
      <c r="T67" s="6">
        <v>13</v>
      </c>
      <c r="U67" s="115">
        <v>9.69769230769231</v>
      </c>
    </row>
    <row r="68" customHeight="1" spans="1:21">
      <c r="A68" s="6"/>
      <c r="B68" s="6"/>
      <c r="C68" s="6"/>
      <c r="D68" s="8" t="s">
        <v>278</v>
      </c>
      <c r="E68" s="8" t="s">
        <v>232</v>
      </c>
      <c r="F68" s="8" t="s">
        <v>232</v>
      </c>
      <c r="G68" s="8" t="s">
        <v>279</v>
      </c>
      <c r="H68" s="8" t="s">
        <v>280</v>
      </c>
      <c r="I68" s="6">
        <v>195.62</v>
      </c>
      <c r="J68" s="6">
        <v>30338</v>
      </c>
      <c r="K68" s="6">
        <v>795</v>
      </c>
      <c r="L68" s="9">
        <v>0.0262047597072978</v>
      </c>
      <c r="M68" s="10">
        <v>0.246062893081761</v>
      </c>
      <c r="N68" s="10">
        <v>6.44801898609005</v>
      </c>
      <c r="O68" s="6">
        <v>5</v>
      </c>
      <c r="P68" s="12">
        <v>0</v>
      </c>
      <c r="Q68" s="6">
        <v>4</v>
      </c>
      <c r="R68" s="6">
        <v>0</v>
      </c>
      <c r="S68" s="6">
        <v>0</v>
      </c>
      <c r="T68" s="6">
        <v>9</v>
      </c>
      <c r="U68" s="115">
        <v>21.7355555555556</v>
      </c>
    </row>
    <row r="69" customHeight="1" spans="1:21">
      <c r="A69" s="6"/>
      <c r="B69" s="6"/>
      <c r="C69" s="6"/>
      <c r="D69" s="8" t="s">
        <v>265</v>
      </c>
      <c r="E69" s="8" t="s">
        <v>232</v>
      </c>
      <c r="F69" s="8" t="s">
        <v>232</v>
      </c>
      <c r="G69" s="8" t="s">
        <v>266</v>
      </c>
      <c r="H69" s="8" t="s">
        <v>267</v>
      </c>
      <c r="I69" s="6">
        <v>333.84</v>
      </c>
      <c r="J69" s="6">
        <v>39359</v>
      </c>
      <c r="K69" s="6">
        <v>3411</v>
      </c>
      <c r="L69" s="9">
        <v>0.0866637871897152</v>
      </c>
      <c r="M69" s="10">
        <v>0.0978715919085312</v>
      </c>
      <c r="N69" s="10">
        <v>8.4819228130796</v>
      </c>
      <c r="O69" s="6">
        <v>7</v>
      </c>
      <c r="P69" s="12">
        <v>0</v>
      </c>
      <c r="Q69" s="6">
        <v>5</v>
      </c>
      <c r="R69" s="6">
        <v>4</v>
      </c>
      <c r="S69" s="6">
        <v>0</v>
      </c>
      <c r="T69" s="6">
        <v>16</v>
      </c>
      <c r="U69" s="115">
        <v>20.865</v>
      </c>
    </row>
    <row r="70" customHeight="1" spans="1:21">
      <c r="A70" s="6"/>
      <c r="B70" s="8" t="s">
        <v>242</v>
      </c>
      <c r="C70" s="6"/>
      <c r="D70" s="6"/>
      <c r="E70" s="6"/>
      <c r="F70" s="6"/>
      <c r="G70" s="6"/>
      <c r="H70" s="6"/>
      <c r="I70" s="6">
        <v>655.53</v>
      </c>
      <c r="J70" s="6">
        <v>82230</v>
      </c>
      <c r="K70" s="6">
        <v>4741</v>
      </c>
      <c r="L70" s="9">
        <v>0.0576553569256962</v>
      </c>
      <c r="M70" s="10">
        <v>0.138268297827463</v>
      </c>
      <c r="N70" s="10">
        <v>7.97190806275082</v>
      </c>
      <c r="O70" s="6">
        <v>20</v>
      </c>
      <c r="P70" s="12">
        <v>0</v>
      </c>
      <c r="Q70" s="6">
        <v>13</v>
      </c>
      <c r="R70" s="6">
        <v>4</v>
      </c>
      <c r="S70" s="6">
        <v>1</v>
      </c>
      <c r="T70" s="6">
        <v>38</v>
      </c>
      <c r="U70" s="115">
        <v>17.2507894736842</v>
      </c>
    </row>
    <row r="71" customHeight="1" spans="1:21">
      <c r="A71" s="8" t="s">
        <v>281</v>
      </c>
      <c r="B71" s="6"/>
      <c r="C71" s="6"/>
      <c r="D71" s="6"/>
      <c r="E71" s="6"/>
      <c r="F71" s="6"/>
      <c r="G71" s="6"/>
      <c r="H71" s="6"/>
      <c r="I71" s="6">
        <v>6715.53</v>
      </c>
      <c r="J71" s="6">
        <v>487956</v>
      </c>
      <c r="K71" s="6">
        <v>29513</v>
      </c>
      <c r="L71" s="9">
        <v>0.0604829123937404</v>
      </c>
      <c r="M71" s="10">
        <v>0.227544810761359</v>
      </c>
      <c r="N71" s="10">
        <v>13.7625728549295</v>
      </c>
      <c r="O71" s="6">
        <v>632</v>
      </c>
      <c r="P71" s="12">
        <v>22</v>
      </c>
      <c r="Q71" s="6">
        <v>154</v>
      </c>
      <c r="R71" s="6">
        <v>36</v>
      </c>
      <c r="S71" s="6">
        <v>9</v>
      </c>
      <c r="T71" s="6">
        <v>853</v>
      </c>
      <c r="U71" s="115">
        <v>7.87283704572099</v>
      </c>
    </row>
    <row r="72" customHeight="1" spans="1:21">
      <c r="A72" s="8" t="s">
        <v>167</v>
      </c>
      <c r="B72" s="8" t="s">
        <v>195</v>
      </c>
      <c r="C72" s="8" t="s">
        <v>196</v>
      </c>
      <c r="D72" s="8" t="s">
        <v>197</v>
      </c>
      <c r="E72" s="8" t="s">
        <v>198</v>
      </c>
      <c r="F72" s="8" t="s">
        <v>199</v>
      </c>
      <c r="G72" s="8" t="s">
        <v>200</v>
      </c>
      <c r="H72" s="8" t="s">
        <v>201</v>
      </c>
      <c r="I72" s="6">
        <v>301.11</v>
      </c>
      <c r="J72" s="6">
        <v>6640</v>
      </c>
      <c r="K72" s="6">
        <v>510</v>
      </c>
      <c r="L72" s="9">
        <v>0.0768072289156627</v>
      </c>
      <c r="M72" s="10">
        <v>0.590411764705882</v>
      </c>
      <c r="N72" s="10">
        <v>45.3478915662651</v>
      </c>
      <c r="O72" s="6">
        <v>6</v>
      </c>
      <c r="P72" s="12">
        <v>0</v>
      </c>
      <c r="Q72" s="6">
        <v>2</v>
      </c>
      <c r="R72" s="6">
        <v>1</v>
      </c>
      <c r="S72" s="6">
        <v>0</v>
      </c>
      <c r="T72" s="6">
        <v>9</v>
      </c>
      <c r="U72" s="115">
        <v>33.4566666666667</v>
      </c>
    </row>
    <row r="73" customHeight="1" spans="1:21">
      <c r="A73" s="6"/>
      <c r="B73" s="6"/>
      <c r="C73" s="6"/>
      <c r="D73" s="8" t="s">
        <v>218</v>
      </c>
      <c r="E73" s="8" t="s">
        <v>198</v>
      </c>
      <c r="F73" s="8" t="s">
        <v>203</v>
      </c>
      <c r="G73" s="8" t="s">
        <v>219</v>
      </c>
      <c r="H73" s="8" t="s">
        <v>220</v>
      </c>
      <c r="I73" s="6">
        <v>520.2</v>
      </c>
      <c r="J73" s="6">
        <v>31853</v>
      </c>
      <c r="K73" s="6">
        <v>1267</v>
      </c>
      <c r="L73" s="9">
        <v>0.0397764731736414</v>
      </c>
      <c r="M73" s="10">
        <v>0.410576164167324</v>
      </c>
      <c r="N73" s="10">
        <v>16.3312717797382</v>
      </c>
      <c r="O73" s="6">
        <v>19</v>
      </c>
      <c r="P73" s="12">
        <v>0</v>
      </c>
      <c r="Q73" s="6">
        <v>12</v>
      </c>
      <c r="R73" s="6">
        <v>0</v>
      </c>
      <c r="S73" s="6">
        <v>0</v>
      </c>
      <c r="T73" s="6">
        <v>31</v>
      </c>
      <c r="U73" s="115">
        <v>16.7806451612903</v>
      </c>
    </row>
    <row r="74" customHeight="1" spans="1:21">
      <c r="A74" s="6"/>
      <c r="B74" s="6"/>
      <c r="C74" s="8" t="s">
        <v>209</v>
      </c>
      <c r="D74" s="8" t="s">
        <v>269</v>
      </c>
      <c r="E74" s="8" t="s">
        <v>198</v>
      </c>
      <c r="F74" s="8" t="s">
        <v>203</v>
      </c>
      <c r="G74" s="8" t="s">
        <v>270</v>
      </c>
      <c r="H74" s="8" t="s">
        <v>271</v>
      </c>
      <c r="I74" s="6">
        <v>0</v>
      </c>
      <c r="J74" s="6">
        <v>0</v>
      </c>
      <c r="K74" s="6">
        <v>0</v>
      </c>
      <c r="L74" s="9" t="e">
        <v>#DIV/0!</v>
      </c>
      <c r="M74" s="10" t="e">
        <v>#DIV/0!</v>
      </c>
      <c r="N74" s="10" t="e">
        <v>#DIV/0!</v>
      </c>
      <c r="O74" s="6">
        <v>0</v>
      </c>
      <c r="P74" s="12">
        <v>0</v>
      </c>
      <c r="Q74" s="6">
        <v>0</v>
      </c>
      <c r="R74" s="6">
        <v>0</v>
      </c>
      <c r="S74" s="6">
        <v>0</v>
      </c>
      <c r="T74" s="6">
        <v>0</v>
      </c>
      <c r="U74" s="115" t="e">
        <v>#DIV/0!</v>
      </c>
    </row>
    <row r="75" customHeight="1" spans="1:21">
      <c r="A75" s="6"/>
      <c r="B75" s="6"/>
      <c r="C75" s="6"/>
      <c r="D75" s="8" t="s">
        <v>250</v>
      </c>
      <c r="E75" s="8" t="s">
        <v>211</v>
      </c>
      <c r="F75" s="8" t="s">
        <v>212</v>
      </c>
      <c r="G75" s="8" t="s">
        <v>251</v>
      </c>
      <c r="H75" s="8" t="s">
        <v>252</v>
      </c>
      <c r="I75" s="6">
        <v>1.77</v>
      </c>
      <c r="J75" s="6">
        <v>277</v>
      </c>
      <c r="K75" s="6">
        <v>13</v>
      </c>
      <c r="L75" s="9">
        <v>0.0469314079422383</v>
      </c>
      <c r="M75" s="10">
        <v>0.136153846153846</v>
      </c>
      <c r="N75" s="10">
        <v>6.3898916967509</v>
      </c>
      <c r="O75" s="6">
        <v>1</v>
      </c>
      <c r="P75" s="12">
        <v>0</v>
      </c>
      <c r="Q75" s="6">
        <v>0</v>
      </c>
      <c r="R75" s="6">
        <v>0</v>
      </c>
      <c r="S75" s="6">
        <v>0</v>
      </c>
      <c r="T75" s="6">
        <v>1</v>
      </c>
      <c r="U75" s="115">
        <v>1.77</v>
      </c>
    </row>
    <row r="76" customHeight="1" spans="1:21">
      <c r="A76" s="6"/>
      <c r="B76" s="6"/>
      <c r="C76" s="6"/>
      <c r="D76" s="8" t="s">
        <v>206</v>
      </c>
      <c r="E76" s="8" t="s">
        <v>198</v>
      </c>
      <c r="F76" s="8" t="s">
        <v>203</v>
      </c>
      <c r="G76" s="8" t="s">
        <v>207</v>
      </c>
      <c r="H76" s="8" t="s">
        <v>208</v>
      </c>
      <c r="I76" s="6">
        <v>942.48</v>
      </c>
      <c r="J76" s="6">
        <v>59651</v>
      </c>
      <c r="K76" s="6">
        <v>3262</v>
      </c>
      <c r="L76" s="9">
        <v>0.054684749626997</v>
      </c>
      <c r="M76" s="10">
        <v>0.288927038626609</v>
      </c>
      <c r="N76" s="10">
        <v>15.7999027677658</v>
      </c>
      <c r="O76" s="6">
        <v>79</v>
      </c>
      <c r="P76" s="12">
        <v>1</v>
      </c>
      <c r="Q76" s="6">
        <v>33</v>
      </c>
      <c r="R76" s="6">
        <v>0</v>
      </c>
      <c r="S76" s="6">
        <v>4</v>
      </c>
      <c r="T76" s="6">
        <v>117</v>
      </c>
      <c r="U76" s="115">
        <v>8.05538461538462</v>
      </c>
    </row>
    <row r="77" customHeight="1" spans="1:21">
      <c r="A77" s="6"/>
      <c r="B77" s="6"/>
      <c r="C77" s="6"/>
      <c r="D77" s="8" t="s">
        <v>218</v>
      </c>
      <c r="E77" s="8" t="s">
        <v>198</v>
      </c>
      <c r="F77" s="8" t="s">
        <v>203</v>
      </c>
      <c r="G77" s="8" t="s">
        <v>219</v>
      </c>
      <c r="H77" s="8" t="s">
        <v>220</v>
      </c>
      <c r="I77" s="6">
        <v>1021.06</v>
      </c>
      <c r="J77" s="6">
        <v>76996</v>
      </c>
      <c r="K77" s="6">
        <v>3369</v>
      </c>
      <c r="L77" s="9">
        <v>0.0437555197672606</v>
      </c>
      <c r="M77" s="10">
        <v>0.303075096467795</v>
      </c>
      <c r="N77" s="10">
        <v>13.261208374461</v>
      </c>
      <c r="O77" s="6">
        <v>125</v>
      </c>
      <c r="P77" s="12">
        <v>0</v>
      </c>
      <c r="Q77" s="6">
        <v>53</v>
      </c>
      <c r="R77" s="6">
        <v>0</v>
      </c>
      <c r="S77" s="6">
        <v>4</v>
      </c>
      <c r="T77" s="6">
        <v>182</v>
      </c>
      <c r="U77" s="115">
        <v>5.61021978021978</v>
      </c>
    </row>
    <row r="78" customHeight="1" spans="1:21">
      <c r="A78" s="6"/>
      <c r="B78" s="6"/>
      <c r="C78" s="6"/>
      <c r="D78" s="8" t="s">
        <v>275</v>
      </c>
      <c r="E78" s="8" t="s">
        <v>211</v>
      </c>
      <c r="F78" s="8" t="s">
        <v>212</v>
      </c>
      <c r="G78" s="8" t="s">
        <v>276</v>
      </c>
      <c r="H78" s="8" t="s">
        <v>277</v>
      </c>
      <c r="I78" s="6">
        <v>388.58</v>
      </c>
      <c r="J78" s="6">
        <v>27815</v>
      </c>
      <c r="K78" s="6">
        <v>822</v>
      </c>
      <c r="L78" s="9">
        <v>0.0295523997842891</v>
      </c>
      <c r="M78" s="10">
        <v>0.472725060827251</v>
      </c>
      <c r="N78" s="10">
        <v>13.9701599856193</v>
      </c>
      <c r="O78" s="6">
        <v>32</v>
      </c>
      <c r="P78" s="12">
        <v>1</v>
      </c>
      <c r="Q78" s="6">
        <v>6</v>
      </c>
      <c r="R78" s="6">
        <v>0</v>
      </c>
      <c r="S78" s="6">
        <v>6</v>
      </c>
      <c r="T78" s="6">
        <v>45</v>
      </c>
      <c r="U78" s="115">
        <v>8.63511111111111</v>
      </c>
    </row>
    <row r="79" customHeight="1" spans="1:21">
      <c r="A79" s="6"/>
      <c r="B79" s="6"/>
      <c r="C79" s="6"/>
      <c r="D79" s="8" t="s">
        <v>224</v>
      </c>
      <c r="E79" s="8" t="s">
        <v>225</v>
      </c>
      <c r="F79" s="8" t="s">
        <v>226</v>
      </c>
      <c r="G79" s="8" t="s">
        <v>227</v>
      </c>
      <c r="H79" s="8" t="s">
        <v>228</v>
      </c>
      <c r="I79" s="6">
        <v>1124.36</v>
      </c>
      <c r="J79" s="6">
        <v>35719</v>
      </c>
      <c r="K79" s="6">
        <v>4584</v>
      </c>
      <c r="L79" s="9">
        <v>0.12833505977211</v>
      </c>
      <c r="M79" s="10">
        <v>0.245279232111693</v>
      </c>
      <c r="N79" s="10">
        <v>31.4779249139114</v>
      </c>
      <c r="O79" s="6">
        <v>254</v>
      </c>
      <c r="P79" s="12">
        <v>3</v>
      </c>
      <c r="Q79" s="6">
        <v>27</v>
      </c>
      <c r="R79" s="6">
        <v>24</v>
      </c>
      <c r="S79" s="6">
        <v>2</v>
      </c>
      <c r="T79" s="6">
        <v>310</v>
      </c>
      <c r="U79" s="115">
        <v>3.62696774193548</v>
      </c>
    </row>
    <row r="80" customHeight="1" spans="1:21">
      <c r="A80" s="6"/>
      <c r="B80" s="6"/>
      <c r="C80" s="6"/>
      <c r="D80" s="8" t="s">
        <v>282</v>
      </c>
      <c r="E80" s="8" t="s">
        <v>211</v>
      </c>
      <c r="F80" s="8" t="s">
        <v>212</v>
      </c>
      <c r="G80" s="8" t="s">
        <v>283</v>
      </c>
      <c r="H80" s="8" t="s">
        <v>284</v>
      </c>
      <c r="I80" s="6">
        <v>0</v>
      </c>
      <c r="J80" s="6">
        <v>0</v>
      </c>
      <c r="K80" s="6">
        <v>0</v>
      </c>
      <c r="L80" s="9" t="e">
        <v>#DIV/0!</v>
      </c>
      <c r="M80" s="10" t="e">
        <v>#DIV/0!</v>
      </c>
      <c r="N80" s="10" t="e">
        <v>#DIV/0!</v>
      </c>
      <c r="O80" s="6">
        <v>0</v>
      </c>
      <c r="P80" s="12">
        <v>0</v>
      </c>
      <c r="Q80" s="6">
        <v>0</v>
      </c>
      <c r="R80" s="6">
        <v>0</v>
      </c>
      <c r="S80" s="6">
        <v>0</v>
      </c>
      <c r="T80" s="6">
        <v>0</v>
      </c>
      <c r="U80" s="115" t="e">
        <v>#DIV/0!</v>
      </c>
    </row>
    <row r="81" customHeight="1" spans="1:21">
      <c r="A81" s="6"/>
      <c r="B81" s="8" t="s">
        <v>229</v>
      </c>
      <c r="C81" s="6"/>
      <c r="D81" s="6"/>
      <c r="E81" s="6"/>
      <c r="F81" s="6"/>
      <c r="G81" s="6"/>
      <c r="H81" s="6"/>
      <c r="I81" s="6">
        <v>4299.56</v>
      </c>
      <c r="J81" s="6">
        <v>238951</v>
      </c>
      <c r="K81" s="6">
        <v>13827</v>
      </c>
      <c r="L81" s="9">
        <v>0.0578654201070512</v>
      </c>
      <c r="M81" s="10">
        <v>0.310953930715267</v>
      </c>
      <c r="N81" s="10">
        <v>17.9934798347778</v>
      </c>
      <c r="O81" s="6">
        <v>516</v>
      </c>
      <c r="P81" s="12">
        <v>5</v>
      </c>
      <c r="Q81" s="6">
        <v>133</v>
      </c>
      <c r="R81" s="6">
        <v>25</v>
      </c>
      <c r="S81" s="6">
        <v>16</v>
      </c>
      <c r="T81" s="6">
        <v>695</v>
      </c>
      <c r="U81" s="115">
        <v>6.18641726618705</v>
      </c>
    </row>
    <row r="82" customHeight="1" spans="1:21">
      <c r="A82" s="6"/>
      <c r="B82" s="8" t="s">
        <v>230</v>
      </c>
      <c r="C82" s="8" t="s">
        <v>209</v>
      </c>
      <c r="D82" s="8" t="s">
        <v>253</v>
      </c>
      <c r="E82" s="8" t="s">
        <v>232</v>
      </c>
      <c r="F82" s="8" t="s">
        <v>232</v>
      </c>
      <c r="G82" s="8" t="s">
        <v>254</v>
      </c>
      <c r="H82" s="8" t="s">
        <v>255</v>
      </c>
      <c r="I82" s="6">
        <v>505.97</v>
      </c>
      <c r="J82" s="6">
        <v>35945</v>
      </c>
      <c r="K82" s="6">
        <v>1697</v>
      </c>
      <c r="L82" s="9">
        <v>0.04721101683127</v>
      </c>
      <c r="M82" s="10">
        <v>0.29815556865056</v>
      </c>
      <c r="N82" s="10">
        <v>14.0762275698985</v>
      </c>
      <c r="O82" s="6">
        <v>26</v>
      </c>
      <c r="P82" s="12">
        <v>0</v>
      </c>
      <c r="Q82" s="6">
        <v>6</v>
      </c>
      <c r="R82" s="6">
        <v>0</v>
      </c>
      <c r="S82" s="6">
        <v>0</v>
      </c>
      <c r="T82" s="6">
        <v>32</v>
      </c>
      <c r="U82" s="115">
        <v>15.8115625</v>
      </c>
    </row>
    <row r="83" customHeight="1" spans="1:21">
      <c r="A83" s="6"/>
      <c r="B83" s="6"/>
      <c r="C83" s="6"/>
      <c r="D83" s="8" t="s">
        <v>278</v>
      </c>
      <c r="E83" s="8" t="s">
        <v>232</v>
      </c>
      <c r="F83" s="8" t="s">
        <v>232</v>
      </c>
      <c r="G83" s="8" t="s">
        <v>279</v>
      </c>
      <c r="H83" s="8" t="s">
        <v>280</v>
      </c>
      <c r="I83" s="6">
        <v>512.72</v>
      </c>
      <c r="J83" s="6">
        <v>59421</v>
      </c>
      <c r="K83" s="6">
        <v>1564</v>
      </c>
      <c r="L83" s="9">
        <v>0.0263206610457582</v>
      </c>
      <c r="M83" s="10">
        <v>0.327826086956522</v>
      </c>
      <c r="N83" s="10">
        <v>8.62859931673987</v>
      </c>
      <c r="O83" s="6">
        <v>22</v>
      </c>
      <c r="P83" s="12">
        <v>2</v>
      </c>
      <c r="Q83" s="6">
        <v>9</v>
      </c>
      <c r="R83" s="6">
        <v>0</v>
      </c>
      <c r="S83" s="6">
        <v>0</v>
      </c>
      <c r="T83" s="6">
        <v>33</v>
      </c>
      <c r="U83" s="115">
        <v>15.5369696969697</v>
      </c>
    </row>
    <row r="84" customHeight="1" spans="1:21">
      <c r="A84" s="6"/>
      <c r="B84" s="8" t="s">
        <v>242</v>
      </c>
      <c r="C84" s="6"/>
      <c r="D84" s="6"/>
      <c r="E84" s="6"/>
      <c r="F84" s="6"/>
      <c r="G84" s="6"/>
      <c r="H84" s="6"/>
      <c r="I84" s="6">
        <v>1018.69</v>
      </c>
      <c r="J84" s="6">
        <v>95366</v>
      </c>
      <c r="K84" s="6">
        <v>3261</v>
      </c>
      <c r="L84" s="9">
        <v>0.034194576683514</v>
      </c>
      <c r="M84" s="10">
        <v>0.312385771235817</v>
      </c>
      <c r="N84" s="10">
        <v>10.6818992093618</v>
      </c>
      <c r="O84" s="6">
        <v>48</v>
      </c>
      <c r="P84" s="12">
        <v>2</v>
      </c>
      <c r="Q84" s="6">
        <v>15</v>
      </c>
      <c r="R84" s="6">
        <v>0</v>
      </c>
      <c r="S84" s="6">
        <v>0</v>
      </c>
      <c r="T84" s="6">
        <v>65</v>
      </c>
      <c r="U84" s="115">
        <v>15.6721538461538</v>
      </c>
    </row>
    <row r="85" customHeight="1" spans="1:21">
      <c r="A85" s="8" t="s">
        <v>285</v>
      </c>
      <c r="B85" s="6"/>
      <c r="C85" s="6"/>
      <c r="D85" s="6"/>
      <c r="E85" s="6"/>
      <c r="F85" s="6"/>
      <c r="G85" s="6"/>
      <c r="H85" s="6"/>
      <c r="I85" s="6">
        <v>5318.25</v>
      </c>
      <c r="J85" s="6">
        <v>334317</v>
      </c>
      <c r="K85" s="6">
        <v>17088</v>
      </c>
      <c r="L85" s="9">
        <v>0.0511131650499376</v>
      </c>
      <c r="M85" s="10">
        <v>0.311227176966292</v>
      </c>
      <c r="N85" s="10">
        <v>15.9078060643042</v>
      </c>
      <c r="O85" s="6">
        <v>564</v>
      </c>
      <c r="P85" s="12">
        <v>7</v>
      </c>
      <c r="Q85" s="6">
        <v>148</v>
      </c>
      <c r="R85" s="6">
        <v>25</v>
      </c>
      <c r="S85" s="6">
        <v>16</v>
      </c>
      <c r="T85" s="6">
        <v>760</v>
      </c>
      <c r="U85" s="115">
        <v>6.99769736842105</v>
      </c>
    </row>
    <row r="86" customHeight="1" spans="1:21">
      <c r="A86" s="8" t="s">
        <v>166</v>
      </c>
      <c r="B86" s="8" t="s">
        <v>195</v>
      </c>
      <c r="C86" s="8" t="s">
        <v>209</v>
      </c>
      <c r="D86" s="8" t="s">
        <v>210</v>
      </c>
      <c r="E86" s="8" t="s">
        <v>211</v>
      </c>
      <c r="F86" s="8" t="s">
        <v>212</v>
      </c>
      <c r="G86" s="8" t="s">
        <v>213</v>
      </c>
      <c r="H86" s="8" t="s">
        <v>214</v>
      </c>
      <c r="I86" s="6">
        <v>0.2</v>
      </c>
      <c r="J86" s="6">
        <v>23</v>
      </c>
      <c r="K86" s="6">
        <v>1</v>
      </c>
      <c r="L86" s="9">
        <v>0.0434782608695652</v>
      </c>
      <c r="M86" s="10">
        <v>0.2</v>
      </c>
      <c r="N86" s="10">
        <v>8.69565217391304</v>
      </c>
      <c r="O86" s="6">
        <v>0</v>
      </c>
      <c r="P86" s="12">
        <v>0</v>
      </c>
      <c r="Q86" s="6">
        <v>0</v>
      </c>
      <c r="R86" s="6">
        <v>0</v>
      </c>
      <c r="S86" s="6">
        <v>0</v>
      </c>
      <c r="T86" s="6">
        <v>0</v>
      </c>
      <c r="U86" s="115" t="e">
        <v>#DIV/0!</v>
      </c>
    </row>
    <row r="87" customHeight="1" spans="1:21">
      <c r="A87" s="6"/>
      <c r="B87" s="6"/>
      <c r="C87" s="6"/>
      <c r="D87" s="8" t="s">
        <v>269</v>
      </c>
      <c r="E87" s="8" t="s">
        <v>198</v>
      </c>
      <c r="F87" s="8" t="s">
        <v>203</v>
      </c>
      <c r="G87" s="8" t="s">
        <v>270</v>
      </c>
      <c r="H87" s="8" t="s">
        <v>271</v>
      </c>
      <c r="I87" s="6">
        <v>0</v>
      </c>
      <c r="J87" s="6">
        <v>0</v>
      </c>
      <c r="K87" s="6">
        <v>0</v>
      </c>
      <c r="L87" s="9" t="e">
        <v>#DIV/0!</v>
      </c>
      <c r="M87" s="10" t="e">
        <v>#DIV/0!</v>
      </c>
      <c r="N87" s="10" t="e">
        <v>#DIV/0!</v>
      </c>
      <c r="O87" s="6">
        <v>0</v>
      </c>
      <c r="P87" s="12">
        <v>0</v>
      </c>
      <c r="Q87" s="6">
        <v>0</v>
      </c>
      <c r="R87" s="6">
        <v>0</v>
      </c>
      <c r="S87" s="6">
        <v>0</v>
      </c>
      <c r="T87" s="6">
        <v>0</v>
      </c>
      <c r="U87" s="115" t="e">
        <v>#DIV/0!</v>
      </c>
    </row>
    <row r="88" customHeight="1" spans="1:21">
      <c r="A88" s="6"/>
      <c r="B88" s="6"/>
      <c r="C88" s="6"/>
      <c r="D88" s="8" t="s">
        <v>250</v>
      </c>
      <c r="E88" s="8" t="s">
        <v>211</v>
      </c>
      <c r="F88" s="8" t="s">
        <v>212</v>
      </c>
      <c r="G88" s="8" t="s">
        <v>251</v>
      </c>
      <c r="H88" s="8" t="s">
        <v>252</v>
      </c>
      <c r="I88" s="6">
        <v>2013.83</v>
      </c>
      <c r="J88" s="6">
        <v>117265</v>
      </c>
      <c r="K88" s="6">
        <v>7850</v>
      </c>
      <c r="L88" s="9">
        <v>0.0669423954291562</v>
      </c>
      <c r="M88" s="10">
        <v>0.256538853503185</v>
      </c>
      <c r="N88" s="10">
        <v>17.1733253741526</v>
      </c>
      <c r="O88" s="6">
        <v>371</v>
      </c>
      <c r="P88" s="12">
        <v>3</v>
      </c>
      <c r="Q88" s="6">
        <v>234</v>
      </c>
      <c r="R88" s="6">
        <v>10</v>
      </c>
      <c r="S88" s="6">
        <v>6</v>
      </c>
      <c r="T88" s="6">
        <v>624</v>
      </c>
      <c r="U88" s="115">
        <v>3.22729166666667</v>
      </c>
    </row>
    <row r="89" customHeight="1" spans="1:21">
      <c r="A89" s="6"/>
      <c r="B89" s="6"/>
      <c r="C89" s="6"/>
      <c r="D89" s="8" t="s">
        <v>272</v>
      </c>
      <c r="E89" s="8" t="s">
        <v>198</v>
      </c>
      <c r="F89" s="8" t="s">
        <v>203</v>
      </c>
      <c r="G89" s="8" t="s">
        <v>273</v>
      </c>
      <c r="H89" s="8" t="s">
        <v>274</v>
      </c>
      <c r="I89" s="6">
        <v>0</v>
      </c>
      <c r="J89" s="6">
        <v>0</v>
      </c>
      <c r="K89" s="6">
        <v>0</v>
      </c>
      <c r="L89" s="9" t="e">
        <v>#DIV/0!</v>
      </c>
      <c r="M89" s="10" t="e">
        <v>#DIV/0!</v>
      </c>
      <c r="N89" s="10" t="e">
        <v>#DIV/0!</v>
      </c>
      <c r="O89" s="6">
        <v>0</v>
      </c>
      <c r="P89" s="12">
        <v>0</v>
      </c>
      <c r="Q89" s="6">
        <v>0</v>
      </c>
      <c r="R89" s="6">
        <v>0</v>
      </c>
      <c r="S89" s="6">
        <v>0</v>
      </c>
      <c r="T89" s="6">
        <v>0</v>
      </c>
      <c r="U89" s="115" t="e">
        <v>#DIV/0!</v>
      </c>
    </row>
    <row r="90" customHeight="1" spans="1:21">
      <c r="A90" s="6"/>
      <c r="B90" s="6"/>
      <c r="C90" s="6"/>
      <c r="D90" s="8" t="s">
        <v>286</v>
      </c>
      <c r="E90" s="8" t="s">
        <v>198</v>
      </c>
      <c r="F90" s="8" t="s">
        <v>287</v>
      </c>
      <c r="G90" s="8" t="s">
        <v>288</v>
      </c>
      <c r="H90" s="8" t="s">
        <v>289</v>
      </c>
      <c r="I90" s="6">
        <v>0</v>
      </c>
      <c r="J90" s="6">
        <v>0</v>
      </c>
      <c r="K90" s="6">
        <v>0</v>
      </c>
      <c r="L90" s="9" t="e">
        <v>#DIV/0!</v>
      </c>
      <c r="M90" s="10" t="e">
        <v>#DIV/0!</v>
      </c>
      <c r="N90" s="10" t="e">
        <v>#DIV/0!</v>
      </c>
      <c r="O90" s="6">
        <v>0</v>
      </c>
      <c r="P90" s="12">
        <v>0</v>
      </c>
      <c r="Q90" s="6">
        <v>0</v>
      </c>
      <c r="R90" s="6">
        <v>0</v>
      </c>
      <c r="S90" s="6">
        <v>0</v>
      </c>
      <c r="T90" s="6">
        <v>0</v>
      </c>
      <c r="U90" s="115" t="e">
        <v>#DIV/0!</v>
      </c>
    </row>
    <row r="91" customHeight="1" spans="1:21">
      <c r="A91" s="6"/>
      <c r="B91" s="6"/>
      <c r="C91" s="6"/>
      <c r="D91" s="8" t="s">
        <v>290</v>
      </c>
      <c r="E91" s="8" t="s">
        <v>198</v>
      </c>
      <c r="F91" s="8" t="s">
        <v>203</v>
      </c>
      <c r="G91" s="8" t="s">
        <v>291</v>
      </c>
      <c r="H91" s="8" t="s">
        <v>292</v>
      </c>
      <c r="I91" s="6">
        <v>0</v>
      </c>
      <c r="J91" s="6">
        <v>0</v>
      </c>
      <c r="K91" s="6">
        <v>0</v>
      </c>
      <c r="L91" s="9" t="e">
        <v>#DIV/0!</v>
      </c>
      <c r="M91" s="10" t="e">
        <v>#DIV/0!</v>
      </c>
      <c r="N91" s="10" t="e">
        <v>#DIV/0!</v>
      </c>
      <c r="O91" s="6">
        <v>0</v>
      </c>
      <c r="P91" s="12">
        <v>0</v>
      </c>
      <c r="Q91" s="6">
        <v>0</v>
      </c>
      <c r="R91" s="6">
        <v>0</v>
      </c>
      <c r="S91" s="6">
        <v>0</v>
      </c>
      <c r="T91" s="6">
        <v>0</v>
      </c>
      <c r="U91" s="115" t="e">
        <v>#DIV/0!</v>
      </c>
    </row>
    <row r="92" customHeight="1" spans="1:21">
      <c r="A92" s="6"/>
      <c r="B92" s="8" t="s">
        <v>229</v>
      </c>
      <c r="C92" s="6"/>
      <c r="D92" s="6"/>
      <c r="E92" s="6"/>
      <c r="F92" s="6"/>
      <c r="G92" s="6"/>
      <c r="H92" s="6"/>
      <c r="I92" s="6">
        <v>2014.03</v>
      </c>
      <c r="J92" s="6">
        <v>117288</v>
      </c>
      <c r="K92" s="6">
        <v>7851</v>
      </c>
      <c r="L92" s="9">
        <v>0.0669377941477389</v>
      </c>
      <c r="M92" s="10">
        <v>0.256531652018851</v>
      </c>
      <c r="N92" s="10">
        <v>17.1716629152172</v>
      </c>
      <c r="O92" s="6">
        <v>371</v>
      </c>
      <c r="P92" s="12">
        <v>3</v>
      </c>
      <c r="Q92" s="6">
        <v>234</v>
      </c>
      <c r="R92" s="6">
        <v>10</v>
      </c>
      <c r="S92" s="6">
        <v>6</v>
      </c>
      <c r="T92" s="6">
        <v>624</v>
      </c>
      <c r="U92" s="115">
        <v>3.22761217948718</v>
      </c>
    </row>
    <row r="93" customHeight="1" spans="1:21">
      <c r="A93" s="6"/>
      <c r="B93" s="8" t="s">
        <v>230</v>
      </c>
      <c r="C93" s="8" t="s">
        <v>209</v>
      </c>
      <c r="D93" s="8" t="s">
        <v>231</v>
      </c>
      <c r="E93" s="8" t="s">
        <v>232</v>
      </c>
      <c r="F93" s="8" t="s">
        <v>232</v>
      </c>
      <c r="G93" s="8" t="s">
        <v>233</v>
      </c>
      <c r="H93" s="8" t="s">
        <v>234</v>
      </c>
      <c r="I93" s="6">
        <v>0</v>
      </c>
      <c r="J93" s="6">
        <v>0</v>
      </c>
      <c r="K93" s="6">
        <v>0</v>
      </c>
      <c r="L93" s="9" t="e">
        <v>#DIV/0!</v>
      </c>
      <c r="M93" s="10" t="e">
        <v>#DIV/0!</v>
      </c>
      <c r="N93" s="10" t="e">
        <v>#DIV/0!</v>
      </c>
      <c r="O93" s="6">
        <v>0</v>
      </c>
      <c r="P93" s="12">
        <v>0</v>
      </c>
      <c r="Q93" s="6">
        <v>0</v>
      </c>
      <c r="R93" s="6">
        <v>0</v>
      </c>
      <c r="S93" s="6">
        <v>0</v>
      </c>
      <c r="T93" s="6">
        <v>0</v>
      </c>
      <c r="U93" s="115" t="e">
        <v>#DIV/0!</v>
      </c>
    </row>
    <row r="94" customHeight="1" spans="1:21">
      <c r="A94" s="6"/>
      <c r="B94" s="8" t="s">
        <v>242</v>
      </c>
      <c r="C94" s="6"/>
      <c r="D94" s="6"/>
      <c r="E94" s="6"/>
      <c r="F94" s="6"/>
      <c r="G94" s="6"/>
      <c r="H94" s="6"/>
      <c r="I94" s="6">
        <v>0</v>
      </c>
      <c r="J94" s="6">
        <v>0</v>
      </c>
      <c r="K94" s="6">
        <v>0</v>
      </c>
      <c r="L94" s="9" t="e">
        <v>#DIV/0!</v>
      </c>
      <c r="M94" s="10" t="e">
        <v>#DIV/0!</v>
      </c>
      <c r="N94" s="10" t="e">
        <v>#DIV/0!</v>
      </c>
      <c r="O94" s="6">
        <v>0</v>
      </c>
      <c r="P94" s="12">
        <v>0</v>
      </c>
      <c r="Q94" s="6">
        <v>0</v>
      </c>
      <c r="R94" s="6">
        <v>0</v>
      </c>
      <c r="S94" s="6">
        <v>0</v>
      </c>
      <c r="T94" s="6">
        <v>0</v>
      </c>
      <c r="U94" s="115" t="e">
        <v>#DIV/0!</v>
      </c>
    </row>
    <row r="95" customHeight="1" spans="1:21">
      <c r="A95" s="8" t="s">
        <v>293</v>
      </c>
      <c r="B95" s="6"/>
      <c r="C95" s="6"/>
      <c r="D95" s="6"/>
      <c r="E95" s="6"/>
      <c r="F95" s="6"/>
      <c r="G95" s="6"/>
      <c r="H95" s="6"/>
      <c r="I95" s="6">
        <v>2014.03</v>
      </c>
      <c r="J95" s="6">
        <v>117288</v>
      </c>
      <c r="K95" s="6">
        <v>7851</v>
      </c>
      <c r="L95" s="9">
        <v>0.0669377941477389</v>
      </c>
      <c r="M95" s="10">
        <v>0.256531652018851</v>
      </c>
      <c r="N95" s="10">
        <v>17.1716629152172</v>
      </c>
      <c r="O95" s="6">
        <v>371</v>
      </c>
      <c r="P95" s="12">
        <v>3</v>
      </c>
      <c r="Q95" s="6">
        <v>234</v>
      </c>
      <c r="R95" s="6">
        <v>10</v>
      </c>
      <c r="S95" s="6">
        <v>6</v>
      </c>
      <c r="T95" s="6">
        <v>624</v>
      </c>
      <c r="U95" s="115">
        <v>3.22761217948718</v>
      </c>
    </row>
    <row r="96" customHeight="1" spans="1:21">
      <c r="A96" s="8" t="s">
        <v>165</v>
      </c>
      <c r="B96" s="8" t="s">
        <v>195</v>
      </c>
      <c r="C96" s="8" t="s">
        <v>196</v>
      </c>
      <c r="D96" s="8" t="s">
        <v>294</v>
      </c>
      <c r="E96" s="8" t="s">
        <v>198</v>
      </c>
      <c r="F96" s="8" t="s">
        <v>203</v>
      </c>
      <c r="G96" s="8" t="s">
        <v>295</v>
      </c>
      <c r="H96" s="8" t="s">
        <v>296</v>
      </c>
      <c r="I96" s="6">
        <v>0</v>
      </c>
      <c r="J96" s="6">
        <v>0</v>
      </c>
      <c r="K96" s="6">
        <v>0</v>
      </c>
      <c r="L96" s="9" t="e">
        <v>#DIV/0!</v>
      </c>
      <c r="M96" s="10" t="e">
        <v>#DIV/0!</v>
      </c>
      <c r="N96" s="10" t="e">
        <v>#DIV/0!</v>
      </c>
      <c r="O96" s="6">
        <v>0</v>
      </c>
      <c r="P96" s="12">
        <v>0</v>
      </c>
      <c r="Q96" s="6">
        <v>0</v>
      </c>
      <c r="R96" s="6">
        <v>0</v>
      </c>
      <c r="S96" s="6">
        <v>0</v>
      </c>
      <c r="T96" s="6">
        <v>0</v>
      </c>
      <c r="U96" s="115" t="e">
        <v>#DIV/0!</v>
      </c>
    </row>
    <row r="97" customHeight="1" spans="1:21">
      <c r="A97" s="6"/>
      <c r="B97" s="6"/>
      <c r="C97" s="8" t="s">
        <v>209</v>
      </c>
      <c r="D97" s="8" t="s">
        <v>210</v>
      </c>
      <c r="E97" s="8" t="s">
        <v>211</v>
      </c>
      <c r="F97" s="8" t="s">
        <v>212</v>
      </c>
      <c r="G97" s="8" t="s">
        <v>213</v>
      </c>
      <c r="H97" s="8" t="s">
        <v>214</v>
      </c>
      <c r="I97" s="6">
        <v>2031.4</v>
      </c>
      <c r="J97" s="6">
        <v>118290</v>
      </c>
      <c r="K97" s="6">
        <v>7736</v>
      </c>
      <c r="L97" s="9">
        <v>0.0653985966692028</v>
      </c>
      <c r="M97" s="10">
        <v>0.262590486039297</v>
      </c>
      <c r="N97" s="10">
        <v>17.1730492856539</v>
      </c>
      <c r="O97" s="6">
        <v>287</v>
      </c>
      <c r="P97" s="12">
        <v>2</v>
      </c>
      <c r="Q97" s="6">
        <v>86</v>
      </c>
      <c r="R97" s="6">
        <v>3</v>
      </c>
      <c r="S97" s="6">
        <v>4</v>
      </c>
      <c r="T97" s="6">
        <v>382</v>
      </c>
      <c r="U97" s="115">
        <v>5.31780104712042</v>
      </c>
    </row>
    <row r="98" customHeight="1" spans="1:21">
      <c r="A98" s="6"/>
      <c r="B98" s="6"/>
      <c r="C98" s="6"/>
      <c r="D98" s="8" t="s">
        <v>269</v>
      </c>
      <c r="E98" s="8" t="s">
        <v>198</v>
      </c>
      <c r="F98" s="8" t="s">
        <v>203</v>
      </c>
      <c r="G98" s="8" t="s">
        <v>270</v>
      </c>
      <c r="H98" s="8" t="s">
        <v>271</v>
      </c>
      <c r="I98" s="6">
        <v>1.14</v>
      </c>
      <c r="J98" s="6">
        <v>137</v>
      </c>
      <c r="K98" s="6">
        <v>6</v>
      </c>
      <c r="L98" s="9">
        <v>0.0437956204379562</v>
      </c>
      <c r="M98" s="10">
        <v>0.19</v>
      </c>
      <c r="N98" s="10">
        <v>8.32116788321168</v>
      </c>
      <c r="O98" s="6">
        <v>0</v>
      </c>
      <c r="P98" s="12">
        <v>0</v>
      </c>
      <c r="Q98" s="6">
        <v>0</v>
      </c>
      <c r="R98" s="6">
        <v>0</v>
      </c>
      <c r="S98" s="6">
        <v>0</v>
      </c>
      <c r="T98" s="6">
        <v>0</v>
      </c>
      <c r="U98" s="115" t="e">
        <v>#DIV/0!</v>
      </c>
    </row>
    <row r="99" customHeight="1" spans="1:21">
      <c r="A99" s="6"/>
      <c r="B99" s="6"/>
      <c r="C99" s="6"/>
      <c r="D99" s="8" t="s">
        <v>272</v>
      </c>
      <c r="E99" s="8" t="s">
        <v>198</v>
      </c>
      <c r="F99" s="8" t="s">
        <v>203</v>
      </c>
      <c r="G99" s="8" t="s">
        <v>273</v>
      </c>
      <c r="H99" s="8" t="s">
        <v>274</v>
      </c>
      <c r="I99" s="6">
        <v>0</v>
      </c>
      <c r="J99" s="6">
        <v>0</v>
      </c>
      <c r="K99" s="6">
        <v>0</v>
      </c>
      <c r="L99" s="9" t="e">
        <v>#DIV/0!</v>
      </c>
      <c r="M99" s="10" t="e">
        <v>#DIV/0!</v>
      </c>
      <c r="N99" s="10" t="e">
        <v>#DIV/0!</v>
      </c>
      <c r="O99" s="6">
        <v>0</v>
      </c>
      <c r="P99" s="12">
        <v>0</v>
      </c>
      <c r="Q99" s="6">
        <v>0</v>
      </c>
      <c r="R99" s="6">
        <v>0</v>
      </c>
      <c r="S99" s="6">
        <v>0</v>
      </c>
      <c r="T99" s="6">
        <v>0</v>
      </c>
      <c r="U99" s="115" t="e">
        <v>#DIV/0!</v>
      </c>
    </row>
    <row r="100" customHeight="1" spans="1:21">
      <c r="A100" s="6"/>
      <c r="B100" s="6"/>
      <c r="C100" s="6"/>
      <c r="D100" s="8" t="s">
        <v>290</v>
      </c>
      <c r="E100" s="8" t="s">
        <v>198</v>
      </c>
      <c r="F100" s="8" t="s">
        <v>203</v>
      </c>
      <c r="G100" s="8" t="s">
        <v>291</v>
      </c>
      <c r="H100" s="8" t="s">
        <v>292</v>
      </c>
      <c r="I100" s="6">
        <v>0</v>
      </c>
      <c r="J100" s="6">
        <v>0</v>
      </c>
      <c r="K100" s="6">
        <v>0</v>
      </c>
      <c r="L100" s="9" t="e">
        <v>#DIV/0!</v>
      </c>
      <c r="M100" s="10" t="e">
        <v>#DIV/0!</v>
      </c>
      <c r="N100" s="10" t="e">
        <v>#DIV/0!</v>
      </c>
      <c r="O100" s="6">
        <v>0</v>
      </c>
      <c r="P100" s="12">
        <v>0</v>
      </c>
      <c r="Q100" s="6">
        <v>0</v>
      </c>
      <c r="R100" s="6">
        <v>0</v>
      </c>
      <c r="S100" s="6">
        <v>0</v>
      </c>
      <c r="T100" s="6">
        <v>0</v>
      </c>
      <c r="U100" s="115" t="e">
        <v>#DIV/0!</v>
      </c>
    </row>
    <row r="101" customHeight="1" spans="1:21">
      <c r="A101" s="6"/>
      <c r="B101" s="8" t="s">
        <v>229</v>
      </c>
      <c r="C101" s="6"/>
      <c r="D101" s="6"/>
      <c r="E101" s="6"/>
      <c r="F101" s="6"/>
      <c r="G101" s="6"/>
      <c r="H101" s="6"/>
      <c r="I101" s="6">
        <v>2032.54</v>
      </c>
      <c r="J101" s="6">
        <v>118427</v>
      </c>
      <c r="K101" s="6">
        <v>7742</v>
      </c>
      <c r="L101" s="9">
        <v>0.0653736056811369</v>
      </c>
      <c r="M101" s="10">
        <v>0.262534228881426</v>
      </c>
      <c r="N101" s="10">
        <v>17.1628091566957</v>
      </c>
      <c r="O101" s="6">
        <v>287</v>
      </c>
      <c r="P101" s="12">
        <v>2</v>
      </c>
      <c r="Q101" s="6">
        <v>86</v>
      </c>
      <c r="R101" s="6">
        <v>3</v>
      </c>
      <c r="S101" s="6">
        <v>4</v>
      </c>
      <c r="T101" s="6">
        <v>382</v>
      </c>
      <c r="U101" s="115">
        <v>5.32078534031414</v>
      </c>
    </row>
    <row r="102" customHeight="1" spans="1:21">
      <c r="A102" s="8" t="s">
        <v>297</v>
      </c>
      <c r="B102" s="6"/>
      <c r="C102" s="6"/>
      <c r="D102" s="6"/>
      <c r="E102" s="6"/>
      <c r="F102" s="6"/>
      <c r="G102" s="6"/>
      <c r="H102" s="6"/>
      <c r="I102" s="6">
        <v>2032.54</v>
      </c>
      <c r="J102" s="6">
        <v>118427</v>
      </c>
      <c r="K102" s="6">
        <v>7742</v>
      </c>
      <c r="L102" s="9">
        <v>0.0653736056811369</v>
      </c>
      <c r="M102" s="10">
        <v>0.262534228881426</v>
      </c>
      <c r="N102" s="10">
        <v>17.1628091566957</v>
      </c>
      <c r="O102" s="6">
        <v>287</v>
      </c>
      <c r="P102" s="12">
        <v>2</v>
      </c>
      <c r="Q102" s="6">
        <v>86</v>
      </c>
      <c r="R102" s="6">
        <v>3</v>
      </c>
      <c r="S102" s="6">
        <v>4</v>
      </c>
      <c r="T102" s="6">
        <v>382</v>
      </c>
      <c r="U102" s="115">
        <v>5.32078534031414</v>
      </c>
    </row>
    <row r="103" customHeight="1" spans="1:21">
      <c r="A103" s="8" t="s">
        <v>164</v>
      </c>
      <c r="B103" s="8" t="s">
        <v>195</v>
      </c>
      <c r="C103" s="8" t="s">
        <v>196</v>
      </c>
      <c r="D103" s="8" t="s">
        <v>197</v>
      </c>
      <c r="E103" s="8" t="s">
        <v>198</v>
      </c>
      <c r="F103" s="8" t="s">
        <v>199</v>
      </c>
      <c r="G103" s="8" t="s">
        <v>200</v>
      </c>
      <c r="H103" s="8" t="s">
        <v>201</v>
      </c>
      <c r="I103" s="6">
        <v>1.36</v>
      </c>
      <c r="J103" s="6">
        <v>31</v>
      </c>
      <c r="K103" s="6">
        <v>5</v>
      </c>
      <c r="L103" s="9">
        <v>0.161290322580645</v>
      </c>
      <c r="M103" s="10">
        <v>0.272</v>
      </c>
      <c r="N103" s="10">
        <v>43.8709677419355</v>
      </c>
      <c r="O103" s="6">
        <v>0</v>
      </c>
      <c r="P103" s="12">
        <v>0</v>
      </c>
      <c r="Q103" s="6">
        <v>0</v>
      </c>
      <c r="R103" s="6">
        <v>0</v>
      </c>
      <c r="S103" s="6">
        <v>0</v>
      </c>
      <c r="T103" s="6">
        <v>0</v>
      </c>
      <c r="U103" s="115" t="e">
        <v>#DIV/0!</v>
      </c>
    </row>
    <row r="104" customHeight="1" spans="1:21">
      <c r="A104" s="6"/>
      <c r="B104" s="6"/>
      <c r="C104" s="6"/>
      <c r="D104" s="8" t="s">
        <v>294</v>
      </c>
      <c r="E104" s="8" t="s">
        <v>198</v>
      </c>
      <c r="F104" s="8" t="s">
        <v>203</v>
      </c>
      <c r="G104" s="8" t="s">
        <v>295</v>
      </c>
      <c r="H104" s="8" t="s">
        <v>296</v>
      </c>
      <c r="I104" s="6">
        <v>6.63</v>
      </c>
      <c r="J104" s="6">
        <v>174</v>
      </c>
      <c r="K104" s="6">
        <v>17</v>
      </c>
      <c r="L104" s="9">
        <v>0.0977011494252874</v>
      </c>
      <c r="M104" s="10">
        <v>0.39</v>
      </c>
      <c r="N104" s="10">
        <v>38.1034482758621</v>
      </c>
      <c r="O104" s="6">
        <v>0</v>
      </c>
      <c r="P104" s="12">
        <v>0</v>
      </c>
      <c r="Q104" s="6">
        <v>0</v>
      </c>
      <c r="R104" s="6">
        <v>0</v>
      </c>
      <c r="S104" s="6">
        <v>0</v>
      </c>
      <c r="T104" s="6">
        <v>0</v>
      </c>
      <c r="U104" s="115" t="e">
        <v>#DIV/0!</v>
      </c>
    </row>
    <row r="105" customHeight="1" spans="1:21">
      <c r="A105" s="6"/>
      <c r="B105" s="6"/>
      <c r="C105" s="8" t="s">
        <v>209</v>
      </c>
      <c r="D105" s="8" t="s">
        <v>269</v>
      </c>
      <c r="E105" s="8" t="s">
        <v>198</v>
      </c>
      <c r="F105" s="8" t="s">
        <v>203</v>
      </c>
      <c r="G105" s="8" t="s">
        <v>270</v>
      </c>
      <c r="H105" s="8" t="s">
        <v>271</v>
      </c>
      <c r="I105" s="6">
        <v>2010.66</v>
      </c>
      <c r="J105" s="6">
        <v>83321</v>
      </c>
      <c r="K105" s="6">
        <v>4354</v>
      </c>
      <c r="L105" s="9">
        <v>0.0522557338486096</v>
      </c>
      <c r="M105" s="10">
        <v>0.461796049609554</v>
      </c>
      <c r="N105" s="10">
        <v>24.1314914607362</v>
      </c>
      <c r="O105" s="6">
        <v>545</v>
      </c>
      <c r="P105" s="12">
        <v>2</v>
      </c>
      <c r="Q105" s="6">
        <v>420</v>
      </c>
      <c r="R105" s="6">
        <v>33</v>
      </c>
      <c r="S105" s="6">
        <v>27</v>
      </c>
      <c r="T105" s="6">
        <v>1027</v>
      </c>
      <c r="U105" s="115">
        <v>1.9577994157741</v>
      </c>
    </row>
    <row r="106" customHeight="1" spans="1:21">
      <c r="A106" s="6"/>
      <c r="B106" s="6"/>
      <c r="C106" s="6"/>
      <c r="D106" s="8" t="s">
        <v>250</v>
      </c>
      <c r="E106" s="8" t="s">
        <v>211</v>
      </c>
      <c r="F106" s="8" t="s">
        <v>212</v>
      </c>
      <c r="G106" s="8" t="s">
        <v>251</v>
      </c>
      <c r="H106" s="8" t="s">
        <v>252</v>
      </c>
      <c r="I106" s="6">
        <v>0</v>
      </c>
      <c r="J106" s="6">
        <v>0</v>
      </c>
      <c r="K106" s="6">
        <v>0</v>
      </c>
      <c r="L106" s="9" t="e">
        <v>#DIV/0!</v>
      </c>
      <c r="M106" s="10" t="e">
        <v>#DIV/0!</v>
      </c>
      <c r="N106" s="10" t="e">
        <v>#DIV/0!</v>
      </c>
      <c r="O106" s="6">
        <v>0</v>
      </c>
      <c r="P106" s="12">
        <v>0</v>
      </c>
      <c r="Q106" s="6">
        <v>0</v>
      </c>
      <c r="R106" s="6">
        <v>0</v>
      </c>
      <c r="S106" s="6">
        <v>0</v>
      </c>
      <c r="T106" s="6">
        <v>0</v>
      </c>
      <c r="U106" s="115" t="e">
        <v>#DIV/0!</v>
      </c>
    </row>
    <row r="107" customHeight="1" spans="1:21">
      <c r="A107" s="6"/>
      <c r="B107" s="6"/>
      <c r="C107" s="6"/>
      <c r="D107" s="8" t="s">
        <v>272</v>
      </c>
      <c r="E107" s="8" t="s">
        <v>198</v>
      </c>
      <c r="F107" s="8" t="s">
        <v>203</v>
      </c>
      <c r="G107" s="8" t="s">
        <v>273</v>
      </c>
      <c r="H107" s="8" t="s">
        <v>274</v>
      </c>
      <c r="I107" s="6">
        <v>3.06</v>
      </c>
      <c r="J107" s="6">
        <v>344</v>
      </c>
      <c r="K107" s="6">
        <v>17</v>
      </c>
      <c r="L107" s="9">
        <v>0.0494186046511628</v>
      </c>
      <c r="M107" s="10">
        <v>0.18</v>
      </c>
      <c r="N107" s="10">
        <v>8.8953488372093</v>
      </c>
      <c r="O107" s="6">
        <v>2</v>
      </c>
      <c r="P107" s="12">
        <v>0</v>
      </c>
      <c r="Q107" s="6">
        <v>1</v>
      </c>
      <c r="R107" s="6">
        <v>0</v>
      </c>
      <c r="S107" s="6">
        <v>0</v>
      </c>
      <c r="T107" s="6">
        <v>3</v>
      </c>
      <c r="U107" s="115">
        <v>1.02</v>
      </c>
    </row>
    <row r="108" customHeight="1" spans="1:21">
      <c r="A108" s="6"/>
      <c r="B108" s="6"/>
      <c r="C108" s="6"/>
      <c r="D108" s="8" t="s">
        <v>206</v>
      </c>
      <c r="E108" s="8" t="s">
        <v>198</v>
      </c>
      <c r="F108" s="8" t="s">
        <v>203</v>
      </c>
      <c r="G108" s="8" t="s">
        <v>207</v>
      </c>
      <c r="H108" s="8" t="s">
        <v>208</v>
      </c>
      <c r="I108" s="6">
        <v>13.45</v>
      </c>
      <c r="J108" s="6">
        <v>858</v>
      </c>
      <c r="K108" s="6">
        <v>66</v>
      </c>
      <c r="L108" s="9">
        <v>0.0769230769230769</v>
      </c>
      <c r="M108" s="10">
        <v>0.203787878787879</v>
      </c>
      <c r="N108" s="10">
        <v>15.6759906759907</v>
      </c>
      <c r="O108" s="6">
        <v>2</v>
      </c>
      <c r="P108" s="12">
        <v>0</v>
      </c>
      <c r="Q108" s="6">
        <v>0</v>
      </c>
      <c r="R108" s="6">
        <v>0</v>
      </c>
      <c r="S108" s="6">
        <v>0</v>
      </c>
      <c r="T108" s="6">
        <v>2</v>
      </c>
      <c r="U108" s="115">
        <v>6.725</v>
      </c>
    </row>
    <row r="109" customHeight="1" spans="1:21">
      <c r="A109" s="6"/>
      <c r="B109" s="6"/>
      <c r="C109" s="6"/>
      <c r="D109" s="8" t="s">
        <v>218</v>
      </c>
      <c r="E109" s="8" t="s">
        <v>198</v>
      </c>
      <c r="F109" s="8" t="s">
        <v>203</v>
      </c>
      <c r="G109" s="8" t="s">
        <v>219</v>
      </c>
      <c r="H109" s="8" t="s">
        <v>220</v>
      </c>
      <c r="I109" s="6">
        <v>0.4</v>
      </c>
      <c r="J109" s="6">
        <v>97</v>
      </c>
      <c r="K109" s="6">
        <v>2</v>
      </c>
      <c r="L109" s="9">
        <v>0.0206185567010309</v>
      </c>
      <c r="M109" s="10">
        <v>0.2</v>
      </c>
      <c r="N109" s="10">
        <v>4.12371134020619</v>
      </c>
      <c r="O109" s="6">
        <v>0</v>
      </c>
      <c r="P109" s="12">
        <v>0</v>
      </c>
      <c r="Q109" s="6">
        <v>0</v>
      </c>
      <c r="R109" s="6">
        <v>0</v>
      </c>
      <c r="S109" s="6">
        <v>0</v>
      </c>
      <c r="T109" s="6">
        <v>0</v>
      </c>
      <c r="U109" s="115" t="e">
        <v>#DIV/0!</v>
      </c>
    </row>
    <row r="110" customHeight="1" spans="1:21">
      <c r="A110" s="6"/>
      <c r="B110" s="6"/>
      <c r="C110" s="6"/>
      <c r="D110" s="8" t="s">
        <v>298</v>
      </c>
      <c r="E110" s="8" t="s">
        <v>198</v>
      </c>
      <c r="F110" s="8" t="s">
        <v>203</v>
      </c>
      <c r="G110" s="8" t="s">
        <v>299</v>
      </c>
      <c r="H110" s="8" t="s">
        <v>300</v>
      </c>
      <c r="I110" s="6">
        <v>0</v>
      </c>
      <c r="J110" s="6">
        <v>0</v>
      </c>
      <c r="K110" s="6">
        <v>0</v>
      </c>
      <c r="L110" s="9" t="e">
        <v>#DIV/0!</v>
      </c>
      <c r="M110" s="10" t="e">
        <v>#DIV/0!</v>
      </c>
      <c r="N110" s="10" t="e">
        <v>#DIV/0!</v>
      </c>
      <c r="O110" s="6">
        <v>0</v>
      </c>
      <c r="P110" s="12">
        <v>0</v>
      </c>
      <c r="Q110" s="6">
        <v>0</v>
      </c>
      <c r="R110" s="6">
        <v>0</v>
      </c>
      <c r="S110" s="6">
        <v>0</v>
      </c>
      <c r="T110" s="6">
        <v>0</v>
      </c>
      <c r="U110" s="115" t="e">
        <v>#DIV/0!</v>
      </c>
    </row>
    <row r="111" customHeight="1" spans="1:21">
      <c r="A111" s="6"/>
      <c r="B111" s="8" t="s">
        <v>229</v>
      </c>
      <c r="C111" s="6"/>
      <c r="D111" s="6"/>
      <c r="E111" s="6"/>
      <c r="F111" s="6"/>
      <c r="G111" s="6"/>
      <c r="H111" s="6"/>
      <c r="I111" s="6">
        <v>2035.56</v>
      </c>
      <c r="J111" s="6">
        <v>84825</v>
      </c>
      <c r="K111" s="6">
        <v>4461</v>
      </c>
      <c r="L111" s="9">
        <v>0.0525906277630416</v>
      </c>
      <c r="M111" s="10">
        <v>0.456301277740417</v>
      </c>
      <c r="N111" s="10">
        <v>23.9971706454465</v>
      </c>
      <c r="O111" s="6">
        <v>549</v>
      </c>
      <c r="P111" s="12">
        <v>2</v>
      </c>
      <c r="Q111" s="6">
        <v>421</v>
      </c>
      <c r="R111" s="6">
        <v>33</v>
      </c>
      <c r="S111" s="6">
        <v>27</v>
      </c>
      <c r="T111" s="6">
        <v>1032</v>
      </c>
      <c r="U111" s="115">
        <v>1.97244186046512</v>
      </c>
    </row>
    <row r="112" customHeight="1" spans="1:21">
      <c r="A112" s="6"/>
      <c r="B112" s="8" t="s">
        <v>230</v>
      </c>
      <c r="C112" s="8" t="s">
        <v>196</v>
      </c>
      <c r="D112" s="8" t="s">
        <v>235</v>
      </c>
      <c r="E112" s="8" t="s">
        <v>232</v>
      </c>
      <c r="F112" s="8" t="s">
        <v>236</v>
      </c>
      <c r="G112" s="8" t="s">
        <v>237</v>
      </c>
      <c r="H112" s="8" t="s">
        <v>238</v>
      </c>
      <c r="I112" s="6">
        <v>1.6</v>
      </c>
      <c r="J112" s="6">
        <v>23</v>
      </c>
      <c r="K112" s="6">
        <v>4</v>
      </c>
      <c r="L112" s="9">
        <v>0.173913043478261</v>
      </c>
      <c r="M112" s="10">
        <v>0.4</v>
      </c>
      <c r="N112" s="10">
        <v>69.5652173913044</v>
      </c>
      <c r="O112" s="6">
        <v>2</v>
      </c>
      <c r="P112" s="12">
        <v>0</v>
      </c>
      <c r="Q112" s="6">
        <v>2</v>
      </c>
      <c r="R112" s="6">
        <v>0</v>
      </c>
      <c r="S112" s="6">
        <v>0</v>
      </c>
      <c r="T112" s="6">
        <v>4</v>
      </c>
      <c r="U112" s="115">
        <v>0.4</v>
      </c>
    </row>
    <row r="113" customHeight="1" spans="1:21">
      <c r="A113" s="6"/>
      <c r="B113" s="6"/>
      <c r="C113" s="8" t="s">
        <v>209</v>
      </c>
      <c r="D113" s="8" t="s">
        <v>301</v>
      </c>
      <c r="E113" s="8" t="s">
        <v>232</v>
      </c>
      <c r="F113" s="8" t="s">
        <v>232</v>
      </c>
      <c r="G113" s="8" t="s">
        <v>302</v>
      </c>
      <c r="H113" s="8" t="s">
        <v>303</v>
      </c>
      <c r="I113" s="6">
        <v>0</v>
      </c>
      <c r="J113" s="6">
        <v>0</v>
      </c>
      <c r="K113" s="6">
        <v>0</v>
      </c>
      <c r="L113" s="9" t="e">
        <v>#DIV/0!</v>
      </c>
      <c r="M113" s="10" t="e">
        <v>#DIV/0!</v>
      </c>
      <c r="N113" s="10" t="e">
        <v>#DIV/0!</v>
      </c>
      <c r="O113" s="6">
        <v>0</v>
      </c>
      <c r="P113" s="12">
        <v>0</v>
      </c>
      <c r="Q113" s="6">
        <v>0</v>
      </c>
      <c r="R113" s="6">
        <v>0</v>
      </c>
      <c r="S113" s="6">
        <v>0</v>
      </c>
      <c r="T113" s="6">
        <v>0</v>
      </c>
      <c r="U113" s="115" t="e">
        <v>#DIV/0!</v>
      </c>
    </row>
    <row r="114" customHeight="1" spans="1:21">
      <c r="A114" s="6"/>
      <c r="B114" s="6"/>
      <c r="C114" s="6"/>
      <c r="D114" s="8" t="s">
        <v>265</v>
      </c>
      <c r="E114" s="8" t="s">
        <v>232</v>
      </c>
      <c r="F114" s="8" t="s">
        <v>232</v>
      </c>
      <c r="G114" s="8" t="s">
        <v>266</v>
      </c>
      <c r="H114" s="8" t="s">
        <v>267</v>
      </c>
      <c r="I114" s="6">
        <v>0</v>
      </c>
      <c r="J114" s="6">
        <v>0</v>
      </c>
      <c r="K114" s="6">
        <v>0</v>
      </c>
      <c r="L114" s="9" t="e">
        <v>#DIV/0!</v>
      </c>
      <c r="M114" s="10" t="e">
        <v>#DIV/0!</v>
      </c>
      <c r="N114" s="10" t="e">
        <v>#DIV/0!</v>
      </c>
      <c r="O114" s="6">
        <v>0</v>
      </c>
      <c r="P114" s="12">
        <v>0</v>
      </c>
      <c r="Q114" s="6">
        <v>0</v>
      </c>
      <c r="R114" s="6">
        <v>0</v>
      </c>
      <c r="S114" s="6">
        <v>0</v>
      </c>
      <c r="T114" s="6">
        <v>0</v>
      </c>
      <c r="U114" s="115" t="e">
        <v>#DIV/0!</v>
      </c>
    </row>
    <row r="115" customHeight="1" spans="1:21">
      <c r="A115" s="6"/>
      <c r="B115" s="8" t="s">
        <v>242</v>
      </c>
      <c r="C115" s="6"/>
      <c r="D115" s="6"/>
      <c r="E115" s="6"/>
      <c r="F115" s="6"/>
      <c r="G115" s="6"/>
      <c r="H115" s="6"/>
      <c r="I115" s="6">
        <v>1.6</v>
      </c>
      <c r="J115" s="6">
        <v>23</v>
      </c>
      <c r="K115" s="6">
        <v>4</v>
      </c>
      <c r="L115" s="9">
        <v>0.173913043478261</v>
      </c>
      <c r="M115" s="10">
        <v>0.4</v>
      </c>
      <c r="N115" s="10">
        <v>69.5652173913044</v>
      </c>
      <c r="O115" s="6">
        <v>2</v>
      </c>
      <c r="P115" s="12">
        <v>0</v>
      </c>
      <c r="Q115" s="6">
        <v>2</v>
      </c>
      <c r="R115" s="6">
        <v>0</v>
      </c>
      <c r="S115" s="6">
        <v>0</v>
      </c>
      <c r="T115" s="6">
        <v>4</v>
      </c>
      <c r="U115" s="115">
        <v>0.4</v>
      </c>
    </row>
    <row r="116" customHeight="1" spans="1:21">
      <c r="A116" s="8" t="s">
        <v>304</v>
      </c>
      <c r="B116" s="6"/>
      <c r="C116" s="6"/>
      <c r="D116" s="6"/>
      <c r="E116" s="6"/>
      <c r="F116" s="6"/>
      <c r="G116" s="6"/>
      <c r="H116" s="6"/>
      <c r="I116" s="6">
        <v>2037.16</v>
      </c>
      <c r="J116" s="6">
        <v>84848</v>
      </c>
      <c r="K116" s="6">
        <v>4465</v>
      </c>
      <c r="L116" s="9">
        <v>0.0526235149915142</v>
      </c>
      <c r="M116" s="10">
        <v>0.456250839865622</v>
      </c>
      <c r="N116" s="10">
        <v>24.0095229115595</v>
      </c>
      <c r="O116" s="6">
        <v>551</v>
      </c>
      <c r="P116" s="12">
        <v>2</v>
      </c>
      <c r="Q116" s="6">
        <v>423</v>
      </c>
      <c r="R116" s="6">
        <v>33</v>
      </c>
      <c r="S116" s="6">
        <v>27</v>
      </c>
      <c r="T116" s="6">
        <v>1036</v>
      </c>
      <c r="U116" s="115">
        <v>1.96637065637066</v>
      </c>
    </row>
    <row r="117" customHeight="1" spans="1:21">
      <c r="A117" s="8" t="s">
        <v>163</v>
      </c>
      <c r="B117" s="8" t="s">
        <v>195</v>
      </c>
      <c r="C117" s="8" t="s">
        <v>196</v>
      </c>
      <c r="D117" s="8" t="s">
        <v>197</v>
      </c>
      <c r="E117" s="8" t="s">
        <v>198</v>
      </c>
      <c r="F117" s="8" t="s">
        <v>199</v>
      </c>
      <c r="G117" s="8" t="s">
        <v>200</v>
      </c>
      <c r="H117" s="8" t="s">
        <v>201</v>
      </c>
      <c r="I117" s="6">
        <v>202.22</v>
      </c>
      <c r="J117" s="6">
        <v>6643</v>
      </c>
      <c r="K117" s="6">
        <v>495</v>
      </c>
      <c r="L117" s="9">
        <v>0.0745145265693211</v>
      </c>
      <c r="M117" s="10">
        <v>0.408525252525253</v>
      </c>
      <c r="N117" s="10">
        <v>30.4410657835315</v>
      </c>
      <c r="O117" s="6">
        <v>4</v>
      </c>
      <c r="P117" s="12">
        <v>1</v>
      </c>
      <c r="Q117" s="6">
        <v>2</v>
      </c>
      <c r="R117" s="6">
        <v>0</v>
      </c>
      <c r="S117" s="6">
        <v>2</v>
      </c>
      <c r="T117" s="6">
        <v>9</v>
      </c>
      <c r="U117" s="115">
        <v>22.4688888888889</v>
      </c>
    </row>
    <row r="118" customHeight="1" spans="1:21">
      <c r="A118" s="6"/>
      <c r="B118" s="6"/>
      <c r="C118" s="6"/>
      <c r="D118" s="8" t="s">
        <v>294</v>
      </c>
      <c r="E118" s="8" t="s">
        <v>198</v>
      </c>
      <c r="F118" s="8" t="s">
        <v>203</v>
      </c>
      <c r="G118" s="8" t="s">
        <v>295</v>
      </c>
      <c r="H118" s="8" t="s">
        <v>296</v>
      </c>
      <c r="I118" s="6">
        <v>395.47</v>
      </c>
      <c r="J118" s="6">
        <v>19077</v>
      </c>
      <c r="K118" s="6">
        <v>979</v>
      </c>
      <c r="L118" s="9">
        <v>0.0513183414583006</v>
      </c>
      <c r="M118" s="10">
        <v>0.403953013278856</v>
      </c>
      <c r="N118" s="10">
        <v>20.7301986685538</v>
      </c>
      <c r="O118" s="6">
        <v>20</v>
      </c>
      <c r="P118" s="12">
        <v>1</v>
      </c>
      <c r="Q118" s="6">
        <v>9</v>
      </c>
      <c r="R118" s="6">
        <v>0</v>
      </c>
      <c r="S118" s="6">
        <v>2</v>
      </c>
      <c r="T118" s="6">
        <v>32</v>
      </c>
      <c r="U118" s="115">
        <v>12.3584375</v>
      </c>
    </row>
    <row r="119" customHeight="1" spans="1:21">
      <c r="A119" s="6"/>
      <c r="B119" s="6"/>
      <c r="C119" s="8" t="s">
        <v>209</v>
      </c>
      <c r="D119" s="8" t="s">
        <v>269</v>
      </c>
      <c r="E119" s="8" t="s">
        <v>198</v>
      </c>
      <c r="F119" s="8" t="s">
        <v>203</v>
      </c>
      <c r="G119" s="8" t="s">
        <v>270</v>
      </c>
      <c r="H119" s="8" t="s">
        <v>271</v>
      </c>
      <c r="I119" s="6">
        <v>479.93</v>
      </c>
      <c r="J119" s="6">
        <v>29076</v>
      </c>
      <c r="K119" s="6">
        <v>1813</v>
      </c>
      <c r="L119" s="9">
        <v>0.062353831338561</v>
      </c>
      <c r="M119" s="10">
        <v>0.264715940430226</v>
      </c>
      <c r="N119" s="10">
        <v>16.5060531022149</v>
      </c>
      <c r="O119" s="6">
        <v>135</v>
      </c>
      <c r="P119" s="12">
        <v>3</v>
      </c>
      <c r="Q119" s="6">
        <v>163</v>
      </c>
      <c r="R119" s="6">
        <v>13</v>
      </c>
      <c r="S119" s="6">
        <v>7</v>
      </c>
      <c r="T119" s="6">
        <v>321</v>
      </c>
      <c r="U119" s="115">
        <v>1.49510903426791</v>
      </c>
    </row>
    <row r="120" customHeight="1" spans="1:21">
      <c r="A120" s="6"/>
      <c r="B120" s="6"/>
      <c r="C120" s="6"/>
      <c r="D120" s="8" t="s">
        <v>272</v>
      </c>
      <c r="E120" s="8" t="s">
        <v>198</v>
      </c>
      <c r="F120" s="8" t="s">
        <v>203</v>
      </c>
      <c r="G120" s="8" t="s">
        <v>273</v>
      </c>
      <c r="H120" s="8" t="s">
        <v>274</v>
      </c>
      <c r="I120" s="6">
        <v>1009.12</v>
      </c>
      <c r="J120" s="6">
        <v>74474</v>
      </c>
      <c r="K120" s="6">
        <v>4486</v>
      </c>
      <c r="L120" s="9">
        <v>0.0602357869860623</v>
      </c>
      <c r="M120" s="10">
        <v>0.224948729380294</v>
      </c>
      <c r="N120" s="10">
        <v>13.5499637457368</v>
      </c>
      <c r="O120" s="6">
        <v>100</v>
      </c>
      <c r="P120" s="12">
        <v>7</v>
      </c>
      <c r="Q120" s="6">
        <v>28</v>
      </c>
      <c r="R120" s="6">
        <v>0</v>
      </c>
      <c r="S120" s="6">
        <v>14</v>
      </c>
      <c r="T120" s="6">
        <v>149</v>
      </c>
      <c r="U120" s="115">
        <v>6.77261744966443</v>
      </c>
    </row>
    <row r="121" customHeight="1" spans="1:21">
      <c r="A121" s="6"/>
      <c r="B121" s="6"/>
      <c r="C121" s="6"/>
      <c r="D121" s="8" t="s">
        <v>206</v>
      </c>
      <c r="E121" s="8" t="s">
        <v>198</v>
      </c>
      <c r="F121" s="8" t="s">
        <v>203</v>
      </c>
      <c r="G121" s="8" t="s">
        <v>207</v>
      </c>
      <c r="H121" s="8" t="s">
        <v>208</v>
      </c>
      <c r="I121" s="6">
        <v>1466.85</v>
      </c>
      <c r="J121" s="6">
        <v>87805</v>
      </c>
      <c r="K121" s="6">
        <v>4923</v>
      </c>
      <c r="L121" s="9">
        <v>0.0560674221285804</v>
      </c>
      <c r="M121" s="10">
        <v>0.297958561852529</v>
      </c>
      <c r="N121" s="10">
        <v>16.7057684642105</v>
      </c>
      <c r="O121" s="6">
        <v>137</v>
      </c>
      <c r="P121" s="12">
        <v>8</v>
      </c>
      <c r="Q121" s="6">
        <v>61</v>
      </c>
      <c r="R121" s="6">
        <v>1</v>
      </c>
      <c r="S121" s="6">
        <v>4</v>
      </c>
      <c r="T121" s="6">
        <v>211</v>
      </c>
      <c r="U121" s="115">
        <v>6.95189573459716</v>
      </c>
    </row>
    <row r="122" customHeight="1" spans="1:21">
      <c r="A122" s="6"/>
      <c r="B122" s="6"/>
      <c r="C122" s="6"/>
      <c r="D122" s="8" t="s">
        <v>290</v>
      </c>
      <c r="E122" s="8" t="s">
        <v>198</v>
      </c>
      <c r="F122" s="8" t="s">
        <v>203</v>
      </c>
      <c r="G122" s="8" t="s">
        <v>291</v>
      </c>
      <c r="H122" s="8" t="s">
        <v>292</v>
      </c>
      <c r="I122" s="6">
        <v>0</v>
      </c>
      <c r="J122" s="6">
        <v>0</v>
      </c>
      <c r="K122" s="6">
        <v>0</v>
      </c>
      <c r="L122" s="9" t="e">
        <v>#DIV/0!</v>
      </c>
      <c r="M122" s="10" t="e">
        <v>#DIV/0!</v>
      </c>
      <c r="N122" s="10" t="e">
        <v>#DIV/0!</v>
      </c>
      <c r="O122" s="6">
        <v>0</v>
      </c>
      <c r="P122" s="12">
        <v>0</v>
      </c>
      <c r="Q122" s="6">
        <v>0</v>
      </c>
      <c r="R122" s="6">
        <v>0</v>
      </c>
      <c r="S122" s="6">
        <v>0</v>
      </c>
      <c r="T122" s="6">
        <v>0</v>
      </c>
      <c r="U122" s="115" t="e">
        <v>#DIV/0!</v>
      </c>
    </row>
    <row r="123" customHeight="1" spans="1:21">
      <c r="A123" s="6"/>
      <c r="B123" s="6"/>
      <c r="C123" s="6"/>
      <c r="D123" s="8" t="s">
        <v>218</v>
      </c>
      <c r="E123" s="8" t="s">
        <v>198</v>
      </c>
      <c r="F123" s="8" t="s">
        <v>203</v>
      </c>
      <c r="G123" s="8" t="s">
        <v>219</v>
      </c>
      <c r="H123" s="8" t="s">
        <v>220</v>
      </c>
      <c r="I123" s="6">
        <v>1017.25</v>
      </c>
      <c r="J123" s="6">
        <v>77263</v>
      </c>
      <c r="K123" s="6">
        <v>3122</v>
      </c>
      <c r="L123" s="9">
        <v>0.0404074395247402</v>
      </c>
      <c r="M123" s="10">
        <v>0.325832799487508</v>
      </c>
      <c r="N123" s="10">
        <v>13.1660691404683</v>
      </c>
      <c r="O123" s="6">
        <v>136</v>
      </c>
      <c r="P123" s="12">
        <v>0</v>
      </c>
      <c r="Q123" s="6">
        <v>55</v>
      </c>
      <c r="R123" s="6">
        <v>0</v>
      </c>
      <c r="S123" s="6">
        <v>1</v>
      </c>
      <c r="T123" s="6">
        <v>192</v>
      </c>
      <c r="U123" s="115">
        <v>5.29817708333333</v>
      </c>
    </row>
    <row r="124" customHeight="1" spans="1:21">
      <c r="A124" s="6"/>
      <c r="B124" s="6"/>
      <c r="C124" s="6"/>
      <c r="D124" s="8" t="s">
        <v>282</v>
      </c>
      <c r="E124" s="8" t="s">
        <v>211</v>
      </c>
      <c r="F124" s="8" t="s">
        <v>212</v>
      </c>
      <c r="G124" s="8" t="s">
        <v>283</v>
      </c>
      <c r="H124" s="8" t="s">
        <v>284</v>
      </c>
      <c r="I124" s="6">
        <v>0</v>
      </c>
      <c r="J124" s="6">
        <v>0</v>
      </c>
      <c r="K124" s="6">
        <v>0</v>
      </c>
      <c r="L124" s="9" t="e">
        <v>#DIV/0!</v>
      </c>
      <c r="M124" s="10" t="e">
        <v>#DIV/0!</v>
      </c>
      <c r="N124" s="10" t="e">
        <v>#DIV/0!</v>
      </c>
      <c r="O124" s="6">
        <v>0</v>
      </c>
      <c r="P124" s="12">
        <v>0</v>
      </c>
      <c r="Q124" s="6">
        <v>0</v>
      </c>
      <c r="R124" s="6">
        <v>0</v>
      </c>
      <c r="S124" s="6">
        <v>0</v>
      </c>
      <c r="T124" s="6">
        <v>0</v>
      </c>
      <c r="U124" s="115" t="e">
        <v>#DIV/0!</v>
      </c>
    </row>
    <row r="125" customHeight="1" spans="1:21">
      <c r="A125" s="6"/>
      <c r="B125" s="8" t="s">
        <v>229</v>
      </c>
      <c r="C125" s="6"/>
      <c r="D125" s="6"/>
      <c r="E125" s="6"/>
      <c r="F125" s="6"/>
      <c r="G125" s="6"/>
      <c r="H125" s="6"/>
      <c r="I125" s="6">
        <v>4570.84</v>
      </c>
      <c r="J125" s="6">
        <v>294338</v>
      </c>
      <c r="K125" s="6">
        <v>15818</v>
      </c>
      <c r="L125" s="9">
        <v>0.0537409372897825</v>
      </c>
      <c r="M125" s="10">
        <v>0.288964470855987</v>
      </c>
      <c r="N125" s="10">
        <v>15.5292215072468</v>
      </c>
      <c r="O125" s="6">
        <v>532</v>
      </c>
      <c r="P125" s="12">
        <v>20</v>
      </c>
      <c r="Q125" s="6">
        <v>318</v>
      </c>
      <c r="R125" s="6">
        <v>14</v>
      </c>
      <c r="S125" s="6">
        <v>30</v>
      </c>
      <c r="T125" s="6">
        <v>914</v>
      </c>
      <c r="U125" s="115">
        <v>5.00091903719913</v>
      </c>
    </row>
    <row r="126" customHeight="1" spans="1:21">
      <c r="A126" s="6"/>
      <c r="B126" s="8" t="s">
        <v>230</v>
      </c>
      <c r="C126" s="8" t="s">
        <v>196</v>
      </c>
      <c r="D126" s="8" t="s">
        <v>231</v>
      </c>
      <c r="E126" s="8" t="s">
        <v>232</v>
      </c>
      <c r="F126" s="8" t="s">
        <v>232</v>
      </c>
      <c r="G126" s="8" t="s">
        <v>233</v>
      </c>
      <c r="H126" s="8" t="s">
        <v>234</v>
      </c>
      <c r="I126" s="6">
        <v>2.26</v>
      </c>
      <c r="J126" s="6">
        <v>52</v>
      </c>
      <c r="K126" s="6">
        <v>4</v>
      </c>
      <c r="L126" s="9">
        <v>0.0769230769230769</v>
      </c>
      <c r="M126" s="10">
        <v>0.565</v>
      </c>
      <c r="N126" s="10">
        <v>43.4615384615385</v>
      </c>
      <c r="O126" s="6">
        <v>0</v>
      </c>
      <c r="P126" s="12">
        <v>0</v>
      </c>
      <c r="Q126" s="6">
        <v>0</v>
      </c>
      <c r="R126" s="6">
        <v>0</v>
      </c>
      <c r="S126" s="6">
        <v>0</v>
      </c>
      <c r="T126" s="6">
        <v>0</v>
      </c>
      <c r="U126" s="115" t="e">
        <v>#DIV/0!</v>
      </c>
    </row>
    <row r="127" customHeight="1" spans="1:21">
      <c r="A127" s="6"/>
      <c r="B127" s="6"/>
      <c r="C127" s="6"/>
      <c r="D127" s="8" t="s">
        <v>235</v>
      </c>
      <c r="E127" s="8" t="s">
        <v>232</v>
      </c>
      <c r="F127" s="8" t="s">
        <v>236</v>
      </c>
      <c r="G127" s="8" t="s">
        <v>237</v>
      </c>
      <c r="H127" s="8" t="s">
        <v>238</v>
      </c>
      <c r="I127" s="6">
        <v>235.79</v>
      </c>
      <c r="J127" s="6">
        <v>5868</v>
      </c>
      <c r="K127" s="6">
        <v>505</v>
      </c>
      <c r="L127" s="9">
        <v>0.0860599863667348</v>
      </c>
      <c r="M127" s="10">
        <v>0.466910891089109</v>
      </c>
      <c r="N127" s="10">
        <v>40.1823449216087</v>
      </c>
      <c r="O127" s="6">
        <v>47</v>
      </c>
      <c r="P127" s="12">
        <v>0</v>
      </c>
      <c r="Q127" s="6">
        <v>34</v>
      </c>
      <c r="R127" s="6">
        <v>14</v>
      </c>
      <c r="S127" s="6">
        <v>2</v>
      </c>
      <c r="T127" s="6">
        <v>97</v>
      </c>
      <c r="U127" s="115">
        <v>2.43082474226804</v>
      </c>
    </row>
    <row r="128" customHeight="1" spans="1:21">
      <c r="A128" s="6"/>
      <c r="B128" s="6"/>
      <c r="C128" s="8" t="s">
        <v>209</v>
      </c>
      <c r="D128" s="8" t="s">
        <v>301</v>
      </c>
      <c r="E128" s="8" t="s">
        <v>232</v>
      </c>
      <c r="F128" s="8" t="s">
        <v>232</v>
      </c>
      <c r="G128" s="8" t="s">
        <v>302</v>
      </c>
      <c r="H128" s="8" t="s">
        <v>303</v>
      </c>
      <c r="I128" s="6">
        <v>0.86</v>
      </c>
      <c r="J128" s="6">
        <v>63</v>
      </c>
      <c r="K128" s="6">
        <v>9</v>
      </c>
      <c r="L128" s="9">
        <v>0.142857142857143</v>
      </c>
      <c r="M128" s="10">
        <v>0.0955555555555556</v>
      </c>
      <c r="N128" s="10">
        <v>13.6507936507937</v>
      </c>
      <c r="O128" s="6">
        <v>0</v>
      </c>
      <c r="P128" s="12">
        <v>0</v>
      </c>
      <c r="Q128" s="6">
        <v>0</v>
      </c>
      <c r="R128" s="6">
        <v>0</v>
      </c>
      <c r="S128" s="6">
        <v>1</v>
      </c>
      <c r="T128" s="6">
        <v>1</v>
      </c>
      <c r="U128" s="115">
        <v>0.86</v>
      </c>
    </row>
    <row r="129" customHeight="1" spans="1:21">
      <c r="A129" s="6"/>
      <c r="B129" s="6"/>
      <c r="C129" s="6"/>
      <c r="D129" s="8" t="s">
        <v>265</v>
      </c>
      <c r="E129" s="8" t="s">
        <v>232</v>
      </c>
      <c r="F129" s="8" t="s">
        <v>232</v>
      </c>
      <c r="G129" s="8" t="s">
        <v>266</v>
      </c>
      <c r="H129" s="8" t="s">
        <v>267</v>
      </c>
      <c r="I129" s="6">
        <v>311.46</v>
      </c>
      <c r="J129" s="6">
        <v>26786</v>
      </c>
      <c r="K129" s="6">
        <v>3089</v>
      </c>
      <c r="L129" s="9">
        <v>0.115321436571343</v>
      </c>
      <c r="M129" s="10">
        <v>0.100828747167368</v>
      </c>
      <c r="N129" s="10">
        <v>11.6277159710296</v>
      </c>
      <c r="O129" s="6">
        <v>14</v>
      </c>
      <c r="P129" s="12">
        <v>0</v>
      </c>
      <c r="Q129" s="6">
        <v>4</v>
      </c>
      <c r="R129" s="6">
        <v>4</v>
      </c>
      <c r="S129" s="6">
        <v>1</v>
      </c>
      <c r="T129" s="6">
        <v>23</v>
      </c>
      <c r="U129" s="115">
        <v>13.5417391304348</v>
      </c>
    </row>
    <row r="130" customHeight="1" spans="1:21">
      <c r="A130" s="6"/>
      <c r="B130" s="6"/>
      <c r="C130" s="6"/>
      <c r="D130" s="8" t="s">
        <v>305</v>
      </c>
      <c r="E130" s="8" t="s">
        <v>232</v>
      </c>
      <c r="F130" s="8" t="s">
        <v>232</v>
      </c>
      <c r="G130" s="8" t="s">
        <v>306</v>
      </c>
      <c r="H130" s="8" t="s">
        <v>307</v>
      </c>
      <c r="I130" s="6">
        <v>0</v>
      </c>
      <c r="J130" s="6">
        <v>0</v>
      </c>
      <c r="K130" s="6">
        <v>0</v>
      </c>
      <c r="L130" s="9" t="e">
        <v>#DIV/0!</v>
      </c>
      <c r="M130" s="10" t="e">
        <v>#DIV/0!</v>
      </c>
      <c r="N130" s="10" t="e">
        <v>#DIV/0!</v>
      </c>
      <c r="O130" s="6">
        <v>0</v>
      </c>
      <c r="P130" s="12">
        <v>0</v>
      </c>
      <c r="Q130" s="6">
        <v>0</v>
      </c>
      <c r="R130" s="6">
        <v>0</v>
      </c>
      <c r="S130" s="6">
        <v>0</v>
      </c>
      <c r="T130" s="6">
        <v>0</v>
      </c>
      <c r="U130" s="115" t="e">
        <v>#DIV/0!</v>
      </c>
    </row>
    <row r="131" customHeight="1" spans="1:21">
      <c r="A131" s="6"/>
      <c r="B131" s="8" t="s">
        <v>242</v>
      </c>
      <c r="C131" s="6"/>
      <c r="D131" s="6"/>
      <c r="E131" s="6"/>
      <c r="F131" s="6"/>
      <c r="G131" s="6"/>
      <c r="H131" s="6"/>
      <c r="I131" s="6">
        <v>550.37</v>
      </c>
      <c r="J131" s="6">
        <v>32769</v>
      </c>
      <c r="K131" s="6">
        <v>3607</v>
      </c>
      <c r="L131" s="9">
        <v>0.110073545118862</v>
      </c>
      <c r="M131" s="10">
        <v>0.152583864707513</v>
      </c>
      <c r="N131" s="10">
        <v>16.7954469162928</v>
      </c>
      <c r="O131" s="6">
        <v>61</v>
      </c>
      <c r="P131" s="12">
        <v>0</v>
      </c>
      <c r="Q131" s="6">
        <v>38</v>
      </c>
      <c r="R131" s="6">
        <v>18</v>
      </c>
      <c r="S131" s="6">
        <v>4</v>
      </c>
      <c r="T131" s="6">
        <v>121</v>
      </c>
      <c r="U131" s="115">
        <v>4.54851239669422</v>
      </c>
    </row>
    <row r="132" customHeight="1" spans="1:21">
      <c r="A132" s="8" t="s">
        <v>308</v>
      </c>
      <c r="B132" s="6"/>
      <c r="C132" s="6"/>
      <c r="D132" s="6"/>
      <c r="E132" s="6"/>
      <c r="F132" s="6"/>
      <c r="G132" s="6"/>
      <c r="H132" s="6"/>
      <c r="I132" s="6">
        <v>5121.21</v>
      </c>
      <c r="J132" s="6">
        <v>327107</v>
      </c>
      <c r="K132" s="6">
        <v>19425</v>
      </c>
      <c r="L132" s="9">
        <v>0.0593842381850587</v>
      </c>
      <c r="M132" s="10">
        <v>0.263640154440154</v>
      </c>
      <c r="N132" s="10">
        <v>15.6560697264198</v>
      </c>
      <c r="O132" s="6">
        <v>593</v>
      </c>
      <c r="P132" s="12">
        <v>20</v>
      </c>
      <c r="Q132" s="6">
        <v>356</v>
      </c>
      <c r="R132" s="6">
        <v>32</v>
      </c>
      <c r="S132" s="6">
        <v>34</v>
      </c>
      <c r="T132" s="6">
        <v>1035</v>
      </c>
      <c r="U132" s="115">
        <v>4.94802898550725</v>
      </c>
    </row>
    <row r="133" customHeight="1" spans="1:21">
      <c r="A133" s="8" t="s">
        <v>162</v>
      </c>
      <c r="B133" s="8" t="s">
        <v>195</v>
      </c>
      <c r="C133" s="8" t="s">
        <v>196</v>
      </c>
      <c r="D133" s="8" t="s">
        <v>197</v>
      </c>
      <c r="E133" s="8" t="s">
        <v>198</v>
      </c>
      <c r="F133" s="8" t="s">
        <v>199</v>
      </c>
      <c r="G133" s="8" t="s">
        <v>200</v>
      </c>
      <c r="H133" s="8" t="s">
        <v>201</v>
      </c>
      <c r="I133" s="6">
        <v>334.45</v>
      </c>
      <c r="J133" s="6">
        <v>7337</v>
      </c>
      <c r="K133" s="6">
        <v>743</v>
      </c>
      <c r="L133" s="9">
        <v>0.10126754804416</v>
      </c>
      <c r="M133" s="10">
        <v>0.450134589502019</v>
      </c>
      <c r="N133" s="10">
        <v>45.5840261687338</v>
      </c>
      <c r="O133" s="6">
        <v>1</v>
      </c>
      <c r="P133" s="12">
        <v>1</v>
      </c>
      <c r="Q133" s="6">
        <v>1</v>
      </c>
      <c r="R133" s="6">
        <v>0</v>
      </c>
      <c r="S133" s="6">
        <v>2</v>
      </c>
      <c r="T133" s="6">
        <v>5</v>
      </c>
      <c r="U133" s="115">
        <v>66.89</v>
      </c>
    </row>
    <row r="134" customHeight="1" spans="1:21">
      <c r="A134" s="6"/>
      <c r="B134" s="6"/>
      <c r="C134" s="6"/>
      <c r="D134" s="8" t="s">
        <v>309</v>
      </c>
      <c r="E134" s="8" t="s">
        <v>225</v>
      </c>
      <c r="F134" s="8" t="s">
        <v>310</v>
      </c>
      <c r="G134" s="8" t="s">
        <v>311</v>
      </c>
      <c r="H134" s="8" t="s">
        <v>312</v>
      </c>
      <c r="I134" s="6">
        <v>0.57</v>
      </c>
      <c r="J134" s="6">
        <v>42</v>
      </c>
      <c r="K134" s="6">
        <v>2</v>
      </c>
      <c r="L134" s="9">
        <v>0.0476190476190476</v>
      </c>
      <c r="M134" s="10">
        <v>0.285</v>
      </c>
      <c r="N134" s="10">
        <v>13.5714285714286</v>
      </c>
      <c r="O134" s="6">
        <v>1</v>
      </c>
      <c r="P134" s="12">
        <v>0</v>
      </c>
      <c r="Q134" s="6">
        <v>0</v>
      </c>
      <c r="R134" s="6">
        <v>0</v>
      </c>
      <c r="S134" s="6">
        <v>0</v>
      </c>
      <c r="T134" s="6">
        <v>1</v>
      </c>
      <c r="U134" s="115">
        <v>0.57</v>
      </c>
    </row>
    <row r="135" customHeight="1" spans="1:21">
      <c r="A135" s="6"/>
      <c r="B135" s="6"/>
      <c r="C135" s="6"/>
      <c r="D135" s="8" t="s">
        <v>294</v>
      </c>
      <c r="E135" s="8" t="s">
        <v>198</v>
      </c>
      <c r="F135" s="8" t="s">
        <v>203</v>
      </c>
      <c r="G135" s="8" t="s">
        <v>295</v>
      </c>
      <c r="H135" s="8" t="s">
        <v>296</v>
      </c>
      <c r="I135" s="6">
        <v>406.83</v>
      </c>
      <c r="J135" s="6">
        <v>18120</v>
      </c>
      <c r="K135" s="6">
        <v>1009</v>
      </c>
      <c r="L135" s="9">
        <v>0.0556843267108168</v>
      </c>
      <c r="M135" s="10">
        <v>0.403201189296333</v>
      </c>
      <c r="N135" s="10">
        <v>22.4519867549669</v>
      </c>
      <c r="O135" s="6">
        <v>17</v>
      </c>
      <c r="P135" s="12">
        <v>1</v>
      </c>
      <c r="Q135" s="6">
        <v>5</v>
      </c>
      <c r="R135" s="6">
        <v>2</v>
      </c>
      <c r="S135" s="6">
        <v>0</v>
      </c>
      <c r="T135" s="6">
        <v>25</v>
      </c>
      <c r="U135" s="115">
        <v>16.2732</v>
      </c>
    </row>
    <row r="136" customHeight="1" spans="1:21">
      <c r="A136" s="6"/>
      <c r="B136" s="6"/>
      <c r="C136" s="8" t="s">
        <v>209</v>
      </c>
      <c r="D136" s="8" t="s">
        <v>210</v>
      </c>
      <c r="E136" s="8" t="s">
        <v>211</v>
      </c>
      <c r="F136" s="8" t="s">
        <v>212</v>
      </c>
      <c r="G136" s="8" t="s">
        <v>213</v>
      </c>
      <c r="H136" s="8" t="s">
        <v>214</v>
      </c>
      <c r="I136" s="6">
        <v>0.88</v>
      </c>
      <c r="J136" s="6">
        <v>60</v>
      </c>
      <c r="K136" s="6">
        <v>5</v>
      </c>
      <c r="L136" s="9">
        <v>0.0833333333333333</v>
      </c>
      <c r="M136" s="10">
        <v>0.176</v>
      </c>
      <c r="N136" s="10">
        <v>14.6666666666667</v>
      </c>
      <c r="O136" s="6">
        <v>0</v>
      </c>
      <c r="P136" s="12">
        <v>0</v>
      </c>
      <c r="Q136" s="6">
        <v>0</v>
      </c>
      <c r="R136" s="6">
        <v>0</v>
      </c>
      <c r="S136" s="6">
        <v>0</v>
      </c>
      <c r="T136" s="6">
        <v>0</v>
      </c>
      <c r="U136" s="115" t="e">
        <v>#DIV/0!</v>
      </c>
    </row>
    <row r="137" customHeight="1" spans="1:21">
      <c r="A137" s="6"/>
      <c r="B137" s="6"/>
      <c r="C137" s="6"/>
      <c r="D137" s="8" t="s">
        <v>269</v>
      </c>
      <c r="E137" s="8" t="s">
        <v>198</v>
      </c>
      <c r="F137" s="8" t="s">
        <v>203</v>
      </c>
      <c r="G137" s="8" t="s">
        <v>270</v>
      </c>
      <c r="H137" s="8" t="s">
        <v>271</v>
      </c>
      <c r="I137" s="6">
        <v>508.49</v>
      </c>
      <c r="J137" s="6">
        <v>19338</v>
      </c>
      <c r="K137" s="6">
        <v>1133</v>
      </c>
      <c r="L137" s="9">
        <v>0.0585893060295791</v>
      </c>
      <c r="M137" s="10">
        <v>0.448799646954987</v>
      </c>
      <c r="N137" s="10">
        <v>26.2948598614128</v>
      </c>
      <c r="O137" s="6">
        <v>176</v>
      </c>
      <c r="P137" s="12">
        <v>0</v>
      </c>
      <c r="Q137" s="6">
        <v>164</v>
      </c>
      <c r="R137" s="6">
        <v>10</v>
      </c>
      <c r="S137" s="6">
        <v>3</v>
      </c>
      <c r="T137" s="6">
        <v>353</v>
      </c>
      <c r="U137" s="115">
        <v>1.44048158640227</v>
      </c>
    </row>
    <row r="138" customHeight="1" spans="1:21">
      <c r="A138" s="6"/>
      <c r="B138" s="6"/>
      <c r="C138" s="6"/>
      <c r="D138" s="8" t="s">
        <v>272</v>
      </c>
      <c r="E138" s="8" t="s">
        <v>198</v>
      </c>
      <c r="F138" s="8" t="s">
        <v>203</v>
      </c>
      <c r="G138" s="8" t="s">
        <v>273</v>
      </c>
      <c r="H138" s="8" t="s">
        <v>274</v>
      </c>
      <c r="I138" s="6">
        <v>1008.97</v>
      </c>
      <c r="J138" s="6">
        <v>90767</v>
      </c>
      <c r="K138" s="6">
        <v>5036</v>
      </c>
      <c r="L138" s="9">
        <v>0.0554827194905638</v>
      </c>
      <c r="M138" s="10">
        <v>0.200351469420175</v>
      </c>
      <c r="N138" s="10">
        <v>11.1160443773618</v>
      </c>
      <c r="O138" s="6">
        <v>72</v>
      </c>
      <c r="P138" s="12">
        <v>9</v>
      </c>
      <c r="Q138" s="6">
        <v>18</v>
      </c>
      <c r="R138" s="6">
        <v>1</v>
      </c>
      <c r="S138" s="6">
        <v>11</v>
      </c>
      <c r="T138" s="6">
        <v>111</v>
      </c>
      <c r="U138" s="115">
        <v>9.08981981981982</v>
      </c>
    </row>
    <row r="139" customHeight="1" spans="1:21">
      <c r="A139" s="6"/>
      <c r="B139" s="6"/>
      <c r="C139" s="6"/>
      <c r="D139" s="8" t="s">
        <v>206</v>
      </c>
      <c r="E139" s="8" t="s">
        <v>198</v>
      </c>
      <c r="F139" s="8" t="s">
        <v>203</v>
      </c>
      <c r="G139" s="8" t="s">
        <v>207</v>
      </c>
      <c r="H139" s="8" t="s">
        <v>208</v>
      </c>
      <c r="I139" s="6">
        <v>1510.86</v>
      </c>
      <c r="J139" s="6">
        <v>101058</v>
      </c>
      <c r="K139" s="6">
        <v>5796</v>
      </c>
      <c r="L139" s="9">
        <v>0.0573532031110847</v>
      </c>
      <c r="M139" s="10">
        <v>0.260672877846791</v>
      </c>
      <c r="N139" s="10">
        <v>14.950424508698</v>
      </c>
      <c r="O139" s="6">
        <v>139</v>
      </c>
      <c r="P139" s="12">
        <v>4</v>
      </c>
      <c r="Q139" s="6">
        <v>65</v>
      </c>
      <c r="R139" s="6">
        <v>0</v>
      </c>
      <c r="S139" s="6">
        <v>1</v>
      </c>
      <c r="T139" s="6">
        <v>209</v>
      </c>
      <c r="U139" s="115">
        <v>7.228995215311</v>
      </c>
    </row>
    <row r="140" customHeight="1" spans="1:21">
      <c r="A140" s="6"/>
      <c r="B140" s="6"/>
      <c r="C140" s="6"/>
      <c r="D140" s="8" t="s">
        <v>290</v>
      </c>
      <c r="E140" s="8" t="s">
        <v>198</v>
      </c>
      <c r="F140" s="8" t="s">
        <v>203</v>
      </c>
      <c r="G140" s="8" t="s">
        <v>291</v>
      </c>
      <c r="H140" s="8" t="s">
        <v>292</v>
      </c>
      <c r="I140" s="6">
        <v>0</v>
      </c>
      <c r="J140" s="6">
        <v>0</v>
      </c>
      <c r="K140" s="6">
        <v>0</v>
      </c>
      <c r="L140" s="9" t="e">
        <v>#DIV/0!</v>
      </c>
      <c r="M140" s="10" t="e">
        <v>#DIV/0!</v>
      </c>
      <c r="N140" s="10" t="e">
        <v>#DIV/0!</v>
      </c>
      <c r="O140" s="6">
        <v>0</v>
      </c>
      <c r="P140" s="12">
        <v>0</v>
      </c>
      <c r="Q140" s="6">
        <v>0</v>
      </c>
      <c r="R140" s="6">
        <v>0</v>
      </c>
      <c r="S140" s="6">
        <v>0</v>
      </c>
      <c r="T140" s="6">
        <v>0</v>
      </c>
      <c r="U140" s="115" t="e">
        <v>#DIV/0!</v>
      </c>
    </row>
    <row r="141" customHeight="1" spans="1:21">
      <c r="A141" s="6"/>
      <c r="B141" s="6"/>
      <c r="C141" s="6"/>
      <c r="D141" s="8" t="s">
        <v>218</v>
      </c>
      <c r="E141" s="8" t="s">
        <v>198</v>
      </c>
      <c r="F141" s="8" t="s">
        <v>203</v>
      </c>
      <c r="G141" s="8" t="s">
        <v>219</v>
      </c>
      <c r="H141" s="8" t="s">
        <v>220</v>
      </c>
      <c r="I141" s="6">
        <v>1008.02</v>
      </c>
      <c r="J141" s="6">
        <v>64845</v>
      </c>
      <c r="K141" s="6">
        <v>2952</v>
      </c>
      <c r="L141" s="9">
        <v>0.0455239417071478</v>
      </c>
      <c r="M141" s="10">
        <v>0.341470189701897</v>
      </c>
      <c r="N141" s="10">
        <v>15.5450690107179</v>
      </c>
      <c r="O141" s="6">
        <v>139</v>
      </c>
      <c r="P141" s="12">
        <v>0</v>
      </c>
      <c r="Q141" s="6">
        <v>58</v>
      </c>
      <c r="R141" s="6">
        <v>0</v>
      </c>
      <c r="S141" s="6">
        <v>2</v>
      </c>
      <c r="T141" s="6">
        <v>199</v>
      </c>
      <c r="U141" s="115">
        <v>5.06542713567839</v>
      </c>
    </row>
    <row r="142" customHeight="1" spans="1:21">
      <c r="A142" s="6"/>
      <c r="B142" s="6"/>
      <c r="C142" s="6"/>
      <c r="D142" s="8" t="s">
        <v>282</v>
      </c>
      <c r="E142" s="8" t="s">
        <v>211</v>
      </c>
      <c r="F142" s="8" t="s">
        <v>212</v>
      </c>
      <c r="G142" s="8" t="s">
        <v>283</v>
      </c>
      <c r="H142" s="8" t="s">
        <v>284</v>
      </c>
      <c r="I142" s="6">
        <v>304.74</v>
      </c>
      <c r="J142" s="6">
        <v>16238</v>
      </c>
      <c r="K142" s="6">
        <v>1087</v>
      </c>
      <c r="L142" s="9">
        <v>0.0669417415937923</v>
      </c>
      <c r="M142" s="10">
        <v>0.280349586016559</v>
      </c>
      <c r="N142" s="10">
        <v>18.7670895430472</v>
      </c>
      <c r="O142" s="6">
        <v>71</v>
      </c>
      <c r="P142" s="12">
        <v>0</v>
      </c>
      <c r="Q142" s="6">
        <v>48</v>
      </c>
      <c r="R142" s="6">
        <v>1</v>
      </c>
      <c r="S142" s="6">
        <v>1</v>
      </c>
      <c r="T142" s="6">
        <v>121</v>
      </c>
      <c r="U142" s="115">
        <v>2.51851239669422</v>
      </c>
    </row>
    <row r="143" customHeight="1" spans="1:21">
      <c r="A143" s="6"/>
      <c r="B143" s="8" t="s">
        <v>229</v>
      </c>
      <c r="C143" s="6"/>
      <c r="D143" s="6"/>
      <c r="E143" s="6"/>
      <c r="F143" s="6"/>
      <c r="G143" s="6"/>
      <c r="H143" s="6"/>
      <c r="I143" s="6">
        <v>5083.81</v>
      </c>
      <c r="J143" s="6">
        <v>317805</v>
      </c>
      <c r="K143" s="6">
        <v>17763</v>
      </c>
      <c r="L143" s="9">
        <v>0.055892764431019</v>
      </c>
      <c r="M143" s="10">
        <v>0.286202218093791</v>
      </c>
      <c r="N143" s="10">
        <v>15.9966331555514</v>
      </c>
      <c r="O143" s="6">
        <v>616</v>
      </c>
      <c r="P143" s="12">
        <v>15</v>
      </c>
      <c r="Q143" s="6">
        <v>359</v>
      </c>
      <c r="R143" s="6">
        <v>14</v>
      </c>
      <c r="S143" s="6">
        <v>20</v>
      </c>
      <c r="T143" s="6">
        <v>1024</v>
      </c>
      <c r="U143" s="115">
        <v>4.964658203125</v>
      </c>
    </row>
    <row r="144" customHeight="1" spans="1:21">
      <c r="A144" s="6"/>
      <c r="B144" s="8" t="s">
        <v>230</v>
      </c>
      <c r="C144" s="8" t="s">
        <v>196</v>
      </c>
      <c r="D144" s="8" t="s">
        <v>231</v>
      </c>
      <c r="E144" s="8" t="s">
        <v>232</v>
      </c>
      <c r="F144" s="8" t="s">
        <v>232</v>
      </c>
      <c r="G144" s="8" t="s">
        <v>233</v>
      </c>
      <c r="H144" s="8" t="s">
        <v>234</v>
      </c>
      <c r="I144" s="6">
        <v>214.2</v>
      </c>
      <c r="J144" s="6">
        <v>4516</v>
      </c>
      <c r="K144" s="6">
        <v>251</v>
      </c>
      <c r="L144" s="9">
        <v>0.0555801594331267</v>
      </c>
      <c r="M144" s="10">
        <v>0.853386454183267</v>
      </c>
      <c r="N144" s="10">
        <v>47.4313551815766</v>
      </c>
      <c r="O144" s="6">
        <v>3</v>
      </c>
      <c r="P144" s="12">
        <v>0</v>
      </c>
      <c r="Q144" s="6">
        <v>0</v>
      </c>
      <c r="R144" s="6">
        <v>0</v>
      </c>
      <c r="S144" s="6">
        <v>0</v>
      </c>
      <c r="T144" s="6">
        <v>3</v>
      </c>
      <c r="U144" s="115">
        <v>71.4</v>
      </c>
    </row>
    <row r="145" customHeight="1" spans="1:21">
      <c r="A145" s="6"/>
      <c r="B145" s="6"/>
      <c r="C145" s="6"/>
      <c r="D145" s="8" t="s">
        <v>235</v>
      </c>
      <c r="E145" s="8" t="s">
        <v>232</v>
      </c>
      <c r="F145" s="8" t="s">
        <v>236</v>
      </c>
      <c r="G145" s="8" t="s">
        <v>237</v>
      </c>
      <c r="H145" s="8" t="s">
        <v>238</v>
      </c>
      <c r="I145" s="6">
        <v>90.35</v>
      </c>
      <c r="J145" s="6">
        <v>3442</v>
      </c>
      <c r="K145" s="6">
        <v>204</v>
      </c>
      <c r="L145" s="9">
        <v>0.0592678675188844</v>
      </c>
      <c r="M145" s="10">
        <v>0.442892156862745</v>
      </c>
      <c r="N145" s="10">
        <v>26.2492736780941</v>
      </c>
      <c r="O145" s="6">
        <v>13</v>
      </c>
      <c r="P145" s="12">
        <v>0</v>
      </c>
      <c r="Q145" s="6">
        <v>22</v>
      </c>
      <c r="R145" s="6">
        <v>2</v>
      </c>
      <c r="S145" s="6">
        <v>0</v>
      </c>
      <c r="T145" s="6">
        <v>37</v>
      </c>
      <c r="U145" s="115">
        <v>2.44189189189189</v>
      </c>
    </row>
    <row r="146" customHeight="1" spans="1:21">
      <c r="A146" s="6"/>
      <c r="B146" s="6"/>
      <c r="C146" s="8" t="s">
        <v>209</v>
      </c>
      <c r="D146" s="8" t="s">
        <v>301</v>
      </c>
      <c r="E146" s="8" t="s">
        <v>232</v>
      </c>
      <c r="F146" s="8" t="s">
        <v>232</v>
      </c>
      <c r="G146" s="8" t="s">
        <v>302</v>
      </c>
      <c r="H146" s="8" t="s">
        <v>303</v>
      </c>
      <c r="I146" s="6">
        <v>302.62</v>
      </c>
      <c r="J146" s="6">
        <v>31790</v>
      </c>
      <c r="K146" s="6">
        <v>3799</v>
      </c>
      <c r="L146" s="9">
        <v>0.11950298836112</v>
      </c>
      <c r="M146" s="10">
        <v>0.0796578046854435</v>
      </c>
      <c r="N146" s="10">
        <v>9.51934570619692</v>
      </c>
      <c r="O146" s="6">
        <v>80</v>
      </c>
      <c r="P146" s="12">
        <v>3</v>
      </c>
      <c r="Q146" s="6">
        <v>116</v>
      </c>
      <c r="R146" s="6">
        <v>14</v>
      </c>
      <c r="S146" s="6">
        <v>9</v>
      </c>
      <c r="T146" s="6">
        <v>222</v>
      </c>
      <c r="U146" s="115">
        <v>1.36315315315315</v>
      </c>
    </row>
    <row r="147" customHeight="1" spans="1:21">
      <c r="A147" s="6"/>
      <c r="B147" s="6"/>
      <c r="C147" s="6"/>
      <c r="D147" s="8" t="s">
        <v>305</v>
      </c>
      <c r="E147" s="8" t="s">
        <v>232</v>
      </c>
      <c r="F147" s="8" t="s">
        <v>232</v>
      </c>
      <c r="G147" s="8" t="s">
        <v>306</v>
      </c>
      <c r="H147" s="8" t="s">
        <v>307</v>
      </c>
      <c r="I147" s="6">
        <v>0</v>
      </c>
      <c r="J147" s="6">
        <v>0</v>
      </c>
      <c r="K147" s="6">
        <v>0</v>
      </c>
      <c r="L147" s="9" t="e">
        <v>#DIV/0!</v>
      </c>
      <c r="M147" s="10" t="e">
        <v>#DIV/0!</v>
      </c>
      <c r="N147" s="10" t="e">
        <v>#DIV/0!</v>
      </c>
      <c r="O147" s="6">
        <v>0</v>
      </c>
      <c r="P147" s="12">
        <v>0</v>
      </c>
      <c r="Q147" s="6">
        <v>0</v>
      </c>
      <c r="R147" s="6">
        <v>0</v>
      </c>
      <c r="S147" s="6">
        <v>0</v>
      </c>
      <c r="T147" s="6">
        <v>0</v>
      </c>
      <c r="U147" s="115" t="e">
        <v>#DIV/0!</v>
      </c>
    </row>
    <row r="148" customHeight="1" spans="1:21">
      <c r="A148" s="6"/>
      <c r="B148" s="8" t="s">
        <v>242</v>
      </c>
      <c r="C148" s="6"/>
      <c r="D148" s="6"/>
      <c r="E148" s="6"/>
      <c r="F148" s="6"/>
      <c r="G148" s="6"/>
      <c r="H148" s="6"/>
      <c r="I148" s="6">
        <v>607.17</v>
      </c>
      <c r="J148" s="6">
        <v>39748</v>
      </c>
      <c r="K148" s="6">
        <v>4254</v>
      </c>
      <c r="L148" s="9">
        <v>0.107024252792593</v>
      </c>
      <c r="M148" s="10">
        <v>0.142729196050776</v>
      </c>
      <c r="N148" s="10">
        <v>15.2754855590218</v>
      </c>
      <c r="O148" s="6">
        <v>96</v>
      </c>
      <c r="P148" s="12">
        <v>3</v>
      </c>
      <c r="Q148" s="6">
        <v>138</v>
      </c>
      <c r="R148" s="6">
        <v>16</v>
      </c>
      <c r="S148" s="6">
        <v>9</v>
      </c>
      <c r="T148" s="6">
        <v>262</v>
      </c>
      <c r="U148" s="115">
        <v>2.3174427480916</v>
      </c>
    </row>
    <row r="149" customHeight="1" spans="1:21">
      <c r="A149" s="8" t="s">
        <v>313</v>
      </c>
      <c r="B149" s="6"/>
      <c r="C149" s="6"/>
      <c r="D149" s="6"/>
      <c r="E149" s="6"/>
      <c r="F149" s="6"/>
      <c r="G149" s="6"/>
      <c r="H149" s="6"/>
      <c r="I149" s="6">
        <v>5690.98</v>
      </c>
      <c r="J149" s="6">
        <v>357553</v>
      </c>
      <c r="K149" s="6">
        <v>22017</v>
      </c>
      <c r="L149" s="9">
        <v>0.0615768851051453</v>
      </c>
      <c r="M149" s="10">
        <v>0.258481173638552</v>
      </c>
      <c r="N149" s="10">
        <v>15.9164655309842</v>
      </c>
      <c r="O149" s="6">
        <v>712</v>
      </c>
      <c r="P149" s="12">
        <v>18</v>
      </c>
      <c r="Q149" s="6">
        <v>497</v>
      </c>
      <c r="R149" s="6">
        <v>30</v>
      </c>
      <c r="S149" s="6">
        <v>29</v>
      </c>
      <c r="T149" s="6">
        <v>1286</v>
      </c>
      <c r="U149" s="115">
        <v>4.42533437013997</v>
      </c>
    </row>
    <row r="150" customHeight="1" spans="1:21">
      <c r="A150" s="8" t="s">
        <v>161</v>
      </c>
      <c r="B150" s="8" t="s">
        <v>195</v>
      </c>
      <c r="C150" s="8" t="s">
        <v>196</v>
      </c>
      <c r="D150" s="8" t="s">
        <v>197</v>
      </c>
      <c r="E150" s="8" t="s">
        <v>198</v>
      </c>
      <c r="F150" s="8" t="s">
        <v>199</v>
      </c>
      <c r="G150" s="8" t="s">
        <v>200</v>
      </c>
      <c r="H150" s="8" t="s">
        <v>201</v>
      </c>
      <c r="I150" s="6">
        <v>437.99</v>
      </c>
      <c r="J150" s="6">
        <v>11766</v>
      </c>
      <c r="K150" s="6">
        <v>970</v>
      </c>
      <c r="L150" s="9">
        <v>0.0824409314975353</v>
      </c>
      <c r="M150" s="10">
        <v>0.451536082474227</v>
      </c>
      <c r="N150" s="10">
        <v>37.2250552439232</v>
      </c>
      <c r="O150" s="6">
        <v>5</v>
      </c>
      <c r="P150" s="12">
        <v>0</v>
      </c>
      <c r="Q150" s="6">
        <v>5</v>
      </c>
      <c r="R150" s="6">
        <v>0</v>
      </c>
      <c r="S150" s="6">
        <v>1</v>
      </c>
      <c r="T150" s="6">
        <v>11</v>
      </c>
      <c r="U150" s="115">
        <v>39.8172727272727</v>
      </c>
    </row>
    <row r="151" customHeight="1" spans="1:21">
      <c r="A151" s="6"/>
      <c r="B151" s="6"/>
      <c r="C151" s="6"/>
      <c r="D151" s="8" t="s">
        <v>309</v>
      </c>
      <c r="E151" s="8" t="s">
        <v>225</v>
      </c>
      <c r="F151" s="8" t="s">
        <v>310</v>
      </c>
      <c r="G151" s="8" t="s">
        <v>311</v>
      </c>
      <c r="H151" s="8" t="s">
        <v>312</v>
      </c>
      <c r="I151" s="6">
        <v>105.29</v>
      </c>
      <c r="J151" s="6">
        <v>6218</v>
      </c>
      <c r="K151" s="6">
        <v>300</v>
      </c>
      <c r="L151" s="9">
        <v>0.0482470247668061</v>
      </c>
      <c r="M151" s="10">
        <v>0.350966666666667</v>
      </c>
      <c r="N151" s="10">
        <v>16.93309745899</v>
      </c>
      <c r="O151" s="6">
        <v>10</v>
      </c>
      <c r="P151" s="12">
        <v>0</v>
      </c>
      <c r="Q151" s="6">
        <v>8</v>
      </c>
      <c r="R151" s="6">
        <v>1</v>
      </c>
      <c r="S151" s="6">
        <v>2</v>
      </c>
      <c r="T151" s="6">
        <v>21</v>
      </c>
      <c r="U151" s="115">
        <v>5.01380952380952</v>
      </c>
    </row>
    <row r="152" customHeight="1" spans="1:21">
      <c r="A152" s="6"/>
      <c r="B152" s="6"/>
      <c r="C152" s="6"/>
      <c r="D152" s="8" t="s">
        <v>294</v>
      </c>
      <c r="E152" s="8" t="s">
        <v>198</v>
      </c>
      <c r="F152" s="8" t="s">
        <v>203</v>
      </c>
      <c r="G152" s="8" t="s">
        <v>295</v>
      </c>
      <c r="H152" s="8" t="s">
        <v>296</v>
      </c>
      <c r="I152" s="6">
        <v>353.47</v>
      </c>
      <c r="J152" s="6">
        <v>18997</v>
      </c>
      <c r="K152" s="6">
        <v>890</v>
      </c>
      <c r="L152" s="9">
        <v>0.0468495025530347</v>
      </c>
      <c r="M152" s="10">
        <v>0.397157303370787</v>
      </c>
      <c r="N152" s="10">
        <v>18.606622098226</v>
      </c>
      <c r="O152" s="6">
        <v>15</v>
      </c>
      <c r="P152" s="12">
        <v>0</v>
      </c>
      <c r="Q152" s="6">
        <v>7</v>
      </c>
      <c r="R152" s="6">
        <v>1</v>
      </c>
      <c r="S152" s="6">
        <v>0</v>
      </c>
      <c r="T152" s="6">
        <v>23</v>
      </c>
      <c r="U152" s="115">
        <v>15.3682608695652</v>
      </c>
    </row>
    <row r="153" customHeight="1" spans="1:21">
      <c r="A153" s="6"/>
      <c r="B153" s="6"/>
      <c r="C153" s="8" t="s">
        <v>209</v>
      </c>
      <c r="D153" s="8" t="s">
        <v>210</v>
      </c>
      <c r="E153" s="8" t="s">
        <v>211</v>
      </c>
      <c r="F153" s="8" t="s">
        <v>212</v>
      </c>
      <c r="G153" s="8" t="s">
        <v>213</v>
      </c>
      <c r="H153" s="8" t="s">
        <v>214</v>
      </c>
      <c r="I153" s="6">
        <v>302.64</v>
      </c>
      <c r="J153" s="6">
        <v>16028</v>
      </c>
      <c r="K153" s="6">
        <v>954</v>
      </c>
      <c r="L153" s="9">
        <v>0.059520838532568</v>
      </c>
      <c r="M153" s="10">
        <v>0.317232704402516</v>
      </c>
      <c r="N153" s="10">
        <v>18.881956575992</v>
      </c>
      <c r="O153" s="6">
        <v>38</v>
      </c>
      <c r="P153" s="12">
        <v>0</v>
      </c>
      <c r="Q153" s="6">
        <v>9</v>
      </c>
      <c r="R153" s="6">
        <v>0</v>
      </c>
      <c r="S153" s="6">
        <v>3</v>
      </c>
      <c r="T153" s="6">
        <v>50</v>
      </c>
      <c r="U153" s="115">
        <v>6.0528</v>
      </c>
    </row>
    <row r="154" customHeight="1" spans="1:21">
      <c r="A154" s="6"/>
      <c r="B154" s="6"/>
      <c r="C154" s="6"/>
      <c r="D154" s="8" t="s">
        <v>250</v>
      </c>
      <c r="E154" s="8" t="s">
        <v>211</v>
      </c>
      <c r="F154" s="8" t="s">
        <v>212</v>
      </c>
      <c r="G154" s="8" t="s">
        <v>251</v>
      </c>
      <c r="H154" s="8" t="s">
        <v>252</v>
      </c>
      <c r="I154" s="6">
        <v>0</v>
      </c>
      <c r="J154" s="6">
        <v>0</v>
      </c>
      <c r="K154" s="6">
        <v>0</v>
      </c>
      <c r="L154" s="9" t="e">
        <v>#DIV/0!</v>
      </c>
      <c r="M154" s="10" t="e">
        <v>#DIV/0!</v>
      </c>
      <c r="N154" s="10" t="e">
        <v>#DIV/0!</v>
      </c>
      <c r="O154" s="6">
        <v>0</v>
      </c>
      <c r="P154" s="12">
        <v>0</v>
      </c>
      <c r="Q154" s="6">
        <v>0</v>
      </c>
      <c r="R154" s="6">
        <v>0</v>
      </c>
      <c r="S154" s="6">
        <v>0</v>
      </c>
      <c r="T154" s="6">
        <v>0</v>
      </c>
      <c r="U154" s="115" t="e">
        <v>#DIV/0!</v>
      </c>
    </row>
    <row r="155" customHeight="1" spans="1:21">
      <c r="A155" s="6"/>
      <c r="B155" s="6"/>
      <c r="C155" s="6"/>
      <c r="D155" s="8" t="s">
        <v>272</v>
      </c>
      <c r="E155" s="8" t="s">
        <v>198</v>
      </c>
      <c r="F155" s="8" t="s">
        <v>203</v>
      </c>
      <c r="G155" s="8" t="s">
        <v>273</v>
      </c>
      <c r="H155" s="8" t="s">
        <v>274</v>
      </c>
      <c r="I155" s="6">
        <v>1806.37</v>
      </c>
      <c r="J155" s="6">
        <v>102093</v>
      </c>
      <c r="K155" s="6">
        <v>5890</v>
      </c>
      <c r="L155" s="9">
        <v>0.0576924960575162</v>
      </c>
      <c r="M155" s="10">
        <v>0.306684210526316</v>
      </c>
      <c r="N155" s="10">
        <v>17.6933776066919</v>
      </c>
      <c r="O155" s="6">
        <v>169</v>
      </c>
      <c r="P155" s="12">
        <v>9</v>
      </c>
      <c r="Q155" s="6">
        <v>33</v>
      </c>
      <c r="R155" s="6">
        <v>0</v>
      </c>
      <c r="S155" s="6">
        <v>16</v>
      </c>
      <c r="T155" s="6">
        <v>227</v>
      </c>
      <c r="U155" s="115">
        <v>7.95757709251101</v>
      </c>
    </row>
    <row r="156" customHeight="1" spans="1:21">
      <c r="A156" s="6"/>
      <c r="B156" s="6"/>
      <c r="C156" s="6"/>
      <c r="D156" s="8" t="s">
        <v>206</v>
      </c>
      <c r="E156" s="8" t="s">
        <v>198</v>
      </c>
      <c r="F156" s="8" t="s">
        <v>203</v>
      </c>
      <c r="G156" s="8" t="s">
        <v>207</v>
      </c>
      <c r="H156" s="8" t="s">
        <v>208</v>
      </c>
      <c r="I156" s="6">
        <v>504.92</v>
      </c>
      <c r="J156" s="6">
        <v>34090</v>
      </c>
      <c r="K156" s="6">
        <v>1807</v>
      </c>
      <c r="L156" s="9">
        <v>0.0530067468465826</v>
      </c>
      <c r="M156" s="10">
        <v>0.279424460431655</v>
      </c>
      <c r="N156" s="10">
        <v>14.8113816368437</v>
      </c>
      <c r="O156" s="6">
        <v>41</v>
      </c>
      <c r="P156" s="12">
        <v>2</v>
      </c>
      <c r="Q156" s="6">
        <v>20</v>
      </c>
      <c r="R156" s="6">
        <v>0</v>
      </c>
      <c r="S156" s="6">
        <v>0</v>
      </c>
      <c r="T156" s="6">
        <v>63</v>
      </c>
      <c r="U156" s="115">
        <v>8.01460317460318</v>
      </c>
    </row>
    <row r="157" customHeight="1" spans="1:21">
      <c r="A157" s="6"/>
      <c r="B157" s="6"/>
      <c r="C157" s="6"/>
      <c r="D157" s="8" t="s">
        <v>290</v>
      </c>
      <c r="E157" s="8" t="s">
        <v>198</v>
      </c>
      <c r="F157" s="8" t="s">
        <v>203</v>
      </c>
      <c r="G157" s="8" t="s">
        <v>291</v>
      </c>
      <c r="H157" s="8" t="s">
        <v>292</v>
      </c>
      <c r="I157" s="6">
        <v>0</v>
      </c>
      <c r="J157" s="6">
        <v>0</v>
      </c>
      <c r="K157" s="6">
        <v>0</v>
      </c>
      <c r="L157" s="9" t="e">
        <v>#DIV/0!</v>
      </c>
      <c r="M157" s="10" t="e">
        <v>#DIV/0!</v>
      </c>
      <c r="N157" s="10" t="e">
        <v>#DIV/0!</v>
      </c>
      <c r="O157" s="6">
        <v>0</v>
      </c>
      <c r="P157" s="12">
        <v>0</v>
      </c>
      <c r="Q157" s="6">
        <v>0</v>
      </c>
      <c r="R157" s="6">
        <v>0</v>
      </c>
      <c r="S157" s="6">
        <v>0</v>
      </c>
      <c r="T157" s="6">
        <v>0</v>
      </c>
      <c r="U157" s="115" t="e">
        <v>#DIV/0!</v>
      </c>
    </row>
    <row r="158" customHeight="1" spans="1:21">
      <c r="A158" s="6"/>
      <c r="B158" s="6"/>
      <c r="C158" s="6"/>
      <c r="D158" s="8" t="s">
        <v>218</v>
      </c>
      <c r="E158" s="8" t="s">
        <v>198</v>
      </c>
      <c r="F158" s="8" t="s">
        <v>203</v>
      </c>
      <c r="G158" s="8" t="s">
        <v>219</v>
      </c>
      <c r="H158" s="8" t="s">
        <v>220</v>
      </c>
      <c r="I158" s="6">
        <v>810.87</v>
      </c>
      <c r="J158" s="6">
        <v>45096</v>
      </c>
      <c r="K158" s="6">
        <v>2343</v>
      </c>
      <c r="L158" s="9">
        <v>0.0519558275678552</v>
      </c>
      <c r="M158" s="10">
        <v>0.346081946222791</v>
      </c>
      <c r="N158" s="10">
        <v>17.9809739222991</v>
      </c>
      <c r="O158" s="6">
        <v>112</v>
      </c>
      <c r="P158" s="12">
        <v>2</v>
      </c>
      <c r="Q158" s="6">
        <v>31</v>
      </c>
      <c r="R158" s="6">
        <v>0</v>
      </c>
      <c r="S158" s="6">
        <v>1</v>
      </c>
      <c r="T158" s="6">
        <v>146</v>
      </c>
      <c r="U158" s="115">
        <v>5.55390410958904</v>
      </c>
    </row>
    <row r="159" customHeight="1" spans="1:21">
      <c r="A159" s="6"/>
      <c r="B159" s="6"/>
      <c r="C159" s="6"/>
      <c r="D159" s="8" t="s">
        <v>282</v>
      </c>
      <c r="E159" s="8" t="s">
        <v>211</v>
      </c>
      <c r="F159" s="8" t="s">
        <v>212</v>
      </c>
      <c r="G159" s="8" t="s">
        <v>283</v>
      </c>
      <c r="H159" s="8" t="s">
        <v>284</v>
      </c>
      <c r="I159" s="6">
        <v>309.38</v>
      </c>
      <c r="J159" s="6">
        <v>11858</v>
      </c>
      <c r="K159" s="6">
        <v>662</v>
      </c>
      <c r="L159" s="9">
        <v>0.0558272895935234</v>
      </c>
      <c r="M159" s="10">
        <v>0.467341389728097</v>
      </c>
      <c r="N159" s="10">
        <v>26.0904031033901</v>
      </c>
      <c r="O159" s="6">
        <v>62</v>
      </c>
      <c r="P159" s="12">
        <v>0</v>
      </c>
      <c r="Q159" s="6">
        <v>39</v>
      </c>
      <c r="R159" s="6">
        <v>2</v>
      </c>
      <c r="S159" s="6">
        <v>2</v>
      </c>
      <c r="T159" s="6">
        <v>105</v>
      </c>
      <c r="U159" s="115">
        <v>2.94647619047619</v>
      </c>
    </row>
    <row r="160" customHeight="1" spans="1:21">
      <c r="A160" s="6"/>
      <c r="B160" s="8" t="s">
        <v>229</v>
      </c>
      <c r="C160" s="6"/>
      <c r="D160" s="6"/>
      <c r="E160" s="6"/>
      <c r="F160" s="6"/>
      <c r="G160" s="6"/>
      <c r="H160" s="6"/>
      <c r="I160" s="6">
        <v>4630.93</v>
      </c>
      <c r="J160" s="6">
        <v>246146</v>
      </c>
      <c r="K160" s="6">
        <v>13816</v>
      </c>
      <c r="L160" s="9">
        <v>0.0561292891210907</v>
      </c>
      <c r="M160" s="10">
        <v>0.335186016213086</v>
      </c>
      <c r="N160" s="10">
        <v>18.8137528133709</v>
      </c>
      <c r="O160" s="6">
        <v>452</v>
      </c>
      <c r="P160" s="12">
        <v>13</v>
      </c>
      <c r="Q160" s="6">
        <v>152</v>
      </c>
      <c r="R160" s="6">
        <v>4</v>
      </c>
      <c r="S160" s="6">
        <v>25</v>
      </c>
      <c r="T160" s="6">
        <v>646</v>
      </c>
      <c r="U160" s="115">
        <v>7.16862229102167</v>
      </c>
    </row>
    <row r="161" customHeight="1" spans="1:21">
      <c r="A161" s="6"/>
      <c r="B161" s="8" t="s">
        <v>230</v>
      </c>
      <c r="C161" s="8" t="s">
        <v>196</v>
      </c>
      <c r="D161" s="8" t="s">
        <v>231</v>
      </c>
      <c r="E161" s="8" t="s">
        <v>232</v>
      </c>
      <c r="F161" s="8" t="s">
        <v>232</v>
      </c>
      <c r="G161" s="8" t="s">
        <v>233</v>
      </c>
      <c r="H161" s="8" t="s">
        <v>234</v>
      </c>
      <c r="I161" s="6">
        <v>436.94</v>
      </c>
      <c r="J161" s="6">
        <v>16918</v>
      </c>
      <c r="K161" s="6">
        <v>485</v>
      </c>
      <c r="L161" s="9">
        <v>0.0286676912164558</v>
      </c>
      <c r="M161" s="10">
        <v>0.900907216494845</v>
      </c>
      <c r="N161" s="10">
        <v>25.826929897151</v>
      </c>
      <c r="O161" s="6">
        <v>1</v>
      </c>
      <c r="P161" s="12">
        <v>1</v>
      </c>
      <c r="Q161" s="6">
        <v>0</v>
      </c>
      <c r="R161" s="6">
        <v>0</v>
      </c>
      <c r="S161" s="6">
        <v>0</v>
      </c>
      <c r="T161" s="6">
        <v>2</v>
      </c>
      <c r="U161" s="115">
        <v>218.47</v>
      </c>
    </row>
    <row r="162" customHeight="1" spans="1:21">
      <c r="A162" s="6"/>
      <c r="B162" s="6"/>
      <c r="C162" s="6"/>
      <c r="D162" s="8" t="s">
        <v>301</v>
      </c>
      <c r="E162" s="8" t="s">
        <v>232</v>
      </c>
      <c r="F162" s="8" t="s">
        <v>232</v>
      </c>
      <c r="G162" s="8" t="s">
        <v>302</v>
      </c>
      <c r="H162" s="8" t="s">
        <v>303</v>
      </c>
      <c r="I162" s="6">
        <v>0.47</v>
      </c>
      <c r="J162" s="6">
        <v>19</v>
      </c>
      <c r="K162" s="6">
        <v>2</v>
      </c>
      <c r="L162" s="9">
        <v>0.105263157894737</v>
      </c>
      <c r="M162" s="10">
        <v>0.235</v>
      </c>
      <c r="N162" s="10">
        <v>24.7368421052632</v>
      </c>
      <c r="O162" s="6">
        <v>0</v>
      </c>
      <c r="P162" s="12">
        <v>0</v>
      </c>
      <c r="Q162" s="6">
        <v>0</v>
      </c>
      <c r="R162" s="6">
        <v>0</v>
      </c>
      <c r="S162" s="6">
        <v>0</v>
      </c>
      <c r="T162" s="6">
        <v>0</v>
      </c>
      <c r="U162" s="115" t="e">
        <v>#DIV/0!</v>
      </c>
    </row>
    <row r="163" customHeight="1" spans="1:21">
      <c r="A163" s="6"/>
      <c r="B163" s="6"/>
      <c r="C163" s="6"/>
      <c r="D163" s="8" t="s">
        <v>235</v>
      </c>
      <c r="E163" s="8" t="s">
        <v>232</v>
      </c>
      <c r="F163" s="8" t="s">
        <v>236</v>
      </c>
      <c r="G163" s="8" t="s">
        <v>237</v>
      </c>
      <c r="H163" s="8" t="s">
        <v>238</v>
      </c>
      <c r="I163" s="6">
        <v>430.07</v>
      </c>
      <c r="J163" s="6">
        <v>12245</v>
      </c>
      <c r="K163" s="6">
        <v>1003</v>
      </c>
      <c r="L163" s="9">
        <v>0.0819109840751327</v>
      </c>
      <c r="M163" s="10">
        <v>0.428783649052841</v>
      </c>
      <c r="N163" s="10">
        <v>35.1220906492446</v>
      </c>
      <c r="O163" s="6">
        <v>56</v>
      </c>
      <c r="P163" s="12">
        <v>2</v>
      </c>
      <c r="Q163" s="6">
        <v>94</v>
      </c>
      <c r="R163" s="6">
        <v>16</v>
      </c>
      <c r="S163" s="6">
        <v>7</v>
      </c>
      <c r="T163" s="6">
        <v>175</v>
      </c>
      <c r="U163" s="115">
        <v>2.45754285714286</v>
      </c>
    </row>
    <row r="164" customHeight="1" spans="1:21">
      <c r="A164" s="6"/>
      <c r="B164" s="6"/>
      <c r="C164" s="8" t="s">
        <v>209</v>
      </c>
      <c r="D164" s="8" t="s">
        <v>231</v>
      </c>
      <c r="E164" s="8" t="s">
        <v>232</v>
      </c>
      <c r="F164" s="8" t="s">
        <v>232</v>
      </c>
      <c r="G164" s="8" t="s">
        <v>233</v>
      </c>
      <c r="H164" s="8" t="s">
        <v>234</v>
      </c>
      <c r="I164" s="6">
        <v>4.38</v>
      </c>
      <c r="J164" s="6">
        <v>85</v>
      </c>
      <c r="K164" s="6">
        <v>9</v>
      </c>
      <c r="L164" s="9">
        <v>0.105882352941176</v>
      </c>
      <c r="M164" s="10">
        <v>0.486666666666667</v>
      </c>
      <c r="N164" s="10">
        <v>51.5294117647059</v>
      </c>
      <c r="O164" s="6">
        <v>-1</v>
      </c>
      <c r="P164" s="12">
        <v>0</v>
      </c>
      <c r="Q164" s="6">
        <v>0</v>
      </c>
      <c r="R164" s="6">
        <v>0</v>
      </c>
      <c r="S164" s="6">
        <v>0</v>
      </c>
      <c r="T164" s="6">
        <v>-1</v>
      </c>
      <c r="U164" s="115">
        <v>-4.38</v>
      </c>
    </row>
    <row r="165" customHeight="1" spans="1:21">
      <c r="A165" s="6"/>
      <c r="B165" s="6"/>
      <c r="C165" s="6"/>
      <c r="D165" s="8" t="s">
        <v>301</v>
      </c>
      <c r="E165" s="8" t="s">
        <v>232</v>
      </c>
      <c r="F165" s="8" t="s">
        <v>232</v>
      </c>
      <c r="G165" s="8" t="s">
        <v>302</v>
      </c>
      <c r="H165" s="8" t="s">
        <v>303</v>
      </c>
      <c r="I165" s="6">
        <v>202.04</v>
      </c>
      <c r="J165" s="6">
        <v>14742</v>
      </c>
      <c r="K165" s="6">
        <v>2057</v>
      </c>
      <c r="L165" s="9">
        <v>0.139533306199973</v>
      </c>
      <c r="M165" s="10">
        <v>0.0982207097715119</v>
      </c>
      <c r="N165" s="10">
        <v>13.705060371727</v>
      </c>
      <c r="O165" s="6">
        <v>49</v>
      </c>
      <c r="P165" s="12">
        <v>0</v>
      </c>
      <c r="Q165" s="6">
        <v>81</v>
      </c>
      <c r="R165" s="6">
        <v>2</v>
      </c>
      <c r="S165" s="6">
        <v>7</v>
      </c>
      <c r="T165" s="6">
        <v>139</v>
      </c>
      <c r="U165" s="115">
        <v>1.45352517985612</v>
      </c>
    </row>
    <row r="166" customHeight="1" spans="1:21">
      <c r="A166" s="6"/>
      <c r="B166" s="6"/>
      <c r="C166" s="6"/>
      <c r="D166" s="8" t="s">
        <v>305</v>
      </c>
      <c r="E166" s="8" t="s">
        <v>232</v>
      </c>
      <c r="F166" s="8" t="s">
        <v>232</v>
      </c>
      <c r="G166" s="8" t="s">
        <v>306</v>
      </c>
      <c r="H166" s="8" t="s">
        <v>307</v>
      </c>
      <c r="I166" s="6">
        <v>303.55</v>
      </c>
      <c r="J166" s="6">
        <v>28220</v>
      </c>
      <c r="K166" s="6">
        <v>2758</v>
      </c>
      <c r="L166" s="9">
        <v>0.0977321048901488</v>
      </c>
      <c r="M166" s="10">
        <v>0.110061638868745</v>
      </c>
      <c r="N166" s="10">
        <v>10.7565556343019</v>
      </c>
      <c r="O166" s="6">
        <v>19</v>
      </c>
      <c r="P166" s="12">
        <v>1</v>
      </c>
      <c r="Q166" s="6">
        <v>3</v>
      </c>
      <c r="R166" s="6">
        <v>5</v>
      </c>
      <c r="S166" s="6">
        <v>0</v>
      </c>
      <c r="T166" s="6">
        <v>28</v>
      </c>
      <c r="U166" s="115">
        <v>10.8410714285714</v>
      </c>
    </row>
    <row r="167" customHeight="1" spans="1:21">
      <c r="A167" s="6"/>
      <c r="B167" s="8" t="s">
        <v>242</v>
      </c>
      <c r="C167" s="6"/>
      <c r="D167" s="6"/>
      <c r="E167" s="6"/>
      <c r="F167" s="6"/>
      <c r="G167" s="6"/>
      <c r="H167" s="6"/>
      <c r="I167" s="6">
        <v>1377.45</v>
      </c>
      <c r="J167" s="6">
        <v>72229</v>
      </c>
      <c r="K167" s="6">
        <v>6314</v>
      </c>
      <c r="L167" s="9">
        <v>0.0874164116905952</v>
      </c>
      <c r="M167" s="10">
        <v>0.218158061450744</v>
      </c>
      <c r="N167" s="10">
        <v>19.0705949134004</v>
      </c>
      <c r="O167" s="6">
        <v>124</v>
      </c>
      <c r="P167" s="12">
        <v>4</v>
      </c>
      <c r="Q167" s="6">
        <v>178</v>
      </c>
      <c r="R167" s="6">
        <v>23</v>
      </c>
      <c r="S167" s="6">
        <v>14</v>
      </c>
      <c r="T167" s="6">
        <v>343</v>
      </c>
      <c r="U167" s="115">
        <v>4.01588921282799</v>
      </c>
    </row>
    <row r="168" customHeight="1" spans="1:21">
      <c r="A168" s="8" t="s">
        <v>314</v>
      </c>
      <c r="B168" s="6"/>
      <c r="C168" s="6"/>
      <c r="D168" s="6"/>
      <c r="E168" s="6"/>
      <c r="F168" s="6"/>
      <c r="G168" s="6"/>
      <c r="H168" s="6"/>
      <c r="I168" s="6">
        <v>6008.38</v>
      </c>
      <c r="J168" s="6">
        <v>318375</v>
      </c>
      <c r="K168" s="6">
        <v>20130</v>
      </c>
      <c r="L168" s="9">
        <v>0.0632273262661955</v>
      </c>
      <c r="M168" s="10">
        <v>0.298478887232986</v>
      </c>
      <c r="N168" s="10">
        <v>18.872021986651</v>
      </c>
      <c r="O168" s="6">
        <v>576</v>
      </c>
      <c r="P168" s="12">
        <v>17</v>
      </c>
      <c r="Q168" s="6">
        <v>330</v>
      </c>
      <c r="R168" s="6">
        <v>27</v>
      </c>
      <c r="S168" s="6">
        <v>39</v>
      </c>
      <c r="T168" s="6">
        <v>989</v>
      </c>
      <c r="U168" s="115">
        <v>6.07520728008089</v>
      </c>
    </row>
    <row r="169" customHeight="1" spans="1:21">
      <c r="A169" s="8" t="s">
        <v>160</v>
      </c>
      <c r="B169" s="8" t="s">
        <v>195</v>
      </c>
      <c r="C169" s="8" t="s">
        <v>196</v>
      </c>
      <c r="D169" s="8" t="s">
        <v>197</v>
      </c>
      <c r="E169" s="8" t="s">
        <v>198</v>
      </c>
      <c r="F169" s="8" t="s">
        <v>199</v>
      </c>
      <c r="G169" s="8" t="s">
        <v>200</v>
      </c>
      <c r="H169" s="8" t="s">
        <v>201</v>
      </c>
      <c r="I169" s="6">
        <v>613.9</v>
      </c>
      <c r="J169" s="6">
        <v>13490</v>
      </c>
      <c r="K169" s="6">
        <v>1360</v>
      </c>
      <c r="L169" s="9">
        <v>0.100815418828762</v>
      </c>
      <c r="M169" s="10">
        <v>0.451397058823529</v>
      </c>
      <c r="N169" s="10">
        <v>45.5077835433655</v>
      </c>
      <c r="O169" s="6">
        <v>2</v>
      </c>
      <c r="P169" s="12">
        <v>1</v>
      </c>
      <c r="Q169" s="6">
        <v>2</v>
      </c>
      <c r="R169" s="6">
        <v>0</v>
      </c>
      <c r="S169" s="6">
        <v>0</v>
      </c>
      <c r="T169" s="6">
        <v>5</v>
      </c>
      <c r="U169" s="115">
        <v>122.78</v>
      </c>
    </row>
    <row r="170" customHeight="1" spans="1:21">
      <c r="A170" s="6"/>
      <c r="B170" s="6"/>
      <c r="C170" s="6"/>
      <c r="D170" s="8" t="s">
        <v>309</v>
      </c>
      <c r="E170" s="8" t="s">
        <v>225</v>
      </c>
      <c r="F170" s="8" t="s">
        <v>310</v>
      </c>
      <c r="G170" s="8" t="s">
        <v>311</v>
      </c>
      <c r="H170" s="8" t="s">
        <v>312</v>
      </c>
      <c r="I170" s="6">
        <v>127.72</v>
      </c>
      <c r="J170" s="6">
        <v>5428</v>
      </c>
      <c r="K170" s="6">
        <v>349</v>
      </c>
      <c r="L170" s="9">
        <v>0.0642962417096537</v>
      </c>
      <c r="M170" s="10">
        <v>0.36595988538682</v>
      </c>
      <c r="N170" s="10">
        <v>23.5298452468681</v>
      </c>
      <c r="O170" s="6">
        <v>12</v>
      </c>
      <c r="P170" s="12">
        <v>0</v>
      </c>
      <c r="Q170" s="6">
        <v>11</v>
      </c>
      <c r="R170" s="6">
        <v>1</v>
      </c>
      <c r="S170" s="6">
        <v>1</v>
      </c>
      <c r="T170" s="6">
        <v>25</v>
      </c>
      <c r="U170" s="115">
        <v>5.1088</v>
      </c>
    </row>
    <row r="171" customHeight="1" spans="1:21">
      <c r="A171" s="6"/>
      <c r="B171" s="6"/>
      <c r="C171" s="6"/>
      <c r="D171" s="8" t="s">
        <v>294</v>
      </c>
      <c r="E171" s="8" t="s">
        <v>198</v>
      </c>
      <c r="F171" s="8" t="s">
        <v>203</v>
      </c>
      <c r="G171" s="8" t="s">
        <v>295</v>
      </c>
      <c r="H171" s="8" t="s">
        <v>296</v>
      </c>
      <c r="I171" s="6">
        <v>141.22</v>
      </c>
      <c r="J171" s="6">
        <v>5455</v>
      </c>
      <c r="K171" s="6">
        <v>354</v>
      </c>
      <c r="L171" s="9">
        <v>0.0648945921173236</v>
      </c>
      <c r="M171" s="10">
        <v>0.398926553672316</v>
      </c>
      <c r="N171" s="10">
        <v>25.8881759853346</v>
      </c>
      <c r="O171" s="6">
        <v>3</v>
      </c>
      <c r="P171" s="12">
        <v>0</v>
      </c>
      <c r="Q171" s="6">
        <v>0</v>
      </c>
      <c r="R171" s="6">
        <v>0</v>
      </c>
      <c r="S171" s="6">
        <v>0</v>
      </c>
      <c r="T171" s="6">
        <v>3</v>
      </c>
      <c r="U171" s="115">
        <v>47.0733333333333</v>
      </c>
    </row>
    <row r="172" customHeight="1" spans="1:21">
      <c r="A172" s="6"/>
      <c r="B172" s="6"/>
      <c r="C172" s="8" t="s">
        <v>209</v>
      </c>
      <c r="D172" s="8" t="s">
        <v>197</v>
      </c>
      <c r="E172" s="8" t="s">
        <v>198</v>
      </c>
      <c r="F172" s="8" t="s">
        <v>199</v>
      </c>
      <c r="G172" s="8" t="s">
        <v>200</v>
      </c>
      <c r="H172" s="8" t="s">
        <v>201</v>
      </c>
      <c r="I172" s="6">
        <v>0</v>
      </c>
      <c r="J172" s="6">
        <v>0</v>
      </c>
      <c r="K172" s="6">
        <v>0</v>
      </c>
      <c r="L172" s="9" t="e">
        <v>#DIV/0!</v>
      </c>
      <c r="M172" s="10" t="e">
        <v>#DIV/0!</v>
      </c>
      <c r="N172" s="10" t="e">
        <v>#DIV/0!</v>
      </c>
      <c r="O172" s="6">
        <v>0</v>
      </c>
      <c r="P172" s="12">
        <v>0</v>
      </c>
      <c r="Q172" s="6">
        <v>0</v>
      </c>
      <c r="R172" s="6">
        <v>0</v>
      </c>
      <c r="S172" s="6">
        <v>0</v>
      </c>
      <c r="T172" s="6">
        <v>0</v>
      </c>
      <c r="U172" s="115" t="e">
        <v>#DIV/0!</v>
      </c>
    </row>
    <row r="173" customHeight="1" spans="1:21">
      <c r="A173" s="6"/>
      <c r="B173" s="6"/>
      <c r="C173" s="6"/>
      <c r="D173" s="8" t="s">
        <v>250</v>
      </c>
      <c r="E173" s="8" t="s">
        <v>211</v>
      </c>
      <c r="F173" s="8" t="s">
        <v>212</v>
      </c>
      <c r="G173" s="8" t="s">
        <v>251</v>
      </c>
      <c r="H173" s="8" t="s">
        <v>252</v>
      </c>
      <c r="I173" s="6">
        <v>0</v>
      </c>
      <c r="J173" s="6">
        <v>8</v>
      </c>
      <c r="K173" s="6">
        <v>0</v>
      </c>
      <c r="L173" s="9">
        <v>0</v>
      </c>
      <c r="M173" s="10" t="e">
        <v>#DIV/0!</v>
      </c>
      <c r="N173" s="10">
        <v>0</v>
      </c>
      <c r="O173" s="6">
        <v>0</v>
      </c>
      <c r="P173" s="12">
        <v>0</v>
      </c>
      <c r="Q173" s="6">
        <v>0</v>
      </c>
      <c r="R173" s="6">
        <v>0</v>
      </c>
      <c r="S173" s="6">
        <v>0</v>
      </c>
      <c r="T173" s="6">
        <v>0</v>
      </c>
      <c r="U173" s="115" t="e">
        <v>#DIV/0!</v>
      </c>
    </row>
    <row r="174" customHeight="1" spans="1:21">
      <c r="A174" s="6"/>
      <c r="B174" s="6"/>
      <c r="C174" s="6"/>
      <c r="D174" s="8" t="s">
        <v>272</v>
      </c>
      <c r="E174" s="8" t="s">
        <v>198</v>
      </c>
      <c r="F174" s="8" t="s">
        <v>203</v>
      </c>
      <c r="G174" s="8" t="s">
        <v>273</v>
      </c>
      <c r="H174" s="8" t="s">
        <v>274</v>
      </c>
      <c r="I174" s="6">
        <v>2072.94</v>
      </c>
      <c r="J174" s="6">
        <v>108516</v>
      </c>
      <c r="K174" s="6">
        <v>5662</v>
      </c>
      <c r="L174" s="9">
        <v>0.0521766375465369</v>
      </c>
      <c r="M174" s="10">
        <v>0.366114447191805</v>
      </c>
      <c r="N174" s="10">
        <v>19.1026208116775</v>
      </c>
      <c r="O174" s="6">
        <v>182</v>
      </c>
      <c r="P174" s="12">
        <v>7</v>
      </c>
      <c r="Q174" s="6">
        <v>36</v>
      </c>
      <c r="R174" s="6">
        <v>2</v>
      </c>
      <c r="S174" s="6">
        <v>2</v>
      </c>
      <c r="T174" s="6">
        <v>229</v>
      </c>
      <c r="U174" s="115">
        <v>9.05213973799127</v>
      </c>
    </row>
    <row r="175" customHeight="1" spans="1:21">
      <c r="A175" s="6"/>
      <c r="B175" s="6"/>
      <c r="C175" s="6"/>
      <c r="D175" s="8" t="s">
        <v>315</v>
      </c>
      <c r="E175" s="8" t="s">
        <v>198</v>
      </c>
      <c r="F175" s="8" t="s">
        <v>203</v>
      </c>
      <c r="G175" s="8" t="s">
        <v>316</v>
      </c>
      <c r="H175" s="8" t="s">
        <v>317</v>
      </c>
      <c r="I175" s="6">
        <v>6.12</v>
      </c>
      <c r="J175" s="6">
        <v>259</v>
      </c>
      <c r="K175" s="6">
        <v>8</v>
      </c>
      <c r="L175" s="9">
        <v>0.0308880308880309</v>
      </c>
      <c r="M175" s="10">
        <v>0.765</v>
      </c>
      <c r="N175" s="10">
        <v>23.6293436293436</v>
      </c>
      <c r="O175" s="6">
        <v>4</v>
      </c>
      <c r="P175" s="12">
        <v>0</v>
      </c>
      <c r="Q175" s="6">
        <v>0</v>
      </c>
      <c r="R175" s="6">
        <v>0</v>
      </c>
      <c r="S175" s="6">
        <v>0</v>
      </c>
      <c r="T175" s="6">
        <v>4</v>
      </c>
      <c r="U175" s="115">
        <v>1.53</v>
      </c>
    </row>
    <row r="176" customHeight="1" spans="1:21">
      <c r="A176" s="6"/>
      <c r="B176" s="6"/>
      <c r="C176" s="6"/>
      <c r="D176" s="8" t="s">
        <v>206</v>
      </c>
      <c r="E176" s="8" t="s">
        <v>198</v>
      </c>
      <c r="F176" s="8" t="s">
        <v>203</v>
      </c>
      <c r="G176" s="8" t="s">
        <v>207</v>
      </c>
      <c r="H176" s="8" t="s">
        <v>208</v>
      </c>
      <c r="I176" s="6">
        <v>2094.3</v>
      </c>
      <c r="J176" s="6">
        <v>91439</v>
      </c>
      <c r="K176" s="6">
        <v>4495</v>
      </c>
      <c r="L176" s="9">
        <v>0.0491584553636851</v>
      </c>
      <c r="M176" s="10">
        <v>0.465917686318131</v>
      </c>
      <c r="N176" s="10">
        <v>22.9037937860213</v>
      </c>
      <c r="O176" s="6">
        <v>121</v>
      </c>
      <c r="P176" s="12">
        <v>5</v>
      </c>
      <c r="Q176" s="6">
        <v>51</v>
      </c>
      <c r="R176" s="6">
        <v>1</v>
      </c>
      <c r="S176" s="6">
        <v>1</v>
      </c>
      <c r="T176" s="6">
        <v>179</v>
      </c>
      <c r="U176" s="115">
        <v>11.7</v>
      </c>
    </row>
    <row r="177" customHeight="1" spans="1:21">
      <c r="A177" s="6"/>
      <c r="B177" s="6"/>
      <c r="C177" s="6"/>
      <c r="D177" s="8" t="s">
        <v>290</v>
      </c>
      <c r="E177" s="8" t="s">
        <v>198</v>
      </c>
      <c r="F177" s="8" t="s">
        <v>203</v>
      </c>
      <c r="G177" s="8" t="s">
        <v>291</v>
      </c>
      <c r="H177" s="8" t="s">
        <v>292</v>
      </c>
      <c r="I177" s="6">
        <v>0</v>
      </c>
      <c r="J177" s="6">
        <v>0</v>
      </c>
      <c r="K177" s="6">
        <v>0</v>
      </c>
      <c r="L177" s="9" t="e">
        <v>#DIV/0!</v>
      </c>
      <c r="M177" s="10" t="e">
        <v>#DIV/0!</v>
      </c>
      <c r="N177" s="10" t="e">
        <v>#DIV/0!</v>
      </c>
      <c r="O177" s="6">
        <v>0</v>
      </c>
      <c r="P177" s="12">
        <v>0</v>
      </c>
      <c r="Q177" s="6">
        <v>0</v>
      </c>
      <c r="R177" s="6">
        <v>0</v>
      </c>
      <c r="S177" s="6">
        <v>0</v>
      </c>
      <c r="T177" s="6">
        <v>0</v>
      </c>
      <c r="U177" s="115" t="e">
        <v>#DIV/0!</v>
      </c>
    </row>
    <row r="178" customHeight="1" spans="1:21">
      <c r="A178" s="6"/>
      <c r="B178" s="6"/>
      <c r="C178" s="6"/>
      <c r="D178" s="8" t="s">
        <v>218</v>
      </c>
      <c r="E178" s="8" t="s">
        <v>198</v>
      </c>
      <c r="F178" s="8" t="s">
        <v>203</v>
      </c>
      <c r="G178" s="8" t="s">
        <v>219</v>
      </c>
      <c r="H178" s="8" t="s">
        <v>220</v>
      </c>
      <c r="I178" s="6">
        <v>1455.94</v>
      </c>
      <c r="J178" s="6">
        <v>78937</v>
      </c>
      <c r="K178" s="6">
        <v>3221</v>
      </c>
      <c r="L178" s="9">
        <v>0.0408046923495952</v>
      </c>
      <c r="M178" s="10">
        <v>0.452014902204284</v>
      </c>
      <c r="N178" s="10">
        <v>18.4443290218782</v>
      </c>
      <c r="O178" s="6">
        <v>168</v>
      </c>
      <c r="P178" s="12">
        <v>2</v>
      </c>
      <c r="Q178" s="6">
        <v>65</v>
      </c>
      <c r="R178" s="6">
        <v>1</v>
      </c>
      <c r="S178" s="6">
        <v>3</v>
      </c>
      <c r="T178" s="6">
        <v>239</v>
      </c>
      <c r="U178" s="115">
        <v>6.09179916317992</v>
      </c>
    </row>
    <row r="179" customHeight="1" spans="1:21">
      <c r="A179" s="6"/>
      <c r="B179" s="8" t="s">
        <v>229</v>
      </c>
      <c r="C179" s="6"/>
      <c r="D179" s="6"/>
      <c r="E179" s="6"/>
      <c r="F179" s="6"/>
      <c r="G179" s="6"/>
      <c r="H179" s="6"/>
      <c r="I179" s="6">
        <v>6512.14</v>
      </c>
      <c r="J179" s="6">
        <v>303532</v>
      </c>
      <c r="K179" s="6">
        <v>15449</v>
      </c>
      <c r="L179" s="9">
        <v>0.0508974342079254</v>
      </c>
      <c r="M179" s="10">
        <v>0.421525017800505</v>
      </c>
      <c r="N179" s="10">
        <v>21.4545418604958</v>
      </c>
      <c r="O179" s="6">
        <v>492</v>
      </c>
      <c r="P179" s="12">
        <v>15</v>
      </c>
      <c r="Q179" s="6">
        <v>165</v>
      </c>
      <c r="R179" s="6">
        <v>5</v>
      </c>
      <c r="S179" s="6">
        <v>7</v>
      </c>
      <c r="T179" s="6">
        <v>684</v>
      </c>
      <c r="U179" s="115">
        <v>9.52067251461988</v>
      </c>
    </row>
    <row r="180" customHeight="1" spans="1:21">
      <c r="A180" s="6"/>
      <c r="B180" s="8" t="s">
        <v>230</v>
      </c>
      <c r="C180" s="8" t="s">
        <v>196</v>
      </c>
      <c r="D180" s="8" t="s">
        <v>231</v>
      </c>
      <c r="E180" s="8" t="s">
        <v>232</v>
      </c>
      <c r="F180" s="8" t="s">
        <v>232</v>
      </c>
      <c r="G180" s="8" t="s">
        <v>233</v>
      </c>
      <c r="H180" s="8" t="s">
        <v>234</v>
      </c>
      <c r="I180" s="6">
        <v>133.4</v>
      </c>
      <c r="J180" s="6">
        <v>3675</v>
      </c>
      <c r="K180" s="6">
        <v>193</v>
      </c>
      <c r="L180" s="9">
        <v>0.0525170068027211</v>
      </c>
      <c r="M180" s="10">
        <v>0.69119170984456</v>
      </c>
      <c r="N180" s="10">
        <v>36.2993197278912</v>
      </c>
      <c r="O180" s="6">
        <v>1</v>
      </c>
      <c r="P180" s="12">
        <v>0</v>
      </c>
      <c r="Q180" s="6">
        <v>0</v>
      </c>
      <c r="R180" s="6">
        <v>0</v>
      </c>
      <c r="S180" s="6">
        <v>0</v>
      </c>
      <c r="T180" s="6">
        <v>1</v>
      </c>
      <c r="U180" s="115">
        <v>133.4</v>
      </c>
    </row>
    <row r="181" customHeight="1" spans="1:21">
      <c r="A181" s="6"/>
      <c r="B181" s="6"/>
      <c r="C181" s="6"/>
      <c r="D181" s="8" t="s">
        <v>301</v>
      </c>
      <c r="E181" s="8" t="s">
        <v>232</v>
      </c>
      <c r="F181" s="8" t="s">
        <v>232</v>
      </c>
      <c r="G181" s="8" t="s">
        <v>302</v>
      </c>
      <c r="H181" s="8" t="s">
        <v>303</v>
      </c>
      <c r="I181" s="6">
        <v>268.18</v>
      </c>
      <c r="J181" s="6">
        <v>11976</v>
      </c>
      <c r="K181" s="6">
        <v>651</v>
      </c>
      <c r="L181" s="9">
        <v>0.0543587174348697</v>
      </c>
      <c r="M181" s="10">
        <v>0.411950844854071</v>
      </c>
      <c r="N181" s="10">
        <v>22.3931195724783</v>
      </c>
      <c r="O181" s="6">
        <v>9</v>
      </c>
      <c r="P181" s="12">
        <v>0</v>
      </c>
      <c r="Q181" s="6">
        <v>12</v>
      </c>
      <c r="R181" s="6">
        <v>1</v>
      </c>
      <c r="S181" s="6">
        <v>0</v>
      </c>
      <c r="T181" s="6">
        <v>22</v>
      </c>
      <c r="U181" s="115">
        <v>12.19</v>
      </c>
    </row>
    <row r="182" customHeight="1" spans="1:21">
      <c r="A182" s="6"/>
      <c r="B182" s="6"/>
      <c r="C182" s="6"/>
      <c r="D182" s="8" t="s">
        <v>235</v>
      </c>
      <c r="E182" s="8" t="s">
        <v>232</v>
      </c>
      <c r="F182" s="8" t="s">
        <v>236</v>
      </c>
      <c r="G182" s="8" t="s">
        <v>237</v>
      </c>
      <c r="H182" s="8" t="s">
        <v>238</v>
      </c>
      <c r="I182" s="6">
        <v>235.58</v>
      </c>
      <c r="J182" s="6">
        <v>6694</v>
      </c>
      <c r="K182" s="6">
        <v>586</v>
      </c>
      <c r="L182" s="9">
        <v>0.0875410815655811</v>
      </c>
      <c r="M182" s="10">
        <v>0.402013651877133</v>
      </c>
      <c r="N182" s="10">
        <v>35.1927098894532</v>
      </c>
      <c r="O182" s="6">
        <v>37</v>
      </c>
      <c r="P182" s="12">
        <v>0</v>
      </c>
      <c r="Q182" s="6">
        <v>31</v>
      </c>
      <c r="R182" s="6">
        <v>4</v>
      </c>
      <c r="S182" s="6">
        <v>4</v>
      </c>
      <c r="T182" s="6">
        <v>76</v>
      </c>
      <c r="U182" s="115">
        <v>3.09973684210526</v>
      </c>
    </row>
    <row r="183" customHeight="1" spans="1:21">
      <c r="A183" s="6"/>
      <c r="B183" s="6"/>
      <c r="C183" s="8" t="s">
        <v>209</v>
      </c>
      <c r="D183" s="8" t="s">
        <v>231</v>
      </c>
      <c r="E183" s="8" t="s">
        <v>232</v>
      </c>
      <c r="F183" s="8" t="s">
        <v>232</v>
      </c>
      <c r="G183" s="8" t="s">
        <v>233</v>
      </c>
      <c r="H183" s="8" t="s">
        <v>234</v>
      </c>
      <c r="I183" s="6">
        <v>506.47</v>
      </c>
      <c r="J183" s="6">
        <v>32640</v>
      </c>
      <c r="K183" s="6">
        <v>1489</v>
      </c>
      <c r="L183" s="9">
        <v>0.0456188725490196</v>
      </c>
      <c r="M183" s="10">
        <v>0.340141034251175</v>
      </c>
      <c r="N183" s="10">
        <v>15.5168504901961</v>
      </c>
      <c r="O183" s="6">
        <v>34</v>
      </c>
      <c r="P183" s="12">
        <v>0</v>
      </c>
      <c r="Q183" s="6">
        <v>8</v>
      </c>
      <c r="R183" s="6">
        <v>0</v>
      </c>
      <c r="S183" s="6">
        <v>0</v>
      </c>
      <c r="T183" s="6">
        <v>42</v>
      </c>
      <c r="U183" s="115">
        <v>12.0588095238095</v>
      </c>
    </row>
    <row r="184" customHeight="1" spans="1:21">
      <c r="A184" s="6"/>
      <c r="B184" s="8" t="s">
        <v>242</v>
      </c>
      <c r="C184" s="6"/>
      <c r="D184" s="6"/>
      <c r="E184" s="6"/>
      <c r="F184" s="6"/>
      <c r="G184" s="6"/>
      <c r="H184" s="6"/>
      <c r="I184" s="6">
        <v>1143.63</v>
      </c>
      <c r="J184" s="6">
        <v>54985</v>
      </c>
      <c r="K184" s="6">
        <v>2919</v>
      </c>
      <c r="L184" s="9">
        <v>0.0530872056015277</v>
      </c>
      <c r="M184" s="10">
        <v>0.391788283658787</v>
      </c>
      <c r="N184" s="10">
        <v>20.7989451668637</v>
      </c>
      <c r="O184" s="6">
        <v>81</v>
      </c>
      <c r="P184" s="12">
        <v>0</v>
      </c>
      <c r="Q184" s="6">
        <v>51</v>
      </c>
      <c r="R184" s="6">
        <v>5</v>
      </c>
      <c r="S184" s="6">
        <v>4</v>
      </c>
      <c r="T184" s="6">
        <v>141</v>
      </c>
      <c r="U184" s="115">
        <v>8.11085106382979</v>
      </c>
    </row>
    <row r="185" customHeight="1" spans="1:21">
      <c r="A185" s="8" t="s">
        <v>318</v>
      </c>
      <c r="B185" s="6"/>
      <c r="C185" s="6"/>
      <c r="D185" s="6"/>
      <c r="E185" s="6"/>
      <c r="F185" s="6"/>
      <c r="G185" s="6"/>
      <c r="H185" s="6"/>
      <c r="I185" s="6">
        <v>7655.77</v>
      </c>
      <c r="J185" s="6">
        <v>358517</v>
      </c>
      <c r="K185" s="6">
        <v>18368</v>
      </c>
      <c r="L185" s="9">
        <v>0.0512332748516807</v>
      </c>
      <c r="M185" s="10">
        <v>0.416799324912892</v>
      </c>
      <c r="N185" s="10">
        <v>21.3539943712572</v>
      </c>
      <c r="O185" s="6">
        <v>573</v>
      </c>
      <c r="P185" s="12">
        <v>15</v>
      </c>
      <c r="Q185" s="6">
        <v>216</v>
      </c>
      <c r="R185" s="6">
        <v>10</v>
      </c>
      <c r="S185" s="6">
        <v>11</v>
      </c>
      <c r="T185" s="6">
        <v>825</v>
      </c>
      <c r="U185" s="115">
        <v>9.27972121212121</v>
      </c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  <row r="2456" customHeight="1" spans="21:21">
      <c r="U2456"/>
    </row>
    <row r="2457" customHeight="1" spans="21:21">
      <c r="U2457"/>
    </row>
    <row r="2458" customHeight="1" spans="21:21">
      <c r="U2458"/>
    </row>
    <row r="2459" customHeight="1" spans="21:21">
      <c r="U2459"/>
    </row>
    <row r="2460" customHeight="1" spans="21:21">
      <c r="U2460"/>
    </row>
    <row r="2461" customHeight="1" spans="21:21">
      <c r="U2461"/>
    </row>
    <row r="2462" customHeight="1" spans="21:21">
      <c r="U2462"/>
    </row>
    <row r="2463" customHeight="1" spans="21:21">
      <c r="U2463"/>
    </row>
    <row r="2464" customHeight="1" spans="21:21">
      <c r="U2464"/>
    </row>
    <row r="2465" customHeight="1" spans="21:21">
      <c r="U2465"/>
    </row>
    <row r="2466" customHeight="1" spans="21:21">
      <c r="U2466"/>
    </row>
    <row r="2467" customHeight="1" spans="21:21">
      <c r="U2467"/>
    </row>
    <row r="2468" customHeight="1" spans="21:21">
      <c r="U2468"/>
    </row>
    <row r="2469" customHeight="1" spans="21:21">
      <c r="U2469"/>
    </row>
    <row r="2470" customHeight="1" spans="21:21">
      <c r="U2470"/>
    </row>
    <row r="2471" customHeight="1" spans="21:21">
      <c r="U2471"/>
    </row>
    <row r="2472" customHeight="1" spans="21:21">
      <c r="U2472"/>
    </row>
    <row r="2473" customHeight="1" spans="21:21">
      <c r="U2473"/>
    </row>
    <row r="2474" customHeight="1" spans="21:21">
      <c r="U2474"/>
    </row>
    <row r="2475" customHeight="1" spans="21:21">
      <c r="U2475"/>
    </row>
    <row r="2476" customHeight="1" spans="21:21">
      <c r="U2476"/>
    </row>
    <row r="2477" customHeight="1" spans="21:21">
      <c r="U2477"/>
    </row>
    <row r="2478" customHeight="1" spans="21:21">
      <c r="U2478"/>
    </row>
    <row r="2479" customHeight="1" spans="21:21">
      <c r="U2479"/>
    </row>
    <row r="2480" customHeight="1" spans="21:21">
      <c r="U2480"/>
    </row>
    <row r="2481" customHeight="1" spans="21:21">
      <c r="U2481"/>
    </row>
    <row r="2482" customHeight="1" spans="21:21">
      <c r="U2482"/>
    </row>
    <row r="2483" customHeight="1" spans="21:21">
      <c r="U2483"/>
    </row>
    <row r="2484" customHeight="1" spans="21:21">
      <c r="U2484"/>
    </row>
    <row r="2485" customHeight="1" spans="21:21">
      <c r="U2485"/>
    </row>
    <row r="2486" customHeight="1" spans="21:21">
      <c r="U2486"/>
    </row>
    <row r="2487" customHeight="1" spans="21:21">
      <c r="U2487"/>
    </row>
    <row r="2488" customHeight="1" spans="21:21">
      <c r="U2488"/>
    </row>
    <row r="2489" customHeight="1" spans="21:21">
      <c r="U2489"/>
    </row>
    <row r="2490" customHeight="1" spans="21:21">
      <c r="U2490"/>
    </row>
    <row r="2491" customHeight="1" spans="21:21">
      <c r="U2491"/>
    </row>
    <row r="2492" customHeight="1" spans="21:21">
      <c r="U2492"/>
    </row>
    <row r="2493" customHeight="1" spans="21:21">
      <c r="U2493"/>
    </row>
    <row r="2494" customHeight="1" spans="21:21">
      <c r="U2494"/>
    </row>
    <row r="2495" customHeight="1" spans="21:21">
      <c r="U2495"/>
    </row>
    <row r="2496" customHeight="1" spans="21:21">
      <c r="U2496"/>
    </row>
    <row r="2497" customHeight="1" spans="21:21">
      <c r="U2497"/>
    </row>
    <row r="2498" customHeight="1" spans="21:21">
      <c r="U2498"/>
    </row>
    <row r="2499" customHeight="1" spans="21:21">
      <c r="U2499"/>
    </row>
    <row r="2500" customHeight="1" spans="21:21">
      <c r="U2500"/>
    </row>
    <row r="2501" customHeight="1" spans="21:21">
      <c r="U2501"/>
    </row>
    <row r="2502" customHeight="1" spans="21:21">
      <c r="U2502"/>
    </row>
    <row r="2503" customHeight="1" spans="21:21">
      <c r="U2503"/>
    </row>
    <row r="2504" customHeight="1" spans="21:21">
      <c r="U2504"/>
    </row>
    <row r="2505" customHeight="1" spans="21:21">
      <c r="U2505"/>
    </row>
    <row r="2506" customHeight="1" spans="21:21">
      <c r="U2506"/>
    </row>
    <row r="2507" customHeight="1" spans="21:21">
      <c r="U2507"/>
    </row>
    <row r="2508" customHeight="1" spans="21:21">
      <c r="U2508"/>
    </row>
    <row r="2509" customHeight="1" spans="21:21">
      <c r="U2509"/>
    </row>
    <row r="2510" customHeight="1" spans="21:21">
      <c r="U2510"/>
    </row>
    <row r="2511" customHeight="1" spans="21:21">
      <c r="U2511"/>
    </row>
    <row r="2512" customHeight="1" spans="21:21">
      <c r="U2512"/>
    </row>
    <row r="2513" customHeight="1" spans="21:21">
      <c r="U2513"/>
    </row>
    <row r="2514" customHeight="1" spans="21:21">
      <c r="U2514"/>
    </row>
    <row r="2515" customHeight="1" spans="21:21">
      <c r="U2515"/>
    </row>
    <row r="2516" customHeight="1" spans="21:21">
      <c r="U2516"/>
    </row>
    <row r="2517" customHeight="1" spans="21:21">
      <c r="U2517"/>
    </row>
    <row r="2518" customHeight="1" spans="21:21">
      <c r="U2518"/>
    </row>
    <row r="2519" customHeight="1" spans="21:21">
      <c r="U2519"/>
    </row>
    <row r="2520" customHeight="1" spans="21:21">
      <c r="U2520"/>
    </row>
    <row r="2521" customHeight="1" spans="21:21">
      <c r="U2521"/>
    </row>
    <row r="2522" customHeight="1" spans="21:21">
      <c r="U2522"/>
    </row>
    <row r="2523" customHeight="1" spans="21:21">
      <c r="U2523"/>
    </row>
    <row r="2524" customHeight="1" spans="21:21">
      <c r="U2524"/>
    </row>
    <row r="2525" customHeight="1" spans="21:21">
      <c r="U2525"/>
    </row>
    <row r="2526" customHeight="1" spans="21:21">
      <c r="U2526"/>
    </row>
    <row r="2527" customHeight="1" spans="21:21">
      <c r="U2527"/>
    </row>
    <row r="2528" customHeight="1" spans="21:21">
      <c r="U2528"/>
    </row>
    <row r="2529" customHeight="1" spans="21:21">
      <c r="U2529"/>
    </row>
    <row r="2530" customHeight="1" spans="21:21">
      <c r="U2530"/>
    </row>
    <row r="2531" customHeight="1" spans="21:21">
      <c r="U2531"/>
    </row>
    <row r="2532" customHeight="1" spans="21:21">
      <c r="U2532"/>
    </row>
    <row r="2533" customHeight="1" spans="21:21">
      <c r="U2533"/>
    </row>
    <row r="2534" customHeight="1" spans="21:21">
      <c r="U2534"/>
    </row>
    <row r="2535" customHeight="1" spans="21:21">
      <c r="U2535"/>
    </row>
    <row r="2536" customHeight="1" spans="21:21">
      <c r="U2536"/>
    </row>
    <row r="2537" customHeight="1" spans="21:21">
      <c r="U2537"/>
    </row>
    <row r="2538" customHeight="1" spans="21:21">
      <c r="U2538"/>
    </row>
    <row r="2539" customHeight="1" spans="21:21">
      <c r="U2539"/>
    </row>
    <row r="2540" customHeight="1" spans="21:21">
      <c r="U2540"/>
    </row>
    <row r="2541" customHeight="1" spans="21:21">
      <c r="U2541"/>
    </row>
    <row r="2542" customHeight="1" spans="21:21">
      <c r="U2542"/>
    </row>
    <row r="2543" customHeight="1" spans="21:21">
      <c r="U2543"/>
    </row>
    <row r="2544" customHeight="1" spans="21:21">
      <c r="U2544"/>
    </row>
    <row r="2545" customHeight="1" spans="21:21">
      <c r="U2545"/>
    </row>
    <row r="2546" customHeight="1" spans="21:21">
      <c r="U2546"/>
    </row>
    <row r="2547" customHeight="1" spans="21:21">
      <c r="U2547"/>
    </row>
    <row r="2548" customHeight="1" spans="21:21">
      <c r="U2548"/>
    </row>
    <row r="2549" customHeight="1" spans="21:21">
      <c r="U2549"/>
    </row>
    <row r="2550" customHeight="1" spans="21:21">
      <c r="U2550"/>
    </row>
    <row r="2551" customHeight="1" spans="21:21">
      <c r="U2551"/>
    </row>
    <row r="2552" customHeight="1" spans="21:21">
      <c r="U2552"/>
    </row>
    <row r="2553" customHeight="1" spans="21:21">
      <c r="U2553"/>
    </row>
    <row r="2554" customHeight="1" spans="21:21">
      <c r="U2554"/>
    </row>
    <row r="2555" customHeight="1" spans="21:21">
      <c r="U2555"/>
    </row>
    <row r="2556" customHeight="1" spans="21:21">
      <c r="U2556"/>
    </row>
    <row r="2557" customHeight="1" spans="21:21">
      <c r="U2557"/>
    </row>
    <row r="2558" customHeight="1" spans="21:21">
      <c r="U2558"/>
    </row>
    <row r="2559" customHeight="1" spans="21:21">
      <c r="U2559"/>
    </row>
    <row r="2560" customHeight="1" spans="21:21">
      <c r="U2560"/>
    </row>
    <row r="2561" customHeight="1" spans="21:21">
      <c r="U2561"/>
    </row>
    <row r="2562" customHeight="1" spans="21:21">
      <c r="U2562"/>
    </row>
    <row r="2563" customHeight="1" spans="21:21">
      <c r="U2563"/>
    </row>
    <row r="2564" customHeight="1" spans="21:21">
      <c r="U2564"/>
    </row>
    <row r="2565" customHeight="1" spans="21:21">
      <c r="U2565"/>
    </row>
    <row r="2566" customHeight="1" spans="21:21">
      <c r="U2566"/>
    </row>
    <row r="2567" customHeight="1" spans="21:21">
      <c r="U2567"/>
    </row>
    <row r="2568" customHeight="1" spans="21:21">
      <c r="U2568"/>
    </row>
    <row r="2569" customHeight="1" spans="21:21">
      <c r="U2569"/>
    </row>
    <row r="2570" customHeight="1" spans="21:21">
      <c r="U2570"/>
    </row>
    <row r="2571" customHeight="1" spans="21:21">
      <c r="U2571"/>
    </row>
    <row r="2572" customHeight="1" spans="21:21">
      <c r="U2572"/>
    </row>
    <row r="2573" customHeight="1" spans="21:21">
      <c r="U2573"/>
    </row>
    <row r="2574" customHeight="1" spans="21:21">
      <c r="U2574"/>
    </row>
    <row r="2575" customHeight="1" spans="21:21">
      <c r="U2575"/>
    </row>
    <row r="2576" customHeight="1" spans="21:21">
      <c r="U2576"/>
    </row>
    <row r="2577" customHeight="1" spans="21:21">
      <c r="U2577"/>
    </row>
    <row r="2578" customHeight="1" spans="21:21">
      <c r="U2578"/>
    </row>
    <row r="2579" customHeight="1" spans="21:21">
      <c r="U2579"/>
    </row>
    <row r="2580" customHeight="1" spans="21:21">
      <c r="U2580"/>
    </row>
    <row r="2581" customHeight="1" spans="21:21">
      <c r="U2581"/>
    </row>
    <row r="2582" customHeight="1" spans="21:21">
      <c r="U2582"/>
    </row>
    <row r="2583" customHeight="1" spans="21:21">
      <c r="U2583"/>
    </row>
    <row r="2584" customHeight="1" spans="21:21">
      <c r="U2584"/>
    </row>
    <row r="2585" customHeight="1" spans="21:21">
      <c r="U2585"/>
    </row>
    <row r="2586" customHeight="1" spans="21:21">
      <c r="U2586"/>
    </row>
    <row r="2587" customHeight="1" spans="21:21">
      <c r="U2587"/>
    </row>
    <row r="2588" customHeight="1" spans="21:21">
      <c r="U2588"/>
    </row>
    <row r="2589" customHeight="1" spans="21:21">
      <c r="U2589"/>
    </row>
    <row r="2590" customHeight="1" spans="21:21">
      <c r="U2590"/>
    </row>
    <row r="2591" customHeight="1" spans="21:21">
      <c r="U2591"/>
    </row>
    <row r="2592" customHeight="1" spans="21:21">
      <c r="U2592"/>
    </row>
    <row r="2593" customHeight="1" spans="21:21">
      <c r="U2593"/>
    </row>
    <row r="2594" customHeight="1" spans="21:21">
      <c r="U2594"/>
    </row>
    <row r="2595" customHeight="1" spans="21:21">
      <c r="U2595"/>
    </row>
    <row r="2596" customHeight="1" spans="21:21">
      <c r="U2596"/>
    </row>
    <row r="2597" customHeight="1" spans="21:21">
      <c r="U2597"/>
    </row>
    <row r="2598" customHeight="1" spans="21:21">
      <c r="U2598"/>
    </row>
    <row r="2599" customHeight="1" spans="21:21">
      <c r="U2599"/>
    </row>
    <row r="2600" customHeight="1" spans="21:21">
      <c r="U2600"/>
    </row>
    <row r="2601" customHeight="1" spans="21:21">
      <c r="U2601"/>
    </row>
    <row r="2602" customHeight="1" spans="21:21">
      <c r="U2602"/>
    </row>
    <row r="2603" customHeight="1" spans="21:21">
      <c r="U2603"/>
    </row>
    <row r="2604" customHeight="1" spans="21:21">
      <c r="U2604"/>
    </row>
    <row r="2605" customHeight="1" spans="21:21">
      <c r="U2605"/>
    </row>
    <row r="2606" customHeight="1" spans="21:21">
      <c r="U2606"/>
    </row>
    <row r="2607" customHeight="1" spans="21:21">
      <c r="U2607"/>
    </row>
    <row r="2608" customHeight="1" spans="21:21">
      <c r="U2608"/>
    </row>
    <row r="2609" customHeight="1" spans="21:21">
      <c r="U2609"/>
    </row>
    <row r="2610" customHeight="1" spans="21:21">
      <c r="U2610"/>
    </row>
    <row r="2611" customHeight="1" spans="21:21">
      <c r="U2611"/>
    </row>
    <row r="2612" customHeight="1" spans="21:21">
      <c r="U2612"/>
    </row>
    <row r="2613" customHeight="1" spans="21:21">
      <c r="U2613"/>
    </row>
    <row r="2614" customHeight="1" spans="21:21">
      <c r="U2614"/>
    </row>
    <row r="2615" customHeight="1" spans="21:21">
      <c r="U2615"/>
    </row>
    <row r="2616" customHeight="1" spans="21:21">
      <c r="U2616"/>
    </row>
    <row r="2617" customHeight="1" spans="21:21">
      <c r="U2617"/>
    </row>
    <row r="2618" customHeight="1" spans="21:21">
      <c r="U2618"/>
    </row>
    <row r="2619" customHeight="1" spans="21:21">
      <c r="U2619"/>
    </row>
    <row r="2620" customHeight="1" spans="21:21">
      <c r="U2620"/>
    </row>
    <row r="2621" customHeight="1" spans="21:21">
      <c r="U2621"/>
    </row>
    <row r="2622" customHeight="1" spans="21:21">
      <c r="U2622"/>
    </row>
    <row r="2623" customHeight="1" spans="21:21">
      <c r="U2623"/>
    </row>
    <row r="2624" customHeight="1" spans="21:21">
      <c r="U2624"/>
    </row>
    <row r="2625" customHeight="1" spans="21:21">
      <c r="U2625"/>
    </row>
    <row r="2626" customHeight="1" spans="21:21">
      <c r="U2626"/>
    </row>
    <row r="2627" customHeight="1" spans="21:21">
      <c r="U2627"/>
    </row>
    <row r="2628" customHeight="1" spans="21:21">
      <c r="U2628"/>
    </row>
    <row r="2629" customHeight="1" spans="21:21">
      <c r="U2629"/>
    </row>
    <row r="2630" customHeight="1" spans="21:21">
      <c r="U2630"/>
    </row>
    <row r="2631" customHeight="1" spans="21:21">
      <c r="U2631"/>
    </row>
    <row r="2632" customHeight="1" spans="21:21">
      <c r="U2632"/>
    </row>
    <row r="2633" customHeight="1" spans="21:21">
      <c r="U2633"/>
    </row>
    <row r="2634" customHeight="1" spans="21:21">
      <c r="U2634"/>
    </row>
    <row r="2635" customHeight="1" spans="21:21">
      <c r="U2635"/>
    </row>
    <row r="2636" customHeight="1" spans="21:21">
      <c r="U2636"/>
    </row>
    <row r="2637" customHeight="1" spans="21:21">
      <c r="U2637"/>
    </row>
    <row r="2638" customHeight="1" spans="21:21">
      <c r="U2638"/>
    </row>
    <row r="2639" customHeight="1" spans="21:21">
      <c r="U2639"/>
    </row>
    <row r="2640" customHeight="1" spans="21:21">
      <c r="U2640"/>
    </row>
    <row r="2641" customHeight="1" spans="21:21">
      <c r="U2641"/>
    </row>
    <row r="2642" customHeight="1" spans="21:21">
      <c r="U2642"/>
    </row>
    <row r="2643" customHeight="1" spans="21:21">
      <c r="U2643"/>
    </row>
    <row r="2644" customHeight="1" spans="21:21">
      <c r="U2644"/>
    </row>
    <row r="2645" customHeight="1" spans="21:21">
      <c r="U2645"/>
    </row>
    <row r="2646" customHeight="1" spans="21:21">
      <c r="U2646"/>
    </row>
    <row r="2647" customHeight="1" spans="21:21">
      <c r="U2647"/>
    </row>
    <row r="2648" customHeight="1" spans="21:21">
      <c r="U2648"/>
    </row>
    <row r="2649" customHeight="1" spans="21:21">
      <c r="U2649"/>
    </row>
    <row r="2650" customHeight="1" spans="21:21">
      <c r="U2650"/>
    </row>
    <row r="2651" customHeight="1" spans="21:21">
      <c r="U2651"/>
    </row>
    <row r="2652" customHeight="1" spans="21:21">
      <c r="U2652"/>
    </row>
    <row r="2653" customHeight="1" spans="21:21">
      <c r="U2653"/>
    </row>
    <row r="2654" customHeight="1" spans="21:21">
      <c r="U2654"/>
    </row>
    <row r="2655" customHeight="1" spans="21:21">
      <c r="U2655"/>
    </row>
    <row r="2656" customHeight="1" spans="21:21">
      <c r="U2656"/>
    </row>
    <row r="2657" customHeight="1" spans="21:21">
      <c r="U2657"/>
    </row>
    <row r="2658" customHeight="1" spans="21:21">
      <c r="U2658"/>
    </row>
    <row r="2659" customHeight="1" spans="21:21">
      <c r="U2659"/>
    </row>
    <row r="2660" customHeight="1" spans="21:21">
      <c r="U2660"/>
    </row>
    <row r="2661" customHeight="1" spans="21:21">
      <c r="U2661"/>
    </row>
    <row r="2662" customHeight="1" spans="21:21">
      <c r="U2662"/>
    </row>
    <row r="2663" customHeight="1" spans="21:21">
      <c r="U2663"/>
    </row>
    <row r="2664" customHeight="1" spans="21:21">
      <c r="U2664"/>
    </row>
    <row r="2665" customHeight="1" spans="21:21">
      <c r="U2665"/>
    </row>
    <row r="2666" customHeight="1" spans="21:21">
      <c r="U2666"/>
    </row>
    <row r="2667" customHeight="1" spans="21:21">
      <c r="U2667"/>
    </row>
    <row r="2668" customHeight="1" spans="21:21">
      <c r="U2668"/>
    </row>
    <row r="2669" customHeight="1" spans="21:21">
      <c r="U2669"/>
    </row>
    <row r="2670" customHeight="1" spans="21:21">
      <c r="U2670"/>
    </row>
    <row r="2671" customHeight="1" spans="21:21">
      <c r="U2671"/>
    </row>
    <row r="2672" customHeight="1" spans="21:21">
      <c r="U2672"/>
    </row>
    <row r="2673" customHeight="1" spans="21:21">
      <c r="U2673"/>
    </row>
    <row r="2674" customHeight="1" spans="21:21">
      <c r="U2674"/>
    </row>
    <row r="2675" customHeight="1" spans="21:21">
      <c r="U2675"/>
    </row>
    <row r="2676" customHeight="1" spans="21:21">
      <c r="U2676"/>
    </row>
    <row r="2677" customHeight="1" spans="21:21">
      <c r="U2677"/>
    </row>
    <row r="2678" customHeight="1" spans="21:21">
      <c r="U2678"/>
    </row>
    <row r="2679" customHeight="1" spans="21:21">
      <c r="U2679"/>
    </row>
    <row r="2680" customHeight="1" spans="21:21">
      <c r="U2680"/>
    </row>
    <row r="2681" customHeight="1" spans="21:21">
      <c r="U2681"/>
    </row>
    <row r="2682" customHeight="1" spans="21:21">
      <c r="U2682"/>
    </row>
    <row r="2683" customHeight="1" spans="21:21">
      <c r="U2683"/>
    </row>
    <row r="2684" customHeight="1" spans="21:21">
      <c r="U2684"/>
    </row>
    <row r="2685" customHeight="1" spans="21:21">
      <c r="U2685"/>
    </row>
    <row r="2686" customHeight="1" spans="21:21">
      <c r="U2686"/>
    </row>
    <row r="2687" customHeight="1" spans="21:21">
      <c r="U2687"/>
    </row>
    <row r="2688" customHeight="1" spans="21:21">
      <c r="U2688"/>
    </row>
    <row r="2689" customHeight="1" spans="21:21">
      <c r="U2689"/>
    </row>
    <row r="2690" customHeight="1" spans="21:21">
      <c r="U2690"/>
    </row>
    <row r="2691" customHeight="1" spans="21:21">
      <c r="U2691"/>
    </row>
    <row r="2692" customHeight="1" spans="21:21">
      <c r="U2692"/>
    </row>
    <row r="2693" customHeight="1" spans="21:21">
      <c r="U2693"/>
    </row>
    <row r="2694" customHeight="1" spans="21:21">
      <c r="U2694"/>
    </row>
    <row r="2695" customHeight="1" spans="21:21">
      <c r="U2695"/>
    </row>
    <row r="2696" customHeight="1" spans="21:21">
      <c r="U2696"/>
    </row>
    <row r="2697" customHeight="1" spans="21:21">
      <c r="U2697"/>
    </row>
    <row r="2698" customHeight="1" spans="21:21">
      <c r="U2698"/>
    </row>
    <row r="2699" customHeight="1" spans="21:21">
      <c r="U2699"/>
    </row>
    <row r="2700" customHeight="1" spans="21:21">
      <c r="U2700"/>
    </row>
    <row r="2701" customHeight="1" spans="21:21">
      <c r="U2701"/>
    </row>
    <row r="2702" customHeight="1" spans="21:21">
      <c r="U2702"/>
    </row>
    <row r="2703" customHeight="1" spans="21:21">
      <c r="U2703"/>
    </row>
    <row r="2704" customHeight="1" spans="21:21">
      <c r="U2704"/>
    </row>
    <row r="2705" customHeight="1" spans="21:21">
      <c r="U2705"/>
    </row>
    <row r="2706" customHeight="1" spans="21:21">
      <c r="U2706"/>
    </row>
    <row r="2707" customHeight="1" spans="21:21">
      <c r="U2707"/>
    </row>
    <row r="2708" customHeight="1" spans="21:21">
      <c r="U2708"/>
    </row>
    <row r="2709" customHeight="1" spans="21:21">
      <c r="U2709"/>
    </row>
    <row r="2710" customHeight="1" spans="21:21">
      <c r="U2710"/>
    </row>
    <row r="2711" customHeight="1" spans="21:21">
      <c r="U2711"/>
    </row>
    <row r="2712" customHeight="1" spans="21:21">
      <c r="U2712"/>
    </row>
    <row r="2713" customHeight="1" spans="21:21">
      <c r="U2713"/>
    </row>
    <row r="2714" customHeight="1" spans="21:21">
      <c r="U2714"/>
    </row>
    <row r="2715" customHeight="1" spans="21:21">
      <c r="U2715"/>
    </row>
    <row r="2716" customHeight="1" spans="21:21">
      <c r="U2716"/>
    </row>
    <row r="2717" customHeight="1" spans="21:21">
      <c r="U2717"/>
    </row>
    <row r="2718" customHeight="1" spans="21:21">
      <c r="U2718"/>
    </row>
    <row r="2719" customHeight="1" spans="21:21">
      <c r="U2719"/>
    </row>
    <row r="2720" customHeight="1" spans="21:21">
      <c r="U2720"/>
    </row>
    <row r="2721" customHeight="1" spans="21:21">
      <c r="U2721"/>
    </row>
    <row r="2722" customHeight="1" spans="21:21">
      <c r="U2722"/>
    </row>
    <row r="2723" customHeight="1" spans="21:21">
      <c r="U2723"/>
    </row>
    <row r="2724" customHeight="1" spans="21:21">
      <c r="U2724"/>
    </row>
    <row r="2725" customHeight="1" spans="21:21">
      <c r="U2725"/>
    </row>
    <row r="2726" customHeight="1" spans="21:21">
      <c r="U2726"/>
    </row>
    <row r="2727" customHeight="1" spans="21:21">
      <c r="U2727"/>
    </row>
    <row r="2728" customHeight="1" spans="21:21">
      <c r="U2728"/>
    </row>
    <row r="2729" customHeight="1" spans="21:21">
      <c r="U2729"/>
    </row>
    <row r="2730" customHeight="1" spans="21:21">
      <c r="U2730"/>
    </row>
    <row r="2731" customHeight="1" spans="21:21">
      <c r="U2731"/>
    </row>
    <row r="2732" customHeight="1" spans="21:21">
      <c r="U2732"/>
    </row>
    <row r="2733" customHeight="1" spans="21:21">
      <c r="U2733"/>
    </row>
    <row r="2734" customHeight="1" spans="21:21">
      <c r="U2734"/>
    </row>
    <row r="2735" customHeight="1" spans="21:21">
      <c r="U2735"/>
    </row>
    <row r="2736" customHeight="1" spans="21:21">
      <c r="U2736"/>
    </row>
    <row r="2737" customHeight="1" spans="21:21">
      <c r="U2737"/>
    </row>
    <row r="2738" customHeight="1" spans="21:21">
      <c r="U2738"/>
    </row>
    <row r="2739" customHeight="1" spans="21:21">
      <c r="U2739"/>
    </row>
    <row r="2740" customHeight="1" spans="21:21">
      <c r="U2740"/>
    </row>
    <row r="2741" customHeight="1" spans="21:21">
      <c r="U2741"/>
    </row>
    <row r="2742" customHeight="1" spans="21:21">
      <c r="U2742"/>
    </row>
    <row r="2743" customHeight="1" spans="21:21">
      <c r="U2743"/>
    </row>
    <row r="2744" customHeight="1" spans="21:21">
      <c r="U2744"/>
    </row>
    <row r="2745" customHeight="1" spans="21:21">
      <c r="U2745"/>
    </row>
    <row r="2746" customHeight="1" spans="21:21">
      <c r="U2746"/>
    </row>
    <row r="2747" customHeight="1" spans="21:21">
      <c r="U2747"/>
    </row>
    <row r="2748" customHeight="1" spans="21:21">
      <c r="U2748"/>
    </row>
    <row r="2749" customHeight="1" spans="21:21">
      <c r="U2749"/>
    </row>
    <row r="2750" customHeight="1" spans="21:21">
      <c r="U2750"/>
    </row>
    <row r="2751" customHeight="1" spans="21:21">
      <c r="U2751"/>
    </row>
    <row r="2752" customHeight="1" spans="21:21">
      <c r="U2752"/>
    </row>
    <row r="2753" customHeight="1" spans="21:21">
      <c r="U2753"/>
    </row>
    <row r="2754" customHeight="1" spans="21:21">
      <c r="U2754"/>
    </row>
    <row r="2755" customHeight="1" spans="21:21">
      <c r="U2755"/>
    </row>
    <row r="2756" customHeight="1" spans="21:21">
      <c r="U2756"/>
    </row>
    <row r="2757" customHeight="1" spans="21:21">
      <c r="U2757"/>
    </row>
    <row r="2758" customHeight="1" spans="21:21">
      <c r="U2758"/>
    </row>
    <row r="2759" customHeight="1" spans="21:21">
      <c r="U2759"/>
    </row>
    <row r="2760" customHeight="1" spans="21:21">
      <c r="U2760"/>
    </row>
    <row r="2761" customHeight="1" spans="21:21">
      <c r="U2761"/>
    </row>
    <row r="2762" customHeight="1" spans="21:21">
      <c r="U2762"/>
    </row>
    <row r="2763" customHeight="1" spans="21:21">
      <c r="U2763"/>
    </row>
    <row r="2764" customHeight="1" spans="21:21">
      <c r="U2764"/>
    </row>
    <row r="2765" customHeight="1" spans="21:21">
      <c r="U2765"/>
    </row>
    <row r="2766" customHeight="1" spans="21:21">
      <c r="U2766"/>
    </row>
    <row r="2767" customHeight="1" spans="21:21">
      <c r="U2767"/>
    </row>
    <row r="2768" customHeight="1" spans="21:21">
      <c r="U2768"/>
    </row>
    <row r="2769" customHeight="1" spans="21:21">
      <c r="U2769"/>
    </row>
    <row r="2770" customHeight="1" spans="21:21">
      <c r="U2770"/>
    </row>
    <row r="2771" customHeight="1" spans="21:21">
      <c r="U2771"/>
    </row>
    <row r="2772" customHeight="1" spans="21:21">
      <c r="U2772"/>
    </row>
    <row r="2773" customHeight="1" spans="21:21">
      <c r="U2773"/>
    </row>
    <row r="2774" customHeight="1" spans="21:21">
      <c r="U2774"/>
    </row>
    <row r="2775" customHeight="1" spans="21:21">
      <c r="U2775"/>
    </row>
    <row r="2776" customHeight="1" spans="21:21">
      <c r="U2776"/>
    </row>
    <row r="2777" customHeight="1" spans="21:21">
      <c r="U2777"/>
    </row>
    <row r="2778" customHeight="1" spans="21:21">
      <c r="U2778"/>
    </row>
    <row r="2779" customHeight="1" spans="21:21">
      <c r="U2779"/>
    </row>
    <row r="2780" customHeight="1" spans="21:21">
      <c r="U2780"/>
    </row>
    <row r="2781" customHeight="1" spans="21:21">
      <c r="U2781"/>
    </row>
    <row r="2782" customHeight="1" spans="21:21">
      <c r="U2782"/>
    </row>
    <row r="2783" customHeight="1" spans="21:21">
      <c r="U2783"/>
    </row>
    <row r="2784" customHeight="1" spans="21:21">
      <c r="U2784"/>
    </row>
    <row r="2785" customHeight="1" spans="21:21">
      <c r="U2785"/>
    </row>
    <row r="2786" customHeight="1" spans="21:21">
      <c r="U2786"/>
    </row>
    <row r="2787" customHeight="1" spans="21:21">
      <c r="U2787"/>
    </row>
    <row r="2788" customHeight="1" spans="21:21">
      <c r="U2788"/>
    </row>
    <row r="2789" customHeight="1" spans="21:21">
      <c r="U2789"/>
    </row>
    <row r="2790" customHeight="1" spans="21:21">
      <c r="U2790"/>
    </row>
    <row r="2791" customHeight="1" spans="21:21">
      <c r="U2791"/>
    </row>
    <row r="2792" customHeight="1" spans="21:21">
      <c r="U2792"/>
    </row>
    <row r="2793" customHeight="1" spans="21:21">
      <c r="U2793"/>
    </row>
    <row r="2794" customHeight="1" spans="21:21">
      <c r="U2794"/>
    </row>
    <row r="2795" customHeight="1" spans="21:21">
      <c r="U2795"/>
    </row>
    <row r="2796" customHeight="1" spans="21:21">
      <c r="U2796"/>
    </row>
    <row r="2797" customHeight="1" spans="21:21">
      <c r="U2797"/>
    </row>
    <row r="2798" customHeight="1" spans="21:21">
      <c r="U2798"/>
    </row>
    <row r="2799" customHeight="1" spans="21:21">
      <c r="U2799"/>
    </row>
    <row r="2800" customHeight="1" spans="21:21">
      <c r="U2800"/>
    </row>
    <row r="2801" customHeight="1" spans="21:21">
      <c r="U2801"/>
    </row>
    <row r="2802" customHeight="1" spans="21:21">
      <c r="U2802"/>
    </row>
    <row r="2803" customHeight="1" spans="21:21">
      <c r="U2803"/>
    </row>
    <row r="2804" customHeight="1" spans="21:21">
      <c r="U2804"/>
    </row>
    <row r="2805" customHeight="1" spans="21:21">
      <c r="U2805"/>
    </row>
    <row r="2806" customHeight="1" spans="21:21">
      <c r="U2806"/>
    </row>
    <row r="2807" customHeight="1" spans="21:21">
      <c r="U2807"/>
    </row>
    <row r="2808" customHeight="1" spans="21:21">
      <c r="U2808"/>
    </row>
    <row r="2809" customHeight="1" spans="21:21">
      <c r="U2809"/>
    </row>
    <row r="2810" customHeight="1" spans="21:21">
      <c r="U2810"/>
    </row>
    <row r="2811" customHeight="1" spans="21:21">
      <c r="U2811"/>
    </row>
    <row r="2812" customHeight="1" spans="21:21">
      <c r="U2812"/>
    </row>
    <row r="2813" customHeight="1" spans="21:21">
      <c r="U2813"/>
    </row>
    <row r="2814" customHeight="1" spans="21:21">
      <c r="U2814"/>
    </row>
    <row r="2815" customHeight="1" spans="21:21">
      <c r="U2815"/>
    </row>
    <row r="2816" customHeight="1" spans="21:21">
      <c r="U2816"/>
    </row>
    <row r="2817" customHeight="1" spans="21:21">
      <c r="U2817"/>
    </row>
    <row r="2818" customHeight="1" spans="21:21">
      <c r="U2818"/>
    </row>
    <row r="2819" customHeight="1" spans="21:21">
      <c r="U2819"/>
    </row>
    <row r="2820" customHeight="1" spans="21:21">
      <c r="U2820"/>
    </row>
    <row r="2821" customHeight="1" spans="21:21">
      <c r="U2821"/>
    </row>
    <row r="2822" customHeight="1" spans="21:21">
      <c r="U2822"/>
    </row>
    <row r="2823" customHeight="1" spans="21:21">
      <c r="U2823"/>
    </row>
    <row r="2824" customHeight="1" spans="21:21">
      <c r="U2824"/>
    </row>
    <row r="2825" customHeight="1" spans="21:21">
      <c r="U2825"/>
    </row>
    <row r="2826" customHeight="1" spans="21:21">
      <c r="U2826"/>
    </row>
    <row r="2827" customHeight="1" spans="21:21">
      <c r="U2827"/>
    </row>
    <row r="2828" customHeight="1" spans="21:21">
      <c r="U2828"/>
    </row>
    <row r="2829" customHeight="1" spans="21:21">
      <c r="U2829"/>
    </row>
    <row r="2830" customHeight="1" spans="21:21">
      <c r="U2830"/>
    </row>
    <row r="2831" customHeight="1" spans="21:21">
      <c r="U2831"/>
    </row>
    <row r="2832" customHeight="1" spans="21:21">
      <c r="U2832"/>
    </row>
    <row r="2833" customHeight="1" spans="21:21">
      <c r="U2833"/>
    </row>
    <row r="2834" customHeight="1" spans="21:21">
      <c r="U2834"/>
    </row>
    <row r="2835" customHeight="1" spans="21:21">
      <c r="U2835"/>
    </row>
    <row r="2836" customHeight="1" spans="21:21">
      <c r="U2836"/>
    </row>
    <row r="2837" customHeight="1" spans="21:21">
      <c r="U2837"/>
    </row>
    <row r="2838" customHeight="1" spans="21:21">
      <c r="U2838"/>
    </row>
    <row r="2839" customHeight="1" spans="21:21">
      <c r="U2839"/>
    </row>
    <row r="2840" customHeight="1" spans="21:21">
      <c r="U2840"/>
    </row>
    <row r="2841" customHeight="1" spans="21:21">
      <c r="U2841"/>
    </row>
    <row r="2842" customHeight="1" spans="21:21">
      <c r="U2842"/>
    </row>
    <row r="2843" customHeight="1" spans="21:21">
      <c r="U2843"/>
    </row>
    <row r="2844" customHeight="1" spans="21:21">
      <c r="U2844"/>
    </row>
    <row r="2845" customHeight="1" spans="21:21">
      <c r="U2845"/>
    </row>
    <row r="2846" customHeight="1" spans="21:21">
      <c r="U2846"/>
    </row>
    <row r="2847" customHeight="1" spans="21:21">
      <c r="U2847"/>
    </row>
    <row r="2848" customHeight="1" spans="21:21">
      <c r="U2848"/>
    </row>
    <row r="2849" customHeight="1" spans="21:21">
      <c r="U2849"/>
    </row>
    <row r="2850" customHeight="1" spans="21:21">
      <c r="U2850"/>
    </row>
    <row r="2851" customHeight="1" spans="21:21">
      <c r="U2851"/>
    </row>
    <row r="2852" customHeight="1" spans="21:21">
      <c r="U2852"/>
    </row>
    <row r="2853" customHeight="1" spans="21:21">
      <c r="U2853"/>
    </row>
    <row r="2854" customHeight="1" spans="21:21">
      <c r="U2854"/>
    </row>
    <row r="2855" customHeight="1" spans="21:21">
      <c r="U2855"/>
    </row>
    <row r="2856" customHeight="1" spans="21:21">
      <c r="U2856"/>
    </row>
    <row r="2857" customHeight="1" spans="21:21">
      <c r="U2857"/>
    </row>
    <row r="2858" customHeight="1" spans="21:21">
      <c r="U2858"/>
    </row>
    <row r="2859" customHeight="1" spans="21:21">
      <c r="U2859"/>
    </row>
    <row r="2860" customHeight="1" spans="21:21">
      <c r="U2860"/>
    </row>
    <row r="2861" customHeight="1" spans="21:21">
      <c r="U2861"/>
    </row>
    <row r="2862" customHeight="1" spans="21:21">
      <c r="U2862"/>
    </row>
    <row r="2863" customHeight="1" spans="21:21">
      <c r="U2863"/>
    </row>
    <row r="2864" customHeight="1" spans="21:21">
      <c r="U2864"/>
    </row>
    <row r="2865" customHeight="1" spans="21:21">
      <c r="U2865"/>
    </row>
    <row r="2866" customHeight="1" spans="21:21">
      <c r="U2866"/>
    </row>
  </sheetData>
  <mergeCells count="108">
    <mergeCell ref="B13:H13"/>
    <mergeCell ref="B17:H17"/>
    <mergeCell ref="B19:H19"/>
    <mergeCell ref="A20:H20"/>
    <mergeCell ref="B30:H30"/>
    <mergeCell ref="B36:H36"/>
    <mergeCell ref="B38:H38"/>
    <mergeCell ref="A39:H39"/>
    <mergeCell ref="B48:H48"/>
    <mergeCell ref="B53:H53"/>
    <mergeCell ref="A54:H54"/>
    <mergeCell ref="B66:H66"/>
    <mergeCell ref="B70:H70"/>
    <mergeCell ref="A71:H71"/>
    <mergeCell ref="B81:H81"/>
    <mergeCell ref="B84:H84"/>
    <mergeCell ref="A85:H85"/>
    <mergeCell ref="B92:H92"/>
    <mergeCell ref="B94:H94"/>
    <mergeCell ref="A95:H95"/>
    <mergeCell ref="B101:H101"/>
    <mergeCell ref="A102:H102"/>
    <mergeCell ref="B111:H111"/>
    <mergeCell ref="B115:H115"/>
    <mergeCell ref="A116:H116"/>
    <mergeCell ref="B125:H125"/>
    <mergeCell ref="B131:H131"/>
    <mergeCell ref="A132:H132"/>
    <mergeCell ref="B143:H143"/>
    <mergeCell ref="B148:H148"/>
    <mergeCell ref="A149:H149"/>
    <mergeCell ref="B160:H160"/>
    <mergeCell ref="B167:H167"/>
    <mergeCell ref="A168:H168"/>
    <mergeCell ref="B179:H179"/>
    <mergeCell ref="B184:H184"/>
    <mergeCell ref="A185:H185"/>
    <mergeCell ref="A4:A19"/>
    <mergeCell ref="A21:A38"/>
    <mergeCell ref="A40:A53"/>
    <mergeCell ref="A55:A70"/>
    <mergeCell ref="A72:A84"/>
    <mergeCell ref="A86:A94"/>
    <mergeCell ref="A96:A101"/>
    <mergeCell ref="A103:A115"/>
    <mergeCell ref="A117:A131"/>
    <mergeCell ref="A133:A148"/>
    <mergeCell ref="A150:A167"/>
    <mergeCell ref="A169:A184"/>
    <mergeCell ref="B4:B12"/>
    <mergeCell ref="B14:B16"/>
    <mergeCell ref="B21:B29"/>
    <mergeCell ref="B31:B35"/>
    <mergeCell ref="B40:B47"/>
    <mergeCell ref="B49:B52"/>
    <mergeCell ref="B55:B65"/>
    <mergeCell ref="B67:B69"/>
    <mergeCell ref="B72:B80"/>
    <mergeCell ref="B82:B83"/>
    <mergeCell ref="B86:B91"/>
    <mergeCell ref="B96:B100"/>
    <mergeCell ref="B103:B110"/>
    <mergeCell ref="B112:B114"/>
    <mergeCell ref="B117:B124"/>
    <mergeCell ref="B126:B130"/>
    <mergeCell ref="B133:B142"/>
    <mergeCell ref="B144:B147"/>
    <mergeCell ref="B150:B159"/>
    <mergeCell ref="B161:B166"/>
    <mergeCell ref="B169:B178"/>
    <mergeCell ref="B180:B183"/>
    <mergeCell ref="C4:C6"/>
    <mergeCell ref="C7:C12"/>
    <mergeCell ref="C14:C15"/>
    <mergeCell ref="C21:C22"/>
    <mergeCell ref="C23:C29"/>
    <mergeCell ref="C31:C32"/>
    <mergeCell ref="C33:C35"/>
    <mergeCell ref="C40:C42"/>
    <mergeCell ref="C43:C47"/>
    <mergeCell ref="C50:C52"/>
    <mergeCell ref="C55:C57"/>
    <mergeCell ref="C58:C65"/>
    <mergeCell ref="C67:C69"/>
    <mergeCell ref="C72:C73"/>
    <mergeCell ref="C74:C80"/>
    <mergeCell ref="C82:C83"/>
    <mergeCell ref="C86:C91"/>
    <mergeCell ref="C97:C100"/>
    <mergeCell ref="C103:C104"/>
    <mergeCell ref="C105:C110"/>
    <mergeCell ref="C113:C114"/>
    <mergeCell ref="C117:C118"/>
    <mergeCell ref="C119:C124"/>
    <mergeCell ref="C126:C127"/>
    <mergeCell ref="C128:C130"/>
    <mergeCell ref="C133:C135"/>
    <mergeCell ref="C136:C142"/>
    <mergeCell ref="C144:C145"/>
    <mergeCell ref="C146:C147"/>
    <mergeCell ref="C150:C152"/>
    <mergeCell ref="C153:C159"/>
    <mergeCell ref="C161:C163"/>
    <mergeCell ref="C164:C166"/>
    <mergeCell ref="C169:C171"/>
    <mergeCell ref="C172:C178"/>
    <mergeCell ref="C180:C182"/>
    <mergeCell ref="A1:U2"/>
  </mergeCell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2"/>
  <sheetViews>
    <sheetView zoomScale="85" zoomScaleNormal="85" workbookViewId="0">
      <selection activeCell="D28" sqref="D28"/>
    </sheetView>
  </sheetViews>
  <sheetFormatPr defaultColWidth="9" defaultRowHeight="20" customHeight="1"/>
  <cols>
    <col min="1" max="1" width="33.3796296296296" customWidth="1"/>
    <col min="2" max="13" width="13.75"/>
  </cols>
  <sheetData>
    <row r="1" customHeight="1" spans="1:13">
      <c r="A1" s="89" t="s">
        <v>319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customHeight="1" spans="1:13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</row>
    <row r="3" customHeight="1" spans="1:13">
      <c r="A3" s="90" t="s">
        <v>320</v>
      </c>
      <c r="B3" s="91">
        <f>B4+B6+B5</f>
        <v>39500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105"/>
    </row>
    <row r="4" customHeight="1" spans="1:13">
      <c r="A4" s="90" t="s">
        <v>321</v>
      </c>
      <c r="B4" s="91">
        <v>21600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105"/>
    </row>
    <row r="5" customHeight="1" spans="1:13">
      <c r="A5" s="90" t="s">
        <v>322</v>
      </c>
      <c r="B5" s="91">
        <v>11400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105"/>
    </row>
    <row r="6" customHeight="1" spans="1:13">
      <c r="A6" s="90" t="s">
        <v>323</v>
      </c>
      <c r="B6" s="91">
        <v>6500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105"/>
    </row>
    <row r="7" customHeight="1" spans="1:13">
      <c r="A7" s="90" t="s">
        <v>324</v>
      </c>
      <c r="B7" s="93" t="s">
        <v>325</v>
      </c>
      <c r="C7" s="93"/>
      <c r="D7" s="93"/>
      <c r="E7" s="93"/>
      <c r="F7" s="93"/>
      <c r="G7" s="93"/>
      <c r="H7" s="93"/>
      <c r="I7" s="106" t="s">
        <v>326</v>
      </c>
      <c r="J7" s="107"/>
      <c r="K7" s="106" t="s">
        <v>327</v>
      </c>
      <c r="L7" s="108"/>
      <c r="M7" s="107"/>
    </row>
    <row r="8" customHeight="1" spans="1:13">
      <c r="A8" s="90" t="s">
        <v>328</v>
      </c>
      <c r="B8" s="94" t="s">
        <v>329</v>
      </c>
      <c r="C8" s="94"/>
      <c r="D8" s="94"/>
      <c r="E8" s="95"/>
      <c r="F8" s="96" t="s">
        <v>330</v>
      </c>
      <c r="G8" s="94"/>
      <c r="H8" s="95"/>
      <c r="I8" s="106" t="s">
        <v>331</v>
      </c>
      <c r="J8" s="107"/>
      <c r="K8" s="106" t="s">
        <v>332</v>
      </c>
      <c r="L8" s="108"/>
      <c r="M8" s="107"/>
    </row>
    <row r="9" customHeight="1" spans="1:13">
      <c r="A9" s="97" t="s">
        <v>333</v>
      </c>
      <c r="B9" s="98" t="s">
        <v>173</v>
      </c>
      <c r="C9" s="98" t="s">
        <v>174</v>
      </c>
      <c r="D9" s="98" t="s">
        <v>175</v>
      </c>
      <c r="E9" s="98" t="s">
        <v>176</v>
      </c>
      <c r="F9" s="98" t="s">
        <v>177</v>
      </c>
      <c r="G9" s="98" t="s">
        <v>178</v>
      </c>
      <c r="H9" s="98" t="s">
        <v>179</v>
      </c>
      <c r="I9" s="98" t="s">
        <v>180</v>
      </c>
      <c r="J9" s="98" t="s">
        <v>181</v>
      </c>
      <c r="K9" s="98" t="s">
        <v>182</v>
      </c>
      <c r="L9" s="98" t="s">
        <v>183</v>
      </c>
      <c r="M9" s="98" t="s">
        <v>184</v>
      </c>
    </row>
    <row r="10" customHeight="1" spans="1:13">
      <c r="A10" s="97" t="s">
        <v>320</v>
      </c>
      <c r="B10" s="99">
        <f>B11+B15+B19</f>
        <v>36900</v>
      </c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9"/>
    </row>
    <row r="11" customHeight="1" spans="1:13">
      <c r="A11" s="97" t="s">
        <v>334</v>
      </c>
      <c r="B11" s="99">
        <f>SUM(B12:M12)</f>
        <v>20000</v>
      </c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9"/>
    </row>
    <row r="12" customHeight="1" spans="1:13">
      <c r="A12" s="97" t="s">
        <v>335</v>
      </c>
      <c r="B12" s="101">
        <v>500</v>
      </c>
      <c r="C12" s="101">
        <v>1300</v>
      </c>
      <c r="D12" s="101">
        <v>500</v>
      </c>
      <c r="E12" s="101">
        <v>1000</v>
      </c>
      <c r="F12" s="101">
        <v>2500</v>
      </c>
      <c r="G12" s="101">
        <v>2500</v>
      </c>
      <c r="H12" s="101">
        <v>1700</v>
      </c>
      <c r="I12" s="101">
        <v>1500</v>
      </c>
      <c r="J12" s="101">
        <v>1500</v>
      </c>
      <c r="K12" s="101">
        <v>2000</v>
      </c>
      <c r="L12" s="101">
        <v>2500</v>
      </c>
      <c r="M12" s="101">
        <v>2500</v>
      </c>
    </row>
    <row r="13" s="88" customFormat="1" customHeight="1" spans="1:13">
      <c r="A13" s="97" t="s">
        <v>336</v>
      </c>
      <c r="B13" s="102">
        <f>SUM(B14:M14)/B11</f>
        <v>0.995095</v>
      </c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</row>
    <row r="14" customHeight="1" spans="1:13">
      <c r="A14" s="97" t="s">
        <v>337</v>
      </c>
      <c r="B14" s="103">
        <f>IFERROR(VLOOKUP(A9:M9,筋膜枪pb2进度数据源!A:N,2,FALSE),0)</f>
        <v>506.89</v>
      </c>
      <c r="C14" s="103">
        <f>IFERROR(VLOOKUP(A9:M9,筋膜枪pb2进度数据源!A:N,2,FALSE),0)</f>
        <v>1311.03</v>
      </c>
      <c r="D14" s="103">
        <f>IFERROR(VLOOKUP(A9:M9,筋膜枪pb2进度数据源!A:N,2,FALSE),0)</f>
        <v>504.76</v>
      </c>
      <c r="E14" s="103">
        <f>IFERROR(VLOOKUP(A9:M9,筋膜枪pb2进度数据源!A:N,2,FALSE),0)</f>
        <v>986.12</v>
      </c>
      <c r="F14" s="103">
        <f>IFERROR(VLOOKUP(A9:M9,筋膜枪pb2进度数据源!A:N,2,FALSE),0)</f>
        <v>2518.86</v>
      </c>
      <c r="G14" s="103">
        <f>IFERROR(VLOOKUP(A9:M9,筋膜枪pb2进度数据源!A:N,2,FALSE),0)</f>
        <v>2477.02</v>
      </c>
      <c r="H14" s="103">
        <f>IFERROR(VLOOKUP(A9:M9,筋膜枪pb2进度数据源!A:N,2,FALSE),0)</f>
        <v>1717.72</v>
      </c>
      <c r="I14" s="103">
        <f>IFERROR(VLOOKUP(A9:M9,筋膜枪pb2进度数据源!A:N,2,FALSE),0)</f>
        <v>1441.02</v>
      </c>
      <c r="J14" s="103">
        <f>IFERROR(VLOOKUP(A9:M9,筋膜枪pb2进度数据源!A:N,2,FALSE),0)</f>
        <v>1373.38</v>
      </c>
      <c r="K14" s="103">
        <f>IFERROR(VLOOKUP(A9:M9,筋膜枪pb2进度数据源!A:N,2,FALSE),0)</f>
        <v>2015.92</v>
      </c>
      <c r="L14" s="103">
        <f>IFERROR(VLOOKUP(A9:M9,筋膜枪pb2进度数据源!A:N,2,FALSE),0)</f>
        <v>2549.52</v>
      </c>
      <c r="M14" s="103">
        <f>IFERROR(VLOOKUP(A9:M9,筋膜枪pb2进度数据源!A:N,2,FALSE),0)</f>
        <v>2499.66</v>
      </c>
    </row>
    <row r="15" customHeight="1" spans="1:13">
      <c r="A15" s="97" t="s">
        <v>338</v>
      </c>
      <c r="B15" s="104">
        <f>SUM(B16:M16)</f>
        <v>10400</v>
      </c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</row>
    <row r="16" customHeight="1" spans="1:13">
      <c r="A16" s="97" t="s">
        <v>339</v>
      </c>
      <c r="B16" s="101">
        <v>0</v>
      </c>
      <c r="C16" s="101">
        <v>0</v>
      </c>
      <c r="D16" s="101">
        <v>500</v>
      </c>
      <c r="E16" s="101">
        <v>500</v>
      </c>
      <c r="F16" s="101">
        <v>1500</v>
      </c>
      <c r="G16" s="101">
        <v>1500</v>
      </c>
      <c r="H16" s="101">
        <v>1800</v>
      </c>
      <c r="I16" s="101">
        <v>1400</v>
      </c>
      <c r="J16" s="101">
        <v>1000</v>
      </c>
      <c r="K16" s="101">
        <v>1000</v>
      </c>
      <c r="L16" s="101">
        <v>1200</v>
      </c>
      <c r="M16" s="101">
        <v>0</v>
      </c>
    </row>
    <row r="17" customHeight="1" spans="1:13">
      <c r="A17" s="97" t="s">
        <v>340</v>
      </c>
      <c r="B17" s="102">
        <f>SUM(B18:M18)/B15</f>
        <v>1.00242307692308</v>
      </c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</row>
    <row r="18" customHeight="1" spans="1:13">
      <c r="A18" s="97" t="s">
        <v>341</v>
      </c>
      <c r="B18" s="103">
        <f>IFERROR(VLOOKUP(A9:M9,筋膜枪cc进度数据源!A:N,2,FALSE),0)</f>
        <v>0</v>
      </c>
      <c r="C18" s="103">
        <f>IFERROR(VLOOKUP(A9:M9,筋膜枪cc进度数据源!A:N,2,FALSE),0)</f>
        <v>0</v>
      </c>
      <c r="D18" s="103">
        <f>IFERROR(VLOOKUP(A9:M9,筋膜枪cc进度数据源!A:N,2,FALSE),0)</f>
        <v>505.56</v>
      </c>
      <c r="E18" s="103">
        <f>IFERROR(VLOOKUP(A9:M9,筋膜枪cc进度数据源!A:N,2,FALSE),0)</f>
        <v>505.02</v>
      </c>
      <c r="F18" s="103">
        <f>IFERROR(VLOOKUP(A9:M9,筋膜枪cc进度数据源!A:N,2,FALSE),0)</f>
        <v>1417.42</v>
      </c>
      <c r="G18" s="103">
        <f>IFERROR(VLOOKUP(A9:M9,筋膜枪cc进度数据源!A:N,2,FALSE),0)</f>
        <v>1528.32</v>
      </c>
      <c r="H18" s="103">
        <f>IFERROR(VLOOKUP(A9:M9,筋膜枪cc进度数据源!A:N,2,FALSE),0)</f>
        <v>1841.43</v>
      </c>
      <c r="I18" s="103">
        <f>IFERROR(VLOOKUP(A9:M9,筋膜枪cc进度数据源!A:N,2,FALSE),0)</f>
        <v>1385.81</v>
      </c>
      <c r="J18" s="103">
        <f>IFERROR(VLOOKUP(A9:M9,筋膜枪cc进度数据源!A:N,2,FALSE),0)</f>
        <v>1015.26</v>
      </c>
      <c r="K18" s="103">
        <f>IFERROR(VLOOKUP(A9:M9,筋膜枪cc进度数据源!A:N,2,FALSE),0)</f>
        <v>1008.62</v>
      </c>
      <c r="L18" s="103">
        <f>IFERROR(VLOOKUP(A9:M9,筋膜枪cc进度数据源!A:N,2,FALSE),0)</f>
        <v>1217.46</v>
      </c>
      <c r="M18" s="103">
        <f>IFERROR(VLOOKUP(A9:M9,筋膜枪cc进度数据源!A:N,2,FALSE),0)</f>
        <v>0.3</v>
      </c>
    </row>
    <row r="19" customHeight="1" spans="1:13">
      <c r="A19" s="97" t="s">
        <v>342</v>
      </c>
      <c r="B19" s="104">
        <f>SUM(B20:M20)</f>
        <v>6500</v>
      </c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</row>
    <row r="20" customHeight="1" spans="1:13">
      <c r="A20" s="97" t="s">
        <v>343</v>
      </c>
      <c r="B20" s="101">
        <v>500</v>
      </c>
      <c r="C20" s="101">
        <v>500</v>
      </c>
      <c r="D20" s="101">
        <v>500</v>
      </c>
      <c r="E20" s="101">
        <v>500</v>
      </c>
      <c r="F20" s="101">
        <v>1000</v>
      </c>
      <c r="G20" s="101">
        <v>1000</v>
      </c>
      <c r="H20" s="101">
        <v>1000</v>
      </c>
      <c r="I20" s="101">
        <v>300</v>
      </c>
      <c r="J20" s="101">
        <v>300</v>
      </c>
      <c r="K20" s="101">
        <v>300</v>
      </c>
      <c r="L20" s="101">
        <v>300</v>
      </c>
      <c r="M20" s="101">
        <v>300</v>
      </c>
    </row>
    <row r="21" customHeight="1" spans="1:13">
      <c r="A21" s="97" t="s">
        <v>344</v>
      </c>
      <c r="B21" s="102">
        <f>SUM(B22:M22)/B19</f>
        <v>1.03086461538462</v>
      </c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</row>
    <row r="22" customHeight="1" spans="1:13">
      <c r="A22" s="97" t="s">
        <v>345</v>
      </c>
      <c r="B22" s="103">
        <f>IFERROR(VLOOKUP(A9:M9,跳绳2go进度数据源!A:N,2,FALSE),0)</f>
        <v>505.57</v>
      </c>
      <c r="C22" s="103">
        <f>IFERROR(VLOOKUP(A9:M9,跳绳2go进度数据源!A:N,2,FALSE),0)</f>
        <v>506.13</v>
      </c>
      <c r="D22" s="103">
        <f>IFERROR(VLOOKUP(A9:M9,跳绳2go进度数据源!A:N,2,FALSE),0)</f>
        <v>508.35</v>
      </c>
      <c r="E22" s="103">
        <f>IFERROR(VLOOKUP(A9:M9,跳绳2go进度数据源!A:N,2,FALSE),0)</f>
        <v>515.7</v>
      </c>
      <c r="F22" s="103">
        <f>IFERROR(VLOOKUP(A9:M9,跳绳2go进度数据源!A:N,2,FALSE),0)</f>
        <v>1055.85</v>
      </c>
      <c r="G22" s="103">
        <f>IFERROR(VLOOKUP(A9:M9,跳绳2go进度数据源!A:N,2,FALSE),0)</f>
        <v>1081.54</v>
      </c>
      <c r="H22" s="103">
        <f>IFERROR(VLOOKUP(A9:M9,跳绳2go进度数据源!A:N,2,FALSE),0)</f>
        <v>1053.59</v>
      </c>
      <c r="I22" s="103">
        <f>IFERROR(VLOOKUP(A9:M9,跳绳2go进度数据源!A:N,2,FALSE),0)</f>
        <v>526.45</v>
      </c>
      <c r="J22" s="103">
        <f>IFERROR(VLOOKUP(A9:M9,跳绳2go进度数据源!A:N,2,FALSE),0)</f>
        <v>316.93</v>
      </c>
      <c r="K22" s="103">
        <f>IFERROR(VLOOKUP(A9:M9,跳绳2go进度数据源!A:N,2,FALSE),0)</f>
        <v>306.27</v>
      </c>
      <c r="L22" s="103">
        <f>IFERROR(VLOOKUP(A9:M9,跳绳2go进度数据源!A:N,2,FALSE),0)</f>
        <v>324.24</v>
      </c>
      <c r="M22" s="103">
        <f>IFERROR(VLOOKUP(A9:M9,跳绳2go进度数据源!A:N,2,FALSE),0)</f>
        <v>0</v>
      </c>
    </row>
  </sheetData>
  <mergeCells count="19">
    <mergeCell ref="B3:M3"/>
    <mergeCell ref="B4:M4"/>
    <mergeCell ref="B5:M5"/>
    <mergeCell ref="B6:M6"/>
    <mergeCell ref="B7:H7"/>
    <mergeCell ref="I7:J7"/>
    <mergeCell ref="K7:M7"/>
    <mergeCell ref="B8:E8"/>
    <mergeCell ref="F8:H8"/>
    <mergeCell ref="I8:J8"/>
    <mergeCell ref="K8:M8"/>
    <mergeCell ref="B10:M10"/>
    <mergeCell ref="B11:M11"/>
    <mergeCell ref="B13:M13"/>
    <mergeCell ref="B15:M15"/>
    <mergeCell ref="B17:M17"/>
    <mergeCell ref="B19:M19"/>
    <mergeCell ref="B21:M21"/>
    <mergeCell ref="A1:M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O168"/>
  <sheetViews>
    <sheetView workbookViewId="0">
      <pane xSplit="15" ySplit="2" topLeftCell="AG3" activePane="bottomRight" state="frozen"/>
      <selection/>
      <selection pane="topRight"/>
      <selection pane="bottomLeft"/>
      <selection pane="bottomRight" activeCell="J175" sqref="J175"/>
    </sheetView>
  </sheetViews>
  <sheetFormatPr defaultColWidth="9" defaultRowHeight="14.4"/>
  <cols>
    <col min="1" max="1" width="13.3796296296296" customWidth="1"/>
    <col min="2" max="2" width="22.1203703703704" customWidth="1"/>
    <col min="3" max="3" width="10.5" customWidth="1"/>
    <col min="5" max="5" width="7.37962962962963" customWidth="1"/>
    <col min="6" max="6" width="12.1296296296296" style="58" customWidth="1"/>
    <col min="7" max="7" width="13.1296296296296" style="59" customWidth="1"/>
    <col min="8" max="8" width="5" customWidth="1"/>
    <col min="9" max="9" width="6.25" customWidth="1"/>
    <col min="10" max="11" width="8.5" customWidth="1"/>
    <col min="12" max="13" width="8.12962962962963" customWidth="1"/>
    <col min="14" max="14" width="5.87962962962963" customWidth="1"/>
    <col min="15" max="15" width="8.12962962962963" customWidth="1"/>
    <col min="16" max="16" width="10.3796296296296" customWidth="1"/>
    <col min="17" max="17" width="8" customWidth="1"/>
    <col min="18" max="18" width="5.75" customWidth="1"/>
    <col min="20" max="20" width="6.25" customWidth="1"/>
    <col min="21" max="21" width="6.87962962962963" customWidth="1"/>
    <col min="22" max="22" width="8" customWidth="1"/>
    <col min="23" max="23" width="10.3796296296296" customWidth="1"/>
    <col min="24" max="24" width="8" customWidth="1"/>
    <col min="25" max="25" width="5.75" customWidth="1"/>
    <col min="26" max="26" width="4.37962962962963" customWidth="1"/>
    <col min="27" max="27" width="6.25" customWidth="1"/>
    <col min="28" max="28" width="5.75" customWidth="1"/>
    <col min="29" max="29" width="10.25" customWidth="1"/>
    <col min="30" max="31" width="12.1296296296296" customWidth="1"/>
    <col min="32" max="32" width="9.25"/>
    <col min="33" max="33" width="8.12962962962963" customWidth="1"/>
    <col min="34" max="34" width="8.08333333333333" customWidth="1"/>
    <col min="39" max="39" width="9.87962962962963" style="60"/>
  </cols>
  <sheetData>
    <row r="1" ht="20" customHeight="1" spans="1:41">
      <c r="A1" s="61" t="s">
        <v>194</v>
      </c>
      <c r="B1" s="27" t="s">
        <v>346</v>
      </c>
      <c r="C1" s="28" t="s">
        <v>190</v>
      </c>
      <c r="D1" s="28" t="s">
        <v>193</v>
      </c>
      <c r="E1" s="28" t="s">
        <v>347</v>
      </c>
      <c r="F1" s="62" t="s">
        <v>348</v>
      </c>
      <c r="G1" s="63" t="s">
        <v>349</v>
      </c>
      <c r="H1" s="28" t="s">
        <v>350</v>
      </c>
      <c r="I1" s="28" t="s">
        <v>188</v>
      </c>
      <c r="J1" s="28" t="s">
        <v>192</v>
      </c>
      <c r="K1" s="67" t="s">
        <v>191</v>
      </c>
      <c r="L1" s="35" t="s">
        <v>351</v>
      </c>
      <c r="M1" s="35"/>
      <c r="N1" s="35"/>
      <c r="O1" s="35"/>
      <c r="P1" s="28" t="s">
        <v>352</v>
      </c>
      <c r="Q1" s="28"/>
      <c r="R1" s="28"/>
      <c r="S1" s="28"/>
      <c r="T1" s="28"/>
      <c r="U1" s="28"/>
      <c r="V1" s="28"/>
      <c r="W1" s="28" t="s">
        <v>353</v>
      </c>
      <c r="X1" s="28"/>
      <c r="Y1" s="28"/>
      <c r="Z1" s="28"/>
      <c r="AA1" s="28"/>
      <c r="AB1" s="28"/>
      <c r="AC1" s="28" t="s">
        <v>354</v>
      </c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 t="s">
        <v>355</v>
      </c>
      <c r="AO1" s="28"/>
    </row>
    <row r="2" ht="64.8" spans="1:41">
      <c r="A2" s="61"/>
      <c r="B2" s="27"/>
      <c r="C2" s="28"/>
      <c r="D2" s="28"/>
      <c r="E2" s="28"/>
      <c r="F2" s="62"/>
      <c r="G2" s="64"/>
      <c r="H2" s="28"/>
      <c r="I2" s="28"/>
      <c r="J2" s="28"/>
      <c r="K2" s="68"/>
      <c r="L2" s="35" t="s">
        <v>356</v>
      </c>
      <c r="M2" s="35" t="s">
        <v>357</v>
      </c>
      <c r="N2" s="35" t="s">
        <v>358</v>
      </c>
      <c r="O2" s="35" t="s">
        <v>359</v>
      </c>
      <c r="P2" s="28" t="s">
        <v>360</v>
      </c>
      <c r="Q2" s="70" t="s">
        <v>361</v>
      </c>
      <c r="R2" s="28" t="s">
        <v>362</v>
      </c>
      <c r="S2" s="28" t="s">
        <v>358</v>
      </c>
      <c r="T2" s="28" t="s">
        <v>359</v>
      </c>
      <c r="U2" s="28" t="s">
        <v>363</v>
      </c>
      <c r="V2" s="28" t="s">
        <v>364</v>
      </c>
      <c r="W2" s="28" t="s">
        <v>360</v>
      </c>
      <c r="X2" s="28" t="s">
        <v>361</v>
      </c>
      <c r="Y2" s="28" t="s">
        <v>362</v>
      </c>
      <c r="Z2" s="28" t="s">
        <v>358</v>
      </c>
      <c r="AA2" s="28" t="s">
        <v>359</v>
      </c>
      <c r="AB2" s="28" t="s">
        <v>363</v>
      </c>
      <c r="AC2" s="28" t="s">
        <v>365</v>
      </c>
      <c r="AD2" s="28" t="s">
        <v>366</v>
      </c>
      <c r="AE2" s="28" t="s">
        <v>367</v>
      </c>
      <c r="AF2" s="28" t="s">
        <v>368</v>
      </c>
      <c r="AG2" s="28" t="s">
        <v>369</v>
      </c>
      <c r="AH2" s="28" t="s">
        <v>370</v>
      </c>
      <c r="AI2" s="28" t="s">
        <v>371</v>
      </c>
      <c r="AJ2" s="28" t="s">
        <v>372</v>
      </c>
      <c r="AK2" s="28" t="s">
        <v>373</v>
      </c>
      <c r="AL2" s="28" t="s">
        <v>374</v>
      </c>
      <c r="AM2" s="28" t="s">
        <v>375</v>
      </c>
      <c r="AN2" s="28" t="s">
        <v>376</v>
      </c>
      <c r="AO2" s="28" t="s">
        <v>377</v>
      </c>
    </row>
    <row r="3" s="57" customFormat="1" ht="100" hidden="1" customHeight="1" spans="1:41">
      <c r="A3" s="4" t="s">
        <v>378</v>
      </c>
      <c r="B3" s="3" t="str">
        <f>VLOOKUP(A:A,笔记匹配!A:N,5,FALSE)</f>
        <v>=DISPIMG("ID_45FA29E717B947FAA038E2F79AD04ACA",1)</v>
      </c>
      <c r="C3" s="30" t="str">
        <f>VLOOKUP(A:A,笔记匹配!A:N,3,FALSE)</f>
        <v>曲美腻腻</v>
      </c>
      <c r="D3" s="30" t="str">
        <f>VLOOKUP(A:A,笔记匹配!A:N,6,FALSE)</f>
        <v>学会这3个动作！轻松在家瘦全身！不是梦！简单</v>
      </c>
      <c r="E3" s="30" t="str">
        <f>VLOOKUP(A:A,笔记匹配!A:N,7,FALSE)</f>
        <v>https://www.xiaohongshu.com/discovery/item/62e4ce29000000000e02bbd1</v>
      </c>
      <c r="F3" s="65">
        <f>VLOOKUP(A:A,笔记匹配!A:N,8,FALSE)</f>
        <v>44772</v>
      </c>
      <c r="G3" s="66" t="str">
        <f>VLOOKUP(A:A,笔记匹配!A:P,15,FALSE)</f>
        <v>2022-08-02</v>
      </c>
      <c r="H3" s="30" t="str">
        <f>VLOOKUP(A:A,笔记匹配!A:N,9,FALSE)</f>
        <v>视频</v>
      </c>
      <c r="I3" s="30" t="str">
        <f>VLOOKUP(A:A,笔记匹配!A:N,2,FALSE)</f>
        <v>筋膜枪</v>
      </c>
      <c r="J3" s="30" t="str">
        <f>VLOOKUP(A:A,笔记匹配!A:N,4,FALSE)</f>
        <v>云麦智能筋膜枪</v>
      </c>
      <c r="K3" s="30" t="str">
        <f>VLOOKUP(A:A,笔记匹配!A:N,14,FALSE)</f>
        <v>云麦筋膜枪pb2</v>
      </c>
      <c r="L3" s="3">
        <f>VLOOKUP(A:A,笔记匹配!A:N,10,FALSE)</f>
        <v>2208</v>
      </c>
      <c r="M3" s="3">
        <f>VLOOKUP(A:A,笔记匹配!A:N,11,FALSE)</f>
        <v>1688</v>
      </c>
      <c r="N3" s="69">
        <f>VLOOKUP(A:A,笔记匹配!A:N,12,FALSE)</f>
        <v>96</v>
      </c>
      <c r="O3" s="2">
        <f t="shared" ref="O3:O66" si="0">N3+M3+L3</f>
        <v>3992</v>
      </c>
      <c r="P3" s="3">
        <f>IFERROR(VLOOKUP(A:A,信息流数据源!A:K,2,FALSE),0)</f>
        <v>0</v>
      </c>
      <c r="Q3" s="71">
        <f>IFERROR(VLOOKUP(A:A,信息流数据源!A:N,5,FALSE),0)</f>
        <v>0</v>
      </c>
      <c r="R3" s="72">
        <f>IFERROR(VLOOKUP(A:A,信息流数据源!A:N,6,FALSE),0)</f>
        <v>0</v>
      </c>
      <c r="S3" s="2">
        <f>IFERROR(VLOOKUP(A:A,信息流数据源!A:N,9,FALSE),0)</f>
        <v>0</v>
      </c>
      <c r="T3" s="3">
        <f>IFERROR(VLOOKUP(A:A,信息流数据源!A:N,13,FALSE),0)</f>
        <v>0</v>
      </c>
      <c r="U3" s="73">
        <f>IFERROR(VLOOKUP(A:A,信息流数据源!A:N,14,FALSE),0)</f>
        <v>0</v>
      </c>
      <c r="V3" s="74">
        <f>IFERROR(VLOOKUP(A:A,信息流数据源!A:O,15,FALSE),0)</f>
        <v>0</v>
      </c>
      <c r="W3" s="3">
        <f>IFERROR(VLOOKUP(A:A,搜索数据源!A:T,2,FALSE),0)</f>
        <v>0</v>
      </c>
      <c r="X3" s="71">
        <f>IFERROR(VLOOKUP(A:A,搜索数据源!A:T,5,FALSE),0)</f>
        <v>0</v>
      </c>
      <c r="Y3" s="73">
        <f>IFERROR(VLOOKUP(A:A,搜索数据源!A:T,6,FALSE),0)</f>
        <v>0</v>
      </c>
      <c r="Z3" s="3">
        <f>IFERROR(VLOOKUP(A:A,搜索数据源!A:T,9,FALSE),0)</f>
        <v>0</v>
      </c>
      <c r="AA3" s="3" t="e">
        <f>VLOOKUP(A:A,[1]搜索数据源!A:T,13,FALSE)</f>
        <v>#N/A</v>
      </c>
      <c r="AB3" s="72">
        <f>IFERROR(VLOOKUP(A:A,搜索数据源!A:T,14,FALSE),0)</f>
        <v>0</v>
      </c>
      <c r="AC3" s="69" t="str">
        <f>_xlfn.DISPIMG("ID_3AF4C4A98597457EBFE0020C94D7A034",1)</f>
        <v>=DISPIMG("ID_3AF4C4A98597457EBFE0020C94D7A034",1)</v>
      </c>
      <c r="AD3" s="4" t="s">
        <v>379</v>
      </c>
      <c r="AE3" s="75">
        <v>44777</v>
      </c>
      <c r="AF3" s="3">
        <v>1499.04</v>
      </c>
      <c r="AG3" s="2">
        <v>7364</v>
      </c>
      <c r="AH3" s="69" t="str">
        <f>_xlfn.DISPIMG("ID_8A0596E2202D46F19C91B6DE1E1D738B",1)</f>
        <v>=DISPIMG("ID_8A0596E2202D46F19C91B6DE1E1D738B",1)</v>
      </c>
      <c r="AI3" s="4" t="s">
        <v>380</v>
      </c>
      <c r="AJ3" s="4">
        <v>10</v>
      </c>
      <c r="AK3" s="4">
        <v>11</v>
      </c>
      <c r="AL3" s="4">
        <f>AK3-AJ3</f>
        <v>1</v>
      </c>
      <c r="AM3" s="81">
        <f>IFERROR(AF3/AL3,0)</f>
        <v>1499.04</v>
      </c>
      <c r="AN3" s="5">
        <f>IFERROR(VLOOKUP(A:A,回搜数据源!B:N,4,FALSE),0)</f>
        <v>0</v>
      </c>
      <c r="AO3" s="5">
        <f>IFERROR(VLOOKUP(A:A,回搜数据源!B:N,5,FALSE),0)</f>
        <v>0</v>
      </c>
    </row>
    <row r="4" s="57" customFormat="1" ht="100" customHeight="1" spans="1:41">
      <c r="A4" s="4" t="s">
        <v>258</v>
      </c>
      <c r="B4" s="3" t="str">
        <f>VLOOKUP(A:A,笔记匹配!A:N,5,FALSE)</f>
        <v>=DISPIMG("ID_2AD9B3942E1E46A0A60B37CC4E32D310",1)</v>
      </c>
      <c r="C4" s="30" t="str">
        <f>VLOOKUP(A:A,笔记匹配!A:N,3,FALSE)</f>
        <v>猪脚ivi</v>
      </c>
      <c r="D4" s="30" t="str">
        <f>VLOOKUP(A:A,笔记匹配!A:N,6,FALSE)</f>
        <v>跳绳全部流程‼️做好这些 腿想粗都难</v>
      </c>
      <c r="E4" s="30" t="str">
        <f>VLOOKUP(A:A,笔记匹配!A:N,7,FALSE)</f>
        <v>https://www.xiaohongshu.com/discovery/item/6358a9b6000000001401d37d</v>
      </c>
      <c r="F4" s="65">
        <f>VLOOKUP(A:A,笔记匹配!A:N,8,FALSE)</f>
        <v>44860</v>
      </c>
      <c r="G4" s="66" t="str">
        <f>VLOOKUP(A:A,笔记匹配!A:P,15,FALSE)</f>
        <v>2022-11-10</v>
      </c>
      <c r="H4" s="30" t="str">
        <f>VLOOKUP(A:A,笔记匹配!A:N,9,FALSE)</f>
        <v>视频</v>
      </c>
      <c r="I4" s="30" t="str">
        <f>VLOOKUP(A:A,笔记匹配!A:N,2,FALSE)</f>
        <v>跳绳</v>
      </c>
      <c r="J4" s="30" t="str">
        <f>VLOOKUP(A:A,笔记匹配!A:N,4,FALSE)</f>
        <v>云麦跳绳2go</v>
      </c>
      <c r="K4" s="30" t="str">
        <f>VLOOKUP(A:A,笔记匹配!A:N,14,FALSE)</f>
        <v>云麦跳绳2go</v>
      </c>
      <c r="L4" s="3">
        <v>290000</v>
      </c>
      <c r="M4" s="3">
        <v>150000</v>
      </c>
      <c r="N4" s="69">
        <v>1462</v>
      </c>
      <c r="O4" s="2">
        <f t="shared" si="0"/>
        <v>441462</v>
      </c>
      <c r="P4" s="3">
        <f>IFERROR(VLOOKUP(A:A,信息流数据源!A:K,2,FALSE),0)</f>
        <v>4166.45</v>
      </c>
      <c r="Q4" s="71">
        <f>IFERROR(VLOOKUP(A:A,信息流数据源!A:N,5,FALSE),0)</f>
        <v>0.100683996680315</v>
      </c>
      <c r="R4" s="72">
        <f>IFERROR(VLOOKUP(A:A,信息流数据源!A:N,6,FALSE),0)</f>
        <v>0.0813823345573873</v>
      </c>
      <c r="S4" s="2">
        <f>IFERROR(VLOOKUP(A:A,信息流数据源!A:N,9,FALSE),0)</f>
        <v>28</v>
      </c>
      <c r="T4" s="3">
        <f>IFERROR(VLOOKUP(A:A,信息流数据源!A:N,13,FALSE),0)</f>
        <v>2350</v>
      </c>
      <c r="U4" s="73">
        <f>IFERROR(VLOOKUP(A:A,信息流数据源!A:N,14,FALSE),0)</f>
        <v>1.77295744680851</v>
      </c>
      <c r="V4" s="74">
        <f>IFERROR(VLOOKUP(A:A,信息流数据源!A:O,15,FALSE),0)</f>
        <v>0.0459020235955934</v>
      </c>
      <c r="W4" s="3">
        <f>IFERROR(VLOOKUP(A:A,搜索数据源!A:T,2,FALSE),0)</f>
        <v>0</v>
      </c>
      <c r="X4" s="71">
        <f>IFERROR(VLOOKUP(A:A,搜索数据源!A:T,5,FALSE),0)</f>
        <v>0</v>
      </c>
      <c r="Y4" s="73">
        <f>IFERROR(VLOOKUP(A:A,搜索数据源!A:T,6,FALSE),0)</f>
        <v>0</v>
      </c>
      <c r="Z4" s="3">
        <f>IFERROR(VLOOKUP(A:A,搜索数据源!A:T,9,FALSE),0)</f>
        <v>0</v>
      </c>
      <c r="AA4" s="3">
        <f>VLOOKUP(A:A,[1]搜索数据源!A:T,13,FALSE)</f>
        <v>22</v>
      </c>
      <c r="AB4" s="72">
        <f>IFERROR(VLOOKUP(A:A,搜索数据源!A:T,14,FALSE),0)</f>
        <v>0</v>
      </c>
      <c r="AC4" s="69" t="str">
        <f>_xlfn.DISPIMG("ID_DD1E2807F5B4492AB0F27AD740E68E33",1)</f>
        <v>=DISPIMG("ID_DD1E2807F5B4492AB0F27AD740E68E33",1)</v>
      </c>
      <c r="AD4" s="4" t="s">
        <v>381</v>
      </c>
      <c r="AE4" s="76"/>
      <c r="AF4" s="77"/>
      <c r="AG4" s="82"/>
      <c r="AH4" s="69"/>
      <c r="AI4" s="4"/>
      <c r="AJ4" s="4"/>
      <c r="AK4" s="4"/>
      <c r="AL4" s="4"/>
      <c r="AM4" s="81"/>
      <c r="AN4" s="5">
        <f>IFERROR(VLOOKUP(A:A,回搜数据源!B:N,4,FALSE),0)</f>
        <v>0</v>
      </c>
      <c r="AO4" s="5">
        <f>IFERROR(VLOOKUP(A:A,回搜数据源!B:N,5,FALSE),0)</f>
        <v>0</v>
      </c>
    </row>
    <row r="5" s="57" customFormat="1" ht="100" hidden="1" customHeight="1" spans="1:41">
      <c r="A5" s="4" t="s">
        <v>382</v>
      </c>
      <c r="B5" s="3" t="str">
        <f>VLOOKUP(A:A,笔记匹配!A:N,5,FALSE)</f>
        <v>=DISPIMG("ID_2E57BFB8032A4FCE80209EB2F840CCDE",1)</v>
      </c>
      <c r="C5" s="30" t="str">
        <f>VLOOKUP(A:A,笔记匹配!A:N,3,FALSE)</f>
        <v>玩长板的慧慧</v>
      </c>
      <c r="D5" s="30" t="str">
        <f>VLOOKUP(A:A,笔记匹配!A:N,6,FALSE)</f>
        <v>滑板5年|分享我的滑板后筋膜枪放松小经验</v>
      </c>
      <c r="E5" s="30" t="str">
        <f>VLOOKUP(A:A,笔记匹配!A:N,7,FALSE)</f>
        <v>https://www.xiaohongshu.com/discovery/item/630f1fc800000000110355fc</v>
      </c>
      <c r="F5" s="65">
        <f>VLOOKUP(A:A,笔记匹配!A:N,8,FALSE)</f>
        <v>44804</v>
      </c>
      <c r="G5" s="66" t="str">
        <f>VLOOKUP(A:A,笔记匹配!A:P,15,FALSE)</f>
        <v>2022-09-01</v>
      </c>
      <c r="H5" s="30" t="str">
        <f>VLOOKUP(A:A,笔记匹配!A:N,9,FALSE)</f>
        <v>视频</v>
      </c>
      <c r="I5" s="30" t="str">
        <f>VLOOKUP(A:A,笔记匹配!A:N,2,FALSE)</f>
        <v>筋膜枪</v>
      </c>
      <c r="J5" s="30" t="str">
        <f>VLOOKUP(A:A,笔记匹配!A:N,4,FALSE)</f>
        <v>云麦筋膜枪PB2</v>
      </c>
      <c r="K5" s="30" t="str">
        <f>VLOOKUP(A:A,笔记匹配!A:N,14,FALSE)</f>
        <v>云麦筋膜枪pb2</v>
      </c>
      <c r="L5" s="3">
        <f>VLOOKUP(A:A,笔记匹配!A:N,10,FALSE)</f>
        <v>140</v>
      </c>
      <c r="M5" s="3">
        <f>VLOOKUP(A:A,笔记匹配!A:N,11,FALSE)</f>
        <v>47</v>
      </c>
      <c r="N5" s="69">
        <f>VLOOKUP(A:A,笔记匹配!A:N,12,FALSE)</f>
        <v>20</v>
      </c>
      <c r="O5" s="2">
        <f t="shared" si="0"/>
        <v>207</v>
      </c>
      <c r="P5" s="3">
        <f>IFERROR(VLOOKUP(A:A,信息流数据源!A:K,2,FALSE),0)</f>
        <v>0</v>
      </c>
      <c r="Q5" s="71">
        <f>IFERROR(VLOOKUP(A:A,信息流数据源!A:N,5,FALSE),0)</f>
        <v>0</v>
      </c>
      <c r="R5" s="72">
        <f>IFERROR(VLOOKUP(A:A,信息流数据源!A:N,6,FALSE),0)</f>
        <v>0</v>
      </c>
      <c r="S5" s="2">
        <f>IFERROR(VLOOKUP(A:A,信息流数据源!A:N,9,FALSE),0)</f>
        <v>0</v>
      </c>
      <c r="T5" s="3">
        <f>IFERROR(VLOOKUP(A:A,信息流数据源!A:N,13,FALSE),0)</f>
        <v>0</v>
      </c>
      <c r="U5" s="73">
        <f>IFERROR(VLOOKUP(A:A,信息流数据源!A:N,14,FALSE),0)</f>
        <v>0</v>
      </c>
      <c r="V5" s="74">
        <f>IFERROR(VLOOKUP(A:A,信息流数据源!A:O,15,FALSE),0)</f>
        <v>0</v>
      </c>
      <c r="W5" s="3">
        <f>IFERROR(VLOOKUP(A:A,搜索数据源!A:T,2,FALSE),0)</f>
        <v>0</v>
      </c>
      <c r="X5" s="71">
        <f>IFERROR(VLOOKUP(A:A,搜索数据源!A:T,5,FALSE),0)</f>
        <v>0</v>
      </c>
      <c r="Y5" s="73">
        <f>IFERROR(VLOOKUP(A:A,搜索数据源!A:T,6,FALSE),0)</f>
        <v>0</v>
      </c>
      <c r="Z5" s="3">
        <f>IFERROR(VLOOKUP(A:A,搜索数据源!A:T,9,FALSE),0)</f>
        <v>0</v>
      </c>
      <c r="AA5" s="3" t="e">
        <f>VLOOKUP(A:A,[1]搜索数据源!A:T,13,FALSE)</f>
        <v>#N/A</v>
      </c>
      <c r="AB5" s="72">
        <f>IFERROR(VLOOKUP(A:A,搜索数据源!A:T,14,FALSE),0)</f>
        <v>0</v>
      </c>
      <c r="AC5" s="69" t="str">
        <f>_xlfn.DISPIMG("ID_F6C251645DA8427F8E0D586BE35DFBE7",1)</f>
        <v>=DISPIMG("ID_F6C251645DA8427F8E0D586BE35DFBE7",1)</v>
      </c>
      <c r="AD5" s="4" t="s">
        <v>383</v>
      </c>
      <c r="AE5" s="75">
        <v>44814</v>
      </c>
      <c r="AF5" s="3">
        <v>1449.85</v>
      </c>
      <c r="AG5" s="2">
        <v>5081</v>
      </c>
      <c r="AH5" s="69" t="str">
        <f>_xlfn.DISPIMG("ID_77C5C157320F46D0904B91CD558A14AF",1)</f>
        <v>=DISPIMG("ID_77C5C157320F46D0904B91CD558A14AF",1)</v>
      </c>
      <c r="AI5" s="4" t="s">
        <v>384</v>
      </c>
      <c r="AJ5" s="4">
        <v>35</v>
      </c>
      <c r="AK5" s="4">
        <v>36</v>
      </c>
      <c r="AL5" s="4">
        <f>AK5-AJ5</f>
        <v>1</v>
      </c>
      <c r="AM5" s="81">
        <f>IFERROR(AF5/AL5,0)</f>
        <v>1449.85</v>
      </c>
      <c r="AN5" s="5">
        <f>IFERROR(VLOOKUP(A:A,回搜数据源!B:N,4,FALSE),0)</f>
        <v>0</v>
      </c>
      <c r="AO5" s="5">
        <f>IFERROR(VLOOKUP(A:A,回搜数据源!B:N,5,FALSE),0)</f>
        <v>0</v>
      </c>
    </row>
    <row r="6" s="57" customFormat="1" ht="100" hidden="1" customHeight="1" spans="1:41">
      <c r="A6" s="30" t="s">
        <v>385</v>
      </c>
      <c r="B6" s="3" t="str">
        <f>VLOOKUP(A:A,笔记匹配!A:N,5,FALSE)</f>
        <v>=DISPIMG("ID_8396E99B762B437CBD3E56B6B07717F6",1)</v>
      </c>
      <c r="C6" s="30" t="str">
        <f>VLOOKUP(A:A,笔记匹配!A:N,3,FALSE)</f>
        <v>一颗紫菜</v>
      </c>
      <c r="D6" s="30" t="str">
        <f>VLOOKUP(A:A,笔记匹配!A:N,6,FALSE)</f>
        <v>改善粗腿肌肉腿！宅家按摩神器轻松全款拿下！</v>
      </c>
      <c r="E6" s="30" t="str">
        <f>VLOOKUP(A:A,笔记匹配!A:N,7,FALSE)</f>
        <v>https://www.xiaohongshu.com/discovery/item/638d5ea9000000001f00d4d6</v>
      </c>
      <c r="F6" s="65">
        <f>VLOOKUP(A:A,笔记匹配!A:N,8,FALSE)</f>
        <v>44900</v>
      </c>
      <c r="G6" s="66">
        <f>VLOOKUP(A:A,笔记匹配!A:P,15,FALSE)</f>
        <v>44902</v>
      </c>
      <c r="H6" s="30" t="str">
        <f>VLOOKUP(A:A,笔记匹配!A:N,9,FALSE)</f>
        <v>图文</v>
      </c>
      <c r="I6" s="30" t="str">
        <f>VLOOKUP(A:A,笔记匹配!A:N,2,FALSE)</f>
        <v>筋膜枪</v>
      </c>
      <c r="J6" s="30" t="str">
        <f>VLOOKUP(A:A,笔记匹配!A:N,4,FALSE)</f>
        <v>云麦筋膜枪cc</v>
      </c>
      <c r="K6" s="30" t="str">
        <f>VLOOKUP(A:A,笔记匹配!A:N,14,FALSE)</f>
        <v>云麦筋膜枪ccgo</v>
      </c>
      <c r="L6" s="3">
        <v>318</v>
      </c>
      <c r="M6" s="3">
        <v>143</v>
      </c>
      <c r="N6" s="69">
        <v>51</v>
      </c>
      <c r="O6" s="2">
        <f t="shared" si="0"/>
        <v>512</v>
      </c>
      <c r="P6" s="3">
        <f>IFERROR(VLOOKUP(A:A,信息流数据源!A:K,2,FALSE),0)</f>
        <v>1016.81</v>
      </c>
      <c r="Q6" s="71">
        <f>IFERROR(VLOOKUP(A:A,信息流数据源!A:N,5,FALSE),0)</f>
        <v>0.0532773065649885</v>
      </c>
      <c r="R6" s="72">
        <f>IFERROR(VLOOKUP(A:A,信息流数据源!A:N,6,FALSE),0)</f>
        <v>0.247519474196689</v>
      </c>
      <c r="S6" s="2">
        <f>IFERROR(VLOOKUP(A:A,信息流数据源!A:N,9,FALSE),0)</f>
        <v>2</v>
      </c>
      <c r="T6" s="3">
        <f>IFERROR(VLOOKUP(A:A,信息流数据源!A:N,13,FALSE),0)</f>
        <v>125</v>
      </c>
      <c r="U6" s="73">
        <f>IFERROR(VLOOKUP(A:A,信息流数据源!A:N,14,FALSE),0)</f>
        <v>8.13448</v>
      </c>
      <c r="V6" s="74">
        <f>IFERROR(VLOOKUP(A:A,信息流数据源!A:O,15,FALSE),0)</f>
        <v>0.0304284323271665</v>
      </c>
      <c r="W6" s="3">
        <f>IFERROR(VLOOKUP(A:A,搜索数据源!A:T,2,FALSE),0)</f>
        <v>0</v>
      </c>
      <c r="X6" s="71">
        <f>IFERROR(VLOOKUP(A:A,搜索数据源!A:T,5,FALSE),0)</f>
        <v>0</v>
      </c>
      <c r="Y6" s="73">
        <f>IFERROR(VLOOKUP(A:A,搜索数据源!A:T,6,FALSE),0)</f>
        <v>0</v>
      </c>
      <c r="Z6" s="3">
        <f>IFERROR(VLOOKUP(A:A,搜索数据源!A:T,9,FALSE),0)</f>
        <v>0</v>
      </c>
      <c r="AA6" s="3" t="e">
        <f>VLOOKUP(A:A,[1]搜索数据源!A:T,13,FALSE)</f>
        <v>#N/A</v>
      </c>
      <c r="AB6" s="72">
        <f>IFERROR(VLOOKUP(A:A,搜索数据源!A:T,14,FALSE),0)</f>
        <v>0</v>
      </c>
      <c r="AC6" s="69" t="str">
        <f>_xlfn.DISPIMG("ID_1CE6678D70474E48B74CB0FF11673357",1)</f>
        <v>=DISPIMG("ID_1CE6678D70474E48B74CB0FF11673357",1)</v>
      </c>
      <c r="AD6" s="4" t="s">
        <v>386</v>
      </c>
      <c r="AE6" s="78"/>
      <c r="AF6" s="78"/>
      <c r="AG6" s="2"/>
      <c r="AH6" s="78"/>
      <c r="AI6" s="78"/>
      <c r="AJ6" s="78"/>
      <c r="AK6" s="78"/>
      <c r="AL6" s="4">
        <f>AK6-AJ6</f>
        <v>0</v>
      </c>
      <c r="AM6" s="81">
        <f>IFERROR(AF6/AL6,0)</f>
        <v>0</v>
      </c>
      <c r="AN6" s="5">
        <f>IFERROR(VLOOKUP(A:A,回搜数据源!B:N,4,FALSE),0)</f>
        <v>0</v>
      </c>
      <c r="AO6" s="5">
        <f>IFERROR(VLOOKUP(A:A,回搜数据源!B:N,5,FALSE),0)</f>
        <v>0</v>
      </c>
    </row>
    <row r="7" s="57" customFormat="1" ht="100" hidden="1" customHeight="1" spans="1:41">
      <c r="A7" s="4" t="s">
        <v>387</v>
      </c>
      <c r="B7" s="3" t="str">
        <f>VLOOKUP(A:A,笔记匹配!A:N,5,FALSE)</f>
        <v>=DISPIMG("ID_F27D63B8EE58465DBD82D9CF82C44E5C",1)</v>
      </c>
      <c r="C7" s="30" t="str">
        <f>VLOOKUP(A:A,笔记匹配!A:N,3,FALSE)</f>
        <v>芒果腻</v>
      </c>
      <c r="D7" s="30" t="str">
        <f>VLOOKUP(A:A,笔记匹配!A:N,6,FALSE)</f>
        <v>5天腰围小了2cm‼️空腹有氧试试跳绳间歇法</v>
      </c>
      <c r="E7" s="30" t="str">
        <f>VLOOKUP(A:A,笔记匹配!A:N,7,FALSE)</f>
        <v>https://www.xiaohongshu.com/discovery/item/6333fbc80000000017017605</v>
      </c>
      <c r="F7" s="65">
        <f>VLOOKUP(A:A,笔记匹配!A:N,8,FALSE)</f>
        <v>44832</v>
      </c>
      <c r="G7" s="66">
        <f>VLOOKUP(A:A,笔记匹配!A:P,15,FALSE)</f>
        <v>44898</v>
      </c>
      <c r="H7" s="30" t="str">
        <f>VLOOKUP(A:A,笔记匹配!A:N,9,FALSE)</f>
        <v>图文</v>
      </c>
      <c r="I7" s="30" t="str">
        <f>VLOOKUP(A:A,笔记匹配!A:N,2,FALSE)</f>
        <v>跳绳</v>
      </c>
      <c r="J7" s="30" t="str">
        <f>VLOOKUP(A:A,笔记匹配!A:N,4,FALSE)</f>
        <v>云麦跳绳2go</v>
      </c>
      <c r="K7" s="30" t="str">
        <f>VLOOKUP(A:A,笔记匹配!A:N,14,FALSE)</f>
        <v>云麦跳绳2go</v>
      </c>
      <c r="L7" s="3">
        <v>265</v>
      </c>
      <c r="M7" s="3">
        <v>153</v>
      </c>
      <c r="N7" s="69">
        <v>24</v>
      </c>
      <c r="O7" s="2">
        <f t="shared" si="0"/>
        <v>442</v>
      </c>
      <c r="P7" s="3">
        <f>IFERROR(VLOOKUP(A:A,信息流数据源!A:K,2,FALSE),0)</f>
        <v>1016.55</v>
      </c>
      <c r="Q7" s="71">
        <f>IFERROR(VLOOKUP(A:A,信息流数据源!A:N,5,FALSE),0)</f>
        <v>0.100061249665715</v>
      </c>
      <c r="R7" s="72">
        <f>IFERROR(VLOOKUP(A:A,信息流数据源!A:N,6,FALSE),0)</f>
        <v>0.0876411759634451</v>
      </c>
      <c r="S7" s="2">
        <f>IFERROR(VLOOKUP(A:A,信息流数据源!A:N,9,FALSE),0)</f>
        <v>7</v>
      </c>
      <c r="T7" s="3">
        <f>IFERROR(VLOOKUP(A:A,信息流数据源!A:N,13,FALSE),0)</f>
        <v>298</v>
      </c>
      <c r="U7" s="73">
        <f>IFERROR(VLOOKUP(A:A,信息流数据源!A:N,14,FALSE),0)</f>
        <v>3.41124161073826</v>
      </c>
      <c r="V7" s="74">
        <f>IFERROR(VLOOKUP(A:A,信息流数据源!A:O,15,FALSE),0)</f>
        <v>0.0256918699887921</v>
      </c>
      <c r="W7" s="3">
        <f>IFERROR(VLOOKUP(A:A,搜索数据源!A:T,2,FALSE),0)</f>
        <v>0</v>
      </c>
      <c r="X7" s="71">
        <f>IFERROR(VLOOKUP(A:A,搜索数据源!A:T,5,FALSE),0)</f>
        <v>0</v>
      </c>
      <c r="Y7" s="73">
        <f>IFERROR(VLOOKUP(A:A,搜索数据源!A:T,6,FALSE),0)</f>
        <v>0</v>
      </c>
      <c r="Z7" s="3">
        <f>IFERROR(VLOOKUP(A:A,搜索数据源!A:T,9,FALSE),0)</f>
        <v>0</v>
      </c>
      <c r="AA7" s="3" t="e">
        <f>VLOOKUP(A:A,[1]搜索数据源!A:T,13,FALSE)</f>
        <v>#N/A</v>
      </c>
      <c r="AB7" s="72">
        <f>IFERROR(VLOOKUP(A:A,搜索数据源!A:T,14,FALSE),0)</f>
        <v>0</v>
      </c>
      <c r="AC7" s="69"/>
      <c r="AD7" s="4"/>
      <c r="AE7" s="76"/>
      <c r="AF7" s="3"/>
      <c r="AG7" s="2"/>
      <c r="AH7" s="69"/>
      <c r="AI7" s="4"/>
      <c r="AJ7" s="4"/>
      <c r="AK7" s="4"/>
      <c r="AL7" s="4"/>
      <c r="AM7" s="81"/>
      <c r="AN7" s="5">
        <f>IFERROR(VLOOKUP(A:A,回搜数据源!B:N,4,FALSE),0)</f>
        <v>0</v>
      </c>
      <c r="AO7" s="5">
        <f>IFERROR(VLOOKUP(A:A,回搜数据源!B:N,5,FALSE),0)</f>
        <v>0</v>
      </c>
    </row>
    <row r="8" s="57" customFormat="1" ht="100" hidden="1" customHeight="1" spans="1:41">
      <c r="A8" s="4" t="s">
        <v>247</v>
      </c>
      <c r="B8" s="3" t="str">
        <f>VLOOKUP(A:A,笔记匹配!A:N,5,FALSE)</f>
        <v>=DISPIMG("ID_52D6DD2B9CA44928A62A12BBC6B25843",1)</v>
      </c>
      <c r="C8" s="30" t="str">
        <f>VLOOKUP(A:A,笔记匹配!A:N,3,FALSE)</f>
        <v>蔓玉有点甜</v>
      </c>
      <c r="D8" s="30" t="str">
        <f>VLOOKUP(A:A,笔记匹配!A:N,6,FALSE)</f>
        <v>保姆级教程㊙手把手教你低成本轻松变美</v>
      </c>
      <c r="E8" s="30" t="str">
        <f>VLOOKUP(A:A,笔记匹配!A:N,7,FALSE)</f>
        <v>https://www.xiaohongshu.com/discovery/item/632c10b9000000001200da7e</v>
      </c>
      <c r="F8" s="65">
        <f>VLOOKUP(A:A,笔记匹配!A:N,8,FALSE)</f>
        <v>44826</v>
      </c>
      <c r="G8" s="66" t="str">
        <f>VLOOKUP(A:A,笔记匹配!A:P,15,FALSE)</f>
        <v>2022-11-11</v>
      </c>
      <c r="H8" s="30" t="str">
        <f>VLOOKUP(A:A,笔记匹配!A:N,9,FALSE)</f>
        <v>视频</v>
      </c>
      <c r="I8" s="30" t="str">
        <f>VLOOKUP(A:A,笔记匹配!A:N,2,FALSE)</f>
        <v>跳绳</v>
      </c>
      <c r="J8" s="30" t="str">
        <f>VLOOKUP(A:A,笔记匹配!A:N,4,FALSE)</f>
        <v>云麦跳绳2go</v>
      </c>
      <c r="K8" s="30" t="str">
        <f>VLOOKUP(A:A,笔记匹配!A:N,14,FALSE)</f>
        <v>云麦跳绳2go</v>
      </c>
      <c r="L8" s="3">
        <v>915</v>
      </c>
      <c r="M8" s="3">
        <v>468</v>
      </c>
      <c r="N8" s="69">
        <v>24</v>
      </c>
      <c r="O8" s="2">
        <f t="shared" si="0"/>
        <v>1407</v>
      </c>
      <c r="P8" s="3">
        <f>IFERROR(VLOOKUP(A:A,信息流数据源!A:K,2,FALSE),0)</f>
        <v>506.22</v>
      </c>
      <c r="Q8" s="71">
        <f>IFERROR(VLOOKUP(A:A,信息流数据源!A:N,5,FALSE),0)</f>
        <v>0.06883038585209</v>
      </c>
      <c r="R8" s="72">
        <f>IFERROR(VLOOKUP(A:A,信息流数据源!A:N,6,FALSE),0)</f>
        <v>0.246335766423358</v>
      </c>
      <c r="S8" s="2">
        <f>IFERROR(VLOOKUP(A:A,信息流数据源!A:N,9,FALSE),0)</f>
        <v>0</v>
      </c>
      <c r="T8" s="3">
        <f>IFERROR(VLOOKUP(A:A,信息流数据源!A:N,13,FALSE),0)</f>
        <v>204</v>
      </c>
      <c r="U8" s="73">
        <f>IFERROR(VLOOKUP(A:A,信息流数据源!A:N,14,FALSE),0)</f>
        <v>2.48147058823529</v>
      </c>
      <c r="V8" s="74">
        <f>IFERROR(VLOOKUP(A:A,信息流数据源!A:O,15,FALSE),0)</f>
        <v>0.0992700729927007</v>
      </c>
      <c r="W8" s="3">
        <f>IFERROR(VLOOKUP(A:A,搜索数据源!A:T,2,FALSE),0)</f>
        <v>0</v>
      </c>
      <c r="X8" s="71">
        <f>IFERROR(VLOOKUP(A:A,搜索数据源!A:T,5,FALSE),0)</f>
        <v>0</v>
      </c>
      <c r="Y8" s="73">
        <f>IFERROR(VLOOKUP(A:A,搜索数据源!A:T,6,FALSE),0)</f>
        <v>0</v>
      </c>
      <c r="Z8" s="3">
        <f>IFERROR(VLOOKUP(A:A,搜索数据源!A:T,9,FALSE),0)</f>
        <v>0</v>
      </c>
      <c r="AA8" s="3" t="e">
        <f>VLOOKUP(A:A,搜索数据源!A:T,13,FALSE)</f>
        <v>#N/A</v>
      </c>
      <c r="AB8" s="72">
        <f>IFERROR(VLOOKUP(A:A,搜索数据源!A:T,14,FALSE),0)</f>
        <v>0</v>
      </c>
      <c r="AC8" s="69" t="str">
        <f>_xlfn.DISPIMG("ID_420B91E1AA7649C28AD5471F62DA930B",1)</f>
        <v>=DISPIMG("ID_420B91E1AA7649C28AD5471F62DA930B",1)</v>
      </c>
      <c r="AD8" s="4" t="s">
        <v>388</v>
      </c>
      <c r="AE8" s="76"/>
      <c r="AF8" s="77"/>
      <c r="AG8" s="82"/>
      <c r="AH8" s="69"/>
      <c r="AI8" s="4"/>
      <c r="AJ8" s="4"/>
      <c r="AK8" s="4"/>
      <c r="AL8" s="4"/>
      <c r="AM8" s="81"/>
      <c r="AN8" s="5">
        <f>IFERROR(VLOOKUP(A:A,回搜数据源!B:N,4,FALSE),0)</f>
        <v>0</v>
      </c>
      <c r="AO8" s="5">
        <f>IFERROR(VLOOKUP(A:A,回搜数据源!B:N,5,FALSE),0)</f>
        <v>0</v>
      </c>
    </row>
    <row r="9" s="57" customFormat="1" ht="100" hidden="1" customHeight="1" spans="1:41">
      <c r="A9" s="4" t="s">
        <v>389</v>
      </c>
      <c r="B9" s="3" t="str">
        <f>VLOOKUP(A:A,笔记匹配!A:N,5,FALSE)</f>
        <v>=DISPIMG("ID_13BCB4647F9042E8B3897A9EC1BB66D6",1)</v>
      </c>
      <c r="C9" s="30" t="str">
        <f>VLOOKUP(A:A,笔记匹配!A:N,3,FALSE)</f>
        <v>Morii</v>
      </c>
      <c r="D9" s="30" t="str">
        <f>VLOOKUP(A:A,笔记匹配!A:N,6,FALSE)</f>
        <v>跳出马甲线！一根无绳跳绳就够了</v>
      </c>
      <c r="E9" s="30" t="str">
        <f>VLOOKUP(A:A,笔记匹配!A:N,7,FALSE)</f>
        <v>https://www.xiaohongshu.com/discovery/item/633115bb0000000018003042?app_platform=android&amp;app_version=7.43.0&amp;share_from_user_hidden=true&amp;xhsshare=CopyLink&amp;appuid=5cfb24ad000000001103f60c&amp;apptime=1664194506</v>
      </c>
      <c r="F9" s="65">
        <f>VLOOKUP(A:A,笔记匹配!A:N,8,FALSE)</f>
        <v>44830</v>
      </c>
      <c r="G9" s="66" t="str">
        <f>VLOOKUP(A:A,笔记匹配!A:P,15,FALSE)</f>
        <v>未测试</v>
      </c>
      <c r="H9" s="30" t="str">
        <f>VLOOKUP(A:A,笔记匹配!A:N,9,FALSE)</f>
        <v>图文</v>
      </c>
      <c r="I9" s="30" t="str">
        <f>VLOOKUP(A:A,笔记匹配!A:N,2,FALSE)</f>
        <v>跳绳</v>
      </c>
      <c r="J9" s="30" t="str">
        <f>VLOOKUP(A:A,笔记匹配!A:N,4,FALSE)</f>
        <v>云麦跳绳2go</v>
      </c>
      <c r="K9" s="30" t="str">
        <f>VLOOKUP(A:A,笔记匹配!A:N,14,FALSE)</f>
        <v>云麦跳绳2go</v>
      </c>
      <c r="L9" s="3">
        <v>128</v>
      </c>
      <c r="M9" s="3">
        <v>18</v>
      </c>
      <c r="N9" s="69">
        <v>18</v>
      </c>
      <c r="O9" s="2">
        <f t="shared" si="0"/>
        <v>164</v>
      </c>
      <c r="P9" s="3">
        <f>IFERROR(VLOOKUP(A:A,信息流数据源!A:K,2,FALSE),0)</f>
        <v>505.92</v>
      </c>
      <c r="Q9" s="71">
        <f>IFERROR(VLOOKUP(A:A,信息流数据源!A:N,5,FALSE),0)</f>
        <v>0.0982100460391849</v>
      </c>
      <c r="R9" s="72">
        <f>IFERROR(VLOOKUP(A:A,信息流数据源!A:N,6,FALSE),0)</f>
        <v>0.106352743325625</v>
      </c>
      <c r="S9" s="2">
        <f>IFERROR(VLOOKUP(A:A,信息流数据源!A:N,9,FALSE),0)</f>
        <v>5</v>
      </c>
      <c r="T9" s="3">
        <f>IFERROR(VLOOKUP(A:A,信息流数据源!A:N,13,FALSE),0)</f>
        <v>70</v>
      </c>
      <c r="U9" s="73">
        <f>IFERROR(VLOOKUP(A:A,信息流数据源!A:N,14,FALSE),0)</f>
        <v>7.22742857142857</v>
      </c>
      <c r="V9" s="74">
        <f>IFERROR(VLOOKUP(A:A,信息流数据源!A:O,15,FALSE),0)</f>
        <v>0.0147151566113097</v>
      </c>
      <c r="W9" s="3">
        <f>IFERROR(VLOOKUP(A:A,搜索数据源!A:T,2,FALSE),0)</f>
        <v>0</v>
      </c>
      <c r="X9" s="71">
        <f>IFERROR(VLOOKUP(A:A,搜索数据源!A:T,5,FALSE),0)</f>
        <v>0</v>
      </c>
      <c r="Y9" s="73">
        <f>IFERROR(VLOOKUP(A:A,搜索数据源!A:T,6,FALSE),0)</f>
        <v>0</v>
      </c>
      <c r="Z9" s="3">
        <f>IFERROR(VLOOKUP(A:A,搜索数据源!A:T,9,FALSE),0)</f>
        <v>0</v>
      </c>
      <c r="AA9" s="3" t="e">
        <f>VLOOKUP(A:A,[1]搜索数据源!A:T,13,FALSE)</f>
        <v>#N/A</v>
      </c>
      <c r="AB9" s="72">
        <f>IFERROR(VLOOKUP(A:A,搜索数据源!A:T,14,FALSE),0)</f>
        <v>0</v>
      </c>
      <c r="AC9" s="69"/>
      <c r="AD9" s="4"/>
      <c r="AE9" s="69"/>
      <c r="AF9" s="77"/>
      <c r="AG9" s="2"/>
      <c r="AH9" s="69"/>
      <c r="AI9" s="4"/>
      <c r="AJ9" s="4"/>
      <c r="AK9" s="4"/>
      <c r="AL9" s="4"/>
      <c r="AM9" s="81"/>
      <c r="AN9" s="5">
        <f>IFERROR(VLOOKUP(A:A,回搜数据源!B:N,4,FALSE),0)</f>
        <v>0</v>
      </c>
      <c r="AO9" s="5">
        <f>IFERROR(VLOOKUP(A:A,回搜数据源!B:N,5,FALSE),0)</f>
        <v>0</v>
      </c>
    </row>
    <row r="10" s="57" customFormat="1" ht="100" hidden="1" customHeight="1" spans="1:41">
      <c r="A10" s="4" t="s">
        <v>300</v>
      </c>
      <c r="B10" s="3" t="str">
        <f>VLOOKUP(A:A,笔记匹配!A:N,5,FALSE)</f>
        <v>=DISPIMG("ID_D872F375D490401FB7E3C181F6B3D92D",1)</v>
      </c>
      <c r="C10" s="30" t="str">
        <f>VLOOKUP(A:A,笔记匹配!A:N,3,FALSE)</f>
        <v>朱俊畅</v>
      </c>
      <c r="D10" s="30" t="str">
        <f>VLOOKUP(A:A,笔记匹配!A:N,6,FALSE)</f>
        <v>打球完容易肌肉酸痛，筋膜枪放松更有效！</v>
      </c>
      <c r="E10" s="30" t="str">
        <f>VLOOKUP(A:A,笔记匹配!A:N,7,FALSE)</f>
        <v>https://www.xiaohongshu.com/discovery/item/62f4c9f60000000009006fcb</v>
      </c>
      <c r="F10" s="65">
        <f>VLOOKUP(A:A,笔记匹配!A:N,8,FALSE)</f>
        <v>44784</v>
      </c>
      <c r="G10" s="66" t="str">
        <f>VLOOKUP(A:A,笔记匹配!A:P,15,FALSE)</f>
        <v>2022-08-12</v>
      </c>
      <c r="H10" s="30" t="str">
        <f>VLOOKUP(A:A,笔记匹配!A:N,9,FALSE)</f>
        <v>视频</v>
      </c>
      <c r="I10" s="30" t="str">
        <f>VLOOKUP(A:A,笔记匹配!A:N,2,FALSE)</f>
        <v>筋膜枪</v>
      </c>
      <c r="J10" s="30" t="str">
        <f>VLOOKUP(A:A,笔记匹配!A:N,4,FALSE)</f>
        <v>云麦筋膜枪PB2</v>
      </c>
      <c r="K10" s="30" t="str">
        <f>VLOOKUP(A:A,笔记匹配!A:N,14,FALSE)</f>
        <v>云麦筋膜枪pb2</v>
      </c>
      <c r="L10" s="3">
        <f>VLOOKUP(A:A,笔记匹配!A:N,10,FALSE)</f>
        <v>938</v>
      </c>
      <c r="M10" s="3">
        <f>VLOOKUP(A:A,笔记匹配!A:N,11,FALSE)</f>
        <v>317</v>
      </c>
      <c r="N10" s="69">
        <f>VLOOKUP(A:A,笔记匹配!A:N,12,FALSE)</f>
        <v>64</v>
      </c>
      <c r="O10" s="2">
        <f t="shared" si="0"/>
        <v>1319</v>
      </c>
      <c r="P10" s="3">
        <f>IFERROR(VLOOKUP(A:A,信息流数据源!A:K,2,FALSE),0)</f>
        <v>0</v>
      </c>
      <c r="Q10" s="71">
        <f>IFERROR(VLOOKUP(A:A,信息流数据源!A:N,5,FALSE),0)</f>
        <v>0</v>
      </c>
      <c r="R10" s="72">
        <f>IFERROR(VLOOKUP(A:A,信息流数据源!A:N,6,FALSE),0)</f>
        <v>0</v>
      </c>
      <c r="S10" s="2">
        <f>IFERROR(VLOOKUP(A:A,信息流数据源!A:N,9,FALSE),0)</f>
        <v>0</v>
      </c>
      <c r="T10" s="3">
        <f>IFERROR(VLOOKUP(A:A,信息流数据源!A:N,13,FALSE),0)</f>
        <v>0</v>
      </c>
      <c r="U10" s="73">
        <f>IFERROR(VLOOKUP(A:A,信息流数据源!A:N,14,FALSE),0)</f>
        <v>0</v>
      </c>
      <c r="V10" s="74">
        <f>IFERROR(VLOOKUP(A:A,信息流数据源!A:O,15,FALSE),0)</f>
        <v>0</v>
      </c>
      <c r="W10" s="3">
        <f>IFERROR(VLOOKUP(A:A,搜索数据源!A:T,2,FALSE),0)</f>
        <v>0</v>
      </c>
      <c r="X10" s="71">
        <f>IFERROR(VLOOKUP(A:A,搜索数据源!A:T,5,FALSE),0)</f>
        <v>0</v>
      </c>
      <c r="Y10" s="73">
        <f>IFERROR(VLOOKUP(A:A,搜索数据源!A:T,6,FALSE),0)</f>
        <v>0</v>
      </c>
      <c r="Z10" s="3">
        <f>IFERROR(VLOOKUP(A:A,搜索数据源!A:T,9,FALSE),0)</f>
        <v>0</v>
      </c>
      <c r="AA10" s="3" t="e">
        <f>VLOOKUP(A:A,[1]搜索数据源!A:T,13,FALSE)</f>
        <v>#N/A</v>
      </c>
      <c r="AB10" s="72">
        <f>IFERROR(VLOOKUP(A:A,搜索数据源!A:T,14,FALSE),0)</f>
        <v>0</v>
      </c>
      <c r="AC10" s="69" t="str">
        <f>_xlfn.DISPIMG("ID_41F684A3B220438EB91358E4209421D3",1)</f>
        <v>=DISPIMG("ID_41F684A3B220438EB91358E4209421D3",1)</v>
      </c>
      <c r="AD10" s="4" t="s">
        <v>390</v>
      </c>
      <c r="AE10" s="76">
        <v>44821</v>
      </c>
      <c r="AF10" s="3">
        <v>1726.46</v>
      </c>
      <c r="AG10" s="2">
        <v>5120</v>
      </c>
      <c r="AH10" s="69" t="str">
        <f>_xlfn.DISPIMG("ID_280063F76312492F9FC4B57F6CA807AD",1)</f>
        <v>=DISPIMG("ID_280063F76312492F9FC4B57F6CA807AD",1)</v>
      </c>
      <c r="AI10" s="4" t="s">
        <v>391</v>
      </c>
      <c r="AJ10" s="4">
        <v>41</v>
      </c>
      <c r="AK10" s="4">
        <v>44</v>
      </c>
      <c r="AL10" s="4">
        <f>AK10-AJ10</f>
        <v>3</v>
      </c>
      <c r="AM10" s="81">
        <f>IFERROR(AF10/AL10,0)</f>
        <v>575.486666666667</v>
      </c>
      <c r="AN10" s="5">
        <f>IFERROR(VLOOKUP(A:A,回搜数据源!B:N,4,FALSE),0)</f>
        <v>0</v>
      </c>
      <c r="AO10" s="5">
        <f>IFERROR(VLOOKUP(A:A,回搜数据源!B:N,5,FALSE),0)</f>
        <v>0</v>
      </c>
    </row>
    <row r="11" s="57" customFormat="1" ht="100" hidden="1" customHeight="1" spans="1:41">
      <c r="A11" s="30" t="s">
        <v>205</v>
      </c>
      <c r="B11" s="3" t="str">
        <f>VLOOKUP(A:A,笔记匹配!A:N,5,FALSE)</f>
        <v>=DISPIMG("ID_DB426F5A91EE479F804F0B7B8D73D77E",1)</v>
      </c>
      <c r="C11" s="30" t="str">
        <f>VLOOKUP(A:A,笔记匹配!A:N,3,FALSE)</f>
        <v>马可乐cora</v>
      </c>
      <c r="D11" s="30" t="str">
        <f>VLOOKUP(A:A,笔记匹配!A:N,6,FALSE)</f>
        <v>跳操的姐妹听我的用筋膜枪放松下肢真的有用</v>
      </c>
      <c r="E11" s="30" t="str">
        <f>VLOOKUP(A:A,笔记匹配!A:N,7,FALSE)</f>
        <v>https://www.xiaohongshu.com/discovery/item/62f37bbf0000000012024867</v>
      </c>
      <c r="F11" s="65">
        <f>VLOOKUP(A:A,笔记匹配!A:N,8,FALSE)</f>
        <v>44783</v>
      </c>
      <c r="G11" s="66" t="str">
        <f>VLOOKUP(A:A,笔记匹配!A:P,15,FALSE)</f>
        <v>2022-08-11</v>
      </c>
      <c r="H11" s="30" t="str">
        <f>VLOOKUP(A:A,笔记匹配!A:N,9,FALSE)</f>
        <v>视频</v>
      </c>
      <c r="I11" s="30" t="str">
        <f>VLOOKUP(A:A,笔记匹配!A:N,2,FALSE)</f>
        <v>筋膜枪</v>
      </c>
      <c r="J11" s="30" t="str">
        <f>VLOOKUP(A:A,笔记匹配!A:N,4,FALSE)</f>
        <v>云麦筋膜枪PB2</v>
      </c>
      <c r="K11" s="30" t="str">
        <f>VLOOKUP(A:A,笔记匹配!A:N,14,FALSE)</f>
        <v>云麦筋膜枪pb2</v>
      </c>
      <c r="L11" s="3">
        <v>7085</v>
      </c>
      <c r="M11" s="3">
        <v>7170</v>
      </c>
      <c r="N11" s="69">
        <v>109</v>
      </c>
      <c r="O11" s="2">
        <f t="shared" si="0"/>
        <v>14364</v>
      </c>
      <c r="P11" s="3">
        <f>IFERROR(VLOOKUP(A:A,信息流数据源!A:K,2,FALSE),0)</f>
        <v>303.85</v>
      </c>
      <c r="Q11" s="71">
        <f>IFERROR(VLOOKUP(A:A,信息流数据源!A:N,5,FALSE),0)</f>
        <v>0.0872744243932794</v>
      </c>
      <c r="R11" s="72">
        <f>IFERROR(VLOOKUP(A:A,信息流数据源!A:N,6,FALSE),0)</f>
        <v>0.270811051693405</v>
      </c>
      <c r="S11" s="2">
        <f>IFERROR(VLOOKUP(A:A,信息流数据源!A:N,9,FALSE),0)</f>
        <v>0</v>
      </c>
      <c r="T11" s="3">
        <f>IFERROR(VLOOKUP(A:A,信息流数据源!A:N,13,FALSE),0)</f>
        <v>187</v>
      </c>
      <c r="U11" s="73">
        <f>IFERROR(VLOOKUP(A:A,信息流数据源!A:N,14,FALSE),0)</f>
        <v>1.62486631016043</v>
      </c>
      <c r="V11" s="74">
        <f>IFERROR(VLOOKUP(A:A,信息流数据源!A:O,15,FALSE),0)</f>
        <v>0.166666666666667</v>
      </c>
      <c r="W11" s="3">
        <f>IFERROR(VLOOKUP(A:A,搜索数据源!A:T,2,FALSE),0)</f>
        <v>506.5</v>
      </c>
      <c r="X11" s="71">
        <f>IFERROR(VLOOKUP(A:A,搜索数据源!A:T,5,FALSE),0)</f>
        <v>0.0573992903360468</v>
      </c>
      <c r="Y11" s="73">
        <f>IFERROR(VLOOKUP(A:A,搜索数据源!A:T,6,FALSE),0)</f>
        <v>0.460454545454545</v>
      </c>
      <c r="Z11" s="3">
        <f>IFERROR(VLOOKUP(A:A,搜索数据源!A:T,9,FALSE),0)</f>
        <v>0</v>
      </c>
      <c r="AA11" s="3">
        <f>VLOOKUP(A:A,[1]搜索数据源!A:T,13,FALSE)</f>
        <v>10</v>
      </c>
      <c r="AB11" s="72">
        <f>IFERROR(VLOOKUP(A:A,搜索数据源!A:T,14,FALSE),0)</f>
        <v>0.0545454545454545</v>
      </c>
      <c r="AC11" s="69" t="str">
        <f>_xlfn.DISPIMG("ID_C2110CBC5C814CF09DBE65C21E8D2801",1)</f>
        <v>=DISPIMG("ID_C2110CBC5C814CF09DBE65C21E8D2801",1)</v>
      </c>
      <c r="AD11" s="4" t="s">
        <v>392</v>
      </c>
      <c r="AE11" s="76">
        <v>44506</v>
      </c>
      <c r="AF11" s="77">
        <v>8154.7</v>
      </c>
      <c r="AG11" s="82">
        <v>9426</v>
      </c>
      <c r="AH11" s="69" t="str">
        <f>_xlfn.DISPIMG("ID_041CC6BE28B54C8A8BCFE98CC5B88065",1)</f>
        <v>=DISPIMG("ID_041CC6BE28B54C8A8BCFE98CC5B88065",1)</v>
      </c>
      <c r="AI11" s="4" t="s">
        <v>393</v>
      </c>
      <c r="AJ11" s="4">
        <v>87</v>
      </c>
      <c r="AK11" s="4">
        <v>125</v>
      </c>
      <c r="AL11" s="4">
        <f>AK11-AJ11</f>
        <v>38</v>
      </c>
      <c r="AM11" s="81">
        <f>IFERROR(AF11/AL11,0)</f>
        <v>214.597368421053</v>
      </c>
      <c r="AN11" s="5">
        <f>IFERROR(VLOOKUP(A:A,回搜数据源!B:N,4,FALSE),0)</f>
        <v>0</v>
      </c>
      <c r="AO11" s="5">
        <f>IFERROR(VLOOKUP(A:A,回搜数据源!B:N,5,FALSE),0)</f>
        <v>0</v>
      </c>
    </row>
    <row r="12" s="57" customFormat="1" ht="100" hidden="1" customHeight="1" spans="1:41">
      <c r="A12" s="4" t="s">
        <v>312</v>
      </c>
      <c r="B12" s="3" t="str">
        <f>VLOOKUP(A:A,笔记匹配!A:N,5,FALSE)</f>
        <v>=DISPIMG("ID_F115B044F3034B3191C6E3894CEBD8BA",1)</v>
      </c>
      <c r="C12" s="30" t="str">
        <f>VLOOKUP(A:A,笔记匹配!A:N,3,FALSE)</f>
        <v>郝有金</v>
      </c>
      <c r="D12" s="30" t="str">
        <f>VLOOKUP(A:A,笔记匹配!A:N,6,FALSE)</f>
        <v>别用错❗️筋膜枪正确使用方法，不同肌肉部位放松大全</v>
      </c>
      <c r="E12" s="30" t="str">
        <f>VLOOKUP(A:A,笔记匹配!A:N,7,FALSE)</f>
        <v>https://www.xiaohongshu.com/discovery/item/614c3095000000000102b268</v>
      </c>
      <c r="F12" s="65">
        <f>VLOOKUP(A:A,笔记匹配!A:N,8,FALSE)</f>
        <v>44462</v>
      </c>
      <c r="G12" s="66" t="str">
        <f>VLOOKUP(A:A,笔记匹配!A:P,15,FALSE)</f>
        <v>2022-03-10~2022-05-10</v>
      </c>
      <c r="H12" s="30" t="str">
        <f>VLOOKUP(A:A,笔记匹配!A:N,9,FALSE)</f>
        <v>视频</v>
      </c>
      <c r="I12" s="30" t="str">
        <f>VLOOKUP(A:A,笔记匹配!A:N,2,FALSE)</f>
        <v>筋膜枪</v>
      </c>
      <c r="J12" s="30" t="str">
        <f>VLOOKUP(A:A,笔记匹配!A:N,4,FALSE)</f>
        <v>云麦cc筋膜枪</v>
      </c>
      <c r="K12" s="30" t="str">
        <f>VLOOKUP(A:A,笔记匹配!A:N,14,FALSE)</f>
        <v>云麦筋膜枪cc</v>
      </c>
      <c r="L12" s="3">
        <f>VLOOKUP(A:A,笔记匹配!A:N,10,FALSE)</f>
        <v>17000</v>
      </c>
      <c r="M12" s="3">
        <f>VLOOKUP(A:A,笔记匹配!A:N,11,FALSE)</f>
        <v>11000</v>
      </c>
      <c r="N12" s="69">
        <f>VLOOKUP(A:A,笔记匹配!A:N,12,FALSE)</f>
        <v>170</v>
      </c>
      <c r="O12" s="2">
        <f t="shared" si="0"/>
        <v>28170</v>
      </c>
      <c r="P12" s="3">
        <f>IFERROR(VLOOKUP(A:A,信息流数据源!A:K,2,FALSE),0)</f>
        <v>0</v>
      </c>
      <c r="Q12" s="71">
        <f>IFERROR(VLOOKUP(A:A,信息流数据源!A:N,5,FALSE),0)</f>
        <v>0</v>
      </c>
      <c r="R12" s="72">
        <f>IFERROR(VLOOKUP(A:A,信息流数据源!A:N,6,FALSE),0)</f>
        <v>0</v>
      </c>
      <c r="S12" s="2">
        <f>IFERROR(VLOOKUP(A:A,信息流数据源!A:N,9,FALSE),0)</f>
        <v>0</v>
      </c>
      <c r="T12" s="3">
        <f>IFERROR(VLOOKUP(A:A,信息流数据源!A:N,13,FALSE),0)</f>
        <v>0</v>
      </c>
      <c r="U12" s="73">
        <f>IFERROR(VLOOKUP(A:A,信息流数据源!A:N,14,FALSE),0)</f>
        <v>0</v>
      </c>
      <c r="V12" s="74">
        <f>IFERROR(VLOOKUP(A:A,信息流数据源!A:O,15,FALSE),0)</f>
        <v>0</v>
      </c>
      <c r="W12" s="3">
        <f>IFERROR(VLOOKUP(A:A,搜索数据源!A:T,2,FALSE),0)</f>
        <v>0</v>
      </c>
      <c r="X12" s="71">
        <f>IFERROR(VLOOKUP(A:A,搜索数据源!A:T,5,FALSE),0)</f>
        <v>0</v>
      </c>
      <c r="Y12" s="73">
        <f>IFERROR(VLOOKUP(A:A,搜索数据源!A:T,6,FALSE),0)</f>
        <v>0</v>
      </c>
      <c r="Z12" s="3">
        <f>IFERROR(VLOOKUP(A:A,搜索数据源!A:T,9,FALSE),0)</f>
        <v>0</v>
      </c>
      <c r="AA12" s="3">
        <f>VLOOKUP(A:A,[1]搜索数据源!A:T,13,FALSE)</f>
        <v>47</v>
      </c>
      <c r="AB12" s="72">
        <f>IFERROR(VLOOKUP(A:A,搜索数据源!A:T,14,FALSE),0)</f>
        <v>0</v>
      </c>
      <c r="AC12" s="69" t="str">
        <f>_xlfn.DISPIMG("ID_C2110CBC5C814CF09DBE65C21E8D2801",1)</f>
        <v>=DISPIMG("ID_C2110CBC5C814CF09DBE65C21E8D2801",1)</v>
      </c>
      <c r="AD12" s="4" t="s">
        <v>392</v>
      </c>
      <c r="AE12" s="76">
        <v>44506</v>
      </c>
      <c r="AF12" s="77">
        <v>8154.7</v>
      </c>
      <c r="AG12" s="82">
        <v>9426</v>
      </c>
      <c r="AH12" s="69" t="str">
        <f>_xlfn.DISPIMG("ID_041CC6BE28B54C8A8BCFE98CC5B88065",1)</f>
        <v>=DISPIMG("ID_041CC6BE28B54C8A8BCFE98CC5B88065",1)</v>
      </c>
      <c r="AI12" s="4" t="s">
        <v>393</v>
      </c>
      <c r="AJ12" s="4">
        <v>87</v>
      </c>
      <c r="AK12" s="4">
        <v>125</v>
      </c>
      <c r="AL12" s="4">
        <f>AK12-AJ12</f>
        <v>38</v>
      </c>
      <c r="AM12" s="81">
        <f>IFERROR(AF12/AL12,0)</f>
        <v>214.597368421053</v>
      </c>
      <c r="AN12" s="5">
        <f>IFERROR(VLOOKUP(A:A,回搜数据源!B:N,4,FALSE),0)</f>
        <v>0.0246153846153846</v>
      </c>
      <c r="AO12" s="5">
        <f>IFERROR(VLOOKUP(A:A,回搜数据源!B:N,5,FALSE),0)</f>
        <v>0</v>
      </c>
    </row>
    <row r="13" s="57" customFormat="1" ht="100" hidden="1" customHeight="1" spans="1:41">
      <c r="A13" s="4" t="s">
        <v>394</v>
      </c>
      <c r="B13" s="3" t="e">
        <f>VLOOKUP(A:A,笔记匹配!A:N,5,FALSE)</f>
        <v>#N/A</v>
      </c>
      <c r="C13" s="30" t="e">
        <f>VLOOKUP(A:A,笔记匹配!A:N,3,FALSE)</f>
        <v>#N/A</v>
      </c>
      <c r="D13" s="30" t="e">
        <f>VLOOKUP(A:A,笔记匹配!A:N,6,FALSE)</f>
        <v>#N/A</v>
      </c>
      <c r="E13" s="30" t="e">
        <f>VLOOKUP(A:A,笔记匹配!A:N,7,FALSE)</f>
        <v>#N/A</v>
      </c>
      <c r="F13" s="65" t="e">
        <f>VLOOKUP(A:A,笔记匹配!A:N,8,FALSE)</f>
        <v>#N/A</v>
      </c>
      <c r="G13" s="66" t="e">
        <f>VLOOKUP(A:A,笔记匹配!A:P,15,FALSE)</f>
        <v>#N/A</v>
      </c>
      <c r="H13" s="30" t="e">
        <f>VLOOKUP(A:A,笔记匹配!A:N,9,FALSE)</f>
        <v>#N/A</v>
      </c>
      <c r="I13" s="30" t="e">
        <f>VLOOKUP(A:A,笔记匹配!A:N,2,FALSE)</f>
        <v>#N/A</v>
      </c>
      <c r="J13" s="30" t="e">
        <f>VLOOKUP(A:A,笔记匹配!A:N,4,FALSE)</f>
        <v>#N/A</v>
      </c>
      <c r="K13" s="30" t="e">
        <f>VLOOKUP(A:A,笔记匹配!A:N,14,FALSE)</f>
        <v>#N/A</v>
      </c>
      <c r="L13" s="3" t="e">
        <f>VLOOKUP(A:A,笔记匹配!A:N,10,FALSE)</f>
        <v>#N/A</v>
      </c>
      <c r="M13" s="3" t="e">
        <f>VLOOKUP(A:A,笔记匹配!A:N,11,FALSE)</f>
        <v>#N/A</v>
      </c>
      <c r="N13" s="69" t="e">
        <f>VLOOKUP(A:A,笔记匹配!A:N,12,FALSE)</f>
        <v>#N/A</v>
      </c>
      <c r="O13" s="2" t="e">
        <f t="shared" si="0"/>
        <v>#N/A</v>
      </c>
      <c r="P13" s="3">
        <f>IFERROR(VLOOKUP(A:A,信息流数据源!A:K,2,FALSE),0)</f>
        <v>0</v>
      </c>
      <c r="Q13" s="71">
        <f>IFERROR(VLOOKUP(A:A,信息流数据源!A:N,5,FALSE),0)</f>
        <v>0</v>
      </c>
      <c r="R13" s="72">
        <f>IFERROR(VLOOKUP(A:A,信息流数据源!A:N,6,FALSE),0)</f>
        <v>0</v>
      </c>
      <c r="S13" s="2">
        <f>IFERROR(VLOOKUP(A:A,信息流数据源!A:N,9,FALSE),0)</f>
        <v>0</v>
      </c>
      <c r="T13" s="3">
        <f>IFERROR(VLOOKUP(A:A,信息流数据源!A:N,13,FALSE),0)</f>
        <v>0</v>
      </c>
      <c r="U13" s="73">
        <f>IFERROR(VLOOKUP(A:A,信息流数据源!A:N,14,FALSE),0)</f>
        <v>0</v>
      </c>
      <c r="V13" s="74">
        <f>IFERROR(VLOOKUP(A:A,信息流数据源!A:O,15,FALSE),0)</f>
        <v>0</v>
      </c>
      <c r="W13" s="3">
        <f>IFERROR(VLOOKUP(A:A,搜索数据源!A:T,2,FALSE),0)</f>
        <v>0</v>
      </c>
      <c r="X13" s="71">
        <f>IFERROR(VLOOKUP(A:A,搜索数据源!A:T,5,FALSE),0)</f>
        <v>0</v>
      </c>
      <c r="Y13" s="73">
        <f>IFERROR(VLOOKUP(A:A,搜索数据源!A:T,6,FALSE),0)</f>
        <v>0</v>
      </c>
      <c r="Z13" s="3">
        <f>IFERROR(VLOOKUP(A:A,搜索数据源!A:T,9,FALSE),0)</f>
        <v>0</v>
      </c>
      <c r="AA13" s="3" t="e">
        <f>VLOOKUP(A:A,[1]搜索数据源!A:T,13,FALSE)</f>
        <v>#N/A</v>
      </c>
      <c r="AB13" s="72">
        <f>IFERROR(VLOOKUP(A:A,搜索数据源!A:T,14,FALSE),0)</f>
        <v>0</v>
      </c>
      <c r="AC13" s="69"/>
      <c r="AD13" s="4"/>
      <c r="AE13" s="69"/>
      <c r="AF13" s="77"/>
      <c r="AG13" s="2"/>
      <c r="AH13" s="69"/>
      <c r="AI13" s="4"/>
      <c r="AJ13" s="4"/>
      <c r="AK13" s="4"/>
      <c r="AL13" s="4"/>
      <c r="AM13" s="81"/>
      <c r="AN13" s="5">
        <f>IFERROR(VLOOKUP(A:A,回搜数据源!B:N,4,FALSE),0)</f>
        <v>0</v>
      </c>
      <c r="AO13" s="5">
        <f>IFERROR(VLOOKUP(A:A,回搜数据源!B:N,5,FALSE),0)</f>
        <v>0</v>
      </c>
    </row>
    <row r="14" s="57" customFormat="1" ht="100" hidden="1" customHeight="1" spans="1:41">
      <c r="A14" s="4" t="s">
        <v>395</v>
      </c>
      <c r="B14" s="3" t="str">
        <f>VLOOKUP(A:A,笔记匹配!A:N,5,FALSE)</f>
        <v>=DISPIMG("ID_CE9FD5BC31E84B7198DFBB2AE211EDEE",1)</v>
      </c>
      <c r="C14" s="30" t="str">
        <f>VLOOKUP(A:A,笔记匹配!A:N,3,FALSE)</f>
        <v>月亮起床了</v>
      </c>
      <c r="D14" s="30" t="str">
        <f>VLOOKUP(A:A,笔记匹配!A:N,6,FALSE)</f>
        <v>超强瘦🦵绝招，记得用筋膜枪放松</v>
      </c>
      <c r="E14" s="30" t="str">
        <f>VLOOKUP(A:A,笔记匹配!A:N,7,FALSE)</f>
        <v>https://www.xiaohongshu.com/discovery/item/62ff55630000000019029cc0</v>
      </c>
      <c r="F14" s="65">
        <f>VLOOKUP(A:A,笔记匹配!A:N,8,FALSE)</f>
        <v>44795</v>
      </c>
      <c r="G14" s="66" t="str">
        <f>VLOOKUP(A:A,笔记匹配!A:P,15,FALSE)</f>
        <v>2022-08-23</v>
      </c>
      <c r="H14" s="30" t="str">
        <f>VLOOKUP(A:A,笔记匹配!A:N,9,FALSE)</f>
        <v>视频</v>
      </c>
      <c r="I14" s="30" t="str">
        <f>VLOOKUP(A:A,笔记匹配!A:N,2,FALSE)</f>
        <v>筋膜枪</v>
      </c>
      <c r="J14" s="30" t="str">
        <f>VLOOKUP(A:A,笔记匹配!A:N,4,FALSE)</f>
        <v>云麦筋膜枪pb2</v>
      </c>
      <c r="K14" s="30" t="str">
        <f>VLOOKUP(A:A,笔记匹配!A:N,14,FALSE)</f>
        <v>云麦筋膜枪pb2</v>
      </c>
      <c r="L14" s="3">
        <f>VLOOKUP(A:A,笔记匹配!A:N,10,FALSE)</f>
        <v>916</v>
      </c>
      <c r="M14" s="3">
        <f>VLOOKUP(A:A,笔记匹配!A:N,11,FALSE)</f>
        <v>745</v>
      </c>
      <c r="N14" s="69">
        <f>VLOOKUP(A:A,笔记匹配!A:N,12,FALSE)</f>
        <v>40</v>
      </c>
      <c r="O14" s="2">
        <f t="shared" si="0"/>
        <v>1701</v>
      </c>
      <c r="P14" s="3">
        <f>IFERROR(VLOOKUP(A:A,信息流数据源!A:K,2,FALSE),0)</f>
        <v>0</v>
      </c>
      <c r="Q14" s="71">
        <f>IFERROR(VLOOKUP(A:A,信息流数据源!A:N,5,FALSE),0)</f>
        <v>0</v>
      </c>
      <c r="R14" s="72">
        <f>IFERROR(VLOOKUP(A:A,信息流数据源!A:N,6,FALSE),0)</f>
        <v>0</v>
      </c>
      <c r="S14" s="2">
        <f>IFERROR(VLOOKUP(A:A,信息流数据源!A:N,9,FALSE),0)</f>
        <v>0</v>
      </c>
      <c r="T14" s="3">
        <f>IFERROR(VLOOKUP(A:A,信息流数据源!A:N,13,FALSE),0)</f>
        <v>0</v>
      </c>
      <c r="U14" s="73">
        <f>IFERROR(VLOOKUP(A:A,信息流数据源!A:N,14,FALSE),0)</f>
        <v>0</v>
      </c>
      <c r="V14" s="74">
        <f>IFERROR(VLOOKUP(A:A,信息流数据源!A:O,15,FALSE),0)</f>
        <v>0</v>
      </c>
      <c r="W14" s="3">
        <f>IFERROR(VLOOKUP(A:A,搜索数据源!A:T,2,FALSE),0)</f>
        <v>0</v>
      </c>
      <c r="X14" s="71">
        <f>IFERROR(VLOOKUP(A:A,搜索数据源!A:T,5,FALSE),0)</f>
        <v>0</v>
      </c>
      <c r="Y14" s="73">
        <f>IFERROR(VLOOKUP(A:A,搜索数据源!A:T,6,FALSE),0)</f>
        <v>0</v>
      </c>
      <c r="Z14" s="3">
        <f>IFERROR(VLOOKUP(A:A,搜索数据源!A:T,9,FALSE),0)</f>
        <v>0</v>
      </c>
      <c r="AA14" s="3" t="e">
        <f>VLOOKUP(A:A,[1]搜索数据源!A:T,13,FALSE)</f>
        <v>#N/A</v>
      </c>
      <c r="AB14" s="72">
        <f>IFERROR(VLOOKUP(A:A,搜索数据源!A:T,14,FALSE),0)</f>
        <v>0</v>
      </c>
      <c r="AC14" s="69" t="str">
        <f>_xlfn.DISPIMG("ID_B8ED0F81D3E94185A6797ECCC54D33D4",1)</f>
        <v>=DISPIMG("ID_B8ED0F81D3E94185A6797ECCC54D33D4",1)</v>
      </c>
      <c r="AD14" s="4" t="s">
        <v>396</v>
      </c>
      <c r="AE14" s="75">
        <v>44799</v>
      </c>
      <c r="AF14" s="3">
        <v>999.21</v>
      </c>
      <c r="AG14" s="2">
        <v>4006</v>
      </c>
      <c r="AH14" s="69" t="str">
        <f>_xlfn.DISPIMG("ID_9C1135E8CD694B0B8E63E35985496951",1)</f>
        <v>=DISPIMG("ID_9C1135E8CD694B0B8E63E35985496951",1)</v>
      </c>
      <c r="AI14" s="4" t="s">
        <v>397</v>
      </c>
      <c r="AJ14" s="4">
        <v>32</v>
      </c>
      <c r="AK14" s="4">
        <v>41</v>
      </c>
      <c r="AL14" s="4">
        <f t="shared" ref="AL14:AL20" si="1">AK14-AJ14</f>
        <v>9</v>
      </c>
      <c r="AM14" s="81">
        <f t="shared" ref="AM14:AM20" si="2">IFERROR(AF14/AL14,0)</f>
        <v>111.023333333333</v>
      </c>
      <c r="AN14" s="5">
        <f>IFERROR(VLOOKUP(A:A,回搜数据源!B:N,4,FALSE),0)</f>
        <v>0</v>
      </c>
      <c r="AO14" s="5">
        <f>IFERROR(VLOOKUP(A:A,回搜数据源!B:N,5,FALSE),0)</f>
        <v>0</v>
      </c>
    </row>
    <row r="15" s="57" customFormat="1" ht="100" hidden="1" customHeight="1" spans="1:41">
      <c r="A15" s="30" t="s">
        <v>398</v>
      </c>
      <c r="B15" s="3" t="str">
        <f>VLOOKUP(A:A,笔记匹配!A:N,5,FALSE)</f>
        <v>=DISPIMG("ID_F57E056C859A459899785BCBB743543E",1)</v>
      </c>
      <c r="C15" s="30" t="str">
        <f>VLOOKUP(A:A,笔记匹配!A:N,3,FALSE)</f>
        <v>蛋卷er</v>
      </c>
      <c r="D15" s="30" t="str">
        <f>VLOOKUP(A:A,笔记匹配!A:N,6,FALSE)</f>
        <v>筋膜枪测评！手把手教你正确选择筋膜枪！！</v>
      </c>
      <c r="E15" s="30" t="str">
        <f>VLOOKUP(A:A,笔记匹配!A:N,7,FALSE)</f>
        <v>https://www.xiaohongshu.com/discovery/item/6389bf260000000022035854</v>
      </c>
      <c r="F15" s="65">
        <f>VLOOKUP(A:A,笔记匹配!A:N,8,FALSE)</f>
        <v>44897</v>
      </c>
      <c r="G15" s="66">
        <f>VLOOKUP(A:A,笔记匹配!A:P,15,FALSE)</f>
        <v>44900</v>
      </c>
      <c r="H15" s="30" t="str">
        <f>VLOOKUP(A:A,笔记匹配!A:N,9,FALSE)</f>
        <v>图文</v>
      </c>
      <c r="I15" s="30" t="str">
        <f>VLOOKUP(A:A,笔记匹配!A:N,2,FALSE)</f>
        <v>筋膜枪</v>
      </c>
      <c r="J15" s="30" t="str">
        <f>VLOOKUP(A:A,笔记匹配!A:N,4,FALSE)</f>
        <v>云麦筋膜枪cc</v>
      </c>
      <c r="K15" s="30" t="str">
        <f>VLOOKUP(A:A,笔记匹配!A:N,14,FALSE)</f>
        <v>云麦筋膜枪cc</v>
      </c>
      <c r="L15" s="3">
        <v>105</v>
      </c>
      <c r="M15" s="3">
        <v>57</v>
      </c>
      <c r="N15" s="69">
        <v>25</v>
      </c>
      <c r="O15" s="2">
        <f t="shared" si="0"/>
        <v>187</v>
      </c>
      <c r="P15" s="3">
        <f>IFERROR(VLOOKUP(A:A,信息流数据源!A:K,2,FALSE),0)</f>
        <v>409.4</v>
      </c>
      <c r="Q15" s="71">
        <f>IFERROR(VLOOKUP(A:A,信息流数据源!A:N,5,FALSE),0)</f>
        <v>0.0780206435944141</v>
      </c>
      <c r="R15" s="72">
        <f>IFERROR(VLOOKUP(A:A,信息流数据源!A:N,6,FALSE),0)</f>
        <v>0.227570872707059</v>
      </c>
      <c r="S15" s="2">
        <f>IFERROR(VLOOKUP(A:A,信息流数据源!A:N,9,FALSE),0)</f>
        <v>4</v>
      </c>
      <c r="T15" s="3">
        <f>IFERROR(VLOOKUP(A:A,信息流数据源!A:N,13,FALSE),0)</f>
        <v>83</v>
      </c>
      <c r="U15" s="73">
        <f>IFERROR(VLOOKUP(A:A,信息流数据源!A:N,14,FALSE),0)</f>
        <v>4.93253012048193</v>
      </c>
      <c r="V15" s="74">
        <f>IFERROR(VLOOKUP(A:A,信息流数据源!A:O,15,FALSE),0)</f>
        <v>0.0461367426347971</v>
      </c>
      <c r="W15" s="3">
        <f>IFERROR(VLOOKUP(A:A,搜索数据源!A:T,2,FALSE),0)</f>
        <v>0</v>
      </c>
      <c r="X15" s="71">
        <f>IFERROR(VLOOKUP(A:A,搜索数据源!A:T,5,FALSE),0)</f>
        <v>0</v>
      </c>
      <c r="Y15" s="73">
        <f>IFERROR(VLOOKUP(A:A,搜索数据源!A:T,6,FALSE),0)</f>
        <v>0</v>
      </c>
      <c r="Z15" s="3">
        <f>IFERROR(VLOOKUP(A:A,搜索数据源!A:T,9,FALSE),0)</f>
        <v>0</v>
      </c>
      <c r="AA15" s="3" t="e">
        <f>VLOOKUP(A:A,[1]搜索数据源!A:T,13,FALSE)</f>
        <v>#N/A</v>
      </c>
      <c r="AB15" s="72">
        <f>IFERROR(VLOOKUP(A:A,搜索数据源!A:T,14,FALSE),0)</f>
        <v>0</v>
      </c>
      <c r="AC15" s="69" t="str">
        <f>_xlfn.DISPIMG("ID_74C40EBBC3334555858B0A02C833DE56",1)</f>
        <v>=DISPIMG("ID_74C40EBBC3334555858B0A02C833DE56",1)</v>
      </c>
      <c r="AD15" s="4" t="s">
        <v>399</v>
      </c>
      <c r="AE15" s="78"/>
      <c r="AF15" s="78"/>
      <c r="AG15" s="2"/>
      <c r="AH15" s="78"/>
      <c r="AI15" s="78"/>
      <c r="AJ15" s="78"/>
      <c r="AK15" s="78"/>
      <c r="AL15" s="4">
        <f t="shared" si="1"/>
        <v>0</v>
      </c>
      <c r="AM15" s="81">
        <f t="shared" si="2"/>
        <v>0</v>
      </c>
      <c r="AN15" s="5">
        <f>IFERROR(VLOOKUP(A:A,回搜数据源!B:N,4,FALSE),0)</f>
        <v>0</v>
      </c>
      <c r="AO15" s="5">
        <f>IFERROR(VLOOKUP(A:A,回搜数据源!B:N,5,FALSE),0)</f>
        <v>0</v>
      </c>
    </row>
    <row r="16" s="57" customFormat="1" ht="100" hidden="1" customHeight="1" spans="1:41">
      <c r="A16" s="4" t="s">
        <v>400</v>
      </c>
      <c r="B16" s="3" t="str">
        <f>VLOOKUP(A:A,笔记匹配!A:N,5,FALSE)</f>
        <v>=DISPIMG("ID_BDB217567455424EA2AB37CE6D629D1B",1)</v>
      </c>
      <c r="C16" s="30" t="str">
        <f>VLOOKUP(A:A,笔记匹配!A:N,3,FALSE)</f>
        <v>小雪教瑜伽</v>
      </c>
      <c r="D16" s="30" t="str">
        <f>VLOOKUP(A:A,笔记匹配!A:N,6,FALSE)</f>
        <v>瘦肌肉腿必备&amp;筋膜枪按摩跟练教程</v>
      </c>
      <c r="E16" s="30" t="str">
        <f>VLOOKUP(A:A,笔记匹配!A:N,7,FALSE)</f>
        <v>https://www.xiaohongshu.com/discovery/item/62482509000000000102d31e</v>
      </c>
      <c r="F16" s="65">
        <f>VLOOKUP(A:A,笔记匹配!A:N,8,FALSE)</f>
        <v>44655</v>
      </c>
      <c r="G16" s="66" t="str">
        <f>VLOOKUP(A:A,笔记匹配!A:P,15,FALSE)</f>
        <v>2022-03-10~2022-05-10</v>
      </c>
      <c r="H16" s="30" t="str">
        <f>VLOOKUP(A:A,笔记匹配!A:N,9,FALSE)</f>
        <v>视频</v>
      </c>
      <c r="I16" s="30" t="str">
        <f>VLOOKUP(A:A,笔记匹配!A:N,2,FALSE)</f>
        <v>筋膜枪</v>
      </c>
      <c r="J16" s="30" t="str">
        <f>VLOOKUP(A:A,笔记匹配!A:N,4,FALSE)</f>
        <v>云麦筋膜枪cc</v>
      </c>
      <c r="K16" s="30" t="str">
        <f>VLOOKUP(A:A,笔记匹配!A:N,14,FALSE)</f>
        <v>云麦筋膜枪cc</v>
      </c>
      <c r="L16" s="3">
        <f>VLOOKUP(A:A,笔记匹配!A:N,10,FALSE)</f>
        <v>5376</v>
      </c>
      <c r="M16" s="3">
        <f>VLOOKUP(A:A,笔记匹配!A:N,11,FALSE)</f>
        <v>4363</v>
      </c>
      <c r="N16" s="69">
        <f>VLOOKUP(A:A,笔记匹配!A:N,12,FALSE)</f>
        <v>102</v>
      </c>
      <c r="O16" s="2">
        <f t="shared" si="0"/>
        <v>9841</v>
      </c>
      <c r="P16" s="3">
        <f>IFERROR(VLOOKUP(A:A,信息流数据源!A:K,2,FALSE),0)</f>
        <v>0</v>
      </c>
      <c r="Q16" s="71">
        <f>IFERROR(VLOOKUP(A:A,信息流数据源!A:N,5,FALSE),0)</f>
        <v>0</v>
      </c>
      <c r="R16" s="72">
        <f>IFERROR(VLOOKUP(A:A,信息流数据源!A:N,6,FALSE),0)</f>
        <v>0</v>
      </c>
      <c r="S16" s="2">
        <f>IFERROR(VLOOKUP(A:A,信息流数据源!A:N,9,FALSE),0)</f>
        <v>0</v>
      </c>
      <c r="T16" s="3">
        <f>IFERROR(VLOOKUP(A:A,信息流数据源!A:N,13,FALSE),0)</f>
        <v>0</v>
      </c>
      <c r="U16" s="73">
        <f>IFERROR(VLOOKUP(A:A,信息流数据源!A:N,14,FALSE),0)</f>
        <v>0</v>
      </c>
      <c r="V16" s="74">
        <f>IFERROR(VLOOKUP(A:A,信息流数据源!A:O,15,FALSE),0)</f>
        <v>0</v>
      </c>
      <c r="W16" s="3">
        <f>IFERROR(VLOOKUP(A:A,搜索数据源!A:T,2,FALSE),0)</f>
        <v>0</v>
      </c>
      <c r="X16" s="71">
        <f>IFERROR(VLOOKUP(A:A,搜索数据源!A:T,5,FALSE),0)</f>
        <v>0</v>
      </c>
      <c r="Y16" s="73">
        <f>IFERROR(VLOOKUP(A:A,搜索数据源!A:T,6,FALSE),0)</f>
        <v>0</v>
      </c>
      <c r="Z16" s="3">
        <f>IFERROR(VLOOKUP(A:A,搜索数据源!A:T,9,FALSE),0)</f>
        <v>0</v>
      </c>
      <c r="AA16" s="3" t="e">
        <f>VLOOKUP(A:A,[1]搜索数据源!A:T,13,FALSE)</f>
        <v>#N/A</v>
      </c>
      <c r="AB16" s="72">
        <f>IFERROR(VLOOKUP(A:A,搜索数据源!A:T,14,FALSE),0)</f>
        <v>0</v>
      </c>
      <c r="AC16" s="69" t="str">
        <f>_xlfn.DISPIMG("ID_6B665FEA218C4E9CB36B6C6DF7F3F6C2",1)</f>
        <v>=DISPIMG("ID_6B665FEA218C4E9CB36B6C6DF7F3F6C2",1)</v>
      </c>
      <c r="AD16" s="4" t="s">
        <v>401</v>
      </c>
      <c r="AE16" s="76">
        <v>44804</v>
      </c>
      <c r="AF16" s="3">
        <v>2031.18</v>
      </c>
      <c r="AG16" s="2">
        <v>8292</v>
      </c>
      <c r="AH16" s="69" t="str">
        <f>_xlfn.DISPIMG("ID_317CBA07FC61490D95AD16FEA99B967A",1)</f>
        <v>=DISPIMG("ID_317CBA07FC61490D95AD16FEA99B967A",1)</v>
      </c>
      <c r="AI16" s="4" t="s">
        <v>402</v>
      </c>
      <c r="AJ16" s="4">
        <v>8</v>
      </c>
      <c r="AK16" s="4">
        <v>29</v>
      </c>
      <c r="AL16" s="4">
        <f t="shared" si="1"/>
        <v>21</v>
      </c>
      <c r="AM16" s="81">
        <f t="shared" si="2"/>
        <v>96.7228571428572</v>
      </c>
      <c r="AN16" s="5">
        <f>IFERROR(VLOOKUP(A:A,回搜数据源!B:N,4,FALSE),0)</f>
        <v>0.000131978355549689</v>
      </c>
      <c r="AO16" s="5">
        <f>IFERROR(VLOOKUP(A:A,回搜数据源!B:N,5,FALSE),0)</f>
        <v>0</v>
      </c>
    </row>
    <row r="17" s="57" customFormat="1" ht="100" hidden="1" customHeight="1" spans="1:41">
      <c r="A17" s="30" t="s">
        <v>403</v>
      </c>
      <c r="B17" s="3" t="str">
        <f>VLOOKUP(A:A,笔记匹配!A:N,5,FALSE)</f>
        <v>=DISPIMG("ID_F9A685F941FC4ED3BEF49D79F92D66F1",1)</v>
      </c>
      <c r="C17" s="30" t="str">
        <f>VLOOKUP(A:A,笔记匹配!A:N,3,FALSE)</f>
        <v>是33崽</v>
      </c>
      <c r="D17" s="30" t="str">
        <f>VLOOKUP(A:A,笔记匹配!A:N,6,FALSE)</f>
        <v>9命！介么可爱的筋膜枪！送到心坎上的礼物</v>
      </c>
      <c r="E17" s="30" t="str">
        <f>VLOOKUP(A:A,笔记匹配!A:N,7,FALSE)</f>
        <v>https://www.xiaohongshu.com/discovery/item/6385c23a0000000019022ad3</v>
      </c>
      <c r="F17" s="65">
        <f>VLOOKUP(A:A,笔记匹配!A:N,8,FALSE)</f>
        <v>44894</v>
      </c>
      <c r="G17" s="66">
        <f>VLOOKUP(A:A,笔记匹配!A:P,15,FALSE)</f>
        <v>44904</v>
      </c>
      <c r="H17" s="30" t="str">
        <f>VLOOKUP(A:A,笔记匹配!A:N,9,FALSE)</f>
        <v>图文</v>
      </c>
      <c r="I17" s="30" t="str">
        <f>VLOOKUP(A:A,笔记匹配!A:N,2,FALSE)</f>
        <v>筋膜枪</v>
      </c>
      <c r="J17" s="30" t="str">
        <f>VLOOKUP(A:A,笔记匹配!A:N,4,FALSE)</f>
        <v>云麦筋膜枪cc</v>
      </c>
      <c r="K17" s="30" t="str">
        <f>VLOOKUP(A:A,笔记匹配!A:N,14,FALSE)</f>
        <v>云麦筋膜枪ccgo</v>
      </c>
      <c r="L17" s="3">
        <f>VLOOKUP(A:A,笔记匹配!A:N,10,FALSE)</f>
        <v>0</v>
      </c>
      <c r="M17" s="3">
        <f>VLOOKUP(A:A,笔记匹配!A:N,11,FALSE)</f>
        <v>0</v>
      </c>
      <c r="N17" s="69">
        <f>VLOOKUP(A:A,笔记匹配!A:N,12,FALSE)</f>
        <v>0</v>
      </c>
      <c r="O17" s="2">
        <f t="shared" si="0"/>
        <v>0</v>
      </c>
      <c r="P17" s="3">
        <f>IFERROR(VLOOKUP(A:A,信息流数据源!A:K,2,FALSE),0)</f>
        <v>295</v>
      </c>
      <c r="Q17" s="71">
        <f>IFERROR(VLOOKUP(A:A,信息流数据源!A:N,5,FALSE),0)</f>
        <v>0.0405631914180355</v>
      </c>
      <c r="R17" s="72">
        <f>IFERROR(VLOOKUP(A:A,信息流数据源!A:N,6,FALSE),0)</f>
        <v>0.40633608815427</v>
      </c>
      <c r="S17" s="2">
        <f>IFERROR(VLOOKUP(A:A,信息流数据源!A:N,9,FALSE),0)</f>
        <v>1</v>
      </c>
      <c r="T17" s="3">
        <f>IFERROR(VLOOKUP(A:A,信息流数据源!A:N,13,FALSE),0)</f>
        <v>43</v>
      </c>
      <c r="U17" s="73">
        <f>IFERROR(VLOOKUP(A:A,信息流数据源!A:N,14,FALSE),0)</f>
        <v>6.86046511627907</v>
      </c>
      <c r="V17" s="74">
        <f>IFERROR(VLOOKUP(A:A,信息流数据源!A:O,15,FALSE),0)</f>
        <v>0.0592286501377411</v>
      </c>
      <c r="W17" s="3">
        <f>IFERROR(VLOOKUP(A:A,搜索数据源!A:T,2,FALSE),0)</f>
        <v>0</v>
      </c>
      <c r="X17" s="71">
        <f>IFERROR(VLOOKUP(A:A,搜索数据源!A:T,5,FALSE),0)</f>
        <v>0</v>
      </c>
      <c r="Y17" s="73">
        <f>IFERROR(VLOOKUP(A:A,搜索数据源!A:T,6,FALSE),0)</f>
        <v>0</v>
      </c>
      <c r="Z17" s="3">
        <f>IFERROR(VLOOKUP(A:A,搜索数据源!A:T,9,FALSE),0)</f>
        <v>0</v>
      </c>
      <c r="AA17" s="3" t="e">
        <f>VLOOKUP(A:A,[1]搜索数据源!A:T,13,FALSE)</f>
        <v>#N/A</v>
      </c>
      <c r="AB17" s="72">
        <f>IFERROR(VLOOKUP(A:A,搜索数据源!A:T,14,FALSE),0)</f>
        <v>0</v>
      </c>
      <c r="AC17" s="69" t="str">
        <f>_xlfn.DISPIMG("ID_08DE97D9B97840998F2D3C03B9F9F6EE",1)</f>
        <v>=DISPIMG("ID_08DE97D9B97840998F2D3C03B9F9F6EE",1)</v>
      </c>
      <c r="AD17" s="4" t="s">
        <v>404</v>
      </c>
      <c r="AE17" s="78"/>
      <c r="AF17" s="78"/>
      <c r="AG17" s="2"/>
      <c r="AH17" s="78"/>
      <c r="AI17" s="78"/>
      <c r="AJ17" s="78"/>
      <c r="AK17" s="78"/>
      <c r="AL17" s="4">
        <f t="shared" si="1"/>
        <v>0</v>
      </c>
      <c r="AM17" s="81">
        <f t="shared" si="2"/>
        <v>0</v>
      </c>
      <c r="AN17" s="5">
        <f>IFERROR(VLOOKUP(A:A,回搜数据源!B:N,4,FALSE),0)</f>
        <v>0</v>
      </c>
      <c r="AO17" s="5">
        <f>IFERROR(VLOOKUP(A:A,回搜数据源!B:N,5,FALSE),0)</f>
        <v>0</v>
      </c>
    </row>
    <row r="18" s="57" customFormat="1" ht="100" hidden="1" customHeight="1" spans="1:41">
      <c r="A18" s="4" t="s">
        <v>296</v>
      </c>
      <c r="B18" s="3" t="str">
        <f>VLOOKUP(A:A,笔记匹配!A:N,5,FALSE)</f>
        <v>=DISPIMG("ID_D1A37ADFC939479D884FBB28AE53532B",1)</v>
      </c>
      <c r="C18" s="30" t="str">
        <f>VLOOKUP(A:A,笔记匹配!A:N,3,FALSE)</f>
        <v>元气芥末酱</v>
      </c>
      <c r="D18" s="30" t="str">
        <f>VLOOKUP(A:A,笔记匹配!A:N,6,FALSE)</f>
        <v>小腿粗的姐妹信我！肌肉腿就要这样按！</v>
      </c>
      <c r="E18" s="30" t="str">
        <f>VLOOKUP(A:A,笔记匹配!A:N,7,FALSE)</f>
        <v>https://www.xiaohongshu.com/discovery/item/62f0b4f000000000120392e6</v>
      </c>
      <c r="F18" s="65">
        <f>VLOOKUP(A:A,笔记匹配!A:N,8,FALSE)</f>
        <v>44781</v>
      </c>
      <c r="G18" s="66" t="str">
        <f>VLOOKUP(A:A,笔记匹配!A:P,15,FALSE)</f>
        <v>2022-08-09</v>
      </c>
      <c r="H18" s="30" t="str">
        <f>VLOOKUP(A:A,笔记匹配!A:N,9,FALSE)</f>
        <v>图文</v>
      </c>
      <c r="I18" s="30" t="str">
        <f>VLOOKUP(A:A,笔记匹配!A:N,2,FALSE)</f>
        <v>筋膜枪</v>
      </c>
      <c r="J18" s="30" t="str">
        <f>VLOOKUP(A:A,笔记匹配!A:N,4,FALSE)</f>
        <v>云麦筋膜枪PB2</v>
      </c>
      <c r="K18" s="30" t="str">
        <f>VLOOKUP(A:A,笔记匹配!A:N,14,FALSE)</f>
        <v>云麦筋膜枪pb2</v>
      </c>
      <c r="L18" s="3">
        <f>VLOOKUP(A:A,笔记匹配!A:N,10,FALSE)</f>
        <v>1460</v>
      </c>
      <c r="M18" s="3">
        <f>VLOOKUP(A:A,笔记匹配!A:N,11,FALSE)</f>
        <v>644</v>
      </c>
      <c r="N18" s="69">
        <f>VLOOKUP(A:A,笔记匹配!A:N,12,FALSE)</f>
        <v>58</v>
      </c>
      <c r="O18" s="2">
        <f t="shared" si="0"/>
        <v>2162</v>
      </c>
      <c r="P18" s="3">
        <f>IFERROR(VLOOKUP(A:A,信息流数据源!A:K,2,FALSE),0)</f>
        <v>0</v>
      </c>
      <c r="Q18" s="71">
        <f>IFERROR(VLOOKUP(A:A,信息流数据源!A:N,5,FALSE),0)</f>
        <v>0</v>
      </c>
      <c r="R18" s="72">
        <f>IFERROR(VLOOKUP(A:A,信息流数据源!A:N,6,FALSE),0)</f>
        <v>0</v>
      </c>
      <c r="S18" s="2">
        <f>IFERROR(VLOOKUP(A:A,信息流数据源!A:N,9,FALSE),0)</f>
        <v>0</v>
      </c>
      <c r="T18" s="3">
        <f>IFERROR(VLOOKUP(A:A,信息流数据源!A:N,13,FALSE),0)</f>
        <v>0</v>
      </c>
      <c r="U18" s="73">
        <f>IFERROR(VLOOKUP(A:A,信息流数据源!A:N,14,FALSE),0)</f>
        <v>0</v>
      </c>
      <c r="V18" s="74">
        <f>IFERROR(VLOOKUP(A:A,信息流数据源!A:O,15,FALSE),0)</f>
        <v>0</v>
      </c>
      <c r="W18" s="3">
        <f>IFERROR(VLOOKUP(A:A,搜索数据源!A:T,2,FALSE),0)</f>
        <v>0</v>
      </c>
      <c r="X18" s="71">
        <f>IFERROR(VLOOKUP(A:A,搜索数据源!A:T,5,FALSE),0)</f>
        <v>0</v>
      </c>
      <c r="Y18" s="73">
        <f>IFERROR(VLOOKUP(A:A,搜索数据源!A:T,6,FALSE),0)</f>
        <v>0</v>
      </c>
      <c r="Z18" s="3">
        <f>IFERROR(VLOOKUP(A:A,搜索数据源!A:T,9,FALSE),0)</f>
        <v>0</v>
      </c>
      <c r="AA18" s="3">
        <f>VLOOKUP(A:A,[1]搜索数据源!A:T,13,FALSE)</f>
        <v>83</v>
      </c>
      <c r="AB18" s="72">
        <f>IFERROR(VLOOKUP(A:A,搜索数据源!A:T,14,FALSE),0)</f>
        <v>0</v>
      </c>
      <c r="AC18" s="69" t="str">
        <f>_xlfn.DISPIMG("ID_A79312505F794344975282B33FD1D48C",1)</f>
        <v>=DISPIMG("ID_A79312505F794344975282B33FD1D48C",1)</v>
      </c>
      <c r="AD18" s="4" t="s">
        <v>405</v>
      </c>
      <c r="AE18" s="75">
        <v>44784</v>
      </c>
      <c r="AF18" s="3">
        <v>448.72</v>
      </c>
      <c r="AG18" s="2">
        <v>2379</v>
      </c>
      <c r="AH18" s="69" t="str">
        <f>_xlfn.DISPIMG("ID_794638AF139E4C8C92C471971F9DAE1F",1)</f>
        <v>=DISPIMG("ID_794638AF139E4C8C92C471971F9DAE1F",1)</v>
      </c>
      <c r="AI18" s="4" t="s">
        <v>406</v>
      </c>
      <c r="AJ18" s="4">
        <v>11</v>
      </c>
      <c r="AK18" s="4">
        <v>20</v>
      </c>
      <c r="AL18" s="4">
        <f t="shared" si="1"/>
        <v>9</v>
      </c>
      <c r="AM18" s="81">
        <f t="shared" si="2"/>
        <v>49.8577777777778</v>
      </c>
      <c r="AN18" s="5">
        <f>IFERROR(VLOOKUP(A:A,回搜数据源!B:N,4,FALSE),0)</f>
        <v>0.0221324842742874</v>
      </c>
      <c r="AO18" s="5">
        <f>IFERROR(VLOOKUP(A:A,回搜数据源!B:N,5,FALSE),0)</f>
        <v>0</v>
      </c>
    </row>
    <row r="19" s="57" customFormat="1" ht="100" hidden="1" customHeight="1" spans="1:41">
      <c r="A19" s="4" t="s">
        <v>407</v>
      </c>
      <c r="B19" s="3" t="str">
        <f>VLOOKUP(A:A,笔记匹配!A:N,5,FALSE)</f>
        <v>=DISPIMG("ID_2FBC1B218EF2463F8222242074A4B850",1)</v>
      </c>
      <c r="C19" s="30" t="str">
        <f>VLOOKUP(A:A,笔记匹配!A:N,3,FALSE)</f>
        <v>圆脸小欧er</v>
      </c>
      <c r="D19" s="30" t="str">
        <f>VLOOKUP(A:A,笔记匹配!A:N,6,FALSE)</f>
        <v>点击播放帮我减重90斤，粗腿逆袭分享！</v>
      </c>
      <c r="E19" s="30" t="str">
        <f>VLOOKUP(A:A,笔记匹配!A:N,7,FALSE)</f>
        <v>https://www.xiaohongshu.com/discovery/item/637461c000000000240293c1</v>
      </c>
      <c r="F19" s="65">
        <f>VLOOKUP(A:A,笔记匹配!A:N,8,FALSE)</f>
        <v>44892</v>
      </c>
      <c r="G19" s="66" t="str">
        <f>VLOOKUP(A:A,笔记匹配!A:P,15,FALSE)</f>
        <v>未测试</v>
      </c>
      <c r="H19" s="30" t="str">
        <f>VLOOKUP(A:A,笔记匹配!A:N,9,FALSE)</f>
        <v>视频</v>
      </c>
      <c r="I19" s="30" t="str">
        <f>VLOOKUP(A:A,笔记匹配!A:N,2,FALSE)</f>
        <v>筋膜枪</v>
      </c>
      <c r="J19" s="30" t="str">
        <f>VLOOKUP(A:A,笔记匹配!A:N,4,FALSE)</f>
        <v>云麦筋膜枪cc</v>
      </c>
      <c r="K19" s="30" t="str">
        <f>VLOOKUP(A:A,笔记匹配!A:N,14,FALSE)</f>
        <v>云麦筋膜枪ccgo</v>
      </c>
      <c r="L19" s="3">
        <f>VLOOKUP(A:A,笔记匹配!A:N,10,FALSE)</f>
        <v>0</v>
      </c>
      <c r="M19" s="3">
        <f>VLOOKUP(A:A,笔记匹配!A:N,11,FALSE)</f>
        <v>0</v>
      </c>
      <c r="N19" s="69">
        <f>VLOOKUP(A:A,笔记匹配!A:N,12,FALSE)</f>
        <v>0</v>
      </c>
      <c r="O19" s="2">
        <f t="shared" si="0"/>
        <v>0</v>
      </c>
      <c r="P19" s="3">
        <f>IFERROR(VLOOKUP(A:A,信息流数据源!A:K,2,FALSE),0)</f>
        <v>0</v>
      </c>
      <c r="Q19" s="71">
        <f>IFERROR(VLOOKUP(A:A,信息流数据源!A:N,5,FALSE),0)</f>
        <v>0</v>
      </c>
      <c r="R19" s="72">
        <f>IFERROR(VLOOKUP(A:A,信息流数据源!A:N,6,FALSE),0)</f>
        <v>0</v>
      </c>
      <c r="S19" s="2">
        <f>IFERROR(VLOOKUP(A:A,信息流数据源!A:N,9,FALSE),0)</f>
        <v>0</v>
      </c>
      <c r="T19" s="3">
        <f>IFERROR(VLOOKUP(A:A,信息流数据源!A:N,13,FALSE),0)</f>
        <v>0</v>
      </c>
      <c r="U19" s="73">
        <f>IFERROR(VLOOKUP(A:A,信息流数据源!A:N,14,FALSE),0)</f>
        <v>0</v>
      </c>
      <c r="V19" s="74">
        <f>IFERROR(VLOOKUP(A:A,信息流数据源!A:O,15,FALSE),0)</f>
        <v>0</v>
      </c>
      <c r="W19" s="3">
        <f>IFERROR(VLOOKUP(A:A,搜索数据源!A:T,2,FALSE),0)</f>
        <v>0</v>
      </c>
      <c r="X19" s="71">
        <f>IFERROR(VLOOKUP(A:A,搜索数据源!A:T,5,FALSE),0)</f>
        <v>0</v>
      </c>
      <c r="Y19" s="73">
        <f>IFERROR(VLOOKUP(A:A,搜索数据源!A:T,6,FALSE),0)</f>
        <v>0</v>
      </c>
      <c r="Z19" s="3">
        <f>IFERROR(VLOOKUP(A:A,搜索数据源!A:T,9,FALSE),0)</f>
        <v>0</v>
      </c>
      <c r="AA19" s="3" t="e">
        <f>VLOOKUP(A:A,[1]搜索数据源!A:T,13,FALSE)</f>
        <v>#N/A</v>
      </c>
      <c r="AB19" s="72">
        <f>IFERROR(VLOOKUP(A:A,搜索数据源!A:T,14,FALSE),0)</f>
        <v>0</v>
      </c>
      <c r="AC19" s="69"/>
      <c r="AD19" s="4"/>
      <c r="AE19" s="69"/>
      <c r="AF19" s="77"/>
      <c r="AG19" s="2"/>
      <c r="AH19" s="69"/>
      <c r="AI19" s="4"/>
      <c r="AJ19" s="4"/>
      <c r="AK19" s="4"/>
      <c r="AL19" s="4"/>
      <c r="AM19" s="81"/>
      <c r="AN19" s="5">
        <f>IFERROR(VLOOKUP(A:A,回搜数据源!B:N,4,FALSE),0)</f>
        <v>0</v>
      </c>
      <c r="AO19" s="5">
        <f>IFERROR(VLOOKUP(A:A,回搜数据源!B:N,5,FALSE),0)</f>
        <v>0</v>
      </c>
    </row>
    <row r="20" s="57" customFormat="1" ht="100" hidden="1" customHeight="1" spans="1:41">
      <c r="A20" s="4" t="s">
        <v>408</v>
      </c>
      <c r="B20" s="3" t="str">
        <f>VLOOKUP(A:A,笔记匹配!A:N,5,FALSE)</f>
        <v>=DISPIMG("ID_85A8D7C7028745368A1D11A6E9508FEA",1)</v>
      </c>
      <c r="C20" s="30" t="str">
        <f>VLOOKUP(A:A,笔记匹配!A:N,3,FALSE)</f>
        <v>努力变好的yy</v>
      </c>
      <c r="D20" s="30" t="str">
        <f>VLOOKUP(A:A,笔记匹配!A:N,6,FALSE)</f>
        <v>筋膜枪➕泡沫轴｜运动后全套放松动作分享！！</v>
      </c>
      <c r="E20" s="30" t="str">
        <f>VLOOKUP(A:A,笔记匹配!A:N,7,FALSE)</f>
        <v>https://www.xiaohongshu.com/discovery/item/629417c7000000002103479b</v>
      </c>
      <c r="F20" s="65">
        <f>VLOOKUP(A:A,笔记匹配!A:N,8,FALSE)</f>
        <v>44712</v>
      </c>
      <c r="G20" s="66" t="str">
        <f>VLOOKUP(A:A,笔记匹配!A:P,15,FALSE)</f>
        <v>2022-06-02</v>
      </c>
      <c r="H20" s="30" t="str">
        <f>VLOOKUP(A:A,笔记匹配!A:N,9,FALSE)</f>
        <v>图文</v>
      </c>
      <c r="I20" s="30" t="str">
        <f>VLOOKUP(A:A,笔记匹配!A:N,2,FALSE)</f>
        <v>筋膜枪</v>
      </c>
      <c r="J20" s="30" t="str">
        <f>VLOOKUP(A:A,笔记匹配!A:N,4,FALSE)</f>
        <v>云麦cc筋膜枪</v>
      </c>
      <c r="K20" s="30" t="str">
        <f>VLOOKUP(A:A,笔记匹配!A:N,14,FALSE)</f>
        <v>云麦筋膜枪cc</v>
      </c>
      <c r="L20" s="3">
        <f>VLOOKUP(A:A,笔记匹配!A:N,10,FALSE)</f>
        <v>709</v>
      </c>
      <c r="M20" s="3">
        <f>VLOOKUP(A:A,笔记匹配!A:N,11,FALSE)</f>
        <v>208</v>
      </c>
      <c r="N20" s="69">
        <f>VLOOKUP(A:A,笔记匹配!A:N,12,FALSE)</f>
        <v>70</v>
      </c>
      <c r="O20" s="2">
        <f t="shared" si="0"/>
        <v>987</v>
      </c>
      <c r="P20" s="3">
        <f>IFERROR(VLOOKUP(A:A,信息流数据源!A:K,2,FALSE),0)</f>
        <v>0</v>
      </c>
      <c r="Q20" s="71">
        <f>IFERROR(VLOOKUP(A:A,信息流数据源!A:N,5,FALSE),0)</f>
        <v>0</v>
      </c>
      <c r="R20" s="72">
        <f>IFERROR(VLOOKUP(A:A,信息流数据源!A:N,6,FALSE),0)</f>
        <v>0</v>
      </c>
      <c r="S20" s="2">
        <f>IFERROR(VLOOKUP(A:A,信息流数据源!A:N,9,FALSE),0)</f>
        <v>0</v>
      </c>
      <c r="T20" s="3">
        <f>IFERROR(VLOOKUP(A:A,信息流数据源!A:N,13,FALSE),0)</f>
        <v>0</v>
      </c>
      <c r="U20" s="73">
        <f>IFERROR(VLOOKUP(A:A,信息流数据源!A:N,14,FALSE),0)</f>
        <v>0</v>
      </c>
      <c r="V20" s="74">
        <f>IFERROR(VLOOKUP(A:A,信息流数据源!A:O,15,FALSE),0)</f>
        <v>0</v>
      </c>
      <c r="W20" s="3">
        <f>IFERROR(VLOOKUP(A:A,搜索数据源!A:T,2,FALSE),0)</f>
        <v>0</v>
      </c>
      <c r="X20" s="71">
        <f>IFERROR(VLOOKUP(A:A,搜索数据源!A:T,5,FALSE),0)</f>
        <v>0</v>
      </c>
      <c r="Y20" s="73">
        <f>IFERROR(VLOOKUP(A:A,搜索数据源!A:T,6,FALSE),0)</f>
        <v>0</v>
      </c>
      <c r="Z20" s="3">
        <f>IFERROR(VLOOKUP(A:A,搜索数据源!A:T,9,FALSE),0)</f>
        <v>0</v>
      </c>
      <c r="AA20" s="3" t="e">
        <f>VLOOKUP(A:A,[1]搜索数据源!A:T,13,FALSE)</f>
        <v>#N/A</v>
      </c>
      <c r="AB20" s="72">
        <f>IFERROR(VLOOKUP(A:A,搜索数据源!A:T,14,FALSE),0)</f>
        <v>0</v>
      </c>
      <c r="AC20" s="78" t="str">
        <f>_xlfn.DISPIMG("ID_A81CBBFEE5E041E1B19580357B79A0DD",1)</f>
        <v>=DISPIMG("ID_A81CBBFEE5E041E1B19580357B79A0DD",1)</v>
      </c>
      <c r="AD20" s="4" t="s">
        <v>409</v>
      </c>
      <c r="AE20" s="76">
        <v>44717</v>
      </c>
      <c r="AF20" s="3">
        <v>1969.24</v>
      </c>
      <c r="AG20" s="2">
        <v>27840</v>
      </c>
      <c r="AH20" s="69" t="str">
        <f>_xlfn.DISPIMG("ID_94FF0EE8FB07480CBB887B882EA96102",1)</f>
        <v>=DISPIMG("ID_94FF0EE8FB07480CBB887B882EA96102",1)</v>
      </c>
      <c r="AI20" s="4" t="s">
        <v>410</v>
      </c>
      <c r="AJ20" s="4">
        <v>151</v>
      </c>
      <c r="AK20" s="4">
        <v>197</v>
      </c>
      <c r="AL20" s="4">
        <f t="shared" si="1"/>
        <v>46</v>
      </c>
      <c r="AM20" s="81">
        <f t="shared" si="2"/>
        <v>42.8095652173913</v>
      </c>
      <c r="AN20" s="5">
        <f>IFERROR(VLOOKUP(A:A,回搜数据源!B:N,4,FALSE),0)</f>
        <v>0</v>
      </c>
      <c r="AO20" s="5">
        <f>IFERROR(VLOOKUP(A:A,回搜数据源!B:N,5,FALSE),0)</f>
        <v>0</v>
      </c>
    </row>
    <row r="21" s="57" customFormat="1" ht="100" hidden="1" customHeight="1" spans="1:41">
      <c r="A21" s="4" t="s">
        <v>411</v>
      </c>
      <c r="B21" s="3" t="str">
        <f>VLOOKUP(A:A,笔记匹配!A:N,5,FALSE)</f>
        <v>=DISPIMG("ID_DECA58B62F1849AE997DBD3219BBD2D6",1)</v>
      </c>
      <c r="C21" s="30" t="str">
        <f>VLOOKUP(A:A,笔记匹配!A:N,3,FALSE)</f>
        <v>窦月今天瘦了吗</v>
      </c>
      <c r="D21" s="30" t="str">
        <f>VLOOKUP(A:A,笔记匹配!A:N,6,FALSE)</f>
        <v>瘦80斤｜大基数减肥干货🔥看体脂别看体重</v>
      </c>
      <c r="E21" s="30" t="str">
        <f>VLOOKUP(A:A,笔记匹配!A:N,7,FALSE)</f>
        <v>https://www.xiaohongshu.com/discovery/item/63243be30000000008028570?app_platform=ios&amp;app_version=7.55.1&amp;share_from_user_hidden=true&amp;type=video&amp;xhsshare=CopyLink&amp;appuid=627bb3610000000021023146&amp;apptime=1663335181</v>
      </c>
      <c r="F21" s="65">
        <f>VLOOKUP(A:A,笔记匹配!A:N,8,FALSE)</f>
        <v>44820</v>
      </c>
      <c r="G21" s="66" t="str">
        <f>VLOOKUP(A:A,笔记匹配!A:P,15,FALSE)</f>
        <v>未测试</v>
      </c>
      <c r="H21" s="30" t="str">
        <f>VLOOKUP(A:A,笔记匹配!A:N,9,FALSE)</f>
        <v>视频</v>
      </c>
      <c r="I21" s="30" t="str">
        <f>VLOOKUP(A:A,笔记匹配!A:N,2,FALSE)</f>
        <v>体脂秤</v>
      </c>
      <c r="J21" s="30" t="str">
        <f>VLOOKUP(A:A,笔记匹配!A:N,4,FALSE)</f>
        <v>云麦体脂秤3</v>
      </c>
      <c r="K21" s="30" t="str">
        <f>VLOOKUP(A:A,笔记匹配!A:N,14,FALSE)</f>
        <v>云麦体脂秤3</v>
      </c>
      <c r="L21" s="3">
        <f>VLOOKUP(A:A,笔记匹配!A:N,10,FALSE)</f>
        <v>0</v>
      </c>
      <c r="M21" s="3">
        <f>VLOOKUP(A:A,笔记匹配!A:N,11,FALSE)</f>
        <v>0</v>
      </c>
      <c r="N21" s="69">
        <f>VLOOKUP(A:A,笔记匹配!A:N,12,FALSE)</f>
        <v>0</v>
      </c>
      <c r="O21" s="2">
        <f t="shared" si="0"/>
        <v>0</v>
      </c>
      <c r="P21" s="3">
        <f>IFERROR(VLOOKUP(A:A,信息流数据源!A:K,2,FALSE),0)</f>
        <v>0</v>
      </c>
      <c r="Q21" s="71">
        <f>IFERROR(VLOOKUP(A:A,信息流数据源!A:N,5,FALSE),0)</f>
        <v>0</v>
      </c>
      <c r="R21" s="72">
        <f>IFERROR(VLOOKUP(A:A,信息流数据源!A:N,6,FALSE),0)</f>
        <v>0</v>
      </c>
      <c r="S21" s="2">
        <f>IFERROR(VLOOKUP(A:A,信息流数据源!A:N,9,FALSE),0)</f>
        <v>0</v>
      </c>
      <c r="T21" s="3">
        <f>IFERROR(VLOOKUP(A:A,信息流数据源!A:N,13,FALSE),0)</f>
        <v>0</v>
      </c>
      <c r="U21" s="73">
        <f>IFERROR(VLOOKUP(A:A,信息流数据源!A:N,14,FALSE),0)</f>
        <v>0</v>
      </c>
      <c r="V21" s="74">
        <f>IFERROR(VLOOKUP(A:A,信息流数据源!A:O,15,FALSE),0)</f>
        <v>0</v>
      </c>
      <c r="W21" s="3">
        <f>IFERROR(VLOOKUP(A:A,搜索数据源!A:T,2,FALSE),0)</f>
        <v>0</v>
      </c>
      <c r="X21" s="71">
        <f>IFERROR(VLOOKUP(A:A,搜索数据源!A:T,5,FALSE),0)</f>
        <v>0</v>
      </c>
      <c r="Y21" s="73">
        <f>IFERROR(VLOOKUP(A:A,搜索数据源!A:T,6,FALSE),0)</f>
        <v>0</v>
      </c>
      <c r="Z21" s="3">
        <f>IFERROR(VLOOKUP(A:A,搜索数据源!A:T,9,FALSE),0)</f>
        <v>0</v>
      </c>
      <c r="AA21" s="3" t="e">
        <f>VLOOKUP(A:A,[1]搜索数据源!A:T,13,FALSE)</f>
        <v>#N/A</v>
      </c>
      <c r="AB21" s="72">
        <f>IFERROR(VLOOKUP(A:A,搜索数据源!A:T,14,FALSE),0)</f>
        <v>0</v>
      </c>
      <c r="AC21" s="69"/>
      <c r="AD21" s="4"/>
      <c r="AE21" s="69"/>
      <c r="AF21" s="77"/>
      <c r="AG21" s="2"/>
      <c r="AH21" s="69"/>
      <c r="AI21" s="4"/>
      <c r="AJ21" s="4"/>
      <c r="AK21" s="4"/>
      <c r="AL21" s="4"/>
      <c r="AM21" s="81"/>
      <c r="AN21" s="5">
        <f>IFERROR(VLOOKUP(A:A,回搜数据源!B:N,4,FALSE),0)</f>
        <v>0</v>
      </c>
      <c r="AO21" s="5">
        <f>IFERROR(VLOOKUP(A:A,回搜数据源!B:N,5,FALSE),0)</f>
        <v>0</v>
      </c>
    </row>
    <row r="22" s="57" customFormat="1" ht="100" hidden="1" customHeight="1" spans="1:41">
      <c r="A22" s="4" t="s">
        <v>412</v>
      </c>
      <c r="B22" s="3" t="str">
        <f>VLOOKUP(A:A,笔记匹配!A:N,5,FALSE)</f>
        <v>=DISPIMG("ID_E91F7A090F3242B5BE5BF92A1C0B1468",1)</v>
      </c>
      <c r="C22" s="30" t="str">
        <f>VLOOKUP(A:A,笔记匹配!A:N,3,FALSE)</f>
        <v>书萱</v>
      </c>
      <c r="D22" s="30" t="str">
        <f>VLOOKUP(A:A,笔记匹配!A:N,6,FALSE)</f>
        <v>好身材并不等于90斤，别被体重框住‼️</v>
      </c>
      <c r="E22" s="30" t="str">
        <f>VLOOKUP(A:A,笔记匹配!A:N,7,FALSE)</f>
        <v>https://www.xiaohongshu.com/discovery/item/631b390c000000000900f82f</v>
      </c>
      <c r="F22" s="65">
        <f>VLOOKUP(A:A,笔记匹配!A:N,8,FALSE)</f>
        <v>44814</v>
      </c>
      <c r="G22" s="66" t="str">
        <f>VLOOKUP(A:A,笔记匹配!A:P,15,FALSE)</f>
        <v>未测试</v>
      </c>
      <c r="H22" s="30" t="str">
        <f>VLOOKUP(A:A,笔记匹配!A:N,9,FALSE)</f>
        <v>视频</v>
      </c>
      <c r="I22" s="30" t="str">
        <f>VLOOKUP(A:A,笔记匹配!A:N,2,FALSE)</f>
        <v>体脂秤</v>
      </c>
      <c r="J22" s="30" t="str">
        <f>VLOOKUP(A:A,笔记匹配!A:N,4,FALSE)</f>
        <v>云麦体脂秤3</v>
      </c>
      <c r="K22" s="30" t="str">
        <f>VLOOKUP(A:A,笔记匹配!A:N,14,FALSE)</f>
        <v>云麦体脂秤3</v>
      </c>
      <c r="L22" s="3">
        <f>VLOOKUP(A:A,笔记匹配!A:N,10,FALSE)</f>
        <v>0</v>
      </c>
      <c r="M22" s="3">
        <f>VLOOKUP(A:A,笔记匹配!A:N,11,FALSE)</f>
        <v>0</v>
      </c>
      <c r="N22" s="69">
        <f>VLOOKUP(A:A,笔记匹配!A:N,12,FALSE)</f>
        <v>0</v>
      </c>
      <c r="O22" s="2">
        <f t="shared" si="0"/>
        <v>0</v>
      </c>
      <c r="P22" s="3">
        <f>IFERROR(VLOOKUP(A:A,信息流数据源!A:K,2,FALSE),0)</f>
        <v>0</v>
      </c>
      <c r="Q22" s="71">
        <f>IFERROR(VLOOKUP(A:A,信息流数据源!A:N,5,FALSE),0)</f>
        <v>0</v>
      </c>
      <c r="R22" s="72">
        <f>IFERROR(VLOOKUP(A:A,信息流数据源!A:N,6,FALSE),0)</f>
        <v>0</v>
      </c>
      <c r="S22" s="2">
        <f>IFERROR(VLOOKUP(A:A,信息流数据源!A:N,9,FALSE),0)</f>
        <v>0</v>
      </c>
      <c r="T22" s="3">
        <f>IFERROR(VLOOKUP(A:A,信息流数据源!A:N,13,FALSE),0)</f>
        <v>0</v>
      </c>
      <c r="U22" s="73">
        <f>IFERROR(VLOOKUP(A:A,信息流数据源!A:N,14,FALSE),0)</f>
        <v>0</v>
      </c>
      <c r="V22" s="74">
        <f>IFERROR(VLOOKUP(A:A,信息流数据源!A:O,15,FALSE),0)</f>
        <v>0</v>
      </c>
      <c r="W22" s="3">
        <f>IFERROR(VLOOKUP(A:A,搜索数据源!A:T,2,FALSE),0)</f>
        <v>0</v>
      </c>
      <c r="X22" s="71">
        <f>IFERROR(VLOOKUP(A:A,搜索数据源!A:T,5,FALSE),0)</f>
        <v>0</v>
      </c>
      <c r="Y22" s="73">
        <f>IFERROR(VLOOKUP(A:A,搜索数据源!A:T,6,FALSE),0)</f>
        <v>0</v>
      </c>
      <c r="Z22" s="3">
        <f>IFERROR(VLOOKUP(A:A,搜索数据源!A:T,9,FALSE),0)</f>
        <v>0</v>
      </c>
      <c r="AA22" s="3" t="e">
        <f>VLOOKUP(A:A,[1]搜索数据源!A:T,13,FALSE)</f>
        <v>#N/A</v>
      </c>
      <c r="AB22" s="72">
        <f>IFERROR(VLOOKUP(A:A,搜索数据源!A:T,14,FALSE),0)</f>
        <v>0</v>
      </c>
      <c r="AC22" s="69"/>
      <c r="AD22" s="4"/>
      <c r="AE22" s="76"/>
      <c r="AF22" s="3"/>
      <c r="AG22" s="2"/>
      <c r="AH22" s="69"/>
      <c r="AI22" s="4"/>
      <c r="AJ22" s="4"/>
      <c r="AK22" s="4"/>
      <c r="AL22" s="4"/>
      <c r="AM22" s="81"/>
      <c r="AN22" s="5">
        <f>IFERROR(VLOOKUP(A:A,回搜数据源!B:N,4,FALSE),0)</f>
        <v>0</v>
      </c>
      <c r="AO22" s="5">
        <f>IFERROR(VLOOKUP(A:A,回搜数据源!B:N,5,FALSE),0)</f>
        <v>0</v>
      </c>
    </row>
    <row r="23" s="57" customFormat="1" ht="100" hidden="1" customHeight="1" spans="1:41">
      <c r="A23" s="4" t="s">
        <v>413</v>
      </c>
      <c r="B23" s="3" t="str">
        <f>VLOOKUP(A:A,笔记匹配!A:N,5,FALSE)</f>
        <v>=DISPIMG("ID_7CBE77806531448CAE2A0477EC5EA80D",1)</v>
      </c>
      <c r="C23" s="30" t="str">
        <f>VLOOKUP(A:A,笔记匹配!A:N,3,FALSE)</f>
        <v>圆又圆超爱笑</v>
      </c>
      <c r="D23" s="30" t="str">
        <f>VLOOKUP(A:A,笔记匹配!A:N,6,FALSE)</f>
        <v>大学生在校健身✅理想身材体型比体重关键‼️</v>
      </c>
      <c r="E23" s="30" t="str">
        <f>VLOOKUP(A:A,笔记匹配!A:N,7,FALSE)</f>
        <v>https://www.xiaohongshu.com/discovery/item/63183577000000001203a6c5</v>
      </c>
      <c r="F23" s="65">
        <f>VLOOKUP(A:A,笔记匹配!A:N,8,FALSE)</f>
        <v>44811</v>
      </c>
      <c r="G23" s="66" t="str">
        <f>VLOOKUP(A:A,笔记匹配!A:P,15,FALSE)</f>
        <v>未测试</v>
      </c>
      <c r="H23" s="30" t="str">
        <f>VLOOKUP(A:A,笔记匹配!A:N,9,FALSE)</f>
        <v>视频</v>
      </c>
      <c r="I23" s="30" t="str">
        <f>VLOOKUP(A:A,笔记匹配!A:N,2,FALSE)</f>
        <v>体脂秤</v>
      </c>
      <c r="J23" s="30" t="str">
        <f>VLOOKUP(A:A,笔记匹配!A:N,4,FALSE)</f>
        <v>云麦体脂秤3</v>
      </c>
      <c r="K23" s="30" t="str">
        <f>VLOOKUP(A:A,笔记匹配!A:N,14,FALSE)</f>
        <v>云麦体脂秤3</v>
      </c>
      <c r="L23" s="3">
        <f>VLOOKUP(A:A,笔记匹配!A:N,10,FALSE)</f>
        <v>0</v>
      </c>
      <c r="M23" s="3">
        <f>VLOOKUP(A:A,笔记匹配!A:N,11,FALSE)</f>
        <v>0</v>
      </c>
      <c r="N23" s="69">
        <f>VLOOKUP(A:A,笔记匹配!A:N,12,FALSE)</f>
        <v>0</v>
      </c>
      <c r="O23" s="2">
        <f t="shared" si="0"/>
        <v>0</v>
      </c>
      <c r="P23" s="3">
        <f>IFERROR(VLOOKUP(A:A,信息流数据源!A:K,2,FALSE),0)</f>
        <v>0</v>
      </c>
      <c r="Q23" s="71">
        <f>IFERROR(VLOOKUP(A:A,信息流数据源!A:N,5,FALSE),0)</f>
        <v>0</v>
      </c>
      <c r="R23" s="72">
        <f>IFERROR(VLOOKUP(A:A,信息流数据源!A:N,6,FALSE),0)</f>
        <v>0</v>
      </c>
      <c r="S23" s="2">
        <f>IFERROR(VLOOKUP(A:A,信息流数据源!A:N,9,FALSE),0)</f>
        <v>0</v>
      </c>
      <c r="T23" s="3">
        <f>IFERROR(VLOOKUP(A:A,信息流数据源!A:N,13,FALSE),0)</f>
        <v>0</v>
      </c>
      <c r="U23" s="73">
        <f>IFERROR(VLOOKUP(A:A,信息流数据源!A:N,14,FALSE),0)</f>
        <v>0</v>
      </c>
      <c r="V23" s="74">
        <f>IFERROR(VLOOKUP(A:A,信息流数据源!A:O,15,FALSE),0)</f>
        <v>0</v>
      </c>
      <c r="W23" s="3">
        <f>IFERROR(VLOOKUP(A:A,搜索数据源!A:T,2,FALSE),0)</f>
        <v>0</v>
      </c>
      <c r="X23" s="71">
        <f>IFERROR(VLOOKUP(A:A,搜索数据源!A:T,5,FALSE),0)</f>
        <v>0</v>
      </c>
      <c r="Y23" s="73">
        <f>IFERROR(VLOOKUP(A:A,搜索数据源!A:T,6,FALSE),0)</f>
        <v>0</v>
      </c>
      <c r="Z23" s="3">
        <f>IFERROR(VLOOKUP(A:A,搜索数据源!A:T,9,FALSE),0)</f>
        <v>0</v>
      </c>
      <c r="AA23" s="3" t="e">
        <f>VLOOKUP(A:A,[1]搜索数据源!A:T,13,FALSE)</f>
        <v>#N/A</v>
      </c>
      <c r="AB23" s="72">
        <f>IFERROR(VLOOKUP(A:A,搜索数据源!A:T,14,FALSE),0)</f>
        <v>0</v>
      </c>
      <c r="AC23" s="69"/>
      <c r="AD23" s="4"/>
      <c r="AE23" s="69"/>
      <c r="AF23" s="77"/>
      <c r="AG23" s="2"/>
      <c r="AH23" s="69"/>
      <c r="AI23" s="4"/>
      <c r="AJ23" s="4"/>
      <c r="AK23" s="4"/>
      <c r="AL23" s="4"/>
      <c r="AM23" s="81"/>
      <c r="AN23" s="5">
        <f>IFERROR(VLOOKUP(A:A,回搜数据源!B:N,4,FALSE),0)</f>
        <v>0</v>
      </c>
      <c r="AO23" s="5">
        <f>IFERROR(VLOOKUP(A:A,回搜数据源!B:N,5,FALSE),0)</f>
        <v>0</v>
      </c>
    </row>
    <row r="24" s="57" customFormat="1" ht="100" hidden="1" customHeight="1" spans="1:41">
      <c r="A24" s="4" t="s">
        <v>414</v>
      </c>
      <c r="B24" s="3" t="str">
        <f>VLOOKUP(A:A,笔记匹配!A:N,5,FALSE)</f>
        <v>=DISPIMG("ID_849D34DD980A4051B4E5CA4E24104C35",1)</v>
      </c>
      <c r="C24" s="30" t="str">
        <f>VLOOKUP(A:A,笔记匹配!A:N,3,FALSE)</f>
        <v>杨伊伊啊</v>
      </c>
      <c r="D24" s="30" t="str">
        <f>VLOOKUP(A:A,笔记匹配!A:N,6,FALSE)</f>
        <v>人类幼崽内心：我这辈子没这么无语过</v>
      </c>
      <c r="E24" s="30" t="str">
        <f>VLOOKUP(A:A,笔记匹配!A:N,7,FALSE)</f>
        <v>https://www.xiaohongshu.com/discovery/item/63091250000000001b01ad77</v>
      </c>
      <c r="F24" s="65">
        <f>VLOOKUP(A:A,笔记匹配!A:N,8,FALSE)</f>
        <v>44800</v>
      </c>
      <c r="G24" s="66" t="str">
        <f>VLOOKUP(A:A,笔记匹配!A:P,15,FALSE)</f>
        <v>未测试</v>
      </c>
      <c r="H24" s="30" t="str">
        <f>VLOOKUP(A:A,笔记匹配!A:N,9,FALSE)</f>
        <v>视频</v>
      </c>
      <c r="I24" s="30" t="str">
        <f>VLOOKUP(A:A,笔记匹配!A:N,2,FALSE)</f>
        <v>体脂秤</v>
      </c>
      <c r="J24" s="30" t="str">
        <f>VLOOKUP(A:A,笔记匹配!A:N,4,FALSE)</f>
        <v>云麦体脂秤3</v>
      </c>
      <c r="K24" s="30" t="str">
        <f>VLOOKUP(A:A,笔记匹配!A:N,14,FALSE)</f>
        <v>云麦体脂秤3</v>
      </c>
      <c r="L24" s="3">
        <f>VLOOKUP(A:A,笔记匹配!A:N,10,FALSE)</f>
        <v>0</v>
      </c>
      <c r="M24" s="3">
        <f>VLOOKUP(A:A,笔记匹配!A:N,11,FALSE)</f>
        <v>0</v>
      </c>
      <c r="N24" s="69">
        <f>VLOOKUP(A:A,笔记匹配!A:N,12,FALSE)</f>
        <v>0</v>
      </c>
      <c r="O24" s="2">
        <f t="shared" si="0"/>
        <v>0</v>
      </c>
      <c r="P24" s="3">
        <f>IFERROR(VLOOKUP(A:A,信息流数据源!A:K,2,FALSE),0)</f>
        <v>0</v>
      </c>
      <c r="Q24" s="71">
        <f>IFERROR(VLOOKUP(A:A,信息流数据源!A:N,5,FALSE),0)</f>
        <v>0</v>
      </c>
      <c r="R24" s="72">
        <f>IFERROR(VLOOKUP(A:A,信息流数据源!A:N,6,FALSE),0)</f>
        <v>0</v>
      </c>
      <c r="S24" s="2">
        <f>IFERROR(VLOOKUP(A:A,信息流数据源!A:N,9,FALSE),0)</f>
        <v>0</v>
      </c>
      <c r="T24" s="3">
        <f>IFERROR(VLOOKUP(A:A,信息流数据源!A:N,13,FALSE),0)</f>
        <v>0</v>
      </c>
      <c r="U24" s="73">
        <f>IFERROR(VLOOKUP(A:A,信息流数据源!A:N,14,FALSE),0)</f>
        <v>0</v>
      </c>
      <c r="V24" s="74">
        <f>IFERROR(VLOOKUP(A:A,信息流数据源!A:O,15,FALSE),0)</f>
        <v>0</v>
      </c>
      <c r="W24" s="3">
        <f>IFERROR(VLOOKUP(A:A,搜索数据源!A:T,2,FALSE),0)</f>
        <v>0</v>
      </c>
      <c r="X24" s="71">
        <f>IFERROR(VLOOKUP(A:A,搜索数据源!A:T,5,FALSE),0)</f>
        <v>0</v>
      </c>
      <c r="Y24" s="73">
        <f>IFERROR(VLOOKUP(A:A,搜索数据源!A:T,6,FALSE),0)</f>
        <v>0</v>
      </c>
      <c r="Z24" s="3">
        <f>IFERROR(VLOOKUP(A:A,搜索数据源!A:T,9,FALSE),0)</f>
        <v>0</v>
      </c>
      <c r="AA24" s="3" t="e">
        <f>VLOOKUP(A:A,[1]搜索数据源!A:T,13,FALSE)</f>
        <v>#N/A</v>
      </c>
      <c r="AB24" s="72">
        <f>IFERROR(VLOOKUP(A:A,搜索数据源!A:T,14,FALSE),0)</f>
        <v>0</v>
      </c>
      <c r="AC24" s="69"/>
      <c r="AD24" s="4"/>
      <c r="AE24" s="76"/>
      <c r="AF24" s="3"/>
      <c r="AG24" s="2"/>
      <c r="AH24" s="69"/>
      <c r="AI24" s="4"/>
      <c r="AJ24" s="4"/>
      <c r="AK24" s="4"/>
      <c r="AL24" s="4"/>
      <c r="AM24" s="81"/>
      <c r="AN24" s="5">
        <f>IFERROR(VLOOKUP(A:A,回搜数据源!B:N,4,FALSE),0)</f>
        <v>0</v>
      </c>
      <c r="AO24" s="5">
        <f>IFERROR(VLOOKUP(A:A,回搜数据源!B:N,5,FALSE),0)</f>
        <v>0</v>
      </c>
    </row>
    <row r="25" s="57" customFormat="1" ht="100" customHeight="1" spans="1:41">
      <c r="A25" s="4" t="s">
        <v>415</v>
      </c>
      <c r="B25" s="3" t="str">
        <f>VLOOKUP(A:A,笔记匹配!A:N,5,FALSE)</f>
        <v>=DISPIMG("ID_4D9774C5B4414AD4B70C8C836CA4F9F9",1)</v>
      </c>
      <c r="C25" s="30" t="str">
        <f>VLOOKUP(A:A,笔记匹配!A:N,3,FALSE)</f>
        <v>11foxxy</v>
      </c>
      <c r="D25" s="30" t="str">
        <f>VLOOKUP(A:A,笔记匹配!A:N,6,FALSE)</f>
        <v>跳绳加拉伸 腿不要瘦的太快！</v>
      </c>
      <c r="E25" s="30" t="str">
        <f>VLOOKUP(A:A,笔记匹配!A:N,7,FALSE)</f>
        <v>https://www.xiaohongshu.com/discovery/item/636a1e7f000000000602be1b</v>
      </c>
      <c r="F25" s="65">
        <f>VLOOKUP(A:A,笔记匹配!A:N,8,FALSE)</f>
        <v>44873</v>
      </c>
      <c r="G25" s="66" t="str">
        <f>VLOOKUP(A:A,笔记匹配!A:P,15,FALSE)</f>
        <v>未测试</v>
      </c>
      <c r="H25" s="30" t="str">
        <f>VLOOKUP(A:A,笔记匹配!A:N,9,FALSE)</f>
        <v>图文</v>
      </c>
      <c r="I25" s="30" t="str">
        <f>VLOOKUP(A:A,笔记匹配!A:N,2,FALSE)</f>
        <v>跳绳</v>
      </c>
      <c r="J25" s="30" t="str">
        <f>VLOOKUP(A:A,笔记匹配!A:N,4,FALSE)</f>
        <v>云麦跳绳2go</v>
      </c>
      <c r="K25" s="30" t="str">
        <f>VLOOKUP(A:A,笔记匹配!A:N,14,FALSE)</f>
        <v>云麦跳绳2go</v>
      </c>
      <c r="L25" s="3">
        <f>VLOOKUP(A:A,笔记匹配!A:N,10,FALSE)</f>
        <v>0</v>
      </c>
      <c r="M25" s="3">
        <f>VLOOKUP(A:A,笔记匹配!A:N,11,FALSE)</f>
        <v>0</v>
      </c>
      <c r="N25" s="69">
        <f>VLOOKUP(A:A,笔记匹配!A:N,12,FALSE)</f>
        <v>0</v>
      </c>
      <c r="O25" s="2">
        <f t="shared" si="0"/>
        <v>0</v>
      </c>
      <c r="P25" s="3">
        <f>IFERROR(VLOOKUP(A:A,信息流数据源!A:K,2,FALSE),0)</f>
        <v>0</v>
      </c>
      <c r="Q25" s="71">
        <f>IFERROR(VLOOKUP(A:A,信息流数据源!A:N,5,FALSE),0)</f>
        <v>0</v>
      </c>
      <c r="R25" s="72">
        <f>IFERROR(VLOOKUP(A:A,信息流数据源!A:N,6,FALSE),0)</f>
        <v>0</v>
      </c>
      <c r="S25" s="2">
        <f>IFERROR(VLOOKUP(A:A,信息流数据源!A:N,9,FALSE),0)</f>
        <v>0</v>
      </c>
      <c r="T25" s="3">
        <f>IFERROR(VLOOKUP(A:A,信息流数据源!A:N,13,FALSE),0)</f>
        <v>0</v>
      </c>
      <c r="U25" s="73">
        <f>IFERROR(VLOOKUP(A:A,信息流数据源!A:N,14,FALSE),0)</f>
        <v>0</v>
      </c>
      <c r="V25" s="74">
        <f>IFERROR(VLOOKUP(A:A,信息流数据源!A:O,15,FALSE),0)</f>
        <v>0</v>
      </c>
      <c r="W25" s="3">
        <f>IFERROR(VLOOKUP(A:A,搜索数据源!A:T,2,FALSE),0)</f>
        <v>0</v>
      </c>
      <c r="X25" s="71">
        <f>IFERROR(VLOOKUP(A:A,搜索数据源!A:T,5,FALSE),0)</f>
        <v>0</v>
      </c>
      <c r="Y25" s="73">
        <f>IFERROR(VLOOKUP(A:A,搜索数据源!A:T,6,FALSE),0)</f>
        <v>0</v>
      </c>
      <c r="Z25" s="3">
        <f>IFERROR(VLOOKUP(A:A,搜索数据源!A:T,9,FALSE),0)</f>
        <v>0</v>
      </c>
      <c r="AA25" s="3" t="e">
        <f>VLOOKUP(A:A,[1]搜索数据源!A:T,13,FALSE)</f>
        <v>#N/A</v>
      </c>
      <c r="AB25" s="72">
        <f>IFERROR(VLOOKUP(A:A,搜索数据源!A:T,14,FALSE),0)</f>
        <v>0</v>
      </c>
      <c r="AC25" s="69"/>
      <c r="AD25" s="4"/>
      <c r="AE25" s="69"/>
      <c r="AF25" s="77"/>
      <c r="AG25" s="2"/>
      <c r="AH25" s="69"/>
      <c r="AI25" s="4"/>
      <c r="AJ25" s="4"/>
      <c r="AK25" s="4"/>
      <c r="AL25" s="4"/>
      <c r="AM25" s="81"/>
      <c r="AN25" s="5">
        <f>IFERROR(VLOOKUP(A:A,回搜数据源!B:N,4,FALSE),0)</f>
        <v>0</v>
      </c>
      <c r="AO25" s="5">
        <f>IFERROR(VLOOKUP(A:A,回搜数据源!B:N,5,FALSE),0)</f>
        <v>0</v>
      </c>
    </row>
    <row r="26" s="57" customFormat="1" ht="100" customHeight="1" spans="1:41">
      <c r="A26" s="4" t="s">
        <v>416</v>
      </c>
      <c r="B26" s="3" t="str">
        <f>VLOOKUP(A:A,笔记匹配!A:N,5,FALSE)</f>
        <v>=DISPIMG("ID_E2D9513DB1FE4039BD0AFB5068AE26BF",1)</v>
      </c>
      <c r="C26" s="30" t="str">
        <f>VLOOKUP(A:A,笔记匹配!A:N,3,FALSE)</f>
        <v>阿迁</v>
      </c>
      <c r="D26" s="30" t="str">
        <f>VLOOKUP(A:A,笔记匹配!A:N,6,FALSE)</f>
        <v>间歇跳绳法，无绳跳绳练出筷子腿</v>
      </c>
      <c r="E26" s="30" t="str">
        <f>VLOOKUP(A:A,笔记匹配!A:N,7,FALSE)</f>
        <v>https://www.xiaohongshu.com/discovery/item/634a350c00000000070395b0</v>
      </c>
      <c r="F26" s="65">
        <f>VLOOKUP(A:A,笔记匹配!A:N,8,FALSE)</f>
        <v>44849</v>
      </c>
      <c r="G26" s="66" t="str">
        <f>VLOOKUP(A:A,笔记匹配!A:P,15,FALSE)</f>
        <v>未测试</v>
      </c>
      <c r="H26" s="30" t="str">
        <f>VLOOKUP(A:A,笔记匹配!A:N,9,FALSE)</f>
        <v>视频</v>
      </c>
      <c r="I26" s="30" t="str">
        <f>VLOOKUP(A:A,笔记匹配!A:N,2,FALSE)</f>
        <v>跳绳</v>
      </c>
      <c r="J26" s="30" t="str">
        <f>VLOOKUP(A:A,笔记匹配!A:N,4,FALSE)</f>
        <v>云麦跳绳2go</v>
      </c>
      <c r="K26" s="30" t="str">
        <f>VLOOKUP(A:A,笔记匹配!A:N,14,FALSE)</f>
        <v>云麦跳绳2go</v>
      </c>
      <c r="L26" s="3">
        <f>VLOOKUP(A:A,笔记匹配!A:N,10,FALSE)</f>
        <v>0</v>
      </c>
      <c r="M26" s="3">
        <f>VLOOKUP(A:A,笔记匹配!A:N,11,FALSE)</f>
        <v>0</v>
      </c>
      <c r="N26" s="69">
        <f>VLOOKUP(A:A,笔记匹配!A:N,12,FALSE)</f>
        <v>0</v>
      </c>
      <c r="O26" s="2">
        <f t="shared" si="0"/>
        <v>0</v>
      </c>
      <c r="P26" s="3">
        <f>IFERROR(VLOOKUP(A:A,信息流数据源!A:K,2,FALSE),0)</f>
        <v>0</v>
      </c>
      <c r="Q26" s="71">
        <f>IFERROR(VLOOKUP(A:A,信息流数据源!A:N,5,FALSE),0)</f>
        <v>0</v>
      </c>
      <c r="R26" s="72">
        <f>IFERROR(VLOOKUP(A:A,信息流数据源!A:N,6,FALSE),0)</f>
        <v>0</v>
      </c>
      <c r="S26" s="2">
        <f>IFERROR(VLOOKUP(A:A,信息流数据源!A:N,9,FALSE),0)</f>
        <v>0</v>
      </c>
      <c r="T26" s="3">
        <f>IFERROR(VLOOKUP(A:A,信息流数据源!A:N,13,FALSE),0)</f>
        <v>0</v>
      </c>
      <c r="U26" s="73">
        <f>IFERROR(VLOOKUP(A:A,信息流数据源!A:N,14,FALSE),0)</f>
        <v>0</v>
      </c>
      <c r="V26" s="74">
        <f>IFERROR(VLOOKUP(A:A,信息流数据源!A:O,15,FALSE),0)</f>
        <v>0</v>
      </c>
      <c r="W26" s="3">
        <f>IFERROR(VLOOKUP(A:A,搜索数据源!A:T,2,FALSE),0)</f>
        <v>0</v>
      </c>
      <c r="X26" s="71">
        <f>IFERROR(VLOOKUP(A:A,搜索数据源!A:T,5,FALSE),0)</f>
        <v>0</v>
      </c>
      <c r="Y26" s="73">
        <f>IFERROR(VLOOKUP(A:A,搜索数据源!A:T,6,FALSE),0)</f>
        <v>0</v>
      </c>
      <c r="Z26" s="3">
        <f>IFERROR(VLOOKUP(A:A,搜索数据源!A:T,9,FALSE),0)</f>
        <v>0</v>
      </c>
      <c r="AA26" s="3" t="e">
        <f>VLOOKUP(A:A,[1]搜索数据源!A:T,13,FALSE)</f>
        <v>#N/A</v>
      </c>
      <c r="AB26" s="72">
        <f>IFERROR(VLOOKUP(A:A,搜索数据源!A:T,14,FALSE),0)</f>
        <v>0</v>
      </c>
      <c r="AC26" s="69"/>
      <c r="AD26" s="4"/>
      <c r="AE26" s="76"/>
      <c r="AF26" s="3"/>
      <c r="AG26" s="2"/>
      <c r="AH26" s="69"/>
      <c r="AI26" s="4"/>
      <c r="AJ26" s="4"/>
      <c r="AK26" s="4"/>
      <c r="AL26" s="4"/>
      <c r="AM26" s="81"/>
      <c r="AN26" s="5">
        <f>IFERROR(VLOOKUP(A:A,回搜数据源!B:N,4,FALSE),0)</f>
        <v>0</v>
      </c>
      <c r="AO26" s="5">
        <f>IFERROR(VLOOKUP(A:A,回搜数据源!B:N,5,FALSE),0)</f>
        <v>0</v>
      </c>
    </row>
    <row r="27" s="57" customFormat="1" ht="100" hidden="1" customHeight="1" spans="1:41">
      <c r="A27" s="4" t="s">
        <v>417</v>
      </c>
      <c r="B27" s="3" t="str">
        <f>VLOOKUP(A:A,笔记匹配!A:N,5,FALSE)</f>
        <v>=DISPIMG("ID_C03915D1E3E94E188E63E055D3763EEB",1)</v>
      </c>
      <c r="C27" s="30" t="str">
        <f>VLOOKUP(A:A,笔记匹配!A:N,3,FALSE)</f>
        <v>干饭人小V</v>
      </c>
      <c r="D27" s="30" t="str">
        <f>VLOOKUP(A:A,笔记匹配!A:N,6,FALSE)</f>
        <v>胸大细腰我都要！！附教程分享！！！</v>
      </c>
      <c r="E27" s="30" t="str">
        <f>VLOOKUP(A:A,笔记匹配!A:N,7,FALSE)</f>
        <v>https://www.xiaohongshu.com/discovery/item/63253f2000000000090322ac</v>
      </c>
      <c r="F27" s="65">
        <f>VLOOKUP(A:A,笔记匹配!A:N,8,FALSE)</f>
        <v>44821</v>
      </c>
      <c r="G27" s="66" t="str">
        <f>VLOOKUP(A:A,笔记匹配!A:P,15,FALSE)</f>
        <v>未测试</v>
      </c>
      <c r="H27" s="30" t="str">
        <f>VLOOKUP(A:A,笔记匹配!A:N,9,FALSE)</f>
        <v>图文</v>
      </c>
      <c r="I27" s="30" t="str">
        <f>VLOOKUP(A:A,笔记匹配!A:N,2,FALSE)</f>
        <v>跳绳</v>
      </c>
      <c r="J27" s="30" t="str">
        <f>VLOOKUP(A:A,笔记匹配!A:N,4,FALSE)</f>
        <v>云麦跳绳2go</v>
      </c>
      <c r="K27" s="30" t="str">
        <f>VLOOKUP(A:A,笔记匹配!A:N,14,FALSE)</f>
        <v>云麦跳绳2go</v>
      </c>
      <c r="L27" s="3">
        <f>VLOOKUP(A:A,笔记匹配!A:N,10,FALSE)</f>
        <v>0</v>
      </c>
      <c r="M27" s="3">
        <f>VLOOKUP(A:A,笔记匹配!A:N,11,FALSE)</f>
        <v>0</v>
      </c>
      <c r="N27" s="69">
        <f>VLOOKUP(A:A,笔记匹配!A:N,12,FALSE)</f>
        <v>0</v>
      </c>
      <c r="O27" s="2">
        <f t="shared" si="0"/>
        <v>0</v>
      </c>
      <c r="P27" s="3">
        <f>IFERROR(VLOOKUP(A:A,信息流数据源!A:K,2,FALSE),0)</f>
        <v>0</v>
      </c>
      <c r="Q27" s="71">
        <f>IFERROR(VLOOKUP(A:A,信息流数据源!A:N,5,FALSE),0)</f>
        <v>0</v>
      </c>
      <c r="R27" s="72">
        <f>IFERROR(VLOOKUP(A:A,信息流数据源!A:N,6,FALSE),0)</f>
        <v>0</v>
      </c>
      <c r="S27" s="2">
        <f>IFERROR(VLOOKUP(A:A,信息流数据源!A:N,9,FALSE),0)</f>
        <v>0</v>
      </c>
      <c r="T27" s="3">
        <f>IFERROR(VLOOKUP(A:A,信息流数据源!A:N,13,FALSE),0)</f>
        <v>0</v>
      </c>
      <c r="U27" s="73">
        <f>IFERROR(VLOOKUP(A:A,信息流数据源!A:N,14,FALSE),0)</f>
        <v>0</v>
      </c>
      <c r="V27" s="74">
        <f>IFERROR(VLOOKUP(A:A,信息流数据源!A:O,15,FALSE),0)</f>
        <v>0</v>
      </c>
      <c r="W27" s="3">
        <f>IFERROR(VLOOKUP(A:A,搜索数据源!A:T,2,FALSE),0)</f>
        <v>0</v>
      </c>
      <c r="X27" s="71">
        <f>IFERROR(VLOOKUP(A:A,搜索数据源!A:T,5,FALSE),0)</f>
        <v>0</v>
      </c>
      <c r="Y27" s="73">
        <f>IFERROR(VLOOKUP(A:A,搜索数据源!A:T,6,FALSE),0)</f>
        <v>0</v>
      </c>
      <c r="Z27" s="3">
        <f>IFERROR(VLOOKUP(A:A,搜索数据源!A:T,9,FALSE),0)</f>
        <v>0</v>
      </c>
      <c r="AA27" s="3" t="e">
        <f>VLOOKUP(A:A,[1]搜索数据源!A:T,13,FALSE)</f>
        <v>#N/A</v>
      </c>
      <c r="AB27" s="72">
        <f>IFERROR(VLOOKUP(A:A,搜索数据源!A:T,14,FALSE),0)</f>
        <v>0</v>
      </c>
      <c r="AC27" s="69"/>
      <c r="AD27" s="4"/>
      <c r="AE27" s="76"/>
      <c r="AF27" s="3"/>
      <c r="AG27" s="2"/>
      <c r="AH27" s="69"/>
      <c r="AI27" s="4"/>
      <c r="AJ27" s="4"/>
      <c r="AK27" s="4"/>
      <c r="AL27" s="4"/>
      <c r="AM27" s="81"/>
      <c r="AN27" s="5">
        <f>IFERROR(VLOOKUP(A:A,回搜数据源!B:N,4,FALSE),0)</f>
        <v>0</v>
      </c>
      <c r="AO27" s="5">
        <f>IFERROR(VLOOKUP(A:A,回搜数据源!B:N,5,FALSE),0)</f>
        <v>0</v>
      </c>
    </row>
    <row r="28" s="57" customFormat="1" ht="100" hidden="1" customHeight="1" spans="1:41">
      <c r="A28" s="4" t="s">
        <v>241</v>
      </c>
      <c r="B28" s="3" t="str">
        <f>VLOOKUP(A:A,笔记匹配!A:N,5,FALSE)</f>
        <v>=DISPIMG("ID_C9694C2744BE4E92A03F208E839AA16C",1)</v>
      </c>
      <c r="C28" s="30" t="str">
        <f>VLOOKUP(A:A,笔记匹配!A:N,3,FALSE)</f>
        <v>秦亲亲</v>
      </c>
      <c r="D28" s="30" t="str">
        <f>VLOOKUP(A:A,笔记匹配!A:N,6,FALSE)</f>
        <v>减脂期用什么体脂秤？跟着减脂博主买就对了！</v>
      </c>
      <c r="E28" s="30" t="str">
        <f>VLOOKUP(A:A,笔记匹配!A:N,7,FALSE)</f>
        <v>https://www.xiaohongshu.com/discovery/item/6368faca000000000901170a</v>
      </c>
      <c r="F28" s="65">
        <f>VLOOKUP(A:A,笔记匹配!A:N,8,FALSE)</f>
        <v>44873</v>
      </c>
      <c r="G28" s="66" t="str">
        <f>VLOOKUP(A:A,笔记匹配!A:P,15,FALSE)</f>
        <v>2022-11-10</v>
      </c>
      <c r="H28" s="30" t="str">
        <f>VLOOKUP(A:A,笔记匹配!A:N,9,FALSE)</f>
        <v>视频</v>
      </c>
      <c r="I28" s="30" t="str">
        <f>VLOOKUP(A:A,笔记匹配!A:N,2,FALSE)</f>
        <v>体脂秤</v>
      </c>
      <c r="J28" s="30" t="str">
        <f>VLOOKUP(A:A,笔记匹配!A:N,4,FALSE)</f>
        <v>云麦体脂秤3mini</v>
      </c>
      <c r="K28" s="30" t="str">
        <f>VLOOKUP(A:A,笔记匹配!A:N,14,FALSE)</f>
        <v>云麦体脂秤3mini</v>
      </c>
      <c r="L28" s="3">
        <f>VLOOKUP(A:A,笔记匹配!A:N,10,FALSE)</f>
        <v>246</v>
      </c>
      <c r="M28" s="3">
        <f>VLOOKUP(A:A,笔记匹配!A:N,11,FALSE)</f>
        <v>86</v>
      </c>
      <c r="N28" s="69">
        <f>VLOOKUP(A:A,笔记匹配!A:N,12,FALSE)</f>
        <v>29</v>
      </c>
      <c r="O28" s="2">
        <f t="shared" si="0"/>
        <v>361</v>
      </c>
      <c r="P28" s="3">
        <f>IFERROR(VLOOKUP(A:A,信息流数据源!A:K,2,FALSE),0)</f>
        <v>0</v>
      </c>
      <c r="Q28" s="71">
        <f>IFERROR(VLOOKUP(A:A,信息流数据源!A:N,5,FALSE),0)</f>
        <v>0</v>
      </c>
      <c r="R28" s="72">
        <f>IFERROR(VLOOKUP(A:A,信息流数据源!A:N,6,FALSE),0)</f>
        <v>0</v>
      </c>
      <c r="S28" s="2">
        <f>IFERROR(VLOOKUP(A:A,信息流数据源!A:N,9,FALSE),0)</f>
        <v>0</v>
      </c>
      <c r="T28" s="3">
        <f>IFERROR(VLOOKUP(A:A,信息流数据源!A:N,13,FALSE),0)</f>
        <v>0</v>
      </c>
      <c r="U28" s="73">
        <f>IFERROR(VLOOKUP(A:A,信息流数据源!A:N,14,FALSE),0)</f>
        <v>0</v>
      </c>
      <c r="V28" s="74">
        <f>IFERROR(VLOOKUP(A:A,信息流数据源!A:O,15,FALSE),0)</f>
        <v>0</v>
      </c>
      <c r="W28" s="3">
        <f>IFERROR(VLOOKUP(A:A,搜索数据源!A:T,2,FALSE),0)</f>
        <v>0</v>
      </c>
      <c r="X28" s="71">
        <f>IFERROR(VLOOKUP(A:A,搜索数据源!A:T,5,FALSE),0)</f>
        <v>0</v>
      </c>
      <c r="Y28" s="73">
        <f>IFERROR(VLOOKUP(A:A,搜索数据源!A:T,6,FALSE),0)</f>
        <v>0</v>
      </c>
      <c r="Z28" s="3">
        <f>IFERROR(VLOOKUP(A:A,搜索数据源!A:T,9,FALSE),0)</f>
        <v>0</v>
      </c>
      <c r="AA28" s="3" t="e">
        <f>VLOOKUP(A:A,[1]搜索数据源!A:T,13,FALSE)</f>
        <v>#N/A</v>
      </c>
      <c r="AB28" s="72">
        <f>IFERROR(VLOOKUP(A:A,搜索数据源!A:T,14,FALSE),0)</f>
        <v>0</v>
      </c>
      <c r="AC28" s="69" t="str">
        <f>_xlfn.DISPIMG("ID_3DF076F8A5744DC19485A36911960465",1)</f>
        <v>=DISPIMG("ID_3DF076F8A5744DC19485A36911960465",1)</v>
      </c>
      <c r="AD28" s="4" t="s">
        <v>418</v>
      </c>
      <c r="AE28" s="76">
        <v>44876</v>
      </c>
      <c r="AF28" s="3">
        <v>2031.23</v>
      </c>
      <c r="AG28" s="82">
        <v>5603</v>
      </c>
      <c r="AH28" s="69" t="str">
        <f>_xlfn.DISPIMG("ID_E5C90F9775564AEDB1D3E921B61097D5",1)</f>
        <v>=DISPIMG("ID_E5C90F9775564AEDB1D3E921B61097D5",1)</v>
      </c>
      <c r="AI28" s="4" t="s">
        <v>419</v>
      </c>
      <c r="AJ28" s="4">
        <v>228</v>
      </c>
      <c r="AK28" s="4">
        <v>303</v>
      </c>
      <c r="AL28" s="4">
        <f>AK28-AJ28</f>
        <v>75</v>
      </c>
      <c r="AM28" s="81">
        <f>IFERROR(AF28/AL28,0)</f>
        <v>27.0830666666667</v>
      </c>
      <c r="AN28" s="5">
        <f>IFERROR(VLOOKUP(A:A,回搜数据源!B:N,4,FALSE),0)</f>
        <v>0.0027</v>
      </c>
      <c r="AO28" s="5">
        <f>IFERROR(VLOOKUP(A:A,回搜数据源!B:N,5,FALSE),0)</f>
        <v>0</v>
      </c>
    </row>
    <row r="29" s="57" customFormat="1" ht="100" hidden="1" customHeight="1" spans="1:41">
      <c r="A29" s="4" t="s">
        <v>420</v>
      </c>
      <c r="B29" s="3" t="str">
        <f>VLOOKUP(A:A,笔记匹配!A:N,5,FALSE)</f>
        <v>=DISPIMG("ID_6581D5EA89DA4736945D115A6EFD6A27",1)</v>
      </c>
      <c r="C29" s="30" t="str">
        <f>VLOOKUP(A:A,笔记匹配!A:N,3,FALSE)</f>
        <v>干坐着的小瑶</v>
      </c>
      <c r="D29" s="30" t="str">
        <f>VLOOKUP(A:A,笔记匹配!A:N,6,FALSE)</f>
        <v>筋膜枪🆚泡沫轴🆚筋膜球，怎么选❓哪个好❓</v>
      </c>
      <c r="E29" s="30" t="str">
        <f>VLOOKUP(A:A,笔记匹配!A:N,7,FALSE)</f>
        <v>https://www.xiaohongshu.com/discovery/item/629dca29000000000102d19e</v>
      </c>
      <c r="F29" s="65">
        <f>VLOOKUP(A:A,笔记匹配!A:N,8,FALSE)</f>
        <v>44718</v>
      </c>
      <c r="G29" s="66" t="str">
        <f>VLOOKUP(A:A,笔记匹配!A:P,15,FALSE)</f>
        <v>2022-06-07</v>
      </c>
      <c r="H29" s="30" t="str">
        <f>VLOOKUP(A:A,笔记匹配!A:N,9,FALSE)</f>
        <v>视频</v>
      </c>
      <c r="I29" s="30" t="str">
        <f>VLOOKUP(A:A,笔记匹配!A:N,2,FALSE)</f>
        <v>筋膜枪</v>
      </c>
      <c r="J29" s="30" t="str">
        <f>VLOOKUP(A:A,笔记匹配!A:N,4,FALSE)</f>
        <v>云麦cc筋膜枪</v>
      </c>
      <c r="K29" s="30" t="str">
        <f>VLOOKUP(A:A,笔记匹配!A:N,14,FALSE)</f>
        <v>云麦筋膜枪cc</v>
      </c>
      <c r="L29" s="3">
        <f>VLOOKUP(A:A,笔记匹配!A:N,10,FALSE)</f>
        <v>457</v>
      </c>
      <c r="M29" s="3">
        <f>VLOOKUP(A:A,笔记匹配!A:N,11,FALSE)</f>
        <v>188</v>
      </c>
      <c r="N29" s="69">
        <f>VLOOKUP(A:A,笔记匹配!A:N,12,FALSE)</f>
        <v>59</v>
      </c>
      <c r="O29" s="2">
        <f t="shared" si="0"/>
        <v>704</v>
      </c>
      <c r="P29" s="3">
        <f>IFERROR(VLOOKUP(A:A,信息流数据源!A:K,2,FALSE),0)</f>
        <v>0</v>
      </c>
      <c r="Q29" s="71">
        <f>IFERROR(VLOOKUP(A:A,信息流数据源!A:N,5,FALSE),0)</f>
        <v>0</v>
      </c>
      <c r="R29" s="72">
        <f>IFERROR(VLOOKUP(A:A,信息流数据源!A:N,6,FALSE),0)</f>
        <v>0</v>
      </c>
      <c r="S29" s="2">
        <f>IFERROR(VLOOKUP(A:A,信息流数据源!A:N,9,FALSE),0)</f>
        <v>0</v>
      </c>
      <c r="T29" s="3">
        <f>IFERROR(VLOOKUP(A:A,信息流数据源!A:N,13,FALSE),0)</f>
        <v>0</v>
      </c>
      <c r="U29" s="73">
        <f>IFERROR(VLOOKUP(A:A,信息流数据源!A:N,14,FALSE),0)</f>
        <v>0</v>
      </c>
      <c r="V29" s="74">
        <f>IFERROR(VLOOKUP(A:A,信息流数据源!A:O,15,FALSE),0)</f>
        <v>0</v>
      </c>
      <c r="W29" s="3">
        <f>IFERROR(VLOOKUP(A:A,搜索数据源!A:T,2,FALSE),0)</f>
        <v>0</v>
      </c>
      <c r="X29" s="71">
        <f>IFERROR(VLOOKUP(A:A,搜索数据源!A:T,5,FALSE),0)</f>
        <v>0</v>
      </c>
      <c r="Y29" s="73">
        <f>IFERROR(VLOOKUP(A:A,搜索数据源!A:T,6,FALSE),0)</f>
        <v>0</v>
      </c>
      <c r="Z29" s="3">
        <f>IFERROR(VLOOKUP(A:A,搜索数据源!A:T,9,FALSE),0)</f>
        <v>0</v>
      </c>
      <c r="AA29" s="3" t="e">
        <f>VLOOKUP(A:A,[1]搜索数据源!A:T,13,FALSE)</f>
        <v>#N/A</v>
      </c>
      <c r="AB29" s="72">
        <f>IFERROR(VLOOKUP(A:A,搜索数据源!A:T,14,FALSE),0)</f>
        <v>0</v>
      </c>
      <c r="AC29" s="69" t="str">
        <f>_xlfn.DISPIMG("ID_81C9AD139DAF4292814B3DC964EC2CFA",1)</f>
        <v>=DISPIMG("ID_81C9AD139DAF4292814B3DC964EC2CFA",1)</v>
      </c>
      <c r="AD29" s="4" t="s">
        <v>421</v>
      </c>
      <c r="AE29" s="76">
        <v>44720</v>
      </c>
      <c r="AF29" s="3">
        <v>1410.99</v>
      </c>
      <c r="AG29" s="2">
        <v>8356</v>
      </c>
      <c r="AH29" s="78" t="str">
        <f>_xlfn.DISPIMG("ID_6E6D86D754474855B6544AF998277A66",1)</f>
        <v>=DISPIMG("ID_6E6D86D754474855B6544AF998277A66",1)</v>
      </c>
      <c r="AI29" s="4" t="s">
        <v>422</v>
      </c>
      <c r="AJ29" s="4">
        <v>166</v>
      </c>
      <c r="AK29" s="4">
        <v>199</v>
      </c>
      <c r="AL29" s="4">
        <f>AK29-AJ29</f>
        <v>33</v>
      </c>
      <c r="AM29" s="81">
        <f>IFERROR(AF29/AL29,0)</f>
        <v>42.7572727272727</v>
      </c>
      <c r="AN29" s="5">
        <f>IFERROR(VLOOKUP(A:A,回搜数据源!B:N,4,FALSE),0)</f>
        <v>0</v>
      </c>
      <c r="AO29" s="5">
        <f>IFERROR(VLOOKUP(A:A,回搜数据源!B:N,5,FALSE),0)</f>
        <v>0</v>
      </c>
    </row>
    <row r="30" s="57" customFormat="1" ht="100" hidden="1" customHeight="1" spans="1:41">
      <c r="A30" s="4" t="s">
        <v>423</v>
      </c>
      <c r="B30" s="3" t="str">
        <f>VLOOKUP(A:A,笔记匹配!A:N,5,FALSE)</f>
        <v>=DISPIMG("ID_100F658D5E4E4902B72A0CD3A2F1A510",1)</v>
      </c>
      <c r="C30" s="30" t="str">
        <f>VLOOKUP(A:A,笔记匹配!A:N,3,FALSE)</f>
        <v>星星要变瘦</v>
      </c>
      <c r="D30" s="30" t="str">
        <f>VLOOKUP(A:A,笔记匹配!A:N,6,FALSE)</f>
        <v>瘦腿真的不难！成功瘦腿之后才知道的！（2）</v>
      </c>
      <c r="E30" s="30" t="str">
        <f>VLOOKUP(A:A,笔记匹配!A:N,7,FALSE)</f>
        <v>https://www.xiaohongshu.com/discovery/item/629de623000000001d0153c8</v>
      </c>
      <c r="F30" s="65">
        <f>VLOOKUP(A:A,笔记匹配!A:N,8,FALSE)</f>
        <v>44719</v>
      </c>
      <c r="G30" s="66" t="str">
        <f>VLOOKUP(A:A,笔记匹配!A:P,15,FALSE)</f>
        <v>2022-06-14</v>
      </c>
      <c r="H30" s="30" t="str">
        <f>VLOOKUP(A:A,笔记匹配!A:N,9,FALSE)</f>
        <v>图文</v>
      </c>
      <c r="I30" s="30" t="str">
        <f>VLOOKUP(A:A,笔记匹配!A:N,2,FALSE)</f>
        <v>筋膜枪</v>
      </c>
      <c r="J30" s="30" t="str">
        <f>VLOOKUP(A:A,笔记匹配!A:N,4,FALSE)</f>
        <v>云麦cc筋膜枪</v>
      </c>
      <c r="K30" s="30" t="str">
        <f>VLOOKUP(A:A,笔记匹配!A:N,14,FALSE)</f>
        <v>云麦筋膜枪cc</v>
      </c>
      <c r="L30" s="3">
        <f>VLOOKUP(A:A,笔记匹配!A:N,10,FALSE)</f>
        <v>2848</v>
      </c>
      <c r="M30" s="3">
        <f>VLOOKUP(A:A,笔记匹配!A:N,11,FALSE)</f>
        <v>918</v>
      </c>
      <c r="N30" s="69">
        <f>VLOOKUP(A:A,笔记匹配!A:N,12,FALSE)</f>
        <v>65</v>
      </c>
      <c r="O30" s="2">
        <f t="shared" si="0"/>
        <v>3831</v>
      </c>
      <c r="P30" s="3">
        <f>IFERROR(VLOOKUP(A:A,信息流数据源!A:K,2,FALSE),0)</f>
        <v>0</v>
      </c>
      <c r="Q30" s="71">
        <f>IFERROR(VLOOKUP(A:A,信息流数据源!A:N,5,FALSE),0)</f>
        <v>0</v>
      </c>
      <c r="R30" s="72">
        <f>IFERROR(VLOOKUP(A:A,信息流数据源!A:N,6,FALSE),0)</f>
        <v>0</v>
      </c>
      <c r="S30" s="2">
        <f>IFERROR(VLOOKUP(A:A,信息流数据源!A:N,9,FALSE),0)</f>
        <v>0</v>
      </c>
      <c r="T30" s="3">
        <f>IFERROR(VLOOKUP(A:A,信息流数据源!A:N,13,FALSE),0)</f>
        <v>0</v>
      </c>
      <c r="U30" s="73">
        <f>IFERROR(VLOOKUP(A:A,信息流数据源!A:N,14,FALSE),0)</f>
        <v>0</v>
      </c>
      <c r="V30" s="74">
        <f>IFERROR(VLOOKUP(A:A,信息流数据源!A:O,15,FALSE),0)</f>
        <v>0</v>
      </c>
      <c r="W30" s="3">
        <f>IFERROR(VLOOKUP(A:A,搜索数据源!A:T,2,FALSE),0)</f>
        <v>0</v>
      </c>
      <c r="X30" s="71">
        <f>IFERROR(VLOOKUP(A:A,搜索数据源!A:T,5,FALSE),0)</f>
        <v>0</v>
      </c>
      <c r="Y30" s="73">
        <f>IFERROR(VLOOKUP(A:A,搜索数据源!A:T,6,FALSE),0)</f>
        <v>0</v>
      </c>
      <c r="Z30" s="3">
        <f>IFERROR(VLOOKUP(A:A,搜索数据源!A:T,9,FALSE),0)</f>
        <v>0</v>
      </c>
      <c r="AA30" s="3" t="e">
        <f>VLOOKUP(A:A,[1]搜索数据源!A:T,13,FALSE)</f>
        <v>#N/A</v>
      </c>
      <c r="AB30" s="72">
        <f>IFERROR(VLOOKUP(A:A,搜索数据源!A:T,14,FALSE),0)</f>
        <v>0</v>
      </c>
      <c r="AC30" s="69" t="str">
        <f>_xlfn.DISPIMG("ID_F5BB38E6AEE144E787FDA1AD18113A73",1)</f>
        <v>=DISPIMG("ID_F5BB38E6AEE144E787FDA1AD18113A73",1)</v>
      </c>
      <c r="AD30" s="4" t="s">
        <v>424</v>
      </c>
      <c r="AE30" s="79">
        <v>44727</v>
      </c>
      <c r="AF30" s="3">
        <v>1006.41</v>
      </c>
      <c r="AG30" s="2">
        <v>11107</v>
      </c>
      <c r="AH30" s="78" t="str">
        <f>_xlfn.DISPIMG("ID_7D12A10B3ADE42A6853B747BF218594A",1)</f>
        <v>=DISPIMG("ID_7D12A10B3ADE42A6853B747BF218594A",1)</v>
      </c>
      <c r="AI30" s="4" t="s">
        <v>425</v>
      </c>
      <c r="AJ30" s="4">
        <v>196</v>
      </c>
      <c r="AK30" s="4">
        <v>264</v>
      </c>
      <c r="AL30" s="4">
        <f>AK30-AJ30</f>
        <v>68</v>
      </c>
      <c r="AM30" s="81">
        <f>IFERROR(AF30/AL30,0)</f>
        <v>14.8001470588235</v>
      </c>
      <c r="AN30" s="5">
        <f>IFERROR(VLOOKUP(A:A,回搜数据源!B:N,4,FALSE),0)</f>
        <v>0</v>
      </c>
      <c r="AO30" s="5">
        <f>IFERROR(VLOOKUP(A:A,回搜数据源!B:N,5,FALSE),0)</f>
        <v>0</v>
      </c>
    </row>
    <row r="31" s="57" customFormat="1" ht="100" hidden="1" customHeight="1" spans="1:41">
      <c r="A31" s="4" t="s">
        <v>280</v>
      </c>
      <c r="B31" s="3" t="str">
        <f>VLOOKUP(A:A,笔记匹配!A:N,5,FALSE)</f>
        <v>=DISPIMG("ID_0956F9FAC58C4FB889D7B4AD8F900135",1)</v>
      </c>
      <c r="C31" s="30" t="str">
        <f>VLOOKUP(A:A,笔记匹配!A:N,3,FALSE)</f>
        <v>来一杯毛豆</v>
      </c>
      <c r="D31" s="30" t="str">
        <f>VLOOKUP(A:A,笔记匹配!A:N,6,FALSE)</f>
        <v>对不起！我不能接受这个宝藏体脂秤百元就能拿下</v>
      </c>
      <c r="E31" s="30" t="str">
        <f>VLOOKUP(A:A,笔记匹配!A:N,7,FALSE)</f>
        <v>https://www.xiaohongshu.com/discovery/item/636240b30000000007035fa2</v>
      </c>
      <c r="F31" s="65">
        <f>VLOOKUP(A:A,笔记匹配!A:N,8,FALSE)</f>
        <v>44870</v>
      </c>
      <c r="G31" s="66" t="str">
        <f>VLOOKUP(A:A,笔记匹配!A:P,15,FALSE)</f>
        <v>2022-11-07</v>
      </c>
      <c r="H31" s="30" t="str">
        <f>VLOOKUP(A:A,笔记匹配!A:N,9,FALSE)</f>
        <v>图文</v>
      </c>
      <c r="I31" s="30" t="str">
        <f>VLOOKUP(A:A,笔记匹配!A:N,2,FALSE)</f>
        <v>体脂秤</v>
      </c>
      <c r="J31" s="30" t="str">
        <f>VLOOKUP(A:A,笔记匹配!A:N,4,FALSE)</f>
        <v>云麦体脂秤3mini</v>
      </c>
      <c r="K31" s="30" t="str">
        <f>VLOOKUP(A:A,笔记匹配!A:N,14,FALSE)</f>
        <v>云麦体脂秤3mini</v>
      </c>
      <c r="L31" s="3">
        <f>VLOOKUP(A:A,笔记匹配!A:N,10,FALSE)</f>
        <v>180</v>
      </c>
      <c r="M31" s="3">
        <f>VLOOKUP(A:A,笔记匹配!A:N,11,FALSE)</f>
        <v>107</v>
      </c>
      <c r="N31" s="69">
        <f>VLOOKUP(A:A,笔记匹配!A:N,12,FALSE)</f>
        <v>40</v>
      </c>
      <c r="O31" s="2">
        <f t="shared" si="0"/>
        <v>327</v>
      </c>
      <c r="P31" s="3">
        <f>IFERROR(VLOOKUP(A:A,信息流数据源!A:K,2,FALSE),0)</f>
        <v>0</v>
      </c>
      <c r="Q31" s="71">
        <f>IFERROR(VLOOKUP(A:A,信息流数据源!A:N,5,FALSE),0)</f>
        <v>0</v>
      </c>
      <c r="R31" s="72">
        <f>IFERROR(VLOOKUP(A:A,信息流数据源!A:N,6,FALSE),0)</f>
        <v>0</v>
      </c>
      <c r="S31" s="2">
        <f>IFERROR(VLOOKUP(A:A,信息流数据源!A:N,9,FALSE),0)</f>
        <v>0</v>
      </c>
      <c r="T31" s="3">
        <f>IFERROR(VLOOKUP(A:A,信息流数据源!A:N,13,FALSE),0)</f>
        <v>0</v>
      </c>
      <c r="U31" s="73">
        <f>IFERROR(VLOOKUP(A:A,信息流数据源!A:N,14,FALSE),0)</f>
        <v>0</v>
      </c>
      <c r="V31" s="74">
        <f>IFERROR(VLOOKUP(A:A,信息流数据源!A:O,15,FALSE),0)</f>
        <v>0</v>
      </c>
      <c r="W31" s="3">
        <f>IFERROR(VLOOKUP(A:A,搜索数据源!A:T,2,FALSE),0)</f>
        <v>0</v>
      </c>
      <c r="X31" s="71">
        <f>IFERROR(VLOOKUP(A:A,搜索数据源!A:T,5,FALSE),0)</f>
        <v>0</v>
      </c>
      <c r="Y31" s="73">
        <f>IFERROR(VLOOKUP(A:A,搜索数据源!A:T,6,FALSE),0)</f>
        <v>0</v>
      </c>
      <c r="Z31" s="3">
        <f>IFERROR(VLOOKUP(A:A,搜索数据源!A:T,9,FALSE),0)</f>
        <v>0</v>
      </c>
      <c r="AA31" s="3" t="e">
        <f>VLOOKUP(A:A,[1]搜索数据源!A:T,13,FALSE)</f>
        <v>#N/A</v>
      </c>
      <c r="AB31" s="72">
        <f>IFERROR(VLOOKUP(A:A,搜索数据源!A:T,14,FALSE),0)</f>
        <v>0</v>
      </c>
      <c r="AC31" s="69" t="str">
        <f>_xlfn.DISPIMG("ID_C7D4663ECE6B44809DFA4EB921195496",1)</f>
        <v>=DISPIMG("ID_C7D4663ECE6B44809DFA4EB921195496",1)</v>
      </c>
      <c r="AD31" s="4" t="s">
        <v>426</v>
      </c>
      <c r="AE31" s="76"/>
      <c r="AF31" s="77"/>
      <c r="AG31" s="82"/>
      <c r="AH31" s="69"/>
      <c r="AI31" s="4"/>
      <c r="AJ31" s="4"/>
      <c r="AK31" s="4"/>
      <c r="AL31" s="4"/>
      <c r="AM31" s="81"/>
      <c r="AN31" s="5">
        <f>IFERROR(VLOOKUP(A:A,回搜数据源!B:N,4,FALSE),0)</f>
        <v>0.0029</v>
      </c>
      <c r="AO31" s="5">
        <f>IFERROR(VLOOKUP(A:A,回搜数据源!B:N,5,FALSE),0)</f>
        <v>0</v>
      </c>
    </row>
    <row r="32" s="57" customFormat="1" ht="100" hidden="1" customHeight="1" spans="1:41">
      <c r="A32" s="4" t="s">
        <v>255</v>
      </c>
      <c r="B32" s="3" t="str">
        <f>VLOOKUP(A:A,笔记匹配!A:N,5,FALSE)</f>
        <v>=DISPIMG("ID_8ABD2826423749FC805A3F94E6203C17",1)</v>
      </c>
      <c r="C32" s="30" t="str">
        <f>VLOOKUP(A:A,笔记匹配!A:N,3,FALSE)</f>
        <v>趁早早呀</v>
      </c>
      <c r="D32" s="30" t="str">
        <f>VLOOKUP(A:A,笔记匹配!A:N,6,FALSE)</f>
        <v>不到百元get我的私人身材管理师|这波稳赚‼️</v>
      </c>
      <c r="E32" s="30" t="str">
        <f>VLOOKUP(A:A,笔记匹配!A:N,7,FALSE)</f>
        <v>https://www.xiaohongshu.com/discovery/item/63621e680000000008012eb3</v>
      </c>
      <c r="F32" s="65">
        <f>VLOOKUP(A:A,笔记匹配!A:N,8,FALSE)</f>
        <v>44868</v>
      </c>
      <c r="G32" s="66" t="str">
        <f>VLOOKUP(A:A,笔记匹配!A:P,15,FALSE)</f>
        <v>2022-11-07</v>
      </c>
      <c r="H32" s="30" t="str">
        <f>VLOOKUP(A:A,笔记匹配!A:N,9,FALSE)</f>
        <v>图文</v>
      </c>
      <c r="I32" s="30" t="str">
        <f>VLOOKUP(A:A,笔记匹配!A:N,2,FALSE)</f>
        <v>体脂秤</v>
      </c>
      <c r="J32" s="30" t="str">
        <f>VLOOKUP(A:A,笔记匹配!A:N,4,FALSE)</f>
        <v>云麦体脂秤3mini</v>
      </c>
      <c r="K32" s="30" t="str">
        <f>VLOOKUP(A:A,笔记匹配!A:N,14,FALSE)</f>
        <v>云麦体脂秤3mini</v>
      </c>
      <c r="L32" s="3">
        <f>VLOOKUP(A:A,笔记匹配!A:N,10,FALSE)</f>
        <v>78</v>
      </c>
      <c r="M32" s="3">
        <f>VLOOKUP(A:A,笔记匹配!A:N,11,FALSE)</f>
        <v>63</v>
      </c>
      <c r="N32" s="69">
        <f>VLOOKUP(A:A,笔记匹配!A:N,12,FALSE)</f>
        <v>9</v>
      </c>
      <c r="O32" s="2">
        <f t="shared" si="0"/>
        <v>150</v>
      </c>
      <c r="P32" s="3">
        <f>IFERROR(VLOOKUP(A:A,信息流数据源!A:K,2,FALSE),0)</f>
        <v>0</v>
      </c>
      <c r="Q32" s="71">
        <f>IFERROR(VLOOKUP(A:A,信息流数据源!A:N,5,FALSE),0)</f>
        <v>0</v>
      </c>
      <c r="R32" s="72">
        <f>IFERROR(VLOOKUP(A:A,信息流数据源!A:N,6,FALSE),0)</f>
        <v>0</v>
      </c>
      <c r="S32" s="2">
        <f>IFERROR(VLOOKUP(A:A,信息流数据源!A:N,9,FALSE),0)</f>
        <v>0</v>
      </c>
      <c r="T32" s="3">
        <f>IFERROR(VLOOKUP(A:A,信息流数据源!A:N,13,FALSE),0)</f>
        <v>0</v>
      </c>
      <c r="U32" s="73">
        <f>IFERROR(VLOOKUP(A:A,信息流数据源!A:N,14,FALSE),0)</f>
        <v>0</v>
      </c>
      <c r="V32" s="74">
        <f>IFERROR(VLOOKUP(A:A,信息流数据源!A:O,15,FALSE),0)</f>
        <v>0</v>
      </c>
      <c r="W32" s="3">
        <f>IFERROR(VLOOKUP(A:A,搜索数据源!A:T,2,FALSE),0)</f>
        <v>0</v>
      </c>
      <c r="X32" s="71">
        <f>IFERROR(VLOOKUP(A:A,搜索数据源!A:T,5,FALSE),0)</f>
        <v>0</v>
      </c>
      <c r="Y32" s="73">
        <f>IFERROR(VLOOKUP(A:A,搜索数据源!A:T,6,FALSE),0)</f>
        <v>0</v>
      </c>
      <c r="Z32" s="3">
        <f>IFERROR(VLOOKUP(A:A,搜索数据源!A:T,9,FALSE),0)</f>
        <v>0</v>
      </c>
      <c r="AA32" s="3" t="e">
        <f>VLOOKUP(A:A,[1]搜索数据源!A:T,13,FALSE)</f>
        <v>#N/A</v>
      </c>
      <c r="AB32" s="72">
        <f>IFERROR(VLOOKUP(A:A,搜索数据源!A:T,14,FALSE),0)</f>
        <v>0</v>
      </c>
      <c r="AC32" s="69" t="str">
        <f>_xlfn.DISPIMG("ID_17C5CA3B21AE4C898DD1170FFFAF6C77",1)</f>
        <v>=DISPIMG("ID_17C5CA3B21AE4C898DD1170FFFAF6C77",1)</v>
      </c>
      <c r="AD32" s="4" t="s">
        <v>427</v>
      </c>
      <c r="AE32" s="76"/>
      <c r="AF32" s="77"/>
      <c r="AG32" s="82"/>
      <c r="AH32" s="69"/>
      <c r="AI32" s="4"/>
      <c r="AJ32" s="4"/>
      <c r="AK32" s="4"/>
      <c r="AL32" s="4"/>
      <c r="AM32" s="81"/>
      <c r="AN32" s="5">
        <f>IFERROR(VLOOKUP(A:A,回搜数据源!B:N,4,FALSE),0)</f>
        <v>0.0016</v>
      </c>
      <c r="AO32" s="5">
        <f>IFERROR(VLOOKUP(A:A,回搜数据源!B:N,5,FALSE),0)</f>
        <v>0</v>
      </c>
    </row>
    <row r="33" s="57" customFormat="1" ht="100" hidden="1" customHeight="1" spans="1:41">
      <c r="A33" s="4" t="s">
        <v>267</v>
      </c>
      <c r="B33" s="3" t="str">
        <f>VLOOKUP(A:A,笔记匹配!A:N,5,FALSE)</f>
        <v>=DISPIMG("ID_50BEDFDB923D42F1AFA814A651AE241A",1)</v>
      </c>
      <c r="C33" s="30" t="str">
        <f>VLOOKUP(A:A,笔记匹配!A:N,3,FALSE)</f>
        <v>晚一子</v>
      </c>
      <c r="D33" s="30" t="str">
        <f>VLOOKUP(A:A,笔记匹配!A:N,6,FALSE)</f>
        <v>120瘦到78斤｜小基数减脂心得分享</v>
      </c>
      <c r="E33" s="30" t="str">
        <f>VLOOKUP(A:A,笔记匹配!A:N,7,FALSE)</f>
        <v>https://www.xiaohongshu.com/discovery/item/63622157000000000601d5cb</v>
      </c>
      <c r="F33" s="65">
        <f>VLOOKUP(A:A,笔记匹配!A:N,8,FALSE)</f>
        <v>44867</v>
      </c>
      <c r="G33" s="66" t="str">
        <f>VLOOKUP(A:A,笔记匹配!A:P,15,FALSE)</f>
        <v>2022-11-03</v>
      </c>
      <c r="H33" s="30" t="str">
        <f>VLOOKUP(A:A,笔记匹配!A:N,9,FALSE)</f>
        <v>图文</v>
      </c>
      <c r="I33" s="30" t="str">
        <f>VLOOKUP(A:A,笔记匹配!A:N,2,FALSE)</f>
        <v>体脂秤</v>
      </c>
      <c r="J33" s="30" t="str">
        <f>VLOOKUP(A:A,笔记匹配!A:N,4,FALSE)</f>
        <v>云麦体脂秤3mini</v>
      </c>
      <c r="K33" s="30" t="str">
        <f>VLOOKUP(A:A,笔记匹配!A:N,14,FALSE)</f>
        <v>云麦体脂秤3mini</v>
      </c>
      <c r="L33" s="3">
        <f>VLOOKUP(A:A,笔记匹配!A:N,10,FALSE)</f>
        <v>79</v>
      </c>
      <c r="M33" s="3">
        <f>VLOOKUP(A:A,笔记匹配!A:N,11,FALSE)</f>
        <v>28</v>
      </c>
      <c r="N33" s="69">
        <f>VLOOKUP(A:A,笔记匹配!A:N,12,FALSE)</f>
        <v>44</v>
      </c>
      <c r="O33" s="2">
        <f t="shared" si="0"/>
        <v>151</v>
      </c>
      <c r="P33" s="3">
        <f>IFERROR(VLOOKUP(A:A,信息流数据源!A:K,2,FALSE),0)</f>
        <v>0</v>
      </c>
      <c r="Q33" s="71">
        <f>IFERROR(VLOOKUP(A:A,信息流数据源!A:N,5,FALSE),0)</f>
        <v>0</v>
      </c>
      <c r="R33" s="72">
        <f>IFERROR(VLOOKUP(A:A,信息流数据源!A:N,6,FALSE),0)</f>
        <v>0</v>
      </c>
      <c r="S33" s="2">
        <f>IFERROR(VLOOKUP(A:A,信息流数据源!A:N,9,FALSE),0)</f>
        <v>0</v>
      </c>
      <c r="T33" s="3">
        <f>IFERROR(VLOOKUP(A:A,信息流数据源!A:N,13,FALSE),0)</f>
        <v>0</v>
      </c>
      <c r="U33" s="73">
        <f>IFERROR(VLOOKUP(A:A,信息流数据源!A:N,14,FALSE),0)</f>
        <v>0</v>
      </c>
      <c r="V33" s="74">
        <f>IFERROR(VLOOKUP(A:A,信息流数据源!A:O,15,FALSE),0)</f>
        <v>0</v>
      </c>
      <c r="W33" s="3">
        <f>IFERROR(VLOOKUP(A:A,搜索数据源!A:T,2,FALSE),0)</f>
        <v>0</v>
      </c>
      <c r="X33" s="71">
        <f>IFERROR(VLOOKUP(A:A,搜索数据源!A:T,5,FALSE),0)</f>
        <v>0</v>
      </c>
      <c r="Y33" s="73">
        <f>IFERROR(VLOOKUP(A:A,搜索数据源!A:T,6,FALSE),0)</f>
        <v>0</v>
      </c>
      <c r="Z33" s="3">
        <f>IFERROR(VLOOKUP(A:A,搜索数据源!A:T,9,FALSE),0)</f>
        <v>0</v>
      </c>
      <c r="AA33" s="3" t="e">
        <f>VLOOKUP(A:A,[1]搜索数据源!A:T,13,FALSE)</f>
        <v>#N/A</v>
      </c>
      <c r="AB33" s="72">
        <f>IFERROR(VLOOKUP(A:A,搜索数据源!A:T,14,FALSE),0)</f>
        <v>0</v>
      </c>
      <c r="AC33" s="69" t="str">
        <f>_xlfn.DISPIMG("ID_6302AAFC8E55497BBBB993A6C715DA9E",1)</f>
        <v>=DISPIMG("ID_6302AAFC8E55497BBBB993A6C715DA9E",1)</v>
      </c>
      <c r="AD33" s="4" t="s">
        <v>428</v>
      </c>
      <c r="AE33" s="76"/>
      <c r="AF33" s="77"/>
      <c r="AG33" s="82"/>
      <c r="AH33" s="69"/>
      <c r="AI33" s="4"/>
      <c r="AJ33" s="4"/>
      <c r="AK33" s="4"/>
      <c r="AL33" s="4"/>
      <c r="AM33" s="81"/>
      <c r="AN33" s="5">
        <f>IFERROR(VLOOKUP(A:A,回搜数据源!B:N,4,FALSE),0)</f>
        <v>0.0002</v>
      </c>
      <c r="AO33" s="5">
        <f>IFERROR(VLOOKUP(A:A,回搜数据源!B:N,5,FALSE),0)</f>
        <v>0</v>
      </c>
    </row>
    <row r="34" s="57" customFormat="1" ht="100" hidden="1" customHeight="1" spans="1:41">
      <c r="A34" s="4" t="s">
        <v>429</v>
      </c>
      <c r="B34" s="3" t="str">
        <f>VLOOKUP(A:A,笔记匹配!A:N,5,FALSE)</f>
        <v>=DISPIMG("ID_35AF43E7E1984D34B4F3E203BEBBC69E",1)</v>
      </c>
      <c r="C34" s="30" t="str">
        <f>VLOOKUP(A:A,笔记匹配!A:N,3,FALSE)</f>
        <v>野兽少女董33</v>
      </c>
      <c r="D34" s="30" t="str">
        <f>VLOOKUP(A:A,笔记匹配!A:N,6,FALSE)</f>
        <v>从138-105斤｜ 全套瘦小腿动作 告别肌肉腿</v>
      </c>
      <c r="E34" s="30" t="str">
        <f>VLOOKUP(A:A,笔记匹配!A:N,7,FALSE)</f>
        <v>https://www.xiaohongshu.com/discovery/item/63773ebe000000002402b2b7</v>
      </c>
      <c r="F34" s="65">
        <f>VLOOKUP(A:A,笔记匹配!A:N,8,FALSE)</f>
        <v>44890</v>
      </c>
      <c r="G34" s="66" t="str">
        <f>VLOOKUP(A:A,笔记匹配!A:P,15,FALSE)</f>
        <v>未测试</v>
      </c>
      <c r="H34" s="30" t="str">
        <f>VLOOKUP(A:A,笔记匹配!A:N,9,FALSE)</f>
        <v>视频</v>
      </c>
      <c r="I34" s="30" t="str">
        <f>VLOOKUP(A:A,笔记匹配!A:N,2,FALSE)</f>
        <v>筋膜枪</v>
      </c>
      <c r="J34" s="30" t="str">
        <f>VLOOKUP(A:A,笔记匹配!A:N,4,FALSE)</f>
        <v>云麦筋膜枪cc</v>
      </c>
      <c r="K34" s="30" t="str">
        <f>VLOOKUP(A:A,笔记匹配!A:N,14,FALSE)</f>
        <v>云麦筋膜枪ccgo</v>
      </c>
      <c r="L34" s="3">
        <f>VLOOKUP(A:A,笔记匹配!A:N,10,FALSE)</f>
        <v>0</v>
      </c>
      <c r="M34" s="3">
        <f>VLOOKUP(A:A,笔记匹配!A:N,11,FALSE)</f>
        <v>0</v>
      </c>
      <c r="N34" s="69">
        <f>VLOOKUP(A:A,笔记匹配!A:N,12,FALSE)</f>
        <v>0</v>
      </c>
      <c r="O34" s="2">
        <f t="shared" si="0"/>
        <v>0</v>
      </c>
      <c r="P34" s="3">
        <f>IFERROR(VLOOKUP(A:A,信息流数据源!A:K,2,FALSE),0)</f>
        <v>0</v>
      </c>
      <c r="Q34" s="71">
        <f>IFERROR(VLOOKUP(A:A,信息流数据源!A:N,5,FALSE),0)</f>
        <v>0</v>
      </c>
      <c r="R34" s="72">
        <f>IFERROR(VLOOKUP(A:A,信息流数据源!A:N,6,FALSE),0)</f>
        <v>0</v>
      </c>
      <c r="S34" s="2">
        <f>IFERROR(VLOOKUP(A:A,信息流数据源!A:N,9,FALSE),0)</f>
        <v>0</v>
      </c>
      <c r="T34" s="3">
        <f>IFERROR(VLOOKUP(A:A,信息流数据源!A:N,13,FALSE),0)</f>
        <v>0</v>
      </c>
      <c r="U34" s="73">
        <f>IFERROR(VLOOKUP(A:A,信息流数据源!A:N,14,FALSE),0)</f>
        <v>0</v>
      </c>
      <c r="V34" s="74">
        <f>IFERROR(VLOOKUP(A:A,信息流数据源!A:O,15,FALSE),0)</f>
        <v>0</v>
      </c>
      <c r="W34" s="3">
        <f>IFERROR(VLOOKUP(A:A,搜索数据源!A:T,2,FALSE),0)</f>
        <v>0</v>
      </c>
      <c r="X34" s="71">
        <f>IFERROR(VLOOKUP(A:A,搜索数据源!A:T,5,FALSE),0)</f>
        <v>0</v>
      </c>
      <c r="Y34" s="73">
        <f>IFERROR(VLOOKUP(A:A,搜索数据源!A:T,6,FALSE),0)</f>
        <v>0</v>
      </c>
      <c r="Z34" s="3">
        <f>IFERROR(VLOOKUP(A:A,搜索数据源!A:T,9,FALSE),0)</f>
        <v>0</v>
      </c>
      <c r="AA34" s="3" t="e">
        <f>VLOOKUP(A:A,[1]搜索数据源!A:T,13,FALSE)</f>
        <v>#N/A</v>
      </c>
      <c r="AB34" s="72">
        <f>IFERROR(VLOOKUP(A:A,搜索数据源!A:T,14,FALSE),0)</f>
        <v>0</v>
      </c>
      <c r="AC34" s="69"/>
      <c r="AD34" s="4"/>
      <c r="AE34" s="76"/>
      <c r="AF34" s="3"/>
      <c r="AG34" s="2"/>
      <c r="AH34" s="69"/>
      <c r="AI34" s="4"/>
      <c r="AJ34" s="4"/>
      <c r="AK34" s="4"/>
      <c r="AL34" s="4"/>
      <c r="AM34" s="81"/>
      <c r="AN34" s="5">
        <f>IFERROR(VLOOKUP(A:A,回搜数据源!B:N,4,FALSE),0)</f>
        <v>0</v>
      </c>
      <c r="AO34" s="5">
        <f>IFERROR(VLOOKUP(A:A,回搜数据源!B:N,5,FALSE),0)</f>
        <v>0</v>
      </c>
    </row>
    <row r="35" s="57" customFormat="1" ht="100" hidden="1" customHeight="1" spans="1:41">
      <c r="A35" s="4" t="s">
        <v>307</v>
      </c>
      <c r="B35" s="3" t="str">
        <f>VLOOKUP(A:A,笔记匹配!A:N,5,FALSE)</f>
        <v>=DISPIMG("ID_F64CACA9EB5E433A99B10D83D419889A",1)</v>
      </c>
      <c r="C35" s="30" t="str">
        <f>VLOOKUP(A:A,笔记匹配!A:N,3,FALSE)</f>
        <v>小甜心</v>
      </c>
      <c r="D35" s="30" t="str">
        <f>VLOOKUP(A:A,笔记匹配!A:N,6,FALSE)</f>
        <v>宿舍健身‼️美背翘臀这样练⏳真的好绝</v>
      </c>
      <c r="E35" s="30" t="str">
        <f>VLOOKUP(A:A,笔记匹配!A:N,7,FALSE)</f>
        <v>https://www.xiaohongshu.com/discovery/item/635b58ed000000001700c609</v>
      </c>
      <c r="F35" s="65">
        <f>VLOOKUP(A:A,笔记匹配!A:N,8,FALSE)</f>
        <v>44862</v>
      </c>
      <c r="G35" s="66" t="str">
        <f>VLOOKUP(A:A,笔记匹配!A:P,15,FALSE)</f>
        <v>2022-11-01</v>
      </c>
      <c r="H35" s="30" t="str">
        <f>VLOOKUP(A:A,笔记匹配!A:N,9,FALSE)</f>
        <v>图文</v>
      </c>
      <c r="I35" s="30" t="str">
        <f>VLOOKUP(A:A,笔记匹配!A:N,2,FALSE)</f>
        <v>体脂秤</v>
      </c>
      <c r="J35" s="30" t="str">
        <f>VLOOKUP(A:A,笔记匹配!A:N,4,FALSE)</f>
        <v>云麦体脂秤3mini</v>
      </c>
      <c r="K35" s="30" t="str">
        <f>VLOOKUP(A:A,笔记匹配!A:N,14,FALSE)</f>
        <v>云麦体脂秤3mini</v>
      </c>
      <c r="L35" s="3">
        <f>VLOOKUP(A:A,笔记匹配!A:N,10,FALSE)</f>
        <v>263</v>
      </c>
      <c r="M35" s="3">
        <f>VLOOKUP(A:A,笔记匹配!A:N,11,FALSE)</f>
        <v>109</v>
      </c>
      <c r="N35" s="69">
        <f>VLOOKUP(A:A,笔记匹配!A:N,12,FALSE)</f>
        <v>22</v>
      </c>
      <c r="O35" s="2">
        <f t="shared" si="0"/>
        <v>394</v>
      </c>
      <c r="P35" s="3">
        <f>IFERROR(VLOOKUP(A:A,信息流数据源!A:K,2,FALSE),0)</f>
        <v>0</v>
      </c>
      <c r="Q35" s="71">
        <f>IFERROR(VLOOKUP(A:A,信息流数据源!A:N,5,FALSE),0)</f>
        <v>0</v>
      </c>
      <c r="R35" s="72">
        <f>IFERROR(VLOOKUP(A:A,信息流数据源!A:N,6,FALSE),0)</f>
        <v>0</v>
      </c>
      <c r="S35" s="2">
        <f>IFERROR(VLOOKUP(A:A,信息流数据源!A:N,9,FALSE),0)</f>
        <v>0</v>
      </c>
      <c r="T35" s="3">
        <f>IFERROR(VLOOKUP(A:A,信息流数据源!A:N,13,FALSE),0)</f>
        <v>0</v>
      </c>
      <c r="U35" s="73">
        <f>IFERROR(VLOOKUP(A:A,信息流数据源!A:N,14,FALSE),0)</f>
        <v>0</v>
      </c>
      <c r="V35" s="74">
        <f>IFERROR(VLOOKUP(A:A,信息流数据源!A:O,15,FALSE),0)</f>
        <v>0</v>
      </c>
      <c r="W35" s="3">
        <f>IFERROR(VLOOKUP(A:A,搜索数据源!A:T,2,FALSE),0)</f>
        <v>0</v>
      </c>
      <c r="X35" s="71">
        <f>IFERROR(VLOOKUP(A:A,搜索数据源!A:T,5,FALSE),0)</f>
        <v>0</v>
      </c>
      <c r="Y35" s="73">
        <f>IFERROR(VLOOKUP(A:A,搜索数据源!A:T,6,FALSE),0)</f>
        <v>0</v>
      </c>
      <c r="Z35" s="3">
        <f>IFERROR(VLOOKUP(A:A,搜索数据源!A:T,9,FALSE),0)</f>
        <v>0</v>
      </c>
      <c r="AA35" s="3" t="e">
        <f>VLOOKUP(A:A,[1]搜索数据源!A:T,13,FALSE)</f>
        <v>#N/A</v>
      </c>
      <c r="AB35" s="72">
        <f>IFERROR(VLOOKUP(A:A,搜索数据源!A:T,14,FALSE),0)</f>
        <v>0</v>
      </c>
      <c r="AC35" s="30" t="str">
        <f>_xlfn.DISPIMG("ID_681462D5B7774830A356DD3A699FDA25",1)</f>
        <v>=DISPIMG("ID_681462D5B7774830A356DD3A699FDA25",1)</v>
      </c>
      <c r="AD35" s="4" t="s">
        <v>430</v>
      </c>
      <c r="AE35" s="30"/>
      <c r="AF35" s="30"/>
      <c r="AG35" s="2"/>
      <c r="AH35" s="30"/>
      <c r="AI35" s="30"/>
      <c r="AJ35" s="30"/>
      <c r="AK35" s="30"/>
      <c r="AL35" s="30"/>
      <c r="AM35" s="83"/>
      <c r="AN35" s="5">
        <f>IFERROR(VLOOKUP(A:A,回搜数据源!B:N,4,FALSE),0)</f>
        <v>0.0007</v>
      </c>
      <c r="AO35" s="5">
        <f>IFERROR(VLOOKUP(A:A,回搜数据源!B:N,5,FALSE),0)</f>
        <v>0</v>
      </c>
    </row>
    <row r="36" s="57" customFormat="1" ht="100" hidden="1" customHeight="1" spans="1:41">
      <c r="A36" s="4" t="s">
        <v>238</v>
      </c>
      <c r="B36" s="3" t="str">
        <f>VLOOKUP(A:A,笔记匹配!A:N,5,FALSE)</f>
        <v>=DISPIMG("ID_47170E31F14241E39D9E2013B6124C43",1)</v>
      </c>
      <c r="C36" s="30" t="str">
        <f>VLOOKUP(A:A,笔记匹配!A:N,3,FALSE)</f>
        <v>小岛大瑀</v>
      </c>
      <c r="D36" s="30" t="str">
        <f>VLOOKUP(A:A,笔记匹配!A:N,6,FALSE)</f>
        <v>这个燃脂舞真的太❗️太❗️太简单了🔥停不下来</v>
      </c>
      <c r="E36" s="30" t="str">
        <f>VLOOKUP(A:A,笔记匹配!A:N,7,FALSE)</f>
        <v>https://www.xiaohongshu.com/discovery/item/6358b83600000000140344b6</v>
      </c>
      <c r="F36" s="65">
        <f>VLOOKUP(A:A,笔记匹配!A:N,8,FALSE)</f>
        <v>44860</v>
      </c>
      <c r="G36" s="66" t="str">
        <f>VLOOKUP(A:A,笔记匹配!A:P,15,FALSE)</f>
        <v>2022-10-31</v>
      </c>
      <c r="H36" s="30" t="str">
        <f>VLOOKUP(A:A,笔记匹配!A:N,9,FALSE)</f>
        <v>视频</v>
      </c>
      <c r="I36" s="30" t="str">
        <f>VLOOKUP(A:A,笔记匹配!A:N,2,FALSE)</f>
        <v>体脂秤</v>
      </c>
      <c r="J36" s="30" t="str">
        <f>VLOOKUP(A:A,笔记匹配!A:N,4,FALSE)</f>
        <v>云麦体脂秤3mini </v>
      </c>
      <c r="K36" s="30" t="str">
        <f>VLOOKUP(A:A,笔记匹配!A:N,14,FALSE)</f>
        <v>云麦体脂秤3mini</v>
      </c>
      <c r="L36" s="3">
        <f>VLOOKUP(A:A,笔记匹配!A:N,10,FALSE)</f>
        <v>110000</v>
      </c>
      <c r="M36" s="3">
        <f>VLOOKUP(A:A,笔记匹配!A:N,11,FALSE)</f>
        <v>140000</v>
      </c>
      <c r="N36" s="69">
        <f>VLOOKUP(A:A,笔记匹配!A:N,12,FALSE)</f>
        <v>808</v>
      </c>
      <c r="O36" s="2">
        <f t="shared" si="0"/>
        <v>250808</v>
      </c>
      <c r="P36" s="3">
        <f>IFERROR(VLOOKUP(A:A,信息流数据源!A:K,2,FALSE),0)</f>
        <v>0</v>
      </c>
      <c r="Q36" s="71">
        <f>IFERROR(VLOOKUP(A:A,信息流数据源!A:N,5,FALSE),0)</f>
        <v>0</v>
      </c>
      <c r="R36" s="72">
        <f>IFERROR(VLOOKUP(A:A,信息流数据源!A:N,6,FALSE),0)</f>
        <v>0</v>
      </c>
      <c r="S36" s="2">
        <f>IFERROR(VLOOKUP(A:A,信息流数据源!A:N,9,FALSE),0)</f>
        <v>0</v>
      </c>
      <c r="T36" s="3">
        <f>IFERROR(VLOOKUP(A:A,信息流数据源!A:N,13,FALSE),0)</f>
        <v>0</v>
      </c>
      <c r="U36" s="73">
        <f>IFERROR(VLOOKUP(A:A,信息流数据源!A:N,14,FALSE),0)</f>
        <v>0</v>
      </c>
      <c r="V36" s="74">
        <f>IFERROR(VLOOKUP(A:A,信息流数据源!A:O,15,FALSE),0)</f>
        <v>0</v>
      </c>
      <c r="W36" s="3">
        <f>IFERROR(VLOOKUP(A:A,搜索数据源!A:T,2,FALSE),0)</f>
        <v>0</v>
      </c>
      <c r="X36" s="71">
        <f>IFERROR(VLOOKUP(A:A,搜索数据源!A:T,5,FALSE),0)</f>
        <v>0</v>
      </c>
      <c r="Y36" s="73">
        <f>IFERROR(VLOOKUP(A:A,搜索数据源!A:T,6,FALSE),0)</f>
        <v>0</v>
      </c>
      <c r="Z36" s="3">
        <f>IFERROR(VLOOKUP(A:A,搜索数据源!A:T,9,FALSE),0)</f>
        <v>0</v>
      </c>
      <c r="AA36" s="3">
        <f>VLOOKUP(A:A,[1]搜索数据源!A:T,13,FALSE)</f>
        <v>491</v>
      </c>
      <c r="AB36" s="72">
        <f>IFERROR(VLOOKUP(A:A,搜索数据源!A:T,14,FALSE),0)</f>
        <v>0</v>
      </c>
      <c r="AC36" s="30" t="str">
        <f>_xlfn.DISPIMG("ID_96D88DEA6AD64E36B250E6430590D7DF",1)</f>
        <v>=DISPIMG("ID_96D88DEA6AD64E36B250E6430590D7DF",1)</v>
      </c>
      <c r="AD36" s="4" t="s">
        <v>431</v>
      </c>
      <c r="AE36" s="30"/>
      <c r="AF36" s="30"/>
      <c r="AG36" s="2"/>
      <c r="AH36" s="30"/>
      <c r="AI36" s="30"/>
      <c r="AJ36" s="30"/>
      <c r="AK36" s="30"/>
      <c r="AL36" s="30"/>
      <c r="AM36" s="83"/>
      <c r="AN36" s="5">
        <f>IFERROR(VLOOKUP(A:A,回搜数据源!B:N,4,FALSE),0)</f>
        <v>0.0006</v>
      </c>
      <c r="AO36" s="5">
        <f>IFERROR(VLOOKUP(A:A,回搜数据源!B:N,5,FALSE),0)</f>
        <v>0</v>
      </c>
    </row>
    <row r="37" s="57" customFormat="1" ht="100" hidden="1" customHeight="1" spans="1:41">
      <c r="A37" s="30" t="s">
        <v>432</v>
      </c>
      <c r="B37" s="3" t="str">
        <f>VLOOKUP(A:A,笔记匹配!A:N,5,FALSE)</f>
        <v>=DISPIMG("ID_38529295FF6543988574BD0D43BD9657",1)</v>
      </c>
      <c r="C37" s="30" t="str">
        <f>VLOOKUP(A:A,笔记匹配!A:N,3,FALSE)</f>
        <v>Miss小宝</v>
      </c>
      <c r="D37" s="30" t="str">
        <f>VLOOKUP(A:A,笔记匹配!A:N,6,FALSE)</f>
        <v>如何正确跑步不粗腿！正确跑步全攻略</v>
      </c>
      <c r="E37" s="30" t="str">
        <f>VLOOKUP(A:A,笔记匹配!A:N,7,FALSE)</f>
        <v>https://www.xiaohongshu.com/discovery/item/636a29360000000007037622</v>
      </c>
      <c r="F37" s="65">
        <f>VLOOKUP(A:A,笔记匹配!A:N,8,FALSE)</f>
        <v>44875</v>
      </c>
      <c r="G37" s="66">
        <f>VLOOKUP(A:A,笔记匹配!A:P,15,FALSE)</f>
        <v>44897</v>
      </c>
      <c r="H37" s="30" t="str">
        <f>VLOOKUP(A:A,笔记匹配!A:N,9,FALSE)</f>
        <v>视频</v>
      </c>
      <c r="I37" s="30" t="str">
        <f>VLOOKUP(A:A,笔记匹配!A:N,2,FALSE)</f>
        <v>筋膜枪</v>
      </c>
      <c r="J37" s="30" t="str">
        <f>VLOOKUP(A:A,笔记匹配!A:N,4,FALSE)</f>
        <v>云麦筋膜枪pb2</v>
      </c>
      <c r="K37" s="30" t="str">
        <f>VLOOKUP(A:A,笔记匹配!A:N,14,FALSE)</f>
        <v>云麦筋膜枪pb2</v>
      </c>
      <c r="L37" s="3">
        <v>476</v>
      </c>
      <c r="M37" s="3">
        <v>197</v>
      </c>
      <c r="N37" s="69">
        <v>31</v>
      </c>
      <c r="O37" s="2">
        <f t="shared" si="0"/>
        <v>704</v>
      </c>
      <c r="P37" s="3">
        <f>IFERROR(VLOOKUP(A:A,信息流数据源!A:K,2,FALSE),0)</f>
        <v>1819.72</v>
      </c>
      <c r="Q37" s="71">
        <f>IFERROR(VLOOKUP(A:A,信息流数据源!A:N,5,FALSE),0)</f>
        <v>0.0978487301707397</v>
      </c>
      <c r="R37" s="72">
        <f>IFERROR(VLOOKUP(A:A,信息流数据源!A:N,6,FALSE),0)</f>
        <v>0.0938048353007887</v>
      </c>
      <c r="S37" s="2">
        <f>IFERROR(VLOOKUP(A:A,信息流数据源!A:N,9,FALSE),0)</f>
        <v>18</v>
      </c>
      <c r="T37" s="3">
        <f>IFERROR(VLOOKUP(A:A,信息流数据源!A:N,13,FALSE),0)</f>
        <v>575</v>
      </c>
      <c r="U37" s="73">
        <f>IFERROR(VLOOKUP(A:A,信息流数据源!A:N,14,FALSE),0)</f>
        <v>3.16473043478261</v>
      </c>
      <c r="V37" s="74">
        <f>IFERROR(VLOOKUP(A:A,信息流数据源!A:O,15,FALSE),0)</f>
        <v>0.0296407031290273</v>
      </c>
      <c r="W37" s="3">
        <f>IFERROR(VLOOKUP(A:A,搜索数据源!A:T,2,FALSE),0)</f>
        <v>0</v>
      </c>
      <c r="X37" s="71">
        <f>IFERROR(VLOOKUP(A:A,搜索数据源!A:T,5,FALSE),0)</f>
        <v>0</v>
      </c>
      <c r="Y37" s="73">
        <f>IFERROR(VLOOKUP(A:A,搜索数据源!A:T,6,FALSE),0)</f>
        <v>0</v>
      </c>
      <c r="Z37" s="3">
        <f>IFERROR(VLOOKUP(A:A,搜索数据源!A:T,9,FALSE),0)</f>
        <v>0</v>
      </c>
      <c r="AA37" s="3" t="e">
        <f>VLOOKUP(A:A,[1]搜索数据源!A:T,13,FALSE)</f>
        <v>#N/A</v>
      </c>
      <c r="AB37" s="72">
        <f>IFERROR(VLOOKUP(A:A,搜索数据源!A:T,14,FALSE),0)</f>
        <v>0</v>
      </c>
      <c r="AC37" s="69" t="str">
        <f>_xlfn.DISPIMG("ID_1031AC8231F145429953938FDFF0CB77",1)</f>
        <v>=DISPIMG("ID_1031AC8231F145429953938FDFF0CB77",1)</v>
      </c>
      <c r="AD37" s="4" t="s">
        <v>433</v>
      </c>
      <c r="AE37" s="78"/>
      <c r="AF37" s="78"/>
      <c r="AG37" s="2"/>
      <c r="AH37" s="78"/>
      <c r="AI37" s="78"/>
      <c r="AJ37" s="78"/>
      <c r="AK37" s="78"/>
      <c r="AL37" s="4">
        <f>AK37-AJ37</f>
        <v>0</v>
      </c>
      <c r="AM37" s="81">
        <f>IFERROR(AF37/AL37,0)</f>
        <v>0</v>
      </c>
      <c r="AN37" s="5">
        <f>IFERROR(VLOOKUP(A:A,回搜数据源!B:N,4,FALSE),0)</f>
        <v>0</v>
      </c>
      <c r="AO37" s="5">
        <f>IFERROR(VLOOKUP(A:A,回搜数据源!B:N,5,FALSE),0)</f>
        <v>0</v>
      </c>
    </row>
    <row r="38" s="57" customFormat="1" ht="100" hidden="1" customHeight="1" spans="1:41">
      <c r="A38" s="4" t="s">
        <v>434</v>
      </c>
      <c r="B38" s="3" t="str">
        <f>VLOOKUP(A:A,笔记匹配!A:N,5,FALSE)</f>
        <v>=DISPIMG("ID_9553404802CA48B6BC5E778D9C44CC8C",1)</v>
      </c>
      <c r="C38" s="30" t="str">
        <f>VLOOKUP(A:A,笔记匹配!A:N,3,FALSE)</f>
        <v>诸葛亮晶晶</v>
      </c>
      <c r="D38" s="30" t="str">
        <f>VLOOKUP(A:A,笔记匹配!A:N,6,FALSE)</f>
        <v>175 90斤|五年模特三餐真实分享</v>
      </c>
      <c r="E38" s="30" t="str">
        <f>VLOOKUP(A:A,笔记匹配!A:N,7,FALSE)</f>
        <v>https://www.xiaohongshu.com/discovery/item/63437f77000000001d027e1b</v>
      </c>
      <c r="F38" s="65">
        <f>VLOOKUP(A:A,笔记匹配!A:N,8,FALSE)</f>
        <v>44844</v>
      </c>
      <c r="G38" s="66" t="str">
        <f>VLOOKUP(A:A,笔记匹配!A:P,15,FALSE)</f>
        <v>2022-10-21</v>
      </c>
      <c r="H38" s="30" t="str">
        <f>VLOOKUP(A:A,笔记匹配!A:N,9,FALSE)</f>
        <v>图文</v>
      </c>
      <c r="I38" s="30" t="str">
        <f>VLOOKUP(A:A,笔记匹配!A:N,2,FALSE)</f>
        <v>体脂秤</v>
      </c>
      <c r="J38" s="30" t="str">
        <f>VLOOKUP(A:A,笔记匹配!A:N,4,FALSE)</f>
        <v>云麦体脂秤3mini</v>
      </c>
      <c r="K38" s="30" t="str">
        <f>VLOOKUP(A:A,笔记匹配!A:N,14,FALSE)</f>
        <v>云麦体脂秤3mini</v>
      </c>
      <c r="L38" s="3">
        <f>VLOOKUP(A:A,笔记匹配!A:N,10,FALSE)</f>
        <v>1571</v>
      </c>
      <c r="M38" s="3">
        <f>VLOOKUP(A:A,笔记匹配!A:N,11,FALSE)</f>
        <v>237</v>
      </c>
      <c r="N38" s="69">
        <f>VLOOKUP(A:A,笔记匹配!A:N,12,FALSE)</f>
        <v>1405</v>
      </c>
      <c r="O38" s="2">
        <f t="shared" si="0"/>
        <v>3213</v>
      </c>
      <c r="P38" s="3">
        <f>IFERROR(VLOOKUP(A:A,信息流数据源!A:K,2,FALSE),0)</f>
        <v>0</v>
      </c>
      <c r="Q38" s="71">
        <f>IFERROR(VLOOKUP(A:A,信息流数据源!A:N,5,FALSE),0)</f>
        <v>0</v>
      </c>
      <c r="R38" s="72">
        <f>IFERROR(VLOOKUP(A:A,信息流数据源!A:N,6,FALSE),0)</f>
        <v>0</v>
      </c>
      <c r="S38" s="2">
        <f>IFERROR(VLOOKUP(A:A,信息流数据源!A:N,9,FALSE),0)</f>
        <v>0</v>
      </c>
      <c r="T38" s="3">
        <f>IFERROR(VLOOKUP(A:A,信息流数据源!A:N,13,FALSE),0)</f>
        <v>0</v>
      </c>
      <c r="U38" s="73">
        <f>IFERROR(VLOOKUP(A:A,信息流数据源!A:N,14,FALSE),0)</f>
        <v>0</v>
      </c>
      <c r="V38" s="74">
        <f>IFERROR(VLOOKUP(A:A,信息流数据源!A:O,15,FALSE),0)</f>
        <v>0</v>
      </c>
      <c r="W38" s="3">
        <f>IFERROR(VLOOKUP(A:A,搜索数据源!A:T,2,FALSE),0)</f>
        <v>0</v>
      </c>
      <c r="X38" s="71">
        <f>IFERROR(VLOOKUP(A:A,搜索数据源!A:T,5,FALSE),0)</f>
        <v>0</v>
      </c>
      <c r="Y38" s="73">
        <f>IFERROR(VLOOKUP(A:A,搜索数据源!A:T,6,FALSE),0)</f>
        <v>0</v>
      </c>
      <c r="Z38" s="3">
        <f>IFERROR(VLOOKUP(A:A,搜索数据源!A:T,9,FALSE),0)</f>
        <v>0</v>
      </c>
      <c r="AA38" s="3" t="e">
        <f>VLOOKUP(A:A,[1]搜索数据源!A:T,13,FALSE)</f>
        <v>#N/A</v>
      </c>
      <c r="AB38" s="72">
        <f>IFERROR(VLOOKUP(A:A,搜索数据源!A:T,14,FALSE),0)</f>
        <v>0</v>
      </c>
      <c r="AC38" s="69" t="str">
        <f>_xlfn.DISPIMG("ID_726C2F549DEF4AF9AB7D9BB0873FD2E0",1)</f>
        <v>=DISPIMG("ID_726C2F549DEF4AF9AB7D9BB0873FD2E0",1)</v>
      </c>
      <c r="AD38" s="4" t="s">
        <v>435</v>
      </c>
      <c r="AE38" s="78"/>
      <c r="AF38" s="78"/>
      <c r="AG38" s="2"/>
      <c r="AH38" s="78"/>
      <c r="AI38" s="78"/>
      <c r="AJ38" s="78"/>
      <c r="AK38" s="78"/>
      <c r="AL38" s="4">
        <f>AK38-AJ38</f>
        <v>0</v>
      </c>
      <c r="AM38" s="81">
        <f>IFERROR(AF38/AL38,0)</f>
        <v>0</v>
      </c>
      <c r="AN38" s="5">
        <f>IFERROR(VLOOKUP(A:A,回搜数据源!B:N,4,FALSE),0)</f>
        <v>0.0008</v>
      </c>
      <c r="AO38" s="5">
        <f>IFERROR(VLOOKUP(A:A,回搜数据源!B:N,5,FALSE),0)</f>
        <v>0</v>
      </c>
    </row>
    <row r="39" s="57" customFormat="1" ht="100" hidden="1" customHeight="1" spans="1:41">
      <c r="A39" s="4" t="s">
        <v>303</v>
      </c>
      <c r="B39" s="3" t="str">
        <f>VLOOKUP(A:A,笔记匹配!A:N,5,FALSE)</f>
        <v>=DISPIMG("ID_F091C3D380BE42328944D31DC3611ACB",1)</v>
      </c>
      <c r="C39" s="30" t="str">
        <f>VLOOKUP(A:A,笔记匹配!A:N,3,FALSE)</f>
        <v>橘子汽水</v>
      </c>
      <c r="D39" s="30" t="str">
        <f>VLOOKUP(A:A,笔记匹配!A:N,6,FALSE)</f>
        <v>请一定要相信帕梅拉虐腹，效果是真的🉑❗</v>
      </c>
      <c r="E39" s="30" t="str">
        <f>VLOOKUP(A:A,笔记匹配!A:N,7,FALSE)</f>
        <v>https://www.xiaohongshu.com/discovery/item/6336c064000000001d00f647</v>
      </c>
      <c r="F39" s="65">
        <f>VLOOKUP(A:A,笔记匹配!A:N,8,FALSE)</f>
        <v>44837</v>
      </c>
      <c r="G39" s="66" t="str">
        <f>VLOOKUP(A:A,笔记匹配!A:P,15,FALSE)</f>
        <v>2022-10-20</v>
      </c>
      <c r="H39" s="30" t="str">
        <f>VLOOKUP(A:A,笔记匹配!A:N,9,FALSE)</f>
        <v>视频</v>
      </c>
      <c r="I39" s="30" t="str">
        <f>VLOOKUP(A:A,笔记匹配!A:N,2,FALSE)</f>
        <v>体脂秤</v>
      </c>
      <c r="J39" s="30" t="str">
        <f>VLOOKUP(A:A,笔记匹配!A:N,4,FALSE)</f>
        <v>云麦体脂秤3mini</v>
      </c>
      <c r="K39" s="30" t="str">
        <f>VLOOKUP(A:A,笔记匹配!A:N,14,FALSE)</f>
        <v>云麦体脂秤3mini</v>
      </c>
      <c r="L39" s="3">
        <f>VLOOKUP(A:A,笔记匹配!A:N,10,FALSE)</f>
        <v>614</v>
      </c>
      <c r="M39" s="3">
        <f>VLOOKUP(A:A,笔记匹配!A:N,11,FALSE)</f>
        <v>660</v>
      </c>
      <c r="N39" s="69">
        <f>VLOOKUP(A:A,笔记匹配!A:N,12,FALSE)</f>
        <v>31</v>
      </c>
      <c r="O39" s="2">
        <f t="shared" si="0"/>
        <v>1305</v>
      </c>
      <c r="P39" s="3">
        <f>IFERROR(VLOOKUP(A:A,信息流数据源!A:K,2,FALSE),0)</f>
        <v>0</v>
      </c>
      <c r="Q39" s="71">
        <f>IFERROR(VLOOKUP(A:A,信息流数据源!A:N,5,FALSE),0)</f>
        <v>0</v>
      </c>
      <c r="R39" s="72">
        <f>IFERROR(VLOOKUP(A:A,信息流数据源!A:N,6,FALSE),0)</f>
        <v>0</v>
      </c>
      <c r="S39" s="2">
        <f>IFERROR(VLOOKUP(A:A,信息流数据源!A:N,9,FALSE),0)</f>
        <v>0</v>
      </c>
      <c r="T39" s="3">
        <f>IFERROR(VLOOKUP(A:A,信息流数据源!A:N,13,FALSE),0)</f>
        <v>0</v>
      </c>
      <c r="U39" s="73">
        <f>IFERROR(VLOOKUP(A:A,信息流数据源!A:N,14,FALSE),0)</f>
        <v>0</v>
      </c>
      <c r="V39" s="74">
        <f>IFERROR(VLOOKUP(A:A,信息流数据源!A:O,15,FALSE),0)</f>
        <v>0</v>
      </c>
      <c r="W39" s="3">
        <f>IFERROR(VLOOKUP(A:A,搜索数据源!A:T,2,FALSE),0)</f>
        <v>0</v>
      </c>
      <c r="X39" s="71">
        <f>IFERROR(VLOOKUP(A:A,搜索数据源!A:T,5,FALSE),0)</f>
        <v>0</v>
      </c>
      <c r="Y39" s="73">
        <f>IFERROR(VLOOKUP(A:A,搜索数据源!A:T,6,FALSE),0)</f>
        <v>0</v>
      </c>
      <c r="Z39" s="3">
        <f>IFERROR(VLOOKUP(A:A,搜索数据源!A:T,9,FALSE),0)</f>
        <v>0</v>
      </c>
      <c r="AA39" s="3">
        <f>VLOOKUP(A:A,[1]搜索数据源!A:T,13,FALSE)</f>
        <v>22</v>
      </c>
      <c r="AB39" s="72">
        <f>IFERROR(VLOOKUP(A:A,搜索数据源!A:T,14,FALSE),0)</f>
        <v>0</v>
      </c>
      <c r="AC39" s="69" t="str">
        <f>_xlfn.DISPIMG("ID_DB67F596833947F2A46A94D4C86F278B",1)</f>
        <v>=DISPIMG("ID_DB67F596833947F2A46A94D4C86F278B",1)</v>
      </c>
      <c r="AD39" s="4" t="s">
        <v>436</v>
      </c>
      <c r="AE39" s="76">
        <v>44867</v>
      </c>
      <c r="AF39" s="72">
        <v>302.62</v>
      </c>
      <c r="AG39" s="2">
        <v>3799</v>
      </c>
      <c r="AH39" s="78" t="str">
        <f>_xlfn.DISPIMG("ID_C01B9EB74A81431D8F93B5ED1AA163D6",1)</f>
        <v>=DISPIMG("ID_C01B9EB74A81431D8F93B5ED1AA163D6",1)</v>
      </c>
      <c r="AI39" s="4" t="s">
        <v>437</v>
      </c>
      <c r="AJ39" s="4">
        <v>59</v>
      </c>
      <c r="AK39" s="4">
        <v>45</v>
      </c>
      <c r="AL39" s="4">
        <f>AK39-AJ39</f>
        <v>-14</v>
      </c>
      <c r="AM39" s="81">
        <f>IFERROR(AF39/AL39,0)</f>
        <v>-21.6157142857143</v>
      </c>
      <c r="AN39" s="5">
        <f>IFERROR(VLOOKUP(A:A,回搜数据源!B:N,4,FALSE),0)</f>
        <v>0.0002</v>
      </c>
      <c r="AO39" s="5">
        <f>IFERROR(VLOOKUP(A:A,回搜数据源!B:N,5,FALSE),0)</f>
        <v>0</v>
      </c>
    </row>
    <row r="40" s="57" customFormat="1" ht="100" hidden="1" customHeight="1" spans="1:41">
      <c r="A40" s="4" t="s">
        <v>438</v>
      </c>
      <c r="B40" s="3" t="str">
        <f>VLOOKUP(A:A,笔记匹配!A:N,5,FALSE)</f>
        <v>=DISPIMG("ID_92BFED4758D64E50875C4B702FA1664D",1)</v>
      </c>
      <c r="C40" s="30" t="str">
        <f>VLOOKUP(A:A,笔记匹配!A:N,3,FALSE)</f>
        <v>小庄妹妹</v>
      </c>
      <c r="D40" s="30" t="str">
        <f>VLOOKUP(A:A,笔记匹配!A:N,6,FALSE)</f>
        <v>大腿细了10cm🙏瘦腿分享懒人直接抄作业❗️</v>
      </c>
      <c r="E40" s="30" t="str">
        <f>VLOOKUP(A:A,笔记匹配!A:N,7,FALSE)</f>
        <v>https://www.xiaohongshu.com/discovery/item/636c81ba000000001f020770</v>
      </c>
      <c r="F40" s="65">
        <f>VLOOKUP(A:A,笔记匹配!A:N,8,FALSE)</f>
        <v>44875</v>
      </c>
      <c r="G40" s="66" t="str">
        <f>VLOOKUP(A:A,笔记匹配!A:P,15,FALSE)</f>
        <v>未测试</v>
      </c>
      <c r="H40" s="30" t="str">
        <f>VLOOKUP(A:A,笔记匹配!A:N,9,FALSE)</f>
        <v>图文</v>
      </c>
      <c r="I40" s="30" t="str">
        <f>VLOOKUP(A:A,笔记匹配!A:N,2,FALSE)</f>
        <v>筋膜枪</v>
      </c>
      <c r="J40" s="30" t="str">
        <f>VLOOKUP(A:A,笔记匹配!A:N,4,FALSE)</f>
        <v>云麦筋膜枪cc</v>
      </c>
      <c r="K40" s="30" t="str">
        <f>VLOOKUP(A:A,笔记匹配!A:N,14,FALSE)</f>
        <v>云麦筋膜枪ccgo</v>
      </c>
      <c r="L40" s="3">
        <f>VLOOKUP(A:A,笔记匹配!A:N,10,FALSE)</f>
        <v>0</v>
      </c>
      <c r="M40" s="3">
        <f>VLOOKUP(A:A,笔记匹配!A:N,11,FALSE)</f>
        <v>0</v>
      </c>
      <c r="N40" s="69">
        <f>VLOOKUP(A:A,笔记匹配!A:N,12,FALSE)</f>
        <v>0</v>
      </c>
      <c r="O40" s="2">
        <f t="shared" si="0"/>
        <v>0</v>
      </c>
      <c r="P40" s="3">
        <f>IFERROR(VLOOKUP(A:A,信息流数据源!A:K,2,FALSE),0)</f>
        <v>0</v>
      </c>
      <c r="Q40" s="71">
        <f>IFERROR(VLOOKUP(A:A,信息流数据源!A:N,5,FALSE),0)</f>
        <v>0</v>
      </c>
      <c r="R40" s="72">
        <f>IFERROR(VLOOKUP(A:A,信息流数据源!A:N,6,FALSE),0)</f>
        <v>0</v>
      </c>
      <c r="S40" s="2">
        <f>IFERROR(VLOOKUP(A:A,信息流数据源!A:N,9,FALSE),0)</f>
        <v>0</v>
      </c>
      <c r="T40" s="3">
        <f>IFERROR(VLOOKUP(A:A,信息流数据源!A:N,13,FALSE),0)</f>
        <v>0</v>
      </c>
      <c r="U40" s="73">
        <f>IFERROR(VLOOKUP(A:A,信息流数据源!A:N,14,FALSE),0)</f>
        <v>0</v>
      </c>
      <c r="V40" s="74">
        <f>IFERROR(VLOOKUP(A:A,信息流数据源!A:O,15,FALSE),0)</f>
        <v>0</v>
      </c>
      <c r="W40" s="3">
        <f>IFERROR(VLOOKUP(A:A,搜索数据源!A:T,2,FALSE),0)</f>
        <v>0</v>
      </c>
      <c r="X40" s="71">
        <f>IFERROR(VLOOKUP(A:A,搜索数据源!A:T,5,FALSE),0)</f>
        <v>0</v>
      </c>
      <c r="Y40" s="73">
        <f>IFERROR(VLOOKUP(A:A,搜索数据源!A:T,6,FALSE),0)</f>
        <v>0</v>
      </c>
      <c r="Z40" s="3">
        <f>IFERROR(VLOOKUP(A:A,搜索数据源!A:T,9,FALSE),0)</f>
        <v>0</v>
      </c>
      <c r="AA40" s="3" t="e">
        <f>VLOOKUP(A:A,[1]搜索数据源!A:T,13,FALSE)</f>
        <v>#N/A</v>
      </c>
      <c r="AB40" s="72">
        <f>IFERROR(VLOOKUP(A:A,搜索数据源!A:T,14,FALSE),0)</f>
        <v>0</v>
      </c>
      <c r="AC40" s="69"/>
      <c r="AD40" s="4"/>
      <c r="AE40" s="69"/>
      <c r="AF40" s="77"/>
      <c r="AG40" s="2"/>
      <c r="AH40" s="69"/>
      <c r="AI40" s="4"/>
      <c r="AJ40" s="4"/>
      <c r="AK40" s="4"/>
      <c r="AL40" s="4"/>
      <c r="AM40" s="81"/>
      <c r="AN40" s="5">
        <f>IFERROR(VLOOKUP(A:A,回搜数据源!B:N,4,FALSE),0)</f>
        <v>0</v>
      </c>
      <c r="AO40" s="5">
        <f>IFERROR(VLOOKUP(A:A,回搜数据源!B:N,5,FALSE),0)</f>
        <v>0</v>
      </c>
    </row>
    <row r="41" s="57" customFormat="1" ht="100" hidden="1" customHeight="1" spans="1:41">
      <c r="A41" s="4" t="s">
        <v>439</v>
      </c>
      <c r="B41" s="3" t="str">
        <f>VLOOKUP(A:A,笔记匹配!A:N,5,FALSE)</f>
        <v>=DISPIMG("ID_5C91140CC8E0469A83F5D586EA718F4E",1)</v>
      </c>
      <c r="C41" s="30" t="str">
        <f>VLOOKUP(A:A,笔记匹配!A:N,3,FALSE)</f>
        <v>索菲亚的冻龄秘密</v>
      </c>
      <c r="D41" s="30" t="str">
        <f>VLOOKUP(A:A,笔记匹配!A:N,6,FALSE)</f>
        <v>甩6斤纯脂肪我做了这四件事‼｜体脂29到22</v>
      </c>
      <c r="E41" s="30" t="str">
        <f>VLOOKUP(A:A,笔记匹配!A:N,7,FALSE)</f>
        <v>https://www.xiaohongshu.com/discovery/item/63492dd50000000008014d5e</v>
      </c>
      <c r="F41" s="65">
        <f>VLOOKUP(A:A,笔记匹配!A:N,8,FALSE)</f>
        <v>44849</v>
      </c>
      <c r="G41" s="66" t="str">
        <f>VLOOKUP(A:A,笔记匹配!A:P,15,FALSE)</f>
        <v>2022-10-19</v>
      </c>
      <c r="H41" s="30" t="str">
        <f>VLOOKUP(A:A,笔记匹配!A:N,9,FALSE)</f>
        <v>视频</v>
      </c>
      <c r="I41" s="30" t="str">
        <f>VLOOKUP(A:A,笔记匹配!A:N,2,FALSE)</f>
        <v>体脂秤</v>
      </c>
      <c r="J41" s="30" t="str">
        <f>VLOOKUP(A:A,笔记匹配!A:N,4,FALSE)</f>
        <v>云麦体脂秤3mini</v>
      </c>
      <c r="K41" s="30" t="str">
        <f>VLOOKUP(A:A,笔记匹配!A:N,14,FALSE)</f>
        <v>云麦体脂秤3mini</v>
      </c>
      <c r="L41" s="3">
        <f>VLOOKUP(A:A,笔记匹配!A:N,10,FALSE)</f>
        <v>327</v>
      </c>
      <c r="M41" s="3">
        <f>VLOOKUP(A:A,笔记匹配!A:N,11,FALSE)</f>
        <v>233</v>
      </c>
      <c r="N41" s="69">
        <f>VLOOKUP(A:A,笔记匹配!A:N,12,FALSE)</f>
        <v>32</v>
      </c>
      <c r="O41" s="2">
        <f t="shared" si="0"/>
        <v>592</v>
      </c>
      <c r="P41" s="3">
        <f>IFERROR(VLOOKUP(A:A,信息流数据源!A:K,2,FALSE),0)</f>
        <v>0</v>
      </c>
      <c r="Q41" s="71">
        <f>IFERROR(VLOOKUP(A:A,信息流数据源!A:N,5,FALSE),0)</f>
        <v>0</v>
      </c>
      <c r="R41" s="72">
        <f>IFERROR(VLOOKUP(A:A,信息流数据源!A:N,6,FALSE),0)</f>
        <v>0</v>
      </c>
      <c r="S41" s="2">
        <f>IFERROR(VLOOKUP(A:A,信息流数据源!A:N,9,FALSE),0)</f>
        <v>0</v>
      </c>
      <c r="T41" s="3">
        <f>IFERROR(VLOOKUP(A:A,信息流数据源!A:N,13,FALSE),0)</f>
        <v>0</v>
      </c>
      <c r="U41" s="73">
        <f>IFERROR(VLOOKUP(A:A,信息流数据源!A:N,14,FALSE),0)</f>
        <v>0</v>
      </c>
      <c r="V41" s="74">
        <f>IFERROR(VLOOKUP(A:A,信息流数据源!A:O,15,FALSE),0)</f>
        <v>0</v>
      </c>
      <c r="W41" s="3">
        <f>IFERROR(VLOOKUP(A:A,搜索数据源!A:T,2,FALSE),0)</f>
        <v>0</v>
      </c>
      <c r="X41" s="71">
        <f>IFERROR(VLOOKUP(A:A,搜索数据源!A:T,5,FALSE),0)</f>
        <v>0</v>
      </c>
      <c r="Y41" s="73">
        <f>IFERROR(VLOOKUP(A:A,搜索数据源!A:T,6,FALSE),0)</f>
        <v>0</v>
      </c>
      <c r="Z41" s="3">
        <f>IFERROR(VLOOKUP(A:A,搜索数据源!A:T,9,FALSE),0)</f>
        <v>0</v>
      </c>
      <c r="AA41" s="3" t="e">
        <f>VLOOKUP(A:A,[1]搜索数据源!A:T,13,FALSE)</f>
        <v>#N/A</v>
      </c>
      <c r="AB41" s="72">
        <f>IFERROR(VLOOKUP(A:A,搜索数据源!A:T,14,FALSE),0)</f>
        <v>0</v>
      </c>
      <c r="AC41" s="69" t="str">
        <f>_xlfn.DISPIMG("ID_74C40EBBC3334555858B0A02C833DE56",1)</f>
        <v>=DISPIMG("ID_74C40EBBC3334555858B0A02C833DE56",1)</v>
      </c>
      <c r="AD41" s="4" t="s">
        <v>399</v>
      </c>
      <c r="AE41" s="78"/>
      <c r="AF41" s="78"/>
      <c r="AG41" s="2"/>
      <c r="AH41" s="78"/>
      <c r="AI41" s="78"/>
      <c r="AJ41" s="78"/>
      <c r="AK41" s="78"/>
      <c r="AL41" s="4">
        <f>AK41-AJ41</f>
        <v>0</v>
      </c>
      <c r="AM41" s="81">
        <f>IFERROR(AF41/AL41,0)</f>
        <v>0</v>
      </c>
      <c r="AN41" s="5">
        <f>IFERROR(VLOOKUP(A:A,回搜数据源!B:N,4,FALSE),0)</f>
        <v>0.0002</v>
      </c>
      <c r="AO41" s="5">
        <f>IFERROR(VLOOKUP(A:A,回搜数据源!B:N,5,FALSE),0)</f>
        <v>0</v>
      </c>
    </row>
    <row r="42" s="57" customFormat="1" ht="100" hidden="1" customHeight="1" spans="1:41">
      <c r="A42" s="30" t="s">
        <v>440</v>
      </c>
      <c r="B42" s="3" t="str">
        <f>VLOOKUP(A:A,笔记匹配!A:N,5,FALSE)</f>
        <v>=DISPIMG("ID_2C4D9E86BDCC4E54AE4467431CE80927",1)</v>
      </c>
      <c r="C42" s="30" t="str">
        <f>VLOOKUP(A:A,笔记匹配!A:N,3,FALSE)</f>
        <v>oOO小饼</v>
      </c>
      <c r="D42" s="30" t="str">
        <f>VLOOKUP(A:A,笔记匹配!A:N,6,FALSE)</f>
        <v>直腿❗️你可以永远相信它❗️</v>
      </c>
      <c r="E42" s="30" t="str">
        <f>VLOOKUP(A:A,笔记匹配!A:N,7,FALSE)</f>
        <v>https://www.xiaohongshu.com/discovery/item/636b36a10000000007034630</v>
      </c>
      <c r="F42" s="65">
        <f>VLOOKUP(A:A,笔记匹配!A:N,8,FALSE)</f>
        <v>44874</v>
      </c>
      <c r="G42" s="66" t="str">
        <f>VLOOKUP(A:A,笔记匹配!A:P,15,FALSE)</f>
        <v>未测试</v>
      </c>
      <c r="H42" s="30" t="str">
        <f>VLOOKUP(A:A,笔记匹配!A:N,9,FALSE)</f>
        <v>图文</v>
      </c>
      <c r="I42" s="30" t="str">
        <f>VLOOKUP(A:A,笔记匹配!A:N,2,FALSE)</f>
        <v>筋膜枪</v>
      </c>
      <c r="J42" s="30" t="str">
        <f>VLOOKUP(A:A,笔记匹配!A:N,4,FALSE)</f>
        <v>云麦筋膜枪cc</v>
      </c>
      <c r="K42" s="30" t="str">
        <f>VLOOKUP(A:A,笔记匹配!A:N,14,FALSE)</f>
        <v>云麦筋膜枪ccgo</v>
      </c>
      <c r="L42" s="3">
        <v>334</v>
      </c>
      <c r="M42" s="3">
        <v>125</v>
      </c>
      <c r="N42" s="69">
        <v>18</v>
      </c>
      <c r="O42" s="2">
        <f t="shared" si="0"/>
        <v>477</v>
      </c>
      <c r="P42" s="3">
        <f>IFERROR(VLOOKUP(A:A,信息流数据源!A:K,2,FALSE),0)</f>
        <v>505.56</v>
      </c>
      <c r="Q42" s="71">
        <f>IFERROR(VLOOKUP(A:A,信息流数据源!A:N,5,FALSE),0)</f>
        <v>0.10818313253012</v>
      </c>
      <c r="R42" s="72">
        <f>IFERROR(VLOOKUP(A:A,信息流数据源!A:N,6,FALSE),0)</f>
        <v>0.0900855310049893</v>
      </c>
      <c r="S42" s="2">
        <f>IFERROR(VLOOKUP(A:A,信息流数据源!A:N,9,FALSE),0)</f>
        <v>1</v>
      </c>
      <c r="T42" s="3">
        <f>IFERROR(VLOOKUP(A:A,信息流数据源!A:N,13,FALSE),0)</f>
        <v>128</v>
      </c>
      <c r="U42" s="73">
        <f>IFERROR(VLOOKUP(A:A,信息流数据源!A:N,14,FALSE),0)</f>
        <v>3.9496875</v>
      </c>
      <c r="V42" s="74">
        <f>IFERROR(VLOOKUP(A:A,信息流数据源!A:O,15,FALSE),0)</f>
        <v>0.022808267997149</v>
      </c>
      <c r="W42" s="3">
        <f>IFERROR(VLOOKUP(A:A,搜索数据源!A:T,2,FALSE),0)</f>
        <v>0</v>
      </c>
      <c r="X42" s="71">
        <f>IFERROR(VLOOKUP(A:A,搜索数据源!A:T,5,FALSE),0)</f>
        <v>0</v>
      </c>
      <c r="Y42" s="73">
        <f>IFERROR(VLOOKUP(A:A,搜索数据源!A:T,6,FALSE),0)</f>
        <v>0</v>
      </c>
      <c r="Z42" s="3">
        <f>IFERROR(VLOOKUP(A:A,搜索数据源!A:T,9,FALSE),0)</f>
        <v>0</v>
      </c>
      <c r="AA42" s="3" t="e">
        <f>VLOOKUP(A:A,[1]搜索数据源!A:T,13,FALSE)</f>
        <v>#N/A</v>
      </c>
      <c r="AB42" s="72">
        <f>IFERROR(VLOOKUP(A:A,搜索数据源!A:T,14,FALSE),0)</f>
        <v>0</v>
      </c>
      <c r="AC42" s="69" t="str">
        <f>_xlfn.DISPIMG("ID_7F130D7E830D4E1FB2E3389B90F34264",1)</f>
        <v>=DISPIMG("ID_7F130D7E830D4E1FB2E3389B90F34264",1)</v>
      </c>
      <c r="AD42" s="4" t="s">
        <v>441</v>
      </c>
      <c r="AE42" s="78"/>
      <c r="AF42" s="78"/>
      <c r="AG42" s="2"/>
      <c r="AH42" s="78"/>
      <c r="AI42" s="78"/>
      <c r="AJ42" s="78"/>
      <c r="AK42" s="78"/>
      <c r="AL42" s="4">
        <f>AK42-AJ42</f>
        <v>0</v>
      </c>
      <c r="AM42" s="81">
        <f>IFERROR(AF42/AL42,0)</f>
        <v>0</v>
      </c>
      <c r="AN42" s="5">
        <f>IFERROR(VLOOKUP(A:A,回搜数据源!B:N,4,FALSE),0)</f>
        <v>0</v>
      </c>
      <c r="AO42" s="5">
        <f>IFERROR(VLOOKUP(A:A,回搜数据源!B:N,5,FALSE),0)</f>
        <v>0</v>
      </c>
    </row>
    <row r="43" s="57" customFormat="1" ht="100" hidden="1" customHeight="1" spans="1:41">
      <c r="A43" s="4" t="s">
        <v>442</v>
      </c>
      <c r="B43" s="3" t="str">
        <f>VLOOKUP(A:A,笔记匹配!A:N,5,FALSE)</f>
        <v>=DISPIMG("ID_92C9CA3950174AD18D2DFEF72A377F07",1)</v>
      </c>
      <c r="C43" s="30" t="str">
        <f>VLOOKUP(A:A,笔记匹配!A:N,3,FALSE)</f>
        <v>江原小雷哥</v>
      </c>
      <c r="D43" s="30" t="str">
        <f>VLOOKUP(A:A,笔记匹配!A:N,6,FALSE)</f>
        <v>买了就闲置？一期视频教会你正确使用筋膜枪</v>
      </c>
      <c r="E43" s="30" t="str">
        <f>VLOOKUP(A:A,笔记匹配!A:N,7,FALSE)</f>
        <v>https://www.xiaohongshu.com/discovery/item/636a33cb00000000080109b3</v>
      </c>
      <c r="F43" s="65">
        <f>VLOOKUP(A:A,笔记匹配!A:N,8,FALSE)</f>
        <v>44874</v>
      </c>
      <c r="G43" s="66" t="str">
        <f>VLOOKUP(A:A,笔记匹配!A:P,15,FALSE)</f>
        <v>未测试</v>
      </c>
      <c r="H43" s="30" t="str">
        <f>VLOOKUP(A:A,笔记匹配!A:N,9,FALSE)</f>
        <v>视频</v>
      </c>
      <c r="I43" s="30" t="str">
        <f>VLOOKUP(A:A,笔记匹配!A:N,2,FALSE)</f>
        <v>筋膜枪</v>
      </c>
      <c r="J43" s="30" t="str">
        <f>VLOOKUP(A:A,笔记匹配!A:N,4,FALSE)</f>
        <v>云麦筋膜枪pb2</v>
      </c>
      <c r="K43" s="30" t="str">
        <f>VLOOKUP(A:A,笔记匹配!A:N,14,FALSE)</f>
        <v>云麦筋膜枪pb2</v>
      </c>
      <c r="L43" s="3">
        <f>VLOOKUP(A:A,笔记匹配!A:N,10,FALSE)</f>
        <v>0</v>
      </c>
      <c r="M43" s="3">
        <f>VLOOKUP(A:A,笔记匹配!A:N,11,FALSE)</f>
        <v>0</v>
      </c>
      <c r="N43" s="69">
        <f>VLOOKUP(A:A,笔记匹配!A:N,12,FALSE)</f>
        <v>0</v>
      </c>
      <c r="O43" s="2">
        <f t="shared" si="0"/>
        <v>0</v>
      </c>
      <c r="P43" s="3">
        <f>IFERROR(VLOOKUP(A:A,信息流数据源!A:K,2,FALSE),0)</f>
        <v>0</v>
      </c>
      <c r="Q43" s="71">
        <f>IFERROR(VLOOKUP(A:A,信息流数据源!A:N,5,FALSE),0)</f>
        <v>0</v>
      </c>
      <c r="R43" s="72">
        <f>IFERROR(VLOOKUP(A:A,信息流数据源!A:N,6,FALSE),0)</f>
        <v>0</v>
      </c>
      <c r="S43" s="2">
        <f>IFERROR(VLOOKUP(A:A,信息流数据源!A:N,9,FALSE),0)</f>
        <v>0</v>
      </c>
      <c r="T43" s="3">
        <f>IFERROR(VLOOKUP(A:A,信息流数据源!A:N,13,FALSE),0)</f>
        <v>0</v>
      </c>
      <c r="U43" s="73">
        <f>IFERROR(VLOOKUP(A:A,信息流数据源!A:N,14,FALSE),0)</f>
        <v>0</v>
      </c>
      <c r="V43" s="74">
        <f>IFERROR(VLOOKUP(A:A,信息流数据源!A:O,15,FALSE),0)</f>
        <v>0</v>
      </c>
      <c r="W43" s="3">
        <f>IFERROR(VLOOKUP(A:A,搜索数据源!A:T,2,FALSE),0)</f>
        <v>0</v>
      </c>
      <c r="X43" s="71">
        <f>IFERROR(VLOOKUP(A:A,搜索数据源!A:T,5,FALSE),0)</f>
        <v>0</v>
      </c>
      <c r="Y43" s="73">
        <f>IFERROR(VLOOKUP(A:A,搜索数据源!A:T,6,FALSE),0)</f>
        <v>0</v>
      </c>
      <c r="Z43" s="3">
        <f>IFERROR(VLOOKUP(A:A,搜索数据源!A:T,9,FALSE),0)</f>
        <v>0</v>
      </c>
      <c r="AA43" s="3" t="e">
        <f>VLOOKUP(A:A,[1]搜索数据源!A:T,13,FALSE)</f>
        <v>#N/A</v>
      </c>
      <c r="AB43" s="72">
        <f>IFERROR(VLOOKUP(A:A,搜索数据源!A:T,14,FALSE),0)</f>
        <v>0</v>
      </c>
      <c r="AC43" s="69"/>
      <c r="AD43" s="4"/>
      <c r="AE43" s="76"/>
      <c r="AF43" s="3"/>
      <c r="AG43" s="2"/>
      <c r="AH43" s="69"/>
      <c r="AI43" s="4"/>
      <c r="AJ43" s="4"/>
      <c r="AK43" s="4"/>
      <c r="AL43" s="4"/>
      <c r="AM43" s="81"/>
      <c r="AN43" s="5">
        <f>IFERROR(VLOOKUP(A:A,回搜数据源!B:N,4,FALSE),0)</f>
        <v>0</v>
      </c>
      <c r="AO43" s="5">
        <f>IFERROR(VLOOKUP(A:A,回搜数据源!B:N,5,FALSE),0)</f>
        <v>0</v>
      </c>
    </row>
    <row r="44" s="57" customFormat="1" ht="100" hidden="1" customHeight="1" spans="1:41">
      <c r="A44" s="4" t="s">
        <v>443</v>
      </c>
      <c r="B44" s="3" t="str">
        <f>VLOOKUP(A:A,笔记匹配!A:N,5,FALSE)</f>
        <v>=DISPIMG("ID_E4304C3FDE154412A14395F613E4AB24",1)</v>
      </c>
      <c r="C44" s="30" t="str">
        <f>VLOOKUP(A:A,笔记匹配!A:N,3,FALSE)</f>
        <v>周周也是倩倩</v>
      </c>
      <c r="D44" s="30" t="str">
        <f>VLOOKUP(A:A,笔记匹配!A:N,6,FALSE)</f>
        <v>改善肌肉型小腿2.0！拉伸&amp;筋膜枪按摩跟练</v>
      </c>
      <c r="E44" s="30" t="str">
        <f>VLOOKUP(A:A,笔记匹配!A:N,7,FALSE)</f>
        <v>https://www.xiaohongshu.com/discovery/item/6369f4520000000006009439</v>
      </c>
      <c r="F44" s="65">
        <f>VLOOKUP(A:A,笔记匹配!A:N,8,FALSE)</f>
        <v>44873</v>
      </c>
      <c r="G44" s="66" t="str">
        <f>VLOOKUP(A:A,笔记匹配!A:P,15,FALSE)</f>
        <v>未测试</v>
      </c>
      <c r="H44" s="30" t="str">
        <f>VLOOKUP(A:A,笔记匹配!A:N,9,FALSE)</f>
        <v>视频</v>
      </c>
      <c r="I44" s="30" t="str">
        <f>VLOOKUP(A:A,笔记匹配!A:N,2,FALSE)</f>
        <v>筋膜枪</v>
      </c>
      <c r="J44" s="30" t="str">
        <f>VLOOKUP(A:A,笔记匹配!A:N,4,FALSE)</f>
        <v>云麦筋膜枪pb2</v>
      </c>
      <c r="K44" s="30" t="str">
        <f>VLOOKUP(A:A,笔记匹配!A:N,14,FALSE)</f>
        <v>云麦筋膜枪pb2</v>
      </c>
      <c r="L44" s="3">
        <f>VLOOKUP(A:A,笔记匹配!A:N,10,FALSE)</f>
        <v>0</v>
      </c>
      <c r="M44" s="3">
        <f>VLOOKUP(A:A,笔记匹配!A:N,11,FALSE)</f>
        <v>0</v>
      </c>
      <c r="N44" s="69">
        <f>VLOOKUP(A:A,笔记匹配!A:N,12,FALSE)</f>
        <v>0</v>
      </c>
      <c r="O44" s="2">
        <f t="shared" si="0"/>
        <v>0</v>
      </c>
      <c r="P44" s="3">
        <f>IFERROR(VLOOKUP(A:A,信息流数据源!A:K,2,FALSE),0)</f>
        <v>0</v>
      </c>
      <c r="Q44" s="71">
        <f>IFERROR(VLOOKUP(A:A,信息流数据源!A:N,5,FALSE),0)</f>
        <v>0</v>
      </c>
      <c r="R44" s="72">
        <f>IFERROR(VLOOKUP(A:A,信息流数据源!A:N,6,FALSE),0)</f>
        <v>0</v>
      </c>
      <c r="S44" s="2">
        <f>IFERROR(VLOOKUP(A:A,信息流数据源!A:N,9,FALSE),0)</f>
        <v>0</v>
      </c>
      <c r="T44" s="3">
        <f>IFERROR(VLOOKUP(A:A,信息流数据源!A:N,13,FALSE),0)</f>
        <v>0</v>
      </c>
      <c r="U44" s="73">
        <f>IFERROR(VLOOKUP(A:A,信息流数据源!A:N,14,FALSE),0)</f>
        <v>0</v>
      </c>
      <c r="V44" s="74">
        <f>IFERROR(VLOOKUP(A:A,信息流数据源!A:O,15,FALSE),0)</f>
        <v>0</v>
      </c>
      <c r="W44" s="3">
        <f>IFERROR(VLOOKUP(A:A,搜索数据源!A:T,2,FALSE),0)</f>
        <v>0</v>
      </c>
      <c r="X44" s="71">
        <f>IFERROR(VLOOKUP(A:A,搜索数据源!A:T,5,FALSE),0)</f>
        <v>0</v>
      </c>
      <c r="Y44" s="73">
        <f>IFERROR(VLOOKUP(A:A,搜索数据源!A:T,6,FALSE),0)</f>
        <v>0</v>
      </c>
      <c r="Z44" s="3">
        <f>IFERROR(VLOOKUP(A:A,搜索数据源!A:T,9,FALSE),0)</f>
        <v>0</v>
      </c>
      <c r="AA44" s="3" t="e">
        <f>VLOOKUP(A:A,[1]搜索数据源!A:T,13,FALSE)</f>
        <v>#N/A</v>
      </c>
      <c r="AB44" s="72">
        <f>IFERROR(VLOOKUP(A:A,搜索数据源!A:T,14,FALSE),0)</f>
        <v>0</v>
      </c>
      <c r="AC44" s="69"/>
      <c r="AD44" s="4"/>
      <c r="AE44" s="69"/>
      <c r="AF44" s="77"/>
      <c r="AG44" s="2"/>
      <c r="AH44" s="69"/>
      <c r="AI44" s="4"/>
      <c r="AJ44" s="4"/>
      <c r="AK44" s="4"/>
      <c r="AL44" s="4"/>
      <c r="AM44" s="81"/>
      <c r="AN44" s="5">
        <f>IFERROR(VLOOKUP(A:A,回搜数据源!B:N,4,FALSE),0)</f>
        <v>0</v>
      </c>
      <c r="AO44" s="5">
        <f>IFERROR(VLOOKUP(A:A,回搜数据源!B:N,5,FALSE),0)</f>
        <v>0</v>
      </c>
    </row>
    <row r="45" s="57" customFormat="1" ht="100" hidden="1" customHeight="1" spans="1:41">
      <c r="A45" s="4" t="s">
        <v>444</v>
      </c>
      <c r="B45" s="3" t="str">
        <f>VLOOKUP(A:A,笔记匹配!A:N,5,FALSE)</f>
        <v>=DISPIMG("ID_76A9762C8BDF47F1B23A10E5E69CF05C",1)</v>
      </c>
      <c r="C45" s="30" t="str">
        <f>VLOOKUP(A:A,笔记匹配!A:N,3,FALSE)</f>
        <v>Sophia大大</v>
      </c>
      <c r="D45" s="30" t="str">
        <f>VLOOKUP(A:A,笔记匹配!A:N,6,FALSE)</f>
        <v>162 46|我悟了！翘臀不粗腿的训练方法!</v>
      </c>
      <c r="E45" s="30" t="str">
        <f>VLOOKUP(A:A,笔记匹配!A:N,7,FALSE)</f>
        <v>https://www.xiaohongshu.com/discovery/item/627ba9fe0000000021037192</v>
      </c>
      <c r="F45" s="65">
        <f>VLOOKUP(A:A,笔记匹配!A:N,8,FALSE)</f>
        <v>44693</v>
      </c>
      <c r="G45" s="66" t="str">
        <f>VLOOKUP(A:A,笔记匹配!A:P,15,FALSE)</f>
        <v>2022-05-19</v>
      </c>
      <c r="H45" s="30" t="str">
        <f>VLOOKUP(A:A,笔记匹配!A:N,9,FALSE)</f>
        <v>图文</v>
      </c>
      <c r="I45" s="30" t="str">
        <f>VLOOKUP(A:A,笔记匹配!A:N,2,FALSE)</f>
        <v>筋膜枪</v>
      </c>
      <c r="J45" s="30" t="str">
        <f>VLOOKUP(A:A,笔记匹配!A:N,4,FALSE)</f>
        <v>云麦cc</v>
      </c>
      <c r="K45" s="30" t="str">
        <f>VLOOKUP(A:A,笔记匹配!A:N,14,FALSE)</f>
        <v>云麦筋膜枪cc</v>
      </c>
      <c r="L45" s="3">
        <f>VLOOKUP(A:A,笔记匹配!A:N,10,FALSE)</f>
        <v>9692</v>
      </c>
      <c r="M45" s="3">
        <f>VLOOKUP(A:A,笔记匹配!A:N,11,FALSE)</f>
        <v>5354</v>
      </c>
      <c r="N45" s="69">
        <f>VLOOKUP(A:A,笔记匹配!A:N,12,FALSE)</f>
        <v>163</v>
      </c>
      <c r="O45" s="2">
        <f t="shared" si="0"/>
        <v>15209</v>
      </c>
      <c r="P45" s="3">
        <f>IFERROR(VLOOKUP(A:A,信息流数据源!A:K,2,FALSE),0)</f>
        <v>0</v>
      </c>
      <c r="Q45" s="71">
        <f>IFERROR(VLOOKUP(A:A,信息流数据源!A:N,5,FALSE),0)</f>
        <v>0</v>
      </c>
      <c r="R45" s="72">
        <f>IFERROR(VLOOKUP(A:A,信息流数据源!A:N,6,FALSE),0)</f>
        <v>0</v>
      </c>
      <c r="S45" s="2">
        <f>IFERROR(VLOOKUP(A:A,信息流数据源!A:N,9,FALSE),0)</f>
        <v>0</v>
      </c>
      <c r="T45" s="3">
        <f>IFERROR(VLOOKUP(A:A,信息流数据源!A:N,13,FALSE),0)</f>
        <v>0</v>
      </c>
      <c r="U45" s="73">
        <f>IFERROR(VLOOKUP(A:A,信息流数据源!A:N,14,FALSE),0)</f>
        <v>0</v>
      </c>
      <c r="V45" s="74">
        <f>IFERROR(VLOOKUP(A:A,信息流数据源!A:O,15,FALSE),0)</f>
        <v>0</v>
      </c>
      <c r="W45" s="3">
        <f>IFERROR(VLOOKUP(A:A,搜索数据源!A:T,2,FALSE),0)</f>
        <v>0</v>
      </c>
      <c r="X45" s="71">
        <f>IFERROR(VLOOKUP(A:A,搜索数据源!A:T,5,FALSE),0)</f>
        <v>0</v>
      </c>
      <c r="Y45" s="73">
        <f>IFERROR(VLOOKUP(A:A,搜索数据源!A:T,6,FALSE),0)</f>
        <v>0</v>
      </c>
      <c r="Z45" s="3">
        <f>IFERROR(VLOOKUP(A:A,搜索数据源!A:T,9,FALSE),0)</f>
        <v>0</v>
      </c>
      <c r="AA45" s="3" t="e">
        <f>VLOOKUP(A:A,[1]搜索数据源!A:T,13,FALSE)</f>
        <v>#N/A</v>
      </c>
      <c r="AB45" s="72">
        <f>IFERROR(VLOOKUP(A:A,搜索数据源!A:T,14,FALSE),0)</f>
        <v>0</v>
      </c>
      <c r="AC45" s="69" t="str">
        <f>_xlfn.DISPIMG("ID_8ACEF3F78741458CA0CE32A09E3775C9",1)</f>
        <v>=DISPIMG("ID_8ACEF3F78741458CA0CE32A09E3775C9",1)</v>
      </c>
      <c r="AD45" s="4" t="s">
        <v>445</v>
      </c>
      <c r="AE45" s="69"/>
      <c r="AF45" s="69"/>
      <c r="AG45" s="2"/>
      <c r="AH45" s="69"/>
      <c r="AI45" s="69"/>
      <c r="AJ45" s="69"/>
      <c r="AK45" s="69"/>
      <c r="AL45" s="4">
        <f>AK45-AJ45</f>
        <v>0</v>
      </c>
      <c r="AM45" s="81">
        <f>IFERROR(AF45/AL45,0)</f>
        <v>0</v>
      </c>
      <c r="AN45" s="5">
        <f>IFERROR(VLOOKUP(A:A,回搜数据源!B:N,4,FALSE),0)</f>
        <v>0</v>
      </c>
      <c r="AO45" s="5">
        <f>IFERROR(VLOOKUP(A:A,回搜数据源!B:N,5,FALSE),0)</f>
        <v>0</v>
      </c>
    </row>
    <row r="46" s="57" customFormat="1" ht="100" hidden="1" customHeight="1" spans="1:41">
      <c r="A46" s="4" t="s">
        <v>446</v>
      </c>
      <c r="B46" s="3" t="str">
        <f>VLOOKUP(A:A,笔记匹配!A:N,5,FALSE)</f>
        <v>=DISPIMG("ID_BBFC944141BE42E481DCE331467C1894",1)</v>
      </c>
      <c r="C46" s="30" t="str">
        <f>VLOOKUP(A:A,笔记匹配!A:N,3,FALSE)</f>
        <v>FenniferYang</v>
      </c>
      <c r="D46" s="30" t="str">
        <f>VLOOKUP(A:A,笔记匹配!A:N,6,FALSE)</f>
        <v>哪有什么好身材秘诀 只有无数次的汗流浃背</v>
      </c>
      <c r="E46" s="30" t="str">
        <f>VLOOKUP(A:A,笔记匹配!A:N,7,FALSE)</f>
        <v>https://www.xiaohongshu.com/discovery/item/6369ab42000000000a009c13</v>
      </c>
      <c r="F46" s="65">
        <f>VLOOKUP(A:A,笔记匹配!A:N,8,FALSE)</f>
        <v>44873</v>
      </c>
      <c r="G46" s="66" t="str">
        <f>VLOOKUP(A:A,笔记匹配!A:P,15,FALSE)</f>
        <v>未测试</v>
      </c>
      <c r="H46" s="30" t="str">
        <f>VLOOKUP(A:A,笔记匹配!A:N,9,FALSE)</f>
        <v>视频</v>
      </c>
      <c r="I46" s="30" t="str">
        <f>VLOOKUP(A:A,笔记匹配!A:N,2,FALSE)</f>
        <v>筋膜枪</v>
      </c>
      <c r="J46" s="30" t="str">
        <f>VLOOKUP(A:A,笔记匹配!A:N,4,FALSE)</f>
        <v>云麦筋膜枪cc</v>
      </c>
      <c r="K46" s="30" t="str">
        <f>VLOOKUP(A:A,笔记匹配!A:N,14,FALSE)</f>
        <v>云麦筋膜枪ccgo</v>
      </c>
      <c r="L46" s="3">
        <f>VLOOKUP(A:A,笔记匹配!A:N,10,FALSE)</f>
        <v>0</v>
      </c>
      <c r="M46" s="3">
        <f>VLOOKUP(A:A,笔记匹配!A:N,11,FALSE)</f>
        <v>0</v>
      </c>
      <c r="N46" s="69">
        <f>VLOOKUP(A:A,笔记匹配!A:N,12,FALSE)</f>
        <v>0</v>
      </c>
      <c r="O46" s="2">
        <f t="shared" si="0"/>
        <v>0</v>
      </c>
      <c r="P46" s="3">
        <f>IFERROR(VLOOKUP(A:A,信息流数据源!A:K,2,FALSE),0)</f>
        <v>0</v>
      </c>
      <c r="Q46" s="71">
        <f>IFERROR(VLOOKUP(A:A,信息流数据源!A:N,5,FALSE),0)</f>
        <v>0</v>
      </c>
      <c r="R46" s="72">
        <f>IFERROR(VLOOKUP(A:A,信息流数据源!A:N,6,FALSE),0)</f>
        <v>0</v>
      </c>
      <c r="S46" s="2">
        <f>IFERROR(VLOOKUP(A:A,信息流数据源!A:N,9,FALSE),0)</f>
        <v>0</v>
      </c>
      <c r="T46" s="3">
        <f>IFERROR(VLOOKUP(A:A,信息流数据源!A:N,13,FALSE),0)</f>
        <v>0</v>
      </c>
      <c r="U46" s="73">
        <f>IFERROR(VLOOKUP(A:A,信息流数据源!A:N,14,FALSE),0)</f>
        <v>0</v>
      </c>
      <c r="V46" s="74">
        <f>IFERROR(VLOOKUP(A:A,信息流数据源!A:O,15,FALSE),0)</f>
        <v>0</v>
      </c>
      <c r="W46" s="3">
        <f>IFERROR(VLOOKUP(A:A,搜索数据源!A:T,2,FALSE),0)</f>
        <v>0</v>
      </c>
      <c r="X46" s="71">
        <f>IFERROR(VLOOKUP(A:A,搜索数据源!A:T,5,FALSE),0)</f>
        <v>0</v>
      </c>
      <c r="Y46" s="73">
        <f>IFERROR(VLOOKUP(A:A,搜索数据源!A:T,6,FALSE),0)</f>
        <v>0</v>
      </c>
      <c r="Z46" s="3">
        <f>IFERROR(VLOOKUP(A:A,搜索数据源!A:T,9,FALSE),0)</f>
        <v>0</v>
      </c>
      <c r="AA46" s="3" t="e">
        <f>VLOOKUP(A:A,[1]搜索数据源!A:T,13,FALSE)</f>
        <v>#N/A</v>
      </c>
      <c r="AB46" s="72">
        <f>IFERROR(VLOOKUP(A:A,搜索数据源!A:T,14,FALSE),0)</f>
        <v>0</v>
      </c>
      <c r="AC46" s="69"/>
      <c r="AD46" s="4"/>
      <c r="AE46" s="76"/>
      <c r="AF46" s="3"/>
      <c r="AG46" s="2"/>
      <c r="AH46" s="69"/>
      <c r="AI46" s="4"/>
      <c r="AJ46" s="4"/>
      <c r="AK46" s="4"/>
      <c r="AL46" s="4"/>
      <c r="AM46" s="81"/>
      <c r="AN46" s="5">
        <f>IFERROR(VLOOKUP(A:A,回搜数据源!B:N,4,FALSE),0)</f>
        <v>0</v>
      </c>
      <c r="AO46" s="5">
        <f>IFERROR(VLOOKUP(A:A,回搜数据源!B:N,5,FALSE),0)</f>
        <v>0</v>
      </c>
    </row>
    <row r="47" s="57" customFormat="1" ht="100" hidden="1" customHeight="1" spans="1:41">
      <c r="A47" s="4" t="s">
        <v>447</v>
      </c>
      <c r="B47" s="3" t="str">
        <f>VLOOKUP(A:A,笔记匹配!A:N,5,FALSE)</f>
        <v>=DISPIMG("ID_D281459A4695474EAF22C3024A24A661",1)</v>
      </c>
      <c r="C47" s="30" t="str">
        <f>VLOOKUP(A:A,笔记匹配!A:N,3,FALSE)</f>
        <v>熊猫叮</v>
      </c>
      <c r="D47" s="30" t="str">
        <f>VLOOKUP(A:A,笔记匹配!A:N,6,FALSE)</f>
        <v>瘦小腿训练🔥消除肌肉腿脂包肌‼️筋膜枪放松</v>
      </c>
      <c r="E47" s="30" t="str">
        <f>VLOOKUP(A:A,笔记匹配!A:N,7,FALSE)</f>
        <v>https://www.xiaohongshu.com/discovery/item/62a853b8000000002103dca1</v>
      </c>
      <c r="F47" s="65">
        <f>VLOOKUP(A:A,笔记匹配!A:N,8,FALSE)</f>
        <v>44726</v>
      </c>
      <c r="G47" s="66" t="str">
        <f>VLOOKUP(A:A,笔记匹配!A:P,15,FALSE)</f>
        <v>2022-06-16</v>
      </c>
      <c r="H47" s="30" t="str">
        <f>VLOOKUP(A:A,笔记匹配!A:N,9,FALSE)</f>
        <v>视频</v>
      </c>
      <c r="I47" s="30" t="str">
        <f>VLOOKUP(A:A,笔记匹配!A:N,2,FALSE)</f>
        <v>筋膜枪</v>
      </c>
      <c r="J47" s="30" t="str">
        <f>VLOOKUP(A:A,笔记匹配!A:N,4,FALSE)</f>
        <v> 云麦cc</v>
      </c>
      <c r="K47" s="30" t="str">
        <f>VLOOKUP(A:A,笔记匹配!A:N,14,FALSE)</f>
        <v>云麦筋膜枪cc</v>
      </c>
      <c r="L47" s="3">
        <f>VLOOKUP(A:A,笔记匹配!A:N,10,FALSE)</f>
        <v>2605</v>
      </c>
      <c r="M47" s="3">
        <f>VLOOKUP(A:A,笔记匹配!A:N,11,FALSE)</f>
        <v>2921</v>
      </c>
      <c r="N47" s="69">
        <f>VLOOKUP(A:A,笔记匹配!A:N,12,FALSE)</f>
        <v>82</v>
      </c>
      <c r="O47" s="2">
        <f t="shared" si="0"/>
        <v>5608</v>
      </c>
      <c r="P47" s="3">
        <f>IFERROR(VLOOKUP(A:A,信息流数据源!A:K,2,FALSE),0)</f>
        <v>0</v>
      </c>
      <c r="Q47" s="71">
        <f>IFERROR(VLOOKUP(A:A,信息流数据源!A:N,5,FALSE),0)</f>
        <v>0</v>
      </c>
      <c r="R47" s="72">
        <f>IFERROR(VLOOKUP(A:A,信息流数据源!A:N,6,FALSE),0)</f>
        <v>0</v>
      </c>
      <c r="S47" s="2">
        <f>IFERROR(VLOOKUP(A:A,信息流数据源!A:N,9,FALSE),0)</f>
        <v>0</v>
      </c>
      <c r="T47" s="3">
        <f>IFERROR(VLOOKUP(A:A,信息流数据源!A:N,13,FALSE),0)</f>
        <v>0</v>
      </c>
      <c r="U47" s="73">
        <f>IFERROR(VLOOKUP(A:A,信息流数据源!A:N,14,FALSE),0)</f>
        <v>0</v>
      </c>
      <c r="V47" s="74">
        <f>IFERROR(VLOOKUP(A:A,信息流数据源!A:O,15,FALSE),0)</f>
        <v>0</v>
      </c>
      <c r="W47" s="3">
        <f>IFERROR(VLOOKUP(A:A,搜索数据源!A:T,2,FALSE),0)</f>
        <v>0</v>
      </c>
      <c r="X47" s="71">
        <f>IFERROR(VLOOKUP(A:A,搜索数据源!A:T,5,FALSE),0)</f>
        <v>0</v>
      </c>
      <c r="Y47" s="73">
        <f>IFERROR(VLOOKUP(A:A,搜索数据源!A:T,6,FALSE),0)</f>
        <v>0</v>
      </c>
      <c r="Z47" s="3">
        <f>IFERROR(VLOOKUP(A:A,搜索数据源!A:T,9,FALSE),0)</f>
        <v>0</v>
      </c>
      <c r="AA47" s="3" t="e">
        <f>VLOOKUP(A:A,[1]搜索数据源!A:T,13,FALSE)</f>
        <v>#N/A</v>
      </c>
      <c r="AB47" s="72">
        <f>IFERROR(VLOOKUP(A:A,搜索数据源!A:T,14,FALSE),0)</f>
        <v>0</v>
      </c>
      <c r="AC47" s="69" t="str">
        <f>_xlfn.DISPIMG("ID_15EAF6BE6ED0438DA4F09F11B6CAF0CB",1)</f>
        <v>=DISPIMG("ID_15EAF6BE6ED0438DA4F09F11B6CAF0CB",1)</v>
      </c>
      <c r="AD47" s="4" t="s">
        <v>448</v>
      </c>
      <c r="AE47" s="69"/>
      <c r="AF47" s="69"/>
      <c r="AG47" s="2"/>
      <c r="AH47" s="69"/>
      <c r="AI47" s="69"/>
      <c r="AJ47" s="69"/>
      <c r="AK47" s="69"/>
      <c r="AL47" s="4">
        <f>AK47-AJ47</f>
        <v>0</v>
      </c>
      <c r="AM47" s="81">
        <f>IFERROR(AF47/AL47,0)</f>
        <v>0</v>
      </c>
      <c r="AN47" s="5">
        <f>IFERROR(VLOOKUP(A:A,回搜数据源!B:N,4,FALSE),0)</f>
        <v>0</v>
      </c>
      <c r="AO47" s="5">
        <f>IFERROR(VLOOKUP(A:A,回搜数据源!B:N,5,FALSE),0)</f>
        <v>0</v>
      </c>
    </row>
    <row r="48" s="57" customFormat="1" ht="100" hidden="1" customHeight="1" spans="1:41">
      <c r="A48" s="4" t="s">
        <v>449</v>
      </c>
      <c r="B48" s="3" t="str">
        <f>VLOOKUP(A:A,笔记匹配!A:N,5,FALSE)</f>
        <v>=DISPIMG("ID_EB51213A197D4AC4A99B9C5AE084F275",1)</v>
      </c>
      <c r="C48" s="30" t="str">
        <f>VLOOKUP(A:A,笔记匹配!A:N,3,FALSE)</f>
        <v>Celine丹丹</v>
      </c>
      <c r="D48" s="30" t="str">
        <f>VLOOKUP(A:A,笔记匹配!A:N,6,FALSE)</f>
        <v>不服不行,练完手臂抖到根本停不下来‼️</v>
      </c>
      <c r="E48" s="30" t="str">
        <f>VLOOKUP(A:A,笔记匹配!A:N,7,FALSE)</f>
        <v>https://www.xiaohongshu.com/discovery/item/62a859ca000000001b034829</v>
      </c>
      <c r="F48" s="65">
        <f>VLOOKUP(A:A,笔记匹配!A:N,8,FALSE)</f>
        <v>44726</v>
      </c>
      <c r="G48" s="66" t="str">
        <f>VLOOKUP(A:A,笔记匹配!A:P,15,FALSE)</f>
        <v>2022-06-16</v>
      </c>
      <c r="H48" s="30" t="str">
        <f>VLOOKUP(A:A,笔记匹配!A:N,9,FALSE)</f>
        <v>视频</v>
      </c>
      <c r="I48" s="30" t="str">
        <f>VLOOKUP(A:A,笔记匹配!A:N,2,FALSE)</f>
        <v>筋膜枪</v>
      </c>
      <c r="J48" s="30" t="str">
        <f>VLOOKUP(A:A,笔记匹配!A:N,4,FALSE)</f>
        <v>云麦cc筋膜枪</v>
      </c>
      <c r="K48" s="30" t="str">
        <f>VLOOKUP(A:A,笔记匹配!A:N,14,FALSE)</f>
        <v>云麦筋膜枪cc</v>
      </c>
      <c r="L48" s="3">
        <f>VLOOKUP(A:A,笔记匹配!A:N,10,FALSE)</f>
        <v>1255</v>
      </c>
      <c r="M48" s="3">
        <f>VLOOKUP(A:A,笔记匹配!A:N,11,FALSE)</f>
        <v>2285</v>
      </c>
      <c r="N48" s="69">
        <f>VLOOKUP(A:A,笔记匹配!A:N,12,FALSE)</f>
        <v>78</v>
      </c>
      <c r="O48" s="2">
        <f t="shared" si="0"/>
        <v>3618</v>
      </c>
      <c r="P48" s="3">
        <f>IFERROR(VLOOKUP(A:A,信息流数据源!A:K,2,FALSE),0)</f>
        <v>0</v>
      </c>
      <c r="Q48" s="71">
        <f>IFERROR(VLOOKUP(A:A,信息流数据源!A:N,5,FALSE),0)</f>
        <v>0</v>
      </c>
      <c r="R48" s="72">
        <f>IFERROR(VLOOKUP(A:A,信息流数据源!A:N,6,FALSE),0)</f>
        <v>0</v>
      </c>
      <c r="S48" s="2">
        <f>IFERROR(VLOOKUP(A:A,信息流数据源!A:N,9,FALSE),0)</f>
        <v>0</v>
      </c>
      <c r="T48" s="3">
        <f>IFERROR(VLOOKUP(A:A,信息流数据源!A:N,13,FALSE),0)</f>
        <v>0</v>
      </c>
      <c r="U48" s="73">
        <f>IFERROR(VLOOKUP(A:A,信息流数据源!A:N,14,FALSE),0)</f>
        <v>0</v>
      </c>
      <c r="V48" s="74">
        <f>IFERROR(VLOOKUP(A:A,信息流数据源!A:O,15,FALSE),0)</f>
        <v>0</v>
      </c>
      <c r="W48" s="3">
        <f>IFERROR(VLOOKUP(A:A,搜索数据源!A:T,2,FALSE),0)</f>
        <v>0</v>
      </c>
      <c r="X48" s="71">
        <f>IFERROR(VLOOKUP(A:A,搜索数据源!A:T,5,FALSE),0)</f>
        <v>0</v>
      </c>
      <c r="Y48" s="73">
        <f>IFERROR(VLOOKUP(A:A,搜索数据源!A:T,6,FALSE),0)</f>
        <v>0</v>
      </c>
      <c r="Z48" s="3">
        <f>IFERROR(VLOOKUP(A:A,搜索数据源!A:T,9,FALSE),0)</f>
        <v>0</v>
      </c>
      <c r="AA48" s="3" t="e">
        <f>VLOOKUP(A:A,[1]搜索数据源!A:T,13,FALSE)</f>
        <v>#N/A</v>
      </c>
      <c r="AB48" s="72">
        <f>IFERROR(VLOOKUP(A:A,搜索数据源!A:T,14,FALSE),0)</f>
        <v>0</v>
      </c>
      <c r="AC48" s="4" t="str">
        <f>_xlfn.DISPIMG("ID_FF26C48ACE0648EBAC1F26DBF7813B56",1)</f>
        <v>=DISPIMG("ID_FF26C48ACE0648EBAC1F26DBF7813B56",1)</v>
      </c>
      <c r="AD48" s="4" t="s">
        <v>450</v>
      </c>
      <c r="AE48" s="78"/>
      <c r="AF48" s="80"/>
      <c r="AG48" s="2"/>
      <c r="AH48" s="69"/>
      <c r="AI48" s="4"/>
      <c r="AJ48" s="4"/>
      <c r="AK48" s="4"/>
      <c r="AL48" s="4">
        <f>AK48-AJ48</f>
        <v>0</v>
      </c>
      <c r="AM48" s="81">
        <f>IFERROR(AF48/AL48,0)</f>
        <v>0</v>
      </c>
      <c r="AN48" s="5">
        <f>IFERROR(VLOOKUP(A:A,回搜数据源!B:N,4,FALSE),0)</f>
        <v>0</v>
      </c>
      <c r="AO48" s="5">
        <f>IFERROR(VLOOKUP(A:A,回搜数据源!B:N,5,FALSE),0)</f>
        <v>0</v>
      </c>
    </row>
    <row r="49" s="57" customFormat="1" ht="100" hidden="1" customHeight="1" spans="1:41">
      <c r="A49" s="4" t="s">
        <v>217</v>
      </c>
      <c r="B49" s="3" t="str">
        <f>VLOOKUP(A:A,笔记匹配!A:N,5,FALSE)</f>
        <v>=DISPIMG("ID_AE8B96606BBF4A97AF46845EF28D8CB1",1)</v>
      </c>
      <c r="C49" s="30" t="str">
        <f>VLOOKUP(A:A,笔记匹配!A:N,3,FALSE)</f>
        <v>野生辣妹Stacy</v>
      </c>
      <c r="D49" s="30" t="str">
        <f>VLOOKUP(A:A,笔记匹配!A:N,6,FALSE)</f>
        <v>辣妹瘦腿bi看！这玩意是真好使！</v>
      </c>
      <c r="E49" s="30" t="str">
        <f>VLOOKUP(A:A,笔记匹配!A:N,7,FALSE)</f>
        <v>https://www.xiaohongshu.com/discovery/item/6364e9dc0000000009013c84</v>
      </c>
      <c r="F49" s="65">
        <f>VLOOKUP(A:A,笔记匹配!A:N,8,FALSE)</f>
        <v>44872</v>
      </c>
      <c r="G49" s="66" t="str">
        <f>VLOOKUP(A:A,笔记匹配!A:P,15,FALSE)</f>
        <v>2022-11-10</v>
      </c>
      <c r="H49" s="30" t="str">
        <f>VLOOKUP(A:A,笔记匹配!A:N,9,FALSE)</f>
        <v>视频</v>
      </c>
      <c r="I49" s="30" t="str">
        <f>VLOOKUP(A:A,笔记匹配!A:N,2,FALSE)</f>
        <v>筋膜枪</v>
      </c>
      <c r="J49" s="30" t="str">
        <f>VLOOKUP(A:A,笔记匹配!A:N,4,FALSE)</f>
        <v>云麦筋膜枪pb2</v>
      </c>
      <c r="K49" s="30" t="str">
        <f>VLOOKUP(A:A,笔记匹配!A:N,14,FALSE)</f>
        <v>云麦筋膜枪pb2</v>
      </c>
      <c r="L49" s="3">
        <f>VLOOKUP(A:A,笔记匹配!A:N,10,FALSE)</f>
        <v>340</v>
      </c>
      <c r="M49" s="3">
        <f>VLOOKUP(A:A,笔记匹配!A:N,11,FALSE)</f>
        <v>110</v>
      </c>
      <c r="N49" s="69">
        <f>VLOOKUP(A:A,笔记匹配!A:N,12,FALSE)</f>
        <v>65</v>
      </c>
      <c r="O49" s="2">
        <f t="shared" si="0"/>
        <v>515</v>
      </c>
      <c r="P49" s="3">
        <f>IFERROR(VLOOKUP(A:A,信息流数据源!A:K,2,FALSE),0)</f>
        <v>0</v>
      </c>
      <c r="Q49" s="71">
        <f>IFERROR(VLOOKUP(A:A,信息流数据源!A:N,5,FALSE),0)</f>
        <v>0</v>
      </c>
      <c r="R49" s="72">
        <f>IFERROR(VLOOKUP(A:A,信息流数据源!A:N,6,FALSE),0)</f>
        <v>0</v>
      </c>
      <c r="S49" s="2">
        <f>IFERROR(VLOOKUP(A:A,信息流数据源!A:N,9,FALSE),0)</f>
        <v>0</v>
      </c>
      <c r="T49" s="3">
        <f>IFERROR(VLOOKUP(A:A,信息流数据源!A:N,13,FALSE),0)</f>
        <v>0</v>
      </c>
      <c r="U49" s="73">
        <f>IFERROR(VLOOKUP(A:A,信息流数据源!A:N,14,FALSE),0)</f>
        <v>0</v>
      </c>
      <c r="V49" s="74">
        <f>IFERROR(VLOOKUP(A:A,信息流数据源!A:O,15,FALSE),0)</f>
        <v>0</v>
      </c>
      <c r="W49" s="3">
        <f>IFERROR(VLOOKUP(A:A,搜索数据源!A:T,2,FALSE),0)</f>
        <v>0</v>
      </c>
      <c r="X49" s="71">
        <f>IFERROR(VLOOKUP(A:A,搜索数据源!A:T,5,FALSE),0)</f>
        <v>0</v>
      </c>
      <c r="Y49" s="73">
        <f>IFERROR(VLOOKUP(A:A,搜索数据源!A:T,6,FALSE),0)</f>
        <v>0</v>
      </c>
      <c r="Z49" s="3">
        <f>IFERROR(VLOOKUP(A:A,搜索数据源!A:T,9,FALSE),0)</f>
        <v>0</v>
      </c>
      <c r="AA49" s="3" t="e">
        <f>VLOOKUP(A:A,[1]搜索数据源!A:T,13,FALSE)</f>
        <v>#N/A</v>
      </c>
      <c r="AB49" s="72">
        <f>IFERROR(VLOOKUP(A:A,搜索数据源!A:T,14,FALSE),0)</f>
        <v>0</v>
      </c>
      <c r="AC49" s="69" t="str">
        <f>_xlfn.DISPIMG("ID_B7AF76B71AF64AE394B1D5C0837060FF",1)</f>
        <v>=DISPIMG("ID_B7AF76B71AF64AE394B1D5C0837060FF",1)</v>
      </c>
      <c r="AD49" s="4" t="s">
        <v>451</v>
      </c>
      <c r="AE49" s="76"/>
      <c r="AF49" s="77"/>
      <c r="AG49" s="82"/>
      <c r="AH49" s="69"/>
      <c r="AI49" s="4"/>
      <c r="AJ49" s="4"/>
      <c r="AK49" s="4"/>
      <c r="AL49" s="4"/>
      <c r="AM49" s="81"/>
      <c r="AN49" s="5">
        <f>IFERROR(VLOOKUP(A:A,回搜数据源!B:N,4,FALSE),0)</f>
        <v>0</v>
      </c>
      <c r="AO49" s="5">
        <f>IFERROR(VLOOKUP(A:A,回搜数据源!B:N,5,FALSE),0)</f>
        <v>0</v>
      </c>
    </row>
    <row r="50" s="57" customFormat="1" ht="100" hidden="1" customHeight="1" spans="1:41">
      <c r="A50" s="4" t="s">
        <v>452</v>
      </c>
      <c r="B50" s="3" t="str">
        <f>VLOOKUP(A:A,笔记匹配!A:N,5,FALSE)</f>
        <v>=DISPIMG("ID_99E6FA737AB245169FCC628C3268B8C2",1)</v>
      </c>
      <c r="C50" s="30" t="str">
        <f>VLOOKUP(A:A,笔记匹配!A:N,3,FALSE)</f>
        <v>Bruce小厮</v>
      </c>
      <c r="D50" s="30" t="str">
        <f>VLOOKUP(A:A,笔记匹配!A:N,6,FALSE)</f>
        <v>女生练球后如何拉伸按摩，筋膜枪放松！！</v>
      </c>
      <c r="E50" s="30" t="str">
        <f>VLOOKUP(A:A,笔记匹配!A:N,7,FALSE)</f>
        <v>https://www.xiaohongshu.com/discovery/item/630f0f5c0000000008021e9f</v>
      </c>
      <c r="F50" s="65">
        <f>VLOOKUP(A:A,笔记匹配!A:N,8,FALSE)</f>
        <v>44804</v>
      </c>
      <c r="G50" s="66" t="str">
        <f>VLOOKUP(A:A,笔记匹配!A:P,15,FALSE)</f>
        <v>2022-09-01</v>
      </c>
      <c r="H50" s="30" t="str">
        <f>VLOOKUP(A:A,笔记匹配!A:N,9,FALSE)</f>
        <v>视频</v>
      </c>
      <c r="I50" s="30" t="str">
        <f>VLOOKUP(A:A,笔记匹配!A:N,2,FALSE)</f>
        <v>筋膜枪</v>
      </c>
      <c r="J50" s="30" t="str">
        <f>VLOOKUP(A:A,笔记匹配!A:N,4,FALSE)</f>
        <v>云麦筋膜枪PB2</v>
      </c>
      <c r="K50" s="30" t="str">
        <f>VLOOKUP(A:A,笔记匹配!A:N,14,FALSE)</f>
        <v>云麦筋膜枪pb2</v>
      </c>
      <c r="L50" s="3">
        <f>VLOOKUP(A:A,笔记匹配!A:N,10,FALSE)</f>
        <v>1027</v>
      </c>
      <c r="M50" s="3">
        <f>VLOOKUP(A:A,笔记匹配!A:N,11,FALSE)</f>
        <v>371</v>
      </c>
      <c r="N50" s="69">
        <f>VLOOKUP(A:A,笔记匹配!A:N,12,FALSE)</f>
        <v>25</v>
      </c>
      <c r="O50" s="2">
        <f t="shared" si="0"/>
        <v>1423</v>
      </c>
      <c r="P50" s="3">
        <f>IFERROR(VLOOKUP(A:A,信息流数据源!A:K,2,FALSE),0)</f>
        <v>0</v>
      </c>
      <c r="Q50" s="71">
        <f>IFERROR(VLOOKUP(A:A,信息流数据源!A:N,5,FALSE),0)</f>
        <v>0</v>
      </c>
      <c r="R50" s="72">
        <f>IFERROR(VLOOKUP(A:A,信息流数据源!A:N,6,FALSE),0)</f>
        <v>0</v>
      </c>
      <c r="S50" s="2">
        <f>IFERROR(VLOOKUP(A:A,信息流数据源!A:N,9,FALSE),0)</f>
        <v>0</v>
      </c>
      <c r="T50" s="3">
        <f>IFERROR(VLOOKUP(A:A,信息流数据源!A:N,13,FALSE),0)</f>
        <v>0</v>
      </c>
      <c r="U50" s="73">
        <f>IFERROR(VLOOKUP(A:A,信息流数据源!A:N,14,FALSE),0)</f>
        <v>0</v>
      </c>
      <c r="V50" s="74">
        <f>IFERROR(VLOOKUP(A:A,信息流数据源!A:O,15,FALSE),0)</f>
        <v>0</v>
      </c>
      <c r="W50" s="3">
        <f>IFERROR(VLOOKUP(A:A,搜索数据源!A:T,2,FALSE),0)</f>
        <v>0</v>
      </c>
      <c r="X50" s="71">
        <f>IFERROR(VLOOKUP(A:A,搜索数据源!A:T,5,FALSE),0)</f>
        <v>0</v>
      </c>
      <c r="Y50" s="73">
        <f>IFERROR(VLOOKUP(A:A,搜索数据源!A:T,6,FALSE),0)</f>
        <v>0</v>
      </c>
      <c r="Z50" s="3">
        <f>IFERROR(VLOOKUP(A:A,搜索数据源!A:T,9,FALSE),0)</f>
        <v>0</v>
      </c>
      <c r="AA50" s="3" t="e">
        <f>VLOOKUP(A:A,[1]搜索数据源!A:T,13,FALSE)</f>
        <v>#N/A</v>
      </c>
      <c r="AB50" s="72">
        <f>IFERROR(VLOOKUP(A:A,搜索数据源!A:T,14,FALSE),0)</f>
        <v>0</v>
      </c>
      <c r="AC50" s="69" t="str">
        <f>_xlfn.DISPIMG("ID_F6C251645DA8427F8E0D586BE35DFBE7",1)</f>
        <v>=DISPIMG("ID_F6C251645DA8427F8E0D586BE35DFBE7",1)</v>
      </c>
      <c r="AD50" s="4" t="s">
        <v>383</v>
      </c>
      <c r="AE50" s="69"/>
      <c r="AF50" s="77"/>
      <c r="AG50" s="2"/>
      <c r="AH50" s="69"/>
      <c r="AI50" s="4"/>
      <c r="AJ50" s="4"/>
      <c r="AK50" s="4"/>
      <c r="AL50" s="4">
        <f t="shared" ref="AL50:AL60" si="3">AK50-AJ50</f>
        <v>0</v>
      </c>
      <c r="AM50" s="81">
        <f t="shared" ref="AM50:AM60" si="4">IFERROR(AF50/AL50,0)</f>
        <v>0</v>
      </c>
      <c r="AN50" s="5">
        <f>IFERROR(VLOOKUP(A:A,回搜数据源!B:N,4,FALSE),0)</f>
        <v>0.00547045951859956</v>
      </c>
      <c r="AO50" s="5">
        <f>IFERROR(VLOOKUP(A:A,回搜数据源!B:N,5,FALSE),0)</f>
        <v>0</v>
      </c>
    </row>
    <row r="51" s="57" customFormat="1" ht="100" hidden="1" customHeight="1" spans="1:41">
      <c r="A51" s="4" t="s">
        <v>453</v>
      </c>
      <c r="B51" s="3" t="str">
        <f>VLOOKUP(A:A,笔记匹配!A:N,5,FALSE)</f>
        <v>=DISPIMG("ID_23946B7E7AC6447EADD47E3B0495440E",1)</v>
      </c>
      <c r="C51" s="30" t="str">
        <f>VLOOKUP(A:A,笔记匹配!A:N,3,FALSE)</f>
        <v>小翻译美芽酱</v>
      </c>
      <c r="D51" s="30" t="str">
        <f>VLOOKUP(A:A,笔记匹配!A:N,6,FALSE)</f>
        <v>办公按摩神器！职场打工人の高颜值筋膜枪！</v>
      </c>
      <c r="E51" s="30" t="str">
        <f>VLOOKUP(A:A,笔记匹配!A:N,7,FALSE)</f>
        <v>https://www.xiaohongshu.com/discovery/item/62df60d4000000001b0182ec</v>
      </c>
      <c r="F51" s="65">
        <f>VLOOKUP(A:A,笔记匹配!A:N,8,FALSE)</f>
        <v>44768</v>
      </c>
      <c r="G51" s="66" t="str">
        <f>VLOOKUP(A:A,笔记匹配!A:P,15,FALSE)</f>
        <v>2022-07-27</v>
      </c>
      <c r="H51" s="30" t="str">
        <f>VLOOKUP(A:A,笔记匹配!A:N,9,FALSE)</f>
        <v>视频</v>
      </c>
      <c r="I51" s="30" t="str">
        <f>VLOOKUP(A:A,笔记匹配!A:N,2,FALSE)</f>
        <v>筋膜枪</v>
      </c>
      <c r="J51" s="30" t="str">
        <f>VLOOKUP(A:A,笔记匹配!A:N,4,FALSE)</f>
        <v>云麦CC筋膜枪</v>
      </c>
      <c r="K51" s="30" t="str">
        <f>VLOOKUP(A:A,笔记匹配!A:N,14,FALSE)</f>
        <v>云麦筋膜枪cc</v>
      </c>
      <c r="L51" s="3">
        <f>VLOOKUP(A:A,笔记匹配!A:N,10,FALSE)</f>
        <v>785</v>
      </c>
      <c r="M51" s="3">
        <f>VLOOKUP(A:A,笔记匹配!A:N,11,FALSE)</f>
        <v>201</v>
      </c>
      <c r="N51" s="69">
        <f>VLOOKUP(A:A,笔记匹配!A:N,12,FALSE)</f>
        <v>98</v>
      </c>
      <c r="O51" s="2">
        <f t="shared" si="0"/>
        <v>1084</v>
      </c>
      <c r="P51" s="3">
        <f>IFERROR(VLOOKUP(A:A,信息流数据源!A:K,2,FALSE),0)</f>
        <v>0</v>
      </c>
      <c r="Q51" s="71">
        <f>IFERROR(VLOOKUP(A:A,信息流数据源!A:N,5,FALSE),0)</f>
        <v>0</v>
      </c>
      <c r="R51" s="72">
        <f>IFERROR(VLOOKUP(A:A,信息流数据源!A:N,6,FALSE),0)</f>
        <v>0</v>
      </c>
      <c r="S51" s="2">
        <f>IFERROR(VLOOKUP(A:A,信息流数据源!A:N,9,FALSE),0)</f>
        <v>0</v>
      </c>
      <c r="T51" s="3">
        <f>IFERROR(VLOOKUP(A:A,信息流数据源!A:N,13,FALSE),0)</f>
        <v>0</v>
      </c>
      <c r="U51" s="73">
        <f>IFERROR(VLOOKUP(A:A,信息流数据源!A:N,14,FALSE),0)</f>
        <v>0</v>
      </c>
      <c r="V51" s="74">
        <f>IFERROR(VLOOKUP(A:A,信息流数据源!A:O,15,FALSE),0)</f>
        <v>0</v>
      </c>
      <c r="W51" s="3">
        <f>IFERROR(VLOOKUP(A:A,搜索数据源!A:T,2,FALSE),0)</f>
        <v>0</v>
      </c>
      <c r="X51" s="71">
        <f>IFERROR(VLOOKUP(A:A,搜索数据源!A:T,5,FALSE),0)</f>
        <v>0</v>
      </c>
      <c r="Y51" s="73">
        <f>IFERROR(VLOOKUP(A:A,搜索数据源!A:T,6,FALSE),0)</f>
        <v>0</v>
      </c>
      <c r="Z51" s="3">
        <f>IFERROR(VLOOKUP(A:A,搜索数据源!A:T,9,FALSE),0)</f>
        <v>0</v>
      </c>
      <c r="AA51" s="3" t="e">
        <f>VLOOKUP(A:A,[1]搜索数据源!A:T,13,FALSE)</f>
        <v>#N/A</v>
      </c>
      <c r="AB51" s="72">
        <f>IFERROR(VLOOKUP(A:A,搜索数据源!A:T,14,FALSE),0)</f>
        <v>0</v>
      </c>
      <c r="AC51" s="69" t="str">
        <f>_xlfn.DISPIMG("ID_1301012C69FF4545813797110E6076DC",1)</f>
        <v>=DISPIMG("ID_1301012C69FF4545813797110E6076DC",1)</v>
      </c>
      <c r="AD51" s="4" t="s">
        <v>454</v>
      </c>
      <c r="AE51" s="69"/>
      <c r="AF51" s="77"/>
      <c r="AG51" s="2"/>
      <c r="AH51" s="69"/>
      <c r="AI51" s="4"/>
      <c r="AJ51" s="4"/>
      <c r="AK51" s="4"/>
      <c r="AL51" s="4">
        <f t="shared" si="3"/>
        <v>0</v>
      </c>
      <c r="AM51" s="81">
        <f t="shared" si="4"/>
        <v>0</v>
      </c>
      <c r="AN51" s="5">
        <f>IFERROR(VLOOKUP(A:A,回搜数据源!B:N,4,FALSE),0)</f>
        <v>0</v>
      </c>
      <c r="AO51" s="5">
        <f>IFERROR(VLOOKUP(A:A,回搜数据源!B:N,5,FALSE),0)</f>
        <v>0</v>
      </c>
    </row>
    <row r="52" s="57" customFormat="1" ht="100" hidden="1" customHeight="1" spans="1:41">
      <c r="A52" s="4" t="s">
        <v>455</v>
      </c>
      <c r="B52" s="3" t="str">
        <f>VLOOKUP(A:A,笔记匹配!A:N,5,FALSE)</f>
        <v>=DISPIMG("ID_18E5079068FD41C2901D93583898A860",1)</v>
      </c>
      <c r="C52" s="30" t="str">
        <f>VLOOKUP(A:A,笔记匹配!A:N,3,FALSE)</f>
        <v>Shirley小蕾</v>
      </c>
      <c r="D52" s="30" t="str">
        <f>VLOOKUP(A:A,笔记匹配!A:N,6,FALSE)</f>
        <v>1分钟写完期末学生评语🔥放松好物筋膜枪</v>
      </c>
      <c r="E52" s="30" t="str">
        <f>VLOOKUP(A:A,笔记匹配!A:N,7,FALSE)</f>
        <v>https://www.xiaohongshu.com/discovery/item/62aa5b72000000000e01fa80</v>
      </c>
      <c r="F52" s="65">
        <f>VLOOKUP(A:A,笔记匹配!A:N,8,FALSE)</f>
        <v>44728</v>
      </c>
      <c r="G52" s="66" t="str">
        <f>VLOOKUP(A:A,笔记匹配!A:P,15,FALSE)</f>
        <v>2022-06-20</v>
      </c>
      <c r="H52" s="30" t="str">
        <f>VLOOKUP(A:A,笔记匹配!A:N,9,FALSE)</f>
        <v>视频</v>
      </c>
      <c r="I52" s="30" t="str">
        <f>VLOOKUP(A:A,笔记匹配!A:N,2,FALSE)</f>
        <v>筋膜枪</v>
      </c>
      <c r="J52" s="30" t="str">
        <f>VLOOKUP(A:A,笔记匹配!A:N,4,FALSE)</f>
        <v>云麦CC筋膜枪</v>
      </c>
      <c r="K52" s="30" t="str">
        <f>VLOOKUP(A:A,笔记匹配!A:N,14,FALSE)</f>
        <v>云麦筋膜枪cc</v>
      </c>
      <c r="L52" s="3">
        <f>VLOOKUP(A:A,笔记匹配!A:N,10,FALSE)</f>
        <v>426</v>
      </c>
      <c r="M52" s="3">
        <f>VLOOKUP(A:A,笔记匹配!A:N,11,FALSE)</f>
        <v>518</v>
      </c>
      <c r="N52" s="69">
        <f>VLOOKUP(A:A,笔记匹配!A:N,12,FALSE)</f>
        <v>49</v>
      </c>
      <c r="O52" s="2">
        <f t="shared" si="0"/>
        <v>993</v>
      </c>
      <c r="P52" s="3">
        <f>IFERROR(VLOOKUP(A:A,信息流数据源!A:K,2,FALSE),0)</f>
        <v>0</v>
      </c>
      <c r="Q52" s="71">
        <f>IFERROR(VLOOKUP(A:A,信息流数据源!A:N,5,FALSE),0)</f>
        <v>0</v>
      </c>
      <c r="R52" s="72">
        <f>IFERROR(VLOOKUP(A:A,信息流数据源!A:N,6,FALSE),0)</f>
        <v>0</v>
      </c>
      <c r="S52" s="2">
        <f>IFERROR(VLOOKUP(A:A,信息流数据源!A:N,9,FALSE),0)</f>
        <v>0</v>
      </c>
      <c r="T52" s="3">
        <f>IFERROR(VLOOKUP(A:A,信息流数据源!A:N,13,FALSE),0)</f>
        <v>0</v>
      </c>
      <c r="U52" s="73">
        <f>IFERROR(VLOOKUP(A:A,信息流数据源!A:N,14,FALSE),0)</f>
        <v>0</v>
      </c>
      <c r="V52" s="74">
        <f>IFERROR(VLOOKUP(A:A,信息流数据源!A:O,15,FALSE),0)</f>
        <v>0</v>
      </c>
      <c r="W52" s="3">
        <f>IFERROR(VLOOKUP(A:A,搜索数据源!A:T,2,FALSE),0)</f>
        <v>0</v>
      </c>
      <c r="X52" s="71">
        <f>IFERROR(VLOOKUP(A:A,搜索数据源!A:T,5,FALSE),0)</f>
        <v>0</v>
      </c>
      <c r="Y52" s="73">
        <f>IFERROR(VLOOKUP(A:A,搜索数据源!A:T,6,FALSE),0)</f>
        <v>0</v>
      </c>
      <c r="Z52" s="3">
        <f>IFERROR(VLOOKUP(A:A,搜索数据源!A:T,9,FALSE),0)</f>
        <v>0</v>
      </c>
      <c r="AA52" s="3" t="e">
        <f>VLOOKUP(A:A,[1]搜索数据源!A:T,13,FALSE)</f>
        <v>#N/A</v>
      </c>
      <c r="AB52" s="72">
        <f>IFERROR(VLOOKUP(A:A,搜索数据源!A:T,14,FALSE),0)</f>
        <v>0</v>
      </c>
      <c r="AC52" s="69" t="str">
        <f>_xlfn.DISPIMG("ID_15EAF6BE6ED0438DA4F09F11B6CAF0CB",1)</f>
        <v>=DISPIMG("ID_15EAF6BE6ED0438DA4F09F11B6CAF0CB",1)</v>
      </c>
      <c r="AD52" s="4" t="s">
        <v>448</v>
      </c>
      <c r="AE52" s="69"/>
      <c r="AF52" s="69"/>
      <c r="AG52" s="2"/>
      <c r="AH52" s="69"/>
      <c r="AI52" s="69"/>
      <c r="AJ52" s="69"/>
      <c r="AK52" s="69"/>
      <c r="AL52" s="4">
        <f t="shared" si="3"/>
        <v>0</v>
      </c>
      <c r="AM52" s="81">
        <f t="shared" si="4"/>
        <v>0</v>
      </c>
      <c r="AN52" s="5">
        <f>IFERROR(VLOOKUP(A:A,回搜数据源!B:N,4,FALSE),0)</f>
        <v>0</v>
      </c>
      <c r="AO52" s="5">
        <f>IFERROR(VLOOKUP(A:A,回搜数据源!B:N,5,FALSE),0)</f>
        <v>0</v>
      </c>
    </row>
    <row r="53" s="57" customFormat="1" ht="100" hidden="1" customHeight="1" spans="1:41">
      <c r="A53" s="4" t="s">
        <v>456</v>
      </c>
      <c r="B53" s="3" t="str">
        <f>VLOOKUP(A:A,笔记匹配!A:N,5,FALSE)</f>
        <v>=DISPIMG("ID_2A397798280F48F8BFA742AA621F742B",1)</v>
      </c>
      <c r="C53" s="30" t="str">
        <f>VLOOKUP(A:A,笔记匹配!A:N,3,FALSE)</f>
        <v>爱跳绳的粥粥</v>
      </c>
      <c r="D53" s="30" t="str">
        <f>VLOOKUP(A:A,笔记匹配!A:N,6,FALSE)</f>
        <v>如何利用跳绳高效瘦腿记得用筋膜枪放松哦！</v>
      </c>
      <c r="E53" s="30" t="str">
        <f>VLOOKUP(A:A,笔记匹配!A:N,7,FALSE)</f>
        <v>https://www.xiaohongshu.com/discovery/item/62f7a27a0000000016030b54</v>
      </c>
      <c r="F53" s="65">
        <f>VLOOKUP(A:A,笔记匹配!A:N,8,FALSE)</f>
        <v>44788</v>
      </c>
      <c r="G53" s="66" t="str">
        <f>VLOOKUP(A:A,笔记匹配!A:P,15,FALSE)</f>
        <v>2022-08-16</v>
      </c>
      <c r="H53" s="30" t="str">
        <f>VLOOKUP(A:A,笔记匹配!A:N,9,FALSE)</f>
        <v>视频</v>
      </c>
      <c r="I53" s="30" t="str">
        <f>VLOOKUP(A:A,笔记匹配!A:N,2,FALSE)</f>
        <v>筋膜枪</v>
      </c>
      <c r="J53" s="30" t="str">
        <f>VLOOKUP(A:A,笔记匹配!A:N,4,FALSE)</f>
        <v>云麦PB2</v>
      </c>
      <c r="K53" s="30" t="str">
        <f>VLOOKUP(A:A,笔记匹配!A:N,14,FALSE)</f>
        <v>云麦筋膜枪pb2</v>
      </c>
      <c r="L53" s="3">
        <f>VLOOKUP(A:A,笔记匹配!A:N,10,FALSE)</f>
        <v>540</v>
      </c>
      <c r="M53" s="3">
        <f>VLOOKUP(A:A,笔记匹配!A:N,11,FALSE)</f>
        <v>285</v>
      </c>
      <c r="N53" s="69">
        <f>VLOOKUP(A:A,笔记匹配!A:N,12,FALSE)</f>
        <v>34</v>
      </c>
      <c r="O53" s="2">
        <f t="shared" si="0"/>
        <v>859</v>
      </c>
      <c r="P53" s="3">
        <f>IFERROR(VLOOKUP(A:A,信息流数据源!A:K,2,FALSE),0)</f>
        <v>0</v>
      </c>
      <c r="Q53" s="71">
        <f>IFERROR(VLOOKUP(A:A,信息流数据源!A:N,5,FALSE),0)</f>
        <v>0</v>
      </c>
      <c r="R53" s="72">
        <f>IFERROR(VLOOKUP(A:A,信息流数据源!A:N,6,FALSE),0)</f>
        <v>0</v>
      </c>
      <c r="S53" s="2">
        <f>IFERROR(VLOOKUP(A:A,信息流数据源!A:N,9,FALSE),0)</f>
        <v>0</v>
      </c>
      <c r="T53" s="3">
        <f>IFERROR(VLOOKUP(A:A,信息流数据源!A:N,13,FALSE),0)</f>
        <v>0</v>
      </c>
      <c r="U53" s="73">
        <f>IFERROR(VLOOKUP(A:A,信息流数据源!A:N,14,FALSE),0)</f>
        <v>0</v>
      </c>
      <c r="V53" s="74">
        <f>IFERROR(VLOOKUP(A:A,信息流数据源!A:O,15,FALSE),0)</f>
        <v>0</v>
      </c>
      <c r="W53" s="3">
        <f>IFERROR(VLOOKUP(A:A,搜索数据源!A:T,2,FALSE),0)</f>
        <v>0</v>
      </c>
      <c r="X53" s="71">
        <f>IFERROR(VLOOKUP(A:A,搜索数据源!A:T,5,FALSE),0)</f>
        <v>0</v>
      </c>
      <c r="Y53" s="73">
        <f>IFERROR(VLOOKUP(A:A,搜索数据源!A:T,6,FALSE),0)</f>
        <v>0</v>
      </c>
      <c r="Z53" s="3">
        <f>IFERROR(VLOOKUP(A:A,搜索数据源!A:T,9,FALSE),0)</f>
        <v>0</v>
      </c>
      <c r="AA53" s="3" t="e">
        <f>VLOOKUP(A:A,[1]搜索数据源!A:T,13,FALSE)</f>
        <v>#N/A</v>
      </c>
      <c r="AB53" s="72">
        <f>IFERROR(VLOOKUP(A:A,搜索数据源!A:T,14,FALSE),0)</f>
        <v>0</v>
      </c>
      <c r="AC53" s="69"/>
      <c r="AD53" s="69"/>
      <c r="AE53" s="69"/>
      <c r="AF53" s="69"/>
      <c r="AG53" s="2"/>
      <c r="AH53" s="69"/>
      <c r="AI53" s="69"/>
      <c r="AJ53" s="69"/>
      <c r="AK53" s="69"/>
      <c r="AL53" s="4">
        <f t="shared" si="3"/>
        <v>0</v>
      </c>
      <c r="AM53" s="81">
        <f t="shared" si="4"/>
        <v>0</v>
      </c>
      <c r="AN53" s="5">
        <f>IFERROR(VLOOKUP(A:A,回搜数据源!B:N,4,FALSE),0)</f>
        <v>0</v>
      </c>
      <c r="AO53" s="5">
        <f>IFERROR(VLOOKUP(A:A,回搜数据源!B:N,5,FALSE),0)</f>
        <v>0</v>
      </c>
    </row>
    <row r="54" s="57" customFormat="1" ht="100" hidden="1" customHeight="1" spans="1:41">
      <c r="A54" s="4" t="s">
        <v>456</v>
      </c>
      <c r="B54" s="3" t="str">
        <f>VLOOKUP(A:A,笔记匹配!A:N,5,FALSE)</f>
        <v>=DISPIMG("ID_2A397798280F48F8BFA742AA621F742B",1)</v>
      </c>
      <c r="C54" s="30" t="str">
        <f>VLOOKUP(A:A,笔记匹配!A:N,3,FALSE)</f>
        <v>爱跳绳的粥粥</v>
      </c>
      <c r="D54" s="30" t="str">
        <f>VLOOKUP(A:A,笔记匹配!A:N,6,FALSE)</f>
        <v>如何利用跳绳高效瘦腿记得用筋膜枪放松哦！</v>
      </c>
      <c r="E54" s="30" t="str">
        <f>VLOOKUP(A:A,笔记匹配!A:N,7,FALSE)</f>
        <v>https://www.xiaohongshu.com/discovery/item/62f7a27a0000000016030b54</v>
      </c>
      <c r="F54" s="65">
        <f>VLOOKUP(A:A,笔记匹配!A:N,8,FALSE)</f>
        <v>44788</v>
      </c>
      <c r="G54" s="66" t="str">
        <f>VLOOKUP(A:A,笔记匹配!A:P,15,FALSE)</f>
        <v>2022-08-16</v>
      </c>
      <c r="H54" s="30" t="str">
        <f>VLOOKUP(A:A,笔记匹配!A:N,9,FALSE)</f>
        <v>视频</v>
      </c>
      <c r="I54" s="30" t="str">
        <f>VLOOKUP(A:A,笔记匹配!A:N,2,FALSE)</f>
        <v>筋膜枪</v>
      </c>
      <c r="J54" s="30" t="str">
        <f>VLOOKUP(A:A,笔记匹配!A:N,4,FALSE)</f>
        <v>云麦PB2</v>
      </c>
      <c r="K54" s="30" t="str">
        <f>VLOOKUP(A:A,笔记匹配!A:N,14,FALSE)</f>
        <v>云麦筋膜枪pb2</v>
      </c>
      <c r="L54" s="3">
        <f>VLOOKUP(A:A,笔记匹配!A:N,10,FALSE)</f>
        <v>540</v>
      </c>
      <c r="M54" s="3">
        <f>VLOOKUP(A:A,笔记匹配!A:N,11,FALSE)</f>
        <v>285</v>
      </c>
      <c r="N54" s="69">
        <f>VLOOKUP(A:A,笔记匹配!A:N,12,FALSE)</f>
        <v>34</v>
      </c>
      <c r="O54" s="2">
        <f t="shared" si="0"/>
        <v>859</v>
      </c>
      <c r="P54" s="3">
        <f>IFERROR(VLOOKUP(A:A,信息流数据源!A:K,2,FALSE),0)</f>
        <v>0</v>
      </c>
      <c r="Q54" s="71">
        <f>IFERROR(VLOOKUP(A:A,信息流数据源!A:N,5,FALSE),0)</f>
        <v>0</v>
      </c>
      <c r="R54" s="72">
        <f>IFERROR(VLOOKUP(A:A,信息流数据源!A:N,6,FALSE),0)</f>
        <v>0</v>
      </c>
      <c r="S54" s="2">
        <f>IFERROR(VLOOKUP(A:A,信息流数据源!A:N,9,FALSE),0)</f>
        <v>0</v>
      </c>
      <c r="T54" s="3">
        <f>IFERROR(VLOOKUP(A:A,信息流数据源!A:N,13,FALSE),0)</f>
        <v>0</v>
      </c>
      <c r="U54" s="73">
        <f>IFERROR(VLOOKUP(A:A,信息流数据源!A:N,14,FALSE),0)</f>
        <v>0</v>
      </c>
      <c r="V54" s="74">
        <f>IFERROR(VLOOKUP(A:A,信息流数据源!A:O,15,FALSE),0)</f>
        <v>0</v>
      </c>
      <c r="W54" s="3">
        <f>IFERROR(VLOOKUP(A:A,搜索数据源!A:T,2,FALSE),0)</f>
        <v>0</v>
      </c>
      <c r="X54" s="71">
        <f>IFERROR(VLOOKUP(A:A,搜索数据源!A:T,5,FALSE),0)</f>
        <v>0</v>
      </c>
      <c r="Y54" s="73">
        <f>IFERROR(VLOOKUP(A:A,搜索数据源!A:T,6,FALSE),0)</f>
        <v>0</v>
      </c>
      <c r="Z54" s="3">
        <f>IFERROR(VLOOKUP(A:A,搜索数据源!A:T,9,FALSE),0)</f>
        <v>0</v>
      </c>
      <c r="AA54" s="3" t="e">
        <f>VLOOKUP(A:A,[1]搜索数据源!A:T,13,FALSE)</f>
        <v>#N/A</v>
      </c>
      <c r="AB54" s="72">
        <f>IFERROR(VLOOKUP(A:A,搜索数据源!A:T,14,FALSE),0)</f>
        <v>0</v>
      </c>
      <c r="AC54" s="69"/>
      <c r="AD54" s="69"/>
      <c r="AE54" s="69"/>
      <c r="AF54" s="69"/>
      <c r="AG54" s="2"/>
      <c r="AH54" s="69"/>
      <c r="AI54" s="69"/>
      <c r="AJ54" s="69"/>
      <c r="AK54" s="69"/>
      <c r="AL54" s="4">
        <f t="shared" si="3"/>
        <v>0</v>
      </c>
      <c r="AM54" s="81">
        <f t="shared" si="4"/>
        <v>0</v>
      </c>
      <c r="AN54" s="5">
        <f>IFERROR(VLOOKUP(A:A,回搜数据源!B:N,4,FALSE),0)</f>
        <v>0</v>
      </c>
      <c r="AO54" s="5">
        <f>IFERROR(VLOOKUP(A:A,回搜数据源!B:N,5,FALSE),0)</f>
        <v>0</v>
      </c>
    </row>
    <row r="55" s="57" customFormat="1" ht="100" hidden="1" customHeight="1" spans="1:41">
      <c r="A55" s="4" t="s">
        <v>457</v>
      </c>
      <c r="B55" s="3" t="str">
        <f>VLOOKUP(A:A,笔记匹配!A:N,5,FALSE)</f>
        <v>=DISPIMG("ID_3A748953D30D477CAFB28E95C12DD368",1)</v>
      </c>
      <c r="C55" s="30" t="str">
        <f>VLOOKUP(A:A,笔记匹配!A:N,3,FALSE)</f>
        <v>Jeremy 赵</v>
      </c>
      <c r="D55" s="30" t="str">
        <f>VLOOKUP(A:A,笔记匹配!A:N,6,FALSE)</f>
        <v>如何解决难以忍受的肌肉酸痛，筋膜枪帮你！</v>
      </c>
      <c r="E55" s="30" t="str">
        <f>VLOOKUP(A:A,笔记匹配!A:N,7,FALSE)</f>
        <v>https://www.xiaohongshu.com/discovery/item/62e9103f000000001202c377</v>
      </c>
      <c r="F55" s="65">
        <f>VLOOKUP(A:A,笔记匹配!A:N,8,FALSE)</f>
        <v>44776</v>
      </c>
      <c r="G55" s="66" t="str">
        <f>VLOOKUP(A:A,笔记匹配!A:P,15,FALSE)</f>
        <v>2022-08-05</v>
      </c>
      <c r="H55" s="30" t="str">
        <f>VLOOKUP(A:A,笔记匹配!A:N,9,FALSE)</f>
        <v>视频</v>
      </c>
      <c r="I55" s="30" t="str">
        <f>VLOOKUP(A:A,笔记匹配!A:N,2,FALSE)</f>
        <v>筋膜枪</v>
      </c>
      <c r="J55" s="30" t="str">
        <f>VLOOKUP(A:A,笔记匹配!A:N,4,FALSE)</f>
        <v>云麦PB2</v>
      </c>
      <c r="K55" s="30" t="str">
        <f>VLOOKUP(A:A,笔记匹配!A:N,14,FALSE)</f>
        <v>云麦筋膜枪pb2</v>
      </c>
      <c r="L55" s="3">
        <f>VLOOKUP(A:A,笔记匹配!A:N,10,FALSE)</f>
        <v>537</v>
      </c>
      <c r="M55" s="3">
        <f>VLOOKUP(A:A,笔记匹配!A:N,11,FALSE)</f>
        <v>212</v>
      </c>
      <c r="N55" s="69">
        <f>VLOOKUP(A:A,笔记匹配!A:N,12,FALSE)</f>
        <v>32</v>
      </c>
      <c r="O55" s="2">
        <f t="shared" si="0"/>
        <v>781</v>
      </c>
      <c r="P55" s="3">
        <f>IFERROR(VLOOKUP(A:A,信息流数据源!A:K,2,FALSE),0)</f>
        <v>0</v>
      </c>
      <c r="Q55" s="71">
        <f>IFERROR(VLOOKUP(A:A,信息流数据源!A:N,5,FALSE),0)</f>
        <v>0</v>
      </c>
      <c r="R55" s="72">
        <f>IFERROR(VLOOKUP(A:A,信息流数据源!A:N,6,FALSE),0)</f>
        <v>0</v>
      </c>
      <c r="S55" s="2">
        <f>IFERROR(VLOOKUP(A:A,信息流数据源!A:N,9,FALSE),0)</f>
        <v>0</v>
      </c>
      <c r="T55" s="3">
        <f>IFERROR(VLOOKUP(A:A,信息流数据源!A:N,13,FALSE),0)</f>
        <v>0</v>
      </c>
      <c r="U55" s="73">
        <f>IFERROR(VLOOKUP(A:A,信息流数据源!A:N,14,FALSE),0)</f>
        <v>0</v>
      </c>
      <c r="V55" s="74">
        <f>IFERROR(VLOOKUP(A:A,信息流数据源!A:O,15,FALSE),0)</f>
        <v>0</v>
      </c>
      <c r="W55" s="3">
        <f>IFERROR(VLOOKUP(A:A,搜索数据源!A:T,2,FALSE),0)</f>
        <v>0</v>
      </c>
      <c r="X55" s="71">
        <f>IFERROR(VLOOKUP(A:A,搜索数据源!A:T,5,FALSE),0)</f>
        <v>0</v>
      </c>
      <c r="Y55" s="73">
        <f>IFERROR(VLOOKUP(A:A,搜索数据源!A:T,6,FALSE),0)</f>
        <v>0</v>
      </c>
      <c r="Z55" s="3">
        <f>IFERROR(VLOOKUP(A:A,搜索数据源!A:T,9,FALSE),0)</f>
        <v>0</v>
      </c>
      <c r="AA55" s="3" t="e">
        <f>VLOOKUP(A:A,[1]搜索数据源!A:T,13,FALSE)</f>
        <v>#N/A</v>
      </c>
      <c r="AB55" s="72">
        <f>IFERROR(VLOOKUP(A:A,搜索数据源!A:T,14,FALSE),0)</f>
        <v>0</v>
      </c>
      <c r="AC55" s="69"/>
      <c r="AD55" s="69"/>
      <c r="AE55" s="69"/>
      <c r="AF55" s="69"/>
      <c r="AG55" s="2"/>
      <c r="AH55" s="69"/>
      <c r="AI55" s="69"/>
      <c r="AJ55" s="69"/>
      <c r="AK55" s="69"/>
      <c r="AL55" s="4">
        <f t="shared" si="3"/>
        <v>0</v>
      </c>
      <c r="AM55" s="81">
        <f t="shared" si="4"/>
        <v>0</v>
      </c>
      <c r="AN55" s="5">
        <f>IFERROR(VLOOKUP(A:A,回搜数据源!B:N,4,FALSE),0)</f>
        <v>0</v>
      </c>
      <c r="AO55" s="5">
        <f>IFERROR(VLOOKUP(A:A,回搜数据源!B:N,5,FALSE),0)</f>
        <v>0</v>
      </c>
    </row>
    <row r="56" s="57" customFormat="1" ht="100" hidden="1" customHeight="1" spans="1:41">
      <c r="A56" s="4" t="s">
        <v>457</v>
      </c>
      <c r="B56" s="3" t="str">
        <f>VLOOKUP(A:A,笔记匹配!A:N,5,FALSE)</f>
        <v>=DISPIMG("ID_3A748953D30D477CAFB28E95C12DD368",1)</v>
      </c>
      <c r="C56" s="30" t="str">
        <f>VLOOKUP(A:A,笔记匹配!A:N,3,FALSE)</f>
        <v>Jeremy 赵</v>
      </c>
      <c r="D56" s="30" t="str">
        <f>VLOOKUP(A:A,笔记匹配!A:N,6,FALSE)</f>
        <v>如何解决难以忍受的肌肉酸痛，筋膜枪帮你！</v>
      </c>
      <c r="E56" s="30" t="str">
        <f>VLOOKUP(A:A,笔记匹配!A:N,7,FALSE)</f>
        <v>https://www.xiaohongshu.com/discovery/item/62e9103f000000001202c377</v>
      </c>
      <c r="F56" s="65">
        <f>VLOOKUP(A:A,笔记匹配!A:N,8,FALSE)</f>
        <v>44776</v>
      </c>
      <c r="G56" s="66" t="str">
        <f>VLOOKUP(A:A,笔记匹配!A:P,15,FALSE)</f>
        <v>2022-08-05</v>
      </c>
      <c r="H56" s="30" t="str">
        <f>VLOOKUP(A:A,笔记匹配!A:N,9,FALSE)</f>
        <v>视频</v>
      </c>
      <c r="I56" s="30" t="str">
        <f>VLOOKUP(A:A,笔记匹配!A:N,2,FALSE)</f>
        <v>筋膜枪</v>
      </c>
      <c r="J56" s="30" t="str">
        <f>VLOOKUP(A:A,笔记匹配!A:N,4,FALSE)</f>
        <v>云麦PB2</v>
      </c>
      <c r="K56" s="30" t="str">
        <f>VLOOKUP(A:A,笔记匹配!A:N,14,FALSE)</f>
        <v>云麦筋膜枪pb2</v>
      </c>
      <c r="L56" s="3">
        <f>VLOOKUP(A:A,笔记匹配!A:N,10,FALSE)</f>
        <v>537</v>
      </c>
      <c r="M56" s="3">
        <f>VLOOKUP(A:A,笔记匹配!A:N,11,FALSE)</f>
        <v>212</v>
      </c>
      <c r="N56" s="69">
        <f>VLOOKUP(A:A,笔记匹配!A:N,12,FALSE)</f>
        <v>32</v>
      </c>
      <c r="O56" s="2">
        <f t="shared" si="0"/>
        <v>781</v>
      </c>
      <c r="P56" s="3">
        <f>IFERROR(VLOOKUP(A:A,信息流数据源!A:K,2,FALSE),0)</f>
        <v>0</v>
      </c>
      <c r="Q56" s="71">
        <f>IFERROR(VLOOKUP(A:A,信息流数据源!A:N,5,FALSE),0)</f>
        <v>0</v>
      </c>
      <c r="R56" s="72">
        <f>IFERROR(VLOOKUP(A:A,信息流数据源!A:N,6,FALSE),0)</f>
        <v>0</v>
      </c>
      <c r="S56" s="2">
        <f>IFERROR(VLOOKUP(A:A,信息流数据源!A:N,9,FALSE),0)</f>
        <v>0</v>
      </c>
      <c r="T56" s="3">
        <f>IFERROR(VLOOKUP(A:A,信息流数据源!A:N,13,FALSE),0)</f>
        <v>0</v>
      </c>
      <c r="U56" s="73">
        <f>IFERROR(VLOOKUP(A:A,信息流数据源!A:N,14,FALSE),0)</f>
        <v>0</v>
      </c>
      <c r="V56" s="74">
        <f>IFERROR(VLOOKUP(A:A,信息流数据源!A:O,15,FALSE),0)</f>
        <v>0</v>
      </c>
      <c r="W56" s="3">
        <f>IFERROR(VLOOKUP(A:A,搜索数据源!A:T,2,FALSE),0)</f>
        <v>0</v>
      </c>
      <c r="X56" s="71">
        <f>IFERROR(VLOOKUP(A:A,搜索数据源!A:T,5,FALSE),0)</f>
        <v>0</v>
      </c>
      <c r="Y56" s="73">
        <f>IFERROR(VLOOKUP(A:A,搜索数据源!A:T,6,FALSE),0)</f>
        <v>0</v>
      </c>
      <c r="Z56" s="3">
        <f>IFERROR(VLOOKUP(A:A,搜索数据源!A:T,9,FALSE),0)</f>
        <v>0</v>
      </c>
      <c r="AA56" s="3" t="e">
        <f>VLOOKUP(A:A,[1]搜索数据源!A:T,13,FALSE)</f>
        <v>#N/A</v>
      </c>
      <c r="AB56" s="72">
        <f>IFERROR(VLOOKUP(A:A,搜索数据源!A:T,14,FALSE),0)</f>
        <v>0</v>
      </c>
      <c r="AC56" s="69"/>
      <c r="AD56" s="69"/>
      <c r="AE56" s="69"/>
      <c r="AF56" s="69"/>
      <c r="AG56" s="2"/>
      <c r="AH56" s="69"/>
      <c r="AI56" s="69"/>
      <c r="AJ56" s="69"/>
      <c r="AK56" s="69"/>
      <c r="AL56" s="4">
        <f t="shared" si="3"/>
        <v>0</v>
      </c>
      <c r="AM56" s="81">
        <f t="shared" si="4"/>
        <v>0</v>
      </c>
      <c r="AN56" s="5">
        <f>IFERROR(VLOOKUP(A:A,回搜数据源!B:N,4,FALSE),0)</f>
        <v>0</v>
      </c>
      <c r="AO56" s="5">
        <f>IFERROR(VLOOKUP(A:A,回搜数据源!B:N,5,FALSE),0)</f>
        <v>0</v>
      </c>
    </row>
    <row r="57" s="57" customFormat="1" ht="100" hidden="1" customHeight="1" spans="1:41">
      <c r="A57" s="4" t="s">
        <v>458</v>
      </c>
      <c r="B57" s="3" t="str">
        <f>VLOOKUP(A:A,笔记匹配!A:N,5,FALSE)</f>
        <v>=DISPIMG("ID_E372CB7569C8454CBC8DA6B0B57C416F",1)</v>
      </c>
      <c r="C57" s="30" t="str">
        <f>VLOOKUP(A:A,笔记匹配!A:N,3,FALSE)</f>
        <v>林菀桃桃</v>
      </c>
      <c r="D57" s="30" t="str">
        <f>VLOOKUP(A:A,笔记匹配!A:N,6,FALSE)</f>
        <v>vlog饱满蜜桃+提高臀线+筋膜枪放松胫骨前肌</v>
      </c>
      <c r="E57" s="30" t="str">
        <f>VLOOKUP(A:A,笔记匹配!A:N,7,FALSE)</f>
        <v>https://www.xiaohongshu.com/discovery/item/62a8420e000000001b03634d</v>
      </c>
      <c r="F57" s="65">
        <f>VLOOKUP(A:A,笔记匹配!A:N,8,FALSE)</f>
        <v>44727</v>
      </c>
      <c r="G57" s="66" t="str">
        <f>VLOOKUP(A:A,笔记匹配!A:P,15,FALSE)</f>
        <v>2022-06-16</v>
      </c>
      <c r="H57" s="30" t="str">
        <f>VLOOKUP(A:A,笔记匹配!A:N,9,FALSE)</f>
        <v>视频</v>
      </c>
      <c r="I57" s="30" t="str">
        <f>VLOOKUP(A:A,笔记匹配!A:N,2,FALSE)</f>
        <v>筋膜枪</v>
      </c>
      <c r="J57" s="30" t="str">
        <f>VLOOKUP(A:A,笔记匹配!A:N,4,FALSE)</f>
        <v>云麦cc筋膜枪</v>
      </c>
      <c r="K57" s="30" t="str">
        <f>VLOOKUP(A:A,笔记匹配!A:N,14,FALSE)</f>
        <v>云麦筋膜枪cc</v>
      </c>
      <c r="L57" s="3">
        <f>VLOOKUP(A:A,笔记匹配!A:N,10,FALSE)</f>
        <v>396</v>
      </c>
      <c r="M57" s="3">
        <f>VLOOKUP(A:A,笔记匹配!A:N,11,FALSE)</f>
        <v>291</v>
      </c>
      <c r="N57" s="69">
        <f>VLOOKUP(A:A,笔记匹配!A:N,12,FALSE)</f>
        <v>61</v>
      </c>
      <c r="O57" s="2">
        <f t="shared" si="0"/>
        <v>748</v>
      </c>
      <c r="P57" s="3">
        <f>IFERROR(VLOOKUP(A:A,信息流数据源!A:K,2,FALSE),0)</f>
        <v>0</v>
      </c>
      <c r="Q57" s="71">
        <f>IFERROR(VLOOKUP(A:A,信息流数据源!A:N,5,FALSE),0)</f>
        <v>0</v>
      </c>
      <c r="R57" s="72">
        <f>IFERROR(VLOOKUP(A:A,信息流数据源!A:N,6,FALSE),0)</f>
        <v>0</v>
      </c>
      <c r="S57" s="2">
        <f>IFERROR(VLOOKUP(A:A,信息流数据源!A:N,9,FALSE),0)</f>
        <v>0</v>
      </c>
      <c r="T57" s="3">
        <f>IFERROR(VLOOKUP(A:A,信息流数据源!A:N,13,FALSE),0)</f>
        <v>0</v>
      </c>
      <c r="U57" s="73">
        <f>IFERROR(VLOOKUP(A:A,信息流数据源!A:N,14,FALSE),0)</f>
        <v>0</v>
      </c>
      <c r="V57" s="74">
        <f>IFERROR(VLOOKUP(A:A,信息流数据源!A:O,15,FALSE),0)</f>
        <v>0</v>
      </c>
      <c r="W57" s="3">
        <f>IFERROR(VLOOKUP(A:A,搜索数据源!A:T,2,FALSE),0)</f>
        <v>0</v>
      </c>
      <c r="X57" s="71">
        <f>IFERROR(VLOOKUP(A:A,搜索数据源!A:T,5,FALSE),0)</f>
        <v>0</v>
      </c>
      <c r="Y57" s="73">
        <f>IFERROR(VLOOKUP(A:A,搜索数据源!A:T,6,FALSE),0)</f>
        <v>0</v>
      </c>
      <c r="Z57" s="3">
        <f>IFERROR(VLOOKUP(A:A,搜索数据源!A:T,9,FALSE),0)</f>
        <v>0</v>
      </c>
      <c r="AA57" s="3" t="e">
        <f>VLOOKUP(A:A,[1]搜索数据源!A:T,13,FALSE)</f>
        <v>#N/A</v>
      </c>
      <c r="AB57" s="72">
        <f>IFERROR(VLOOKUP(A:A,搜索数据源!A:T,14,FALSE),0)</f>
        <v>0</v>
      </c>
      <c r="AC57" s="69" t="str">
        <f>_xlfn.DISPIMG("ID_1301012C69FF4545813797110E6076DC",1)</f>
        <v>=DISPIMG("ID_1301012C69FF4545813797110E6076DC",1)</v>
      </c>
      <c r="AD57" s="4" t="s">
        <v>454</v>
      </c>
      <c r="AE57" s="69"/>
      <c r="AF57" s="77"/>
      <c r="AG57" s="2"/>
      <c r="AH57" s="69"/>
      <c r="AI57" s="4"/>
      <c r="AJ57" s="4"/>
      <c r="AK57" s="4"/>
      <c r="AL57" s="4">
        <f t="shared" si="3"/>
        <v>0</v>
      </c>
      <c r="AM57" s="81">
        <f t="shared" si="4"/>
        <v>0</v>
      </c>
      <c r="AN57" s="5">
        <f>IFERROR(VLOOKUP(A:A,回搜数据源!B:N,4,FALSE),0)</f>
        <v>0</v>
      </c>
      <c r="AO57" s="5">
        <f>IFERROR(VLOOKUP(A:A,回搜数据源!B:N,5,FALSE),0)</f>
        <v>0</v>
      </c>
    </row>
    <row r="58" s="57" customFormat="1" ht="100" hidden="1" customHeight="1" spans="1:41">
      <c r="A58" s="4" t="s">
        <v>458</v>
      </c>
      <c r="B58" s="3" t="str">
        <f>VLOOKUP(A:A,笔记匹配!A:N,5,FALSE)</f>
        <v>=DISPIMG("ID_E372CB7569C8454CBC8DA6B0B57C416F",1)</v>
      </c>
      <c r="C58" s="30" t="str">
        <f>VLOOKUP(A:A,笔记匹配!A:N,3,FALSE)</f>
        <v>林菀桃桃</v>
      </c>
      <c r="D58" s="30" t="str">
        <f>VLOOKUP(A:A,笔记匹配!A:N,6,FALSE)</f>
        <v>vlog饱满蜜桃+提高臀线+筋膜枪放松胫骨前肌</v>
      </c>
      <c r="E58" s="30" t="str">
        <f>VLOOKUP(A:A,笔记匹配!A:N,7,FALSE)</f>
        <v>https://www.xiaohongshu.com/discovery/item/62a8420e000000001b03634d</v>
      </c>
      <c r="F58" s="65">
        <f>VLOOKUP(A:A,笔记匹配!A:N,8,FALSE)</f>
        <v>44727</v>
      </c>
      <c r="G58" s="66" t="str">
        <f>VLOOKUP(A:A,笔记匹配!A:P,15,FALSE)</f>
        <v>2022-06-16</v>
      </c>
      <c r="H58" s="30" t="str">
        <f>VLOOKUP(A:A,笔记匹配!A:N,9,FALSE)</f>
        <v>视频</v>
      </c>
      <c r="I58" s="30" t="str">
        <f>VLOOKUP(A:A,笔记匹配!A:N,2,FALSE)</f>
        <v>筋膜枪</v>
      </c>
      <c r="J58" s="30" t="str">
        <f>VLOOKUP(A:A,笔记匹配!A:N,4,FALSE)</f>
        <v>云麦cc筋膜枪</v>
      </c>
      <c r="K58" s="30" t="str">
        <f>VLOOKUP(A:A,笔记匹配!A:N,14,FALSE)</f>
        <v>云麦筋膜枪cc</v>
      </c>
      <c r="L58" s="3">
        <f>VLOOKUP(A:A,笔记匹配!A:N,10,FALSE)</f>
        <v>396</v>
      </c>
      <c r="M58" s="3">
        <f>VLOOKUP(A:A,笔记匹配!A:N,11,FALSE)</f>
        <v>291</v>
      </c>
      <c r="N58" s="69">
        <f>VLOOKUP(A:A,笔记匹配!A:N,12,FALSE)</f>
        <v>61</v>
      </c>
      <c r="O58" s="2">
        <f t="shared" si="0"/>
        <v>748</v>
      </c>
      <c r="P58" s="3">
        <f>IFERROR(VLOOKUP(A:A,信息流数据源!A:K,2,FALSE),0)</f>
        <v>0</v>
      </c>
      <c r="Q58" s="71">
        <f>IFERROR(VLOOKUP(A:A,信息流数据源!A:N,5,FALSE),0)</f>
        <v>0</v>
      </c>
      <c r="R58" s="72">
        <f>IFERROR(VLOOKUP(A:A,信息流数据源!A:N,6,FALSE),0)</f>
        <v>0</v>
      </c>
      <c r="S58" s="2">
        <f>IFERROR(VLOOKUP(A:A,信息流数据源!A:N,9,FALSE),0)</f>
        <v>0</v>
      </c>
      <c r="T58" s="3">
        <f>IFERROR(VLOOKUP(A:A,信息流数据源!A:N,13,FALSE),0)</f>
        <v>0</v>
      </c>
      <c r="U58" s="73">
        <f>IFERROR(VLOOKUP(A:A,信息流数据源!A:N,14,FALSE),0)</f>
        <v>0</v>
      </c>
      <c r="V58" s="74">
        <f>IFERROR(VLOOKUP(A:A,信息流数据源!A:O,15,FALSE),0)</f>
        <v>0</v>
      </c>
      <c r="W58" s="3">
        <f>IFERROR(VLOOKUP(A:A,搜索数据源!A:T,2,FALSE),0)</f>
        <v>0</v>
      </c>
      <c r="X58" s="71">
        <f>IFERROR(VLOOKUP(A:A,搜索数据源!A:T,5,FALSE),0)</f>
        <v>0</v>
      </c>
      <c r="Y58" s="73">
        <f>IFERROR(VLOOKUP(A:A,搜索数据源!A:T,6,FALSE),0)</f>
        <v>0</v>
      </c>
      <c r="Z58" s="3">
        <f>IFERROR(VLOOKUP(A:A,搜索数据源!A:T,9,FALSE),0)</f>
        <v>0</v>
      </c>
      <c r="AA58" s="3" t="e">
        <f>VLOOKUP(A:A,[1]搜索数据源!A:T,13,FALSE)</f>
        <v>#N/A</v>
      </c>
      <c r="AB58" s="72">
        <f>IFERROR(VLOOKUP(A:A,搜索数据源!A:T,14,FALSE),0)</f>
        <v>0</v>
      </c>
      <c r="AC58" s="69" t="str">
        <f>_xlfn.DISPIMG("ID_1301012C69FF4545813797110E6076DC",1)</f>
        <v>=DISPIMG("ID_1301012C69FF4545813797110E6076DC",1)</v>
      </c>
      <c r="AD58" s="4" t="s">
        <v>454</v>
      </c>
      <c r="AE58" s="69"/>
      <c r="AF58" s="77"/>
      <c r="AG58" s="2"/>
      <c r="AH58" s="69"/>
      <c r="AI58" s="4"/>
      <c r="AJ58" s="4"/>
      <c r="AK58" s="4"/>
      <c r="AL58" s="4">
        <f t="shared" si="3"/>
        <v>0</v>
      </c>
      <c r="AM58" s="81">
        <f t="shared" si="4"/>
        <v>0</v>
      </c>
      <c r="AN58" s="5">
        <f>IFERROR(VLOOKUP(A:A,回搜数据源!B:N,4,FALSE),0)</f>
        <v>0</v>
      </c>
      <c r="AO58" s="5">
        <f>IFERROR(VLOOKUP(A:A,回搜数据源!B:N,5,FALSE),0)</f>
        <v>0</v>
      </c>
    </row>
    <row r="59" s="57" customFormat="1" ht="100" hidden="1" customHeight="1" spans="1:41">
      <c r="A59" s="4" t="s">
        <v>459</v>
      </c>
      <c r="B59" s="3" t="str">
        <f>VLOOKUP(A:A,笔记匹配!A:N,5,FALSE)</f>
        <v>=DISPIMG("ID_6D8952DA10734381A5C6FB4798F6D881",1)</v>
      </c>
      <c r="C59" s="30" t="str">
        <f>VLOOKUP(A:A,笔记匹配!A:N,3,FALSE)</f>
        <v>热锅上的蚂蚁</v>
      </c>
      <c r="D59" s="30" t="str">
        <f>VLOOKUP(A:A,笔记匹配!A:N,6,FALSE)</f>
        <v>暴汗燃脂毽子操|拉伸放松与筋膜枪按摩</v>
      </c>
      <c r="E59" s="30" t="str">
        <f>VLOOKUP(A:A,笔记匹配!A:N,7,FALSE)</f>
        <v>https://www.xiaohongshu.com/discovery/item/6268be6f000000002103575a</v>
      </c>
      <c r="F59" s="65">
        <f>VLOOKUP(A:A,笔记匹配!A:N,8,FALSE)</f>
        <v>44681</v>
      </c>
      <c r="G59" s="66" t="str">
        <f>VLOOKUP(A:A,笔记匹配!A:P,15,FALSE)</f>
        <v>2022-05-26</v>
      </c>
      <c r="H59" s="30" t="str">
        <f>VLOOKUP(A:A,笔记匹配!A:N,9,FALSE)</f>
        <v>视频</v>
      </c>
      <c r="I59" s="30" t="str">
        <f>VLOOKUP(A:A,笔记匹配!A:N,2,FALSE)</f>
        <v>筋膜枪</v>
      </c>
      <c r="J59" s="30" t="str">
        <f>VLOOKUP(A:A,笔记匹配!A:N,4,FALSE)</f>
        <v>云麦cc筋膜枪</v>
      </c>
      <c r="K59" s="30" t="str">
        <f>VLOOKUP(A:A,笔记匹配!A:N,14,FALSE)</f>
        <v>云麦筋膜枪cc</v>
      </c>
      <c r="L59" s="3">
        <f>VLOOKUP(A:A,笔记匹配!A:N,10,FALSE)</f>
        <v>339</v>
      </c>
      <c r="M59" s="3">
        <f>VLOOKUP(A:A,笔记匹配!A:N,11,FALSE)</f>
        <v>366</v>
      </c>
      <c r="N59" s="69">
        <f>VLOOKUP(A:A,笔记匹配!A:N,12,FALSE)</f>
        <v>26</v>
      </c>
      <c r="O59" s="2">
        <f t="shared" si="0"/>
        <v>731</v>
      </c>
      <c r="P59" s="3">
        <f>IFERROR(VLOOKUP(A:A,信息流数据源!A:K,2,FALSE),0)</f>
        <v>0</v>
      </c>
      <c r="Q59" s="71">
        <f>IFERROR(VLOOKUP(A:A,信息流数据源!A:N,5,FALSE),0)</f>
        <v>0</v>
      </c>
      <c r="R59" s="72">
        <f>IFERROR(VLOOKUP(A:A,信息流数据源!A:N,6,FALSE),0)</f>
        <v>0</v>
      </c>
      <c r="S59" s="2">
        <f>IFERROR(VLOOKUP(A:A,信息流数据源!A:N,9,FALSE),0)</f>
        <v>0</v>
      </c>
      <c r="T59" s="3">
        <f>IFERROR(VLOOKUP(A:A,信息流数据源!A:N,13,FALSE),0)</f>
        <v>0</v>
      </c>
      <c r="U59" s="73">
        <f>IFERROR(VLOOKUP(A:A,信息流数据源!A:N,14,FALSE),0)</f>
        <v>0</v>
      </c>
      <c r="V59" s="74">
        <f>IFERROR(VLOOKUP(A:A,信息流数据源!A:O,15,FALSE),0)</f>
        <v>0</v>
      </c>
      <c r="W59" s="3">
        <f>IFERROR(VLOOKUP(A:A,搜索数据源!A:T,2,FALSE),0)</f>
        <v>0</v>
      </c>
      <c r="X59" s="71">
        <f>IFERROR(VLOOKUP(A:A,搜索数据源!A:T,5,FALSE),0)</f>
        <v>0</v>
      </c>
      <c r="Y59" s="73">
        <f>IFERROR(VLOOKUP(A:A,搜索数据源!A:T,6,FALSE),0)</f>
        <v>0</v>
      </c>
      <c r="Z59" s="3">
        <f>IFERROR(VLOOKUP(A:A,搜索数据源!A:T,9,FALSE),0)</f>
        <v>0</v>
      </c>
      <c r="AA59" s="3" t="e">
        <f>VLOOKUP(A:A,[1]搜索数据源!A:T,13,FALSE)</f>
        <v>#N/A</v>
      </c>
      <c r="AB59" s="72">
        <f>IFERROR(VLOOKUP(A:A,搜索数据源!A:T,14,FALSE),0)</f>
        <v>0</v>
      </c>
      <c r="AC59" s="78" t="str">
        <f>_xlfn.DISPIMG("ID_940E504C0A614B2BB4F55B73B2F548FF",1)</f>
        <v>=DISPIMG("ID_940E504C0A614B2BB4F55B73B2F548FF",1)</v>
      </c>
      <c r="AD59" s="4" t="s">
        <v>460</v>
      </c>
      <c r="AE59" s="69"/>
      <c r="AF59" s="77"/>
      <c r="AG59" s="2"/>
      <c r="AH59" s="69"/>
      <c r="AI59" s="4"/>
      <c r="AJ59" s="4"/>
      <c r="AK59" s="4"/>
      <c r="AL59" s="4">
        <f t="shared" si="3"/>
        <v>0</v>
      </c>
      <c r="AM59" s="81">
        <f t="shared" si="4"/>
        <v>0</v>
      </c>
      <c r="AN59" s="5">
        <f>IFERROR(VLOOKUP(A:A,回搜数据源!B:N,4,FALSE),0)</f>
        <v>0</v>
      </c>
      <c r="AO59" s="5">
        <f>IFERROR(VLOOKUP(A:A,回搜数据源!B:N,5,FALSE),0)</f>
        <v>0</v>
      </c>
    </row>
    <row r="60" s="57" customFormat="1" ht="100" hidden="1" customHeight="1" spans="1:41">
      <c r="A60" s="4" t="s">
        <v>459</v>
      </c>
      <c r="B60" s="3" t="str">
        <f>VLOOKUP(A:A,笔记匹配!A:N,5,FALSE)</f>
        <v>=DISPIMG("ID_6D8952DA10734381A5C6FB4798F6D881",1)</v>
      </c>
      <c r="C60" s="30" t="str">
        <f>VLOOKUP(A:A,笔记匹配!A:N,3,FALSE)</f>
        <v>热锅上的蚂蚁</v>
      </c>
      <c r="D60" s="30" t="str">
        <f>VLOOKUP(A:A,笔记匹配!A:N,6,FALSE)</f>
        <v>暴汗燃脂毽子操|拉伸放松与筋膜枪按摩</v>
      </c>
      <c r="E60" s="30" t="str">
        <f>VLOOKUP(A:A,笔记匹配!A:N,7,FALSE)</f>
        <v>https://www.xiaohongshu.com/discovery/item/6268be6f000000002103575a</v>
      </c>
      <c r="F60" s="65">
        <f>VLOOKUP(A:A,笔记匹配!A:N,8,FALSE)</f>
        <v>44681</v>
      </c>
      <c r="G60" s="66" t="str">
        <f>VLOOKUP(A:A,笔记匹配!A:P,15,FALSE)</f>
        <v>2022-05-26</v>
      </c>
      <c r="H60" s="30" t="str">
        <f>VLOOKUP(A:A,笔记匹配!A:N,9,FALSE)</f>
        <v>视频</v>
      </c>
      <c r="I60" s="30" t="str">
        <f>VLOOKUP(A:A,笔记匹配!A:N,2,FALSE)</f>
        <v>筋膜枪</v>
      </c>
      <c r="J60" s="30" t="str">
        <f>VLOOKUP(A:A,笔记匹配!A:N,4,FALSE)</f>
        <v>云麦cc筋膜枪</v>
      </c>
      <c r="K60" s="30" t="str">
        <f>VLOOKUP(A:A,笔记匹配!A:N,14,FALSE)</f>
        <v>云麦筋膜枪cc</v>
      </c>
      <c r="L60" s="3">
        <f>VLOOKUP(A:A,笔记匹配!A:N,10,FALSE)</f>
        <v>339</v>
      </c>
      <c r="M60" s="3">
        <f>VLOOKUP(A:A,笔记匹配!A:N,11,FALSE)</f>
        <v>366</v>
      </c>
      <c r="N60" s="69">
        <f>VLOOKUP(A:A,笔记匹配!A:N,12,FALSE)</f>
        <v>26</v>
      </c>
      <c r="O60" s="2">
        <f t="shared" si="0"/>
        <v>731</v>
      </c>
      <c r="P60" s="3">
        <f>IFERROR(VLOOKUP(A:A,信息流数据源!A:K,2,FALSE),0)</f>
        <v>0</v>
      </c>
      <c r="Q60" s="71">
        <f>IFERROR(VLOOKUP(A:A,信息流数据源!A:N,5,FALSE),0)</f>
        <v>0</v>
      </c>
      <c r="R60" s="72">
        <f>IFERROR(VLOOKUP(A:A,信息流数据源!A:N,6,FALSE),0)</f>
        <v>0</v>
      </c>
      <c r="S60" s="2">
        <f>IFERROR(VLOOKUP(A:A,信息流数据源!A:N,9,FALSE),0)</f>
        <v>0</v>
      </c>
      <c r="T60" s="3">
        <f>IFERROR(VLOOKUP(A:A,信息流数据源!A:N,13,FALSE),0)</f>
        <v>0</v>
      </c>
      <c r="U60" s="73">
        <f>IFERROR(VLOOKUP(A:A,信息流数据源!A:N,14,FALSE),0)</f>
        <v>0</v>
      </c>
      <c r="V60" s="74">
        <f>IFERROR(VLOOKUP(A:A,信息流数据源!A:O,15,FALSE),0)</f>
        <v>0</v>
      </c>
      <c r="W60" s="3">
        <f>IFERROR(VLOOKUP(A:A,搜索数据源!A:T,2,FALSE),0)</f>
        <v>0</v>
      </c>
      <c r="X60" s="71">
        <f>IFERROR(VLOOKUP(A:A,搜索数据源!A:T,5,FALSE),0)</f>
        <v>0</v>
      </c>
      <c r="Y60" s="73">
        <f>IFERROR(VLOOKUP(A:A,搜索数据源!A:T,6,FALSE),0)</f>
        <v>0</v>
      </c>
      <c r="Z60" s="3">
        <f>IFERROR(VLOOKUP(A:A,搜索数据源!A:T,9,FALSE),0)</f>
        <v>0</v>
      </c>
      <c r="AA60" s="3" t="e">
        <f>VLOOKUP(A:A,[1]搜索数据源!A:T,13,FALSE)</f>
        <v>#N/A</v>
      </c>
      <c r="AB60" s="72">
        <f>IFERROR(VLOOKUP(A:A,搜索数据源!A:T,14,FALSE),0)</f>
        <v>0</v>
      </c>
      <c r="AC60" s="78" t="str">
        <f>_xlfn.DISPIMG("ID_940E504C0A614B2BB4F55B73B2F548FF",1)</f>
        <v>=DISPIMG("ID_940E504C0A614B2BB4F55B73B2F548FF",1)</v>
      </c>
      <c r="AD60" s="4" t="s">
        <v>460</v>
      </c>
      <c r="AE60" s="69"/>
      <c r="AF60" s="77"/>
      <c r="AG60" s="2"/>
      <c r="AH60" s="69"/>
      <c r="AI60" s="4"/>
      <c r="AJ60" s="4"/>
      <c r="AK60" s="4"/>
      <c r="AL60" s="4">
        <f t="shared" si="3"/>
        <v>0</v>
      </c>
      <c r="AM60" s="81">
        <f t="shared" si="4"/>
        <v>0</v>
      </c>
      <c r="AN60" s="5">
        <f>IFERROR(VLOOKUP(A:A,回搜数据源!B:N,4,FALSE),0)</f>
        <v>0</v>
      </c>
      <c r="AO60" s="5">
        <f>IFERROR(VLOOKUP(A:A,回搜数据源!B:N,5,FALSE),0)</f>
        <v>0</v>
      </c>
    </row>
    <row r="61" s="57" customFormat="1" ht="100" hidden="1" customHeight="1" spans="1:41">
      <c r="A61" s="4" t="s">
        <v>461</v>
      </c>
      <c r="B61" s="3" t="str">
        <f>VLOOKUP(A:A,笔记匹配!A:N,5,FALSE)</f>
        <v>=DISPIMG("ID_CB640C2BE81746D7A1C1BDEF733B49F7",1)</v>
      </c>
      <c r="C61" s="30" t="str">
        <f>VLOOKUP(A:A,笔记匹配!A:N,3,FALSE)</f>
        <v>广末凉皮子</v>
      </c>
      <c r="D61" s="30" t="str">
        <f>VLOOKUP(A:A,笔记匹配!A:N,6,FALSE)</f>
        <v>其实你不是腿短！腿粗！ 而是腿不直‼️</v>
      </c>
      <c r="E61" s="30" t="str">
        <f>VLOOKUP(A:A,笔记匹配!A:N,7,FALSE)</f>
        <v>https://www.xiaohongshu.com/discovery/item/63624a910000000009005b9a</v>
      </c>
      <c r="F61" s="65">
        <f>VLOOKUP(A:A,笔记匹配!A:N,8,FALSE)</f>
        <v>44868</v>
      </c>
      <c r="G61" s="66" t="str">
        <f>VLOOKUP(A:A,笔记匹配!A:P,15,FALSE)</f>
        <v>未测试</v>
      </c>
      <c r="H61" s="30" t="str">
        <f>VLOOKUP(A:A,笔记匹配!A:N,9,FALSE)</f>
        <v>图文</v>
      </c>
      <c r="I61" s="30" t="str">
        <f>VLOOKUP(A:A,笔记匹配!A:N,2,FALSE)</f>
        <v>筋膜枪</v>
      </c>
      <c r="J61" s="30" t="str">
        <f>VLOOKUP(A:A,笔记匹配!A:N,4,FALSE)</f>
        <v>云麦筋膜枪pb2</v>
      </c>
      <c r="K61" s="30" t="str">
        <f>VLOOKUP(A:A,笔记匹配!A:N,14,FALSE)</f>
        <v>云麦筋膜枪pb2</v>
      </c>
      <c r="L61" s="3">
        <f>VLOOKUP(A:A,笔记匹配!A:N,10,FALSE)</f>
        <v>0</v>
      </c>
      <c r="M61" s="3">
        <f>VLOOKUP(A:A,笔记匹配!A:N,11,FALSE)</f>
        <v>0</v>
      </c>
      <c r="N61" s="69">
        <f>VLOOKUP(A:A,笔记匹配!A:N,12,FALSE)</f>
        <v>0</v>
      </c>
      <c r="O61" s="2">
        <f t="shared" si="0"/>
        <v>0</v>
      </c>
      <c r="P61" s="3">
        <f>IFERROR(VLOOKUP(A:A,信息流数据源!A:K,2,FALSE),0)</f>
        <v>0</v>
      </c>
      <c r="Q61" s="71">
        <f>IFERROR(VLOOKUP(A:A,信息流数据源!A:N,5,FALSE),0)</f>
        <v>0</v>
      </c>
      <c r="R61" s="72">
        <f>IFERROR(VLOOKUP(A:A,信息流数据源!A:N,6,FALSE),0)</f>
        <v>0</v>
      </c>
      <c r="S61" s="2">
        <f>IFERROR(VLOOKUP(A:A,信息流数据源!A:N,9,FALSE),0)</f>
        <v>0</v>
      </c>
      <c r="T61" s="3">
        <f>IFERROR(VLOOKUP(A:A,信息流数据源!A:N,13,FALSE),0)</f>
        <v>0</v>
      </c>
      <c r="U61" s="73">
        <f>IFERROR(VLOOKUP(A:A,信息流数据源!A:N,14,FALSE),0)</f>
        <v>0</v>
      </c>
      <c r="V61" s="74">
        <f>IFERROR(VLOOKUP(A:A,信息流数据源!A:O,15,FALSE),0)</f>
        <v>0</v>
      </c>
      <c r="W61" s="3">
        <f>IFERROR(VLOOKUP(A:A,搜索数据源!A:T,2,FALSE),0)</f>
        <v>0</v>
      </c>
      <c r="X61" s="71">
        <f>IFERROR(VLOOKUP(A:A,搜索数据源!A:T,5,FALSE),0)</f>
        <v>0</v>
      </c>
      <c r="Y61" s="73">
        <f>IFERROR(VLOOKUP(A:A,搜索数据源!A:T,6,FALSE),0)</f>
        <v>0</v>
      </c>
      <c r="Z61" s="3">
        <f>IFERROR(VLOOKUP(A:A,搜索数据源!A:T,9,FALSE),0)</f>
        <v>0</v>
      </c>
      <c r="AA61" s="3" t="e">
        <f>VLOOKUP(A:A,[1]搜索数据源!A:T,13,FALSE)</f>
        <v>#N/A</v>
      </c>
      <c r="AB61" s="72">
        <f>IFERROR(VLOOKUP(A:A,搜索数据源!A:T,14,FALSE),0)</f>
        <v>0</v>
      </c>
      <c r="AC61" s="69"/>
      <c r="AD61" s="4"/>
      <c r="AE61" s="76"/>
      <c r="AF61" s="3"/>
      <c r="AG61" s="2"/>
      <c r="AH61" s="69"/>
      <c r="AI61" s="4"/>
      <c r="AJ61" s="4"/>
      <c r="AK61" s="4"/>
      <c r="AL61" s="4"/>
      <c r="AM61" s="81"/>
      <c r="AN61" s="5">
        <f>IFERROR(VLOOKUP(A:A,回搜数据源!B:N,4,FALSE),0)</f>
        <v>0</v>
      </c>
      <c r="AO61" s="5">
        <f>IFERROR(VLOOKUP(A:A,回搜数据源!B:N,5,FALSE),0)</f>
        <v>0</v>
      </c>
    </row>
    <row r="62" s="57" customFormat="1" ht="100" hidden="1" customHeight="1" spans="1:41">
      <c r="A62" s="4" t="s">
        <v>462</v>
      </c>
      <c r="B62" s="3" t="str">
        <f>VLOOKUP(A:A,笔记匹配!A:N,5,FALSE)</f>
        <v>=DISPIMG("ID_542DFEFF3DBD4962A323CEE86E9E5A54",1)</v>
      </c>
      <c r="C62" s="30" t="str">
        <f>VLOOKUP(A:A,笔记匹配!A:N,3,FALSE)</f>
        <v>爱梨</v>
      </c>
      <c r="D62" s="30" t="str">
        <f>VLOOKUP(A:A,笔记匹配!A:N,6,FALSE)</f>
        <v>打完羽毛球后肌肉酸痛？筋膜枪按摩有效放松</v>
      </c>
      <c r="E62" s="30" t="str">
        <f>VLOOKUP(A:A,笔记匹配!A:N,7,FALSE)</f>
        <v>https://www.xiaohongshu.com/discovery/item/6308506e000000001702e57f</v>
      </c>
      <c r="F62" s="65">
        <f>VLOOKUP(A:A,笔记匹配!A:N,8,FALSE)</f>
        <v>44799</v>
      </c>
      <c r="G62" s="66" t="str">
        <f>VLOOKUP(A:A,笔记匹配!A:P,15,FALSE)</f>
        <v>2022-08-29</v>
      </c>
      <c r="H62" s="30" t="str">
        <f>VLOOKUP(A:A,笔记匹配!A:N,9,FALSE)</f>
        <v>视频</v>
      </c>
      <c r="I62" s="30" t="str">
        <f>VLOOKUP(A:A,笔记匹配!A:N,2,FALSE)</f>
        <v>筋膜枪</v>
      </c>
      <c r="J62" s="30" t="str">
        <f>VLOOKUP(A:A,笔记匹配!A:N,4,FALSE)</f>
        <v>云麦筋膜枪PB2</v>
      </c>
      <c r="K62" s="30" t="str">
        <f>VLOOKUP(A:A,笔记匹配!A:N,14,FALSE)</f>
        <v>云麦筋膜枪pb2</v>
      </c>
      <c r="L62" s="3">
        <f>VLOOKUP(A:A,笔记匹配!A:N,10,FALSE)</f>
        <v>360</v>
      </c>
      <c r="M62" s="3">
        <f>VLOOKUP(A:A,笔记匹配!A:N,11,FALSE)</f>
        <v>210</v>
      </c>
      <c r="N62" s="69">
        <f>VLOOKUP(A:A,笔记匹配!A:N,12,FALSE)</f>
        <v>51</v>
      </c>
      <c r="O62" s="2">
        <f t="shared" si="0"/>
        <v>621</v>
      </c>
      <c r="P62" s="3">
        <f>IFERROR(VLOOKUP(A:A,信息流数据源!A:K,2,FALSE),0)</f>
        <v>0</v>
      </c>
      <c r="Q62" s="71">
        <f>IFERROR(VLOOKUP(A:A,信息流数据源!A:N,5,FALSE),0)</f>
        <v>0</v>
      </c>
      <c r="R62" s="72">
        <f>IFERROR(VLOOKUP(A:A,信息流数据源!A:N,6,FALSE),0)</f>
        <v>0</v>
      </c>
      <c r="S62" s="2">
        <f>IFERROR(VLOOKUP(A:A,信息流数据源!A:N,9,FALSE),0)</f>
        <v>0</v>
      </c>
      <c r="T62" s="3">
        <f>IFERROR(VLOOKUP(A:A,信息流数据源!A:N,13,FALSE),0)</f>
        <v>0</v>
      </c>
      <c r="U62" s="73">
        <f>IFERROR(VLOOKUP(A:A,信息流数据源!A:N,14,FALSE),0)</f>
        <v>0</v>
      </c>
      <c r="V62" s="74">
        <f>IFERROR(VLOOKUP(A:A,信息流数据源!A:O,15,FALSE),0)</f>
        <v>0</v>
      </c>
      <c r="W62" s="3">
        <f>IFERROR(VLOOKUP(A:A,搜索数据源!A:T,2,FALSE),0)</f>
        <v>0</v>
      </c>
      <c r="X62" s="71">
        <f>IFERROR(VLOOKUP(A:A,搜索数据源!A:T,5,FALSE),0)</f>
        <v>0</v>
      </c>
      <c r="Y62" s="73">
        <f>IFERROR(VLOOKUP(A:A,搜索数据源!A:T,6,FALSE),0)</f>
        <v>0</v>
      </c>
      <c r="Z62" s="3">
        <f>IFERROR(VLOOKUP(A:A,搜索数据源!A:T,9,FALSE),0)</f>
        <v>0</v>
      </c>
      <c r="AA62" s="3" t="e">
        <f>VLOOKUP(A:A,[1]搜索数据源!A:T,13,FALSE)</f>
        <v>#N/A</v>
      </c>
      <c r="AB62" s="72">
        <f>IFERROR(VLOOKUP(A:A,搜索数据源!A:T,14,FALSE),0)</f>
        <v>0</v>
      </c>
      <c r="AC62" s="69" t="str">
        <f>_xlfn.DISPIMG("ID_AB5D15ECDCE746E482997577F8987BAE",1)</f>
        <v>=DISPIMG("ID_AB5D15ECDCE746E482997577F8987BAE",1)</v>
      </c>
      <c r="AD62" s="4" t="s">
        <v>463</v>
      </c>
      <c r="AE62" s="69"/>
      <c r="AF62" s="77"/>
      <c r="AG62" s="2"/>
      <c r="AH62" s="69"/>
      <c r="AI62" s="4"/>
      <c r="AJ62" s="4"/>
      <c r="AK62" s="4"/>
      <c r="AL62" s="4">
        <f t="shared" ref="AL62:AL96" si="5">AK62-AJ62</f>
        <v>0</v>
      </c>
      <c r="AM62" s="81">
        <f t="shared" ref="AM62:AM73" si="6">IFERROR(AF62/AL62,0)</f>
        <v>0</v>
      </c>
      <c r="AN62" s="5">
        <f>IFERROR(VLOOKUP(A:A,回搜数据源!B:N,4,FALSE),0)</f>
        <v>0</v>
      </c>
      <c r="AO62" s="5">
        <f>IFERROR(VLOOKUP(A:A,回搜数据源!B:N,5,FALSE),0)</f>
        <v>0</v>
      </c>
    </row>
    <row r="63" s="57" customFormat="1" ht="100" hidden="1" customHeight="1" spans="1:41">
      <c r="A63" s="4" t="s">
        <v>462</v>
      </c>
      <c r="B63" s="3" t="str">
        <f>VLOOKUP(A:A,笔记匹配!A:N,5,FALSE)</f>
        <v>=DISPIMG("ID_542DFEFF3DBD4962A323CEE86E9E5A54",1)</v>
      </c>
      <c r="C63" s="30" t="str">
        <f>VLOOKUP(A:A,笔记匹配!A:N,3,FALSE)</f>
        <v>爱梨</v>
      </c>
      <c r="D63" s="30" t="str">
        <f>VLOOKUP(A:A,笔记匹配!A:N,6,FALSE)</f>
        <v>打完羽毛球后肌肉酸痛？筋膜枪按摩有效放松</v>
      </c>
      <c r="E63" s="30" t="str">
        <f>VLOOKUP(A:A,笔记匹配!A:N,7,FALSE)</f>
        <v>https://www.xiaohongshu.com/discovery/item/6308506e000000001702e57f</v>
      </c>
      <c r="F63" s="65">
        <f>VLOOKUP(A:A,笔记匹配!A:N,8,FALSE)</f>
        <v>44799</v>
      </c>
      <c r="G63" s="66" t="str">
        <f>VLOOKUP(A:A,笔记匹配!A:P,15,FALSE)</f>
        <v>2022-08-29</v>
      </c>
      <c r="H63" s="30" t="str">
        <f>VLOOKUP(A:A,笔记匹配!A:N,9,FALSE)</f>
        <v>视频</v>
      </c>
      <c r="I63" s="30" t="str">
        <f>VLOOKUP(A:A,笔记匹配!A:N,2,FALSE)</f>
        <v>筋膜枪</v>
      </c>
      <c r="J63" s="30" t="str">
        <f>VLOOKUP(A:A,笔记匹配!A:N,4,FALSE)</f>
        <v>云麦筋膜枪PB2</v>
      </c>
      <c r="K63" s="30" t="str">
        <f>VLOOKUP(A:A,笔记匹配!A:N,14,FALSE)</f>
        <v>云麦筋膜枪pb2</v>
      </c>
      <c r="L63" s="3">
        <f>VLOOKUP(A:A,笔记匹配!A:N,10,FALSE)</f>
        <v>360</v>
      </c>
      <c r="M63" s="3">
        <f>VLOOKUP(A:A,笔记匹配!A:N,11,FALSE)</f>
        <v>210</v>
      </c>
      <c r="N63" s="69">
        <f>VLOOKUP(A:A,笔记匹配!A:N,12,FALSE)</f>
        <v>51</v>
      </c>
      <c r="O63" s="2">
        <f t="shared" si="0"/>
        <v>621</v>
      </c>
      <c r="P63" s="3">
        <f>IFERROR(VLOOKUP(A:A,信息流数据源!A:K,2,FALSE),0)</f>
        <v>0</v>
      </c>
      <c r="Q63" s="71">
        <f>IFERROR(VLOOKUP(A:A,信息流数据源!A:N,5,FALSE),0)</f>
        <v>0</v>
      </c>
      <c r="R63" s="72">
        <f>IFERROR(VLOOKUP(A:A,信息流数据源!A:N,6,FALSE),0)</f>
        <v>0</v>
      </c>
      <c r="S63" s="2">
        <f>IFERROR(VLOOKUP(A:A,信息流数据源!A:N,9,FALSE),0)</f>
        <v>0</v>
      </c>
      <c r="T63" s="3">
        <f>IFERROR(VLOOKUP(A:A,信息流数据源!A:N,13,FALSE),0)</f>
        <v>0</v>
      </c>
      <c r="U63" s="73">
        <f>IFERROR(VLOOKUP(A:A,信息流数据源!A:N,14,FALSE),0)</f>
        <v>0</v>
      </c>
      <c r="V63" s="74">
        <f>IFERROR(VLOOKUP(A:A,信息流数据源!A:O,15,FALSE),0)</f>
        <v>0</v>
      </c>
      <c r="W63" s="3">
        <f>IFERROR(VLOOKUP(A:A,搜索数据源!A:T,2,FALSE),0)</f>
        <v>0</v>
      </c>
      <c r="X63" s="71">
        <f>IFERROR(VLOOKUP(A:A,搜索数据源!A:T,5,FALSE),0)</f>
        <v>0</v>
      </c>
      <c r="Y63" s="73">
        <f>IFERROR(VLOOKUP(A:A,搜索数据源!A:T,6,FALSE),0)</f>
        <v>0</v>
      </c>
      <c r="Z63" s="3">
        <f>IFERROR(VLOOKUP(A:A,搜索数据源!A:T,9,FALSE),0)</f>
        <v>0</v>
      </c>
      <c r="AA63" s="3" t="e">
        <f>VLOOKUP(A:A,[1]搜索数据源!A:T,13,FALSE)</f>
        <v>#N/A</v>
      </c>
      <c r="AB63" s="72">
        <f>IFERROR(VLOOKUP(A:A,搜索数据源!A:T,14,FALSE),0)</f>
        <v>0</v>
      </c>
      <c r="AC63" s="69" t="str">
        <f>_xlfn.DISPIMG("ID_AB5D15ECDCE746E482997577F8987BAE",1)</f>
        <v>=DISPIMG("ID_AB5D15ECDCE746E482997577F8987BAE",1)</v>
      </c>
      <c r="AD63" s="4" t="s">
        <v>463</v>
      </c>
      <c r="AE63" s="69"/>
      <c r="AF63" s="77"/>
      <c r="AG63" s="2"/>
      <c r="AH63" s="69"/>
      <c r="AI63" s="4"/>
      <c r="AJ63" s="4"/>
      <c r="AK63" s="4"/>
      <c r="AL63" s="4">
        <f t="shared" si="5"/>
        <v>0</v>
      </c>
      <c r="AM63" s="81">
        <f t="shared" si="6"/>
        <v>0</v>
      </c>
      <c r="AN63" s="5">
        <f>IFERROR(VLOOKUP(A:A,回搜数据源!B:N,4,FALSE),0)</f>
        <v>0</v>
      </c>
      <c r="AO63" s="5">
        <f>IFERROR(VLOOKUP(A:A,回搜数据源!B:N,5,FALSE),0)</f>
        <v>0</v>
      </c>
    </row>
    <row r="64" s="57" customFormat="1" ht="100" hidden="1" customHeight="1" spans="1:41">
      <c r="A64" s="4" t="s">
        <v>464</v>
      </c>
      <c r="B64" s="3" t="str">
        <f>VLOOKUP(A:A,笔记匹配!A:N,5,FALSE)</f>
        <v>=DISPIMG("ID_BEBF0641BEE245758F09522CAA930B7F",1)</v>
      </c>
      <c r="C64" s="30" t="str">
        <f>VLOOKUP(A:A,笔记匹配!A:N,3,FALSE)</f>
        <v>阿煜</v>
      </c>
      <c r="D64" s="30" t="str">
        <f>VLOOKUP(A:A,笔记匹配!A:N,6,FALSE)</f>
        <v>📱手机控制筋膜枪？云麦智能筋膜枪PB2测评</v>
      </c>
      <c r="E64" s="30" t="str">
        <f>VLOOKUP(A:A,笔记匹配!A:N,7,FALSE)</f>
        <v>https://www.xiaohongshu.com/discovery/item/62e34ecb00000000110133c9</v>
      </c>
      <c r="F64" s="65">
        <f>VLOOKUP(A:A,笔记匹配!A:N,8,FALSE)</f>
        <v>44771</v>
      </c>
      <c r="G64" s="66" t="str">
        <f>VLOOKUP(A:A,笔记匹配!A:P,15,FALSE)</f>
        <v>2022-08-02</v>
      </c>
      <c r="H64" s="30" t="str">
        <f>VLOOKUP(A:A,笔记匹配!A:N,9,FALSE)</f>
        <v>视频</v>
      </c>
      <c r="I64" s="30" t="str">
        <f>VLOOKUP(A:A,笔记匹配!A:N,2,FALSE)</f>
        <v>筋膜枪</v>
      </c>
      <c r="J64" s="30" t="str">
        <f>VLOOKUP(A:A,笔记匹配!A:N,4,FALSE)</f>
        <v>云麦智能筋膜枪PB2</v>
      </c>
      <c r="K64" s="30" t="str">
        <f>VLOOKUP(A:A,笔记匹配!A:N,14,FALSE)</f>
        <v>云麦筋膜枪pb2</v>
      </c>
      <c r="L64" s="3">
        <f>VLOOKUP(A:A,笔记匹配!A:N,10,FALSE)</f>
        <v>519</v>
      </c>
      <c r="M64" s="3">
        <f>VLOOKUP(A:A,笔记匹配!A:N,11,FALSE)</f>
        <v>31</v>
      </c>
      <c r="N64" s="69">
        <f>VLOOKUP(A:A,笔记匹配!A:N,12,FALSE)</f>
        <v>34</v>
      </c>
      <c r="O64" s="2">
        <f t="shared" si="0"/>
        <v>584</v>
      </c>
      <c r="P64" s="3">
        <f>IFERROR(VLOOKUP(A:A,信息流数据源!A:K,2,FALSE),0)</f>
        <v>0</v>
      </c>
      <c r="Q64" s="71">
        <f>IFERROR(VLOOKUP(A:A,信息流数据源!A:N,5,FALSE),0)</f>
        <v>0</v>
      </c>
      <c r="R64" s="72">
        <f>IFERROR(VLOOKUP(A:A,信息流数据源!A:N,6,FALSE),0)</f>
        <v>0</v>
      </c>
      <c r="S64" s="2">
        <f>IFERROR(VLOOKUP(A:A,信息流数据源!A:N,9,FALSE),0)</f>
        <v>0</v>
      </c>
      <c r="T64" s="3">
        <f>IFERROR(VLOOKUP(A:A,信息流数据源!A:N,13,FALSE),0)</f>
        <v>0</v>
      </c>
      <c r="U64" s="73">
        <f>IFERROR(VLOOKUP(A:A,信息流数据源!A:N,14,FALSE),0)</f>
        <v>0</v>
      </c>
      <c r="V64" s="74">
        <f>IFERROR(VLOOKUP(A:A,信息流数据源!A:O,15,FALSE),0)</f>
        <v>0</v>
      </c>
      <c r="W64" s="3">
        <f>IFERROR(VLOOKUP(A:A,搜索数据源!A:T,2,FALSE),0)</f>
        <v>0</v>
      </c>
      <c r="X64" s="71">
        <f>IFERROR(VLOOKUP(A:A,搜索数据源!A:T,5,FALSE),0)</f>
        <v>0</v>
      </c>
      <c r="Y64" s="73">
        <f>IFERROR(VLOOKUP(A:A,搜索数据源!A:T,6,FALSE),0)</f>
        <v>0</v>
      </c>
      <c r="Z64" s="3">
        <f>IFERROR(VLOOKUP(A:A,搜索数据源!A:T,9,FALSE),0)</f>
        <v>0</v>
      </c>
      <c r="AA64" s="3" t="e">
        <f>VLOOKUP(A:A,[1]搜索数据源!A:T,13,FALSE)</f>
        <v>#N/A</v>
      </c>
      <c r="AB64" s="72">
        <f>IFERROR(VLOOKUP(A:A,搜索数据源!A:T,14,FALSE),0)</f>
        <v>0</v>
      </c>
      <c r="AC64" s="69" t="str">
        <f>_xlfn.DISPIMG("ID_CB17C62764D74B948C8C448C7F80A565",1)</f>
        <v>=DISPIMG("ID_CB17C62764D74B948C8C448C7F80A565",1)</v>
      </c>
      <c r="AD64" s="4" t="s">
        <v>465</v>
      </c>
      <c r="AE64" s="69"/>
      <c r="AF64" s="77"/>
      <c r="AG64" s="2"/>
      <c r="AH64" s="69"/>
      <c r="AI64" s="4"/>
      <c r="AJ64" s="4"/>
      <c r="AK64" s="4"/>
      <c r="AL64" s="4">
        <f t="shared" si="5"/>
        <v>0</v>
      </c>
      <c r="AM64" s="81">
        <f t="shared" si="6"/>
        <v>0</v>
      </c>
      <c r="AN64" s="5">
        <f>IFERROR(VLOOKUP(A:A,回搜数据源!B:N,4,FALSE),0)</f>
        <v>0</v>
      </c>
      <c r="AO64" s="5">
        <f>IFERROR(VLOOKUP(A:A,回搜数据源!B:N,5,FALSE),0)</f>
        <v>0</v>
      </c>
    </row>
    <row r="65" s="57" customFormat="1" ht="100" hidden="1" customHeight="1" spans="1:41">
      <c r="A65" s="4" t="s">
        <v>464</v>
      </c>
      <c r="B65" s="3" t="str">
        <f>VLOOKUP(A:A,笔记匹配!A:N,5,FALSE)</f>
        <v>=DISPIMG("ID_BEBF0641BEE245758F09522CAA930B7F",1)</v>
      </c>
      <c r="C65" s="30" t="str">
        <f>VLOOKUP(A:A,笔记匹配!A:N,3,FALSE)</f>
        <v>阿煜</v>
      </c>
      <c r="D65" s="30" t="str">
        <f>VLOOKUP(A:A,笔记匹配!A:N,6,FALSE)</f>
        <v>📱手机控制筋膜枪？云麦智能筋膜枪PB2测评</v>
      </c>
      <c r="E65" s="30" t="str">
        <f>VLOOKUP(A:A,笔记匹配!A:N,7,FALSE)</f>
        <v>https://www.xiaohongshu.com/discovery/item/62e34ecb00000000110133c9</v>
      </c>
      <c r="F65" s="65">
        <f>VLOOKUP(A:A,笔记匹配!A:N,8,FALSE)</f>
        <v>44771</v>
      </c>
      <c r="G65" s="66" t="str">
        <f>VLOOKUP(A:A,笔记匹配!A:P,15,FALSE)</f>
        <v>2022-08-02</v>
      </c>
      <c r="H65" s="30" t="str">
        <f>VLOOKUP(A:A,笔记匹配!A:N,9,FALSE)</f>
        <v>视频</v>
      </c>
      <c r="I65" s="30" t="str">
        <f>VLOOKUP(A:A,笔记匹配!A:N,2,FALSE)</f>
        <v>筋膜枪</v>
      </c>
      <c r="J65" s="30" t="str">
        <f>VLOOKUP(A:A,笔记匹配!A:N,4,FALSE)</f>
        <v>云麦智能筋膜枪PB2</v>
      </c>
      <c r="K65" s="30" t="str">
        <f>VLOOKUP(A:A,笔记匹配!A:N,14,FALSE)</f>
        <v>云麦筋膜枪pb2</v>
      </c>
      <c r="L65" s="3">
        <f>VLOOKUP(A:A,笔记匹配!A:N,10,FALSE)</f>
        <v>519</v>
      </c>
      <c r="M65" s="3">
        <f>VLOOKUP(A:A,笔记匹配!A:N,11,FALSE)</f>
        <v>31</v>
      </c>
      <c r="N65" s="69">
        <f>VLOOKUP(A:A,笔记匹配!A:N,12,FALSE)</f>
        <v>34</v>
      </c>
      <c r="O65" s="2">
        <f t="shared" si="0"/>
        <v>584</v>
      </c>
      <c r="P65" s="3">
        <f>IFERROR(VLOOKUP(A:A,信息流数据源!A:K,2,FALSE),0)</f>
        <v>0</v>
      </c>
      <c r="Q65" s="71">
        <f>IFERROR(VLOOKUP(A:A,信息流数据源!A:N,5,FALSE),0)</f>
        <v>0</v>
      </c>
      <c r="R65" s="72">
        <f>IFERROR(VLOOKUP(A:A,信息流数据源!A:N,6,FALSE),0)</f>
        <v>0</v>
      </c>
      <c r="S65" s="2">
        <f>IFERROR(VLOOKUP(A:A,信息流数据源!A:N,9,FALSE),0)</f>
        <v>0</v>
      </c>
      <c r="T65" s="3">
        <f>IFERROR(VLOOKUP(A:A,信息流数据源!A:N,13,FALSE),0)</f>
        <v>0</v>
      </c>
      <c r="U65" s="73">
        <f>IFERROR(VLOOKUP(A:A,信息流数据源!A:N,14,FALSE),0)</f>
        <v>0</v>
      </c>
      <c r="V65" s="74">
        <f>IFERROR(VLOOKUP(A:A,信息流数据源!A:O,15,FALSE),0)</f>
        <v>0</v>
      </c>
      <c r="W65" s="3">
        <f>IFERROR(VLOOKUP(A:A,搜索数据源!A:T,2,FALSE),0)</f>
        <v>0</v>
      </c>
      <c r="X65" s="71">
        <f>IFERROR(VLOOKUP(A:A,搜索数据源!A:T,5,FALSE),0)</f>
        <v>0</v>
      </c>
      <c r="Y65" s="73">
        <f>IFERROR(VLOOKUP(A:A,搜索数据源!A:T,6,FALSE),0)</f>
        <v>0</v>
      </c>
      <c r="Z65" s="3">
        <f>IFERROR(VLOOKUP(A:A,搜索数据源!A:T,9,FALSE),0)</f>
        <v>0</v>
      </c>
      <c r="AA65" s="3" t="e">
        <f>VLOOKUP(A:A,[1]搜索数据源!A:T,13,FALSE)</f>
        <v>#N/A</v>
      </c>
      <c r="AB65" s="72">
        <f>IFERROR(VLOOKUP(A:A,搜索数据源!A:T,14,FALSE),0)</f>
        <v>0</v>
      </c>
      <c r="AC65" s="69" t="str">
        <f>_xlfn.DISPIMG("ID_CB17C62764D74B948C8C448C7F80A565",1)</f>
        <v>=DISPIMG("ID_CB17C62764D74B948C8C448C7F80A565",1)</v>
      </c>
      <c r="AD65" s="4" t="s">
        <v>465</v>
      </c>
      <c r="AE65" s="69"/>
      <c r="AF65" s="77"/>
      <c r="AG65" s="2"/>
      <c r="AH65" s="69"/>
      <c r="AI65" s="4"/>
      <c r="AJ65" s="4"/>
      <c r="AK65" s="4"/>
      <c r="AL65" s="4">
        <f t="shared" si="5"/>
        <v>0</v>
      </c>
      <c r="AM65" s="81">
        <f t="shared" si="6"/>
        <v>0</v>
      </c>
      <c r="AN65" s="5">
        <f>IFERROR(VLOOKUP(A:A,回搜数据源!B:N,4,FALSE),0)</f>
        <v>0</v>
      </c>
      <c r="AO65" s="5">
        <f>IFERROR(VLOOKUP(A:A,回搜数据源!B:N,5,FALSE),0)</f>
        <v>0</v>
      </c>
    </row>
    <row r="66" s="57" customFormat="1" ht="100" hidden="1" customHeight="1" spans="1:41">
      <c r="A66" s="4" t="s">
        <v>466</v>
      </c>
      <c r="B66" s="3" t="str">
        <f>VLOOKUP(A:A,笔记匹配!A:N,5,FALSE)</f>
        <v>=DISPIMG("ID_13B68F063A8D48DDBF89BE7B40760742",1)</v>
      </c>
      <c r="C66" s="30" t="str">
        <f>VLOOKUP(A:A,笔记匹配!A:N,3,FALSE)</f>
        <v>小胡的张张</v>
      </c>
      <c r="D66" s="30" t="str">
        <f>VLOOKUP(A:A,笔记匹配!A:N,6,FALSE)</f>
        <v>筋膜枪正确使用指南️⚠️千万别乱用！</v>
      </c>
      <c r="E66" s="30" t="str">
        <f>VLOOKUP(A:A,笔记匹配!A:N,7,FALSE)</f>
        <v>https://www.xiaohongshu.com/discovery/item/62a321f2000000001d032701</v>
      </c>
      <c r="F66" s="65">
        <f>VLOOKUP(A:A,笔记匹配!A:N,8,FALSE)</f>
        <v>44722</v>
      </c>
      <c r="G66" s="66" t="str">
        <f>VLOOKUP(A:A,笔记匹配!A:P,15,FALSE)</f>
        <v>2022-06-17</v>
      </c>
      <c r="H66" s="30" t="str">
        <f>VLOOKUP(A:A,笔记匹配!A:N,9,FALSE)</f>
        <v>图文</v>
      </c>
      <c r="I66" s="30" t="str">
        <f>VLOOKUP(A:A,笔记匹配!A:N,2,FALSE)</f>
        <v>筋膜枪</v>
      </c>
      <c r="J66" s="30" t="str">
        <f>VLOOKUP(A:A,笔记匹配!A:N,4,FALSE)</f>
        <v>云麦cc筋膜枪</v>
      </c>
      <c r="K66" s="30" t="str">
        <f>VLOOKUP(A:A,笔记匹配!A:N,14,FALSE)</f>
        <v>云麦筋膜枪cc</v>
      </c>
      <c r="L66" s="3">
        <f>VLOOKUP(A:A,笔记匹配!A:N,10,FALSE)</f>
        <v>307</v>
      </c>
      <c r="M66" s="3">
        <f>VLOOKUP(A:A,笔记匹配!A:N,11,FALSE)</f>
        <v>165</v>
      </c>
      <c r="N66" s="69">
        <f>VLOOKUP(A:A,笔记匹配!A:N,12,FALSE)</f>
        <v>37</v>
      </c>
      <c r="O66" s="2">
        <f t="shared" si="0"/>
        <v>509</v>
      </c>
      <c r="P66" s="3">
        <f>IFERROR(VLOOKUP(A:A,信息流数据源!A:K,2,FALSE),0)</f>
        <v>0</v>
      </c>
      <c r="Q66" s="71">
        <f>IFERROR(VLOOKUP(A:A,信息流数据源!A:N,5,FALSE),0)</f>
        <v>0</v>
      </c>
      <c r="R66" s="72">
        <f>IFERROR(VLOOKUP(A:A,信息流数据源!A:N,6,FALSE),0)</f>
        <v>0</v>
      </c>
      <c r="S66" s="2">
        <f>IFERROR(VLOOKUP(A:A,信息流数据源!A:N,9,FALSE),0)</f>
        <v>0</v>
      </c>
      <c r="T66" s="3">
        <f>IFERROR(VLOOKUP(A:A,信息流数据源!A:N,13,FALSE),0)</f>
        <v>0</v>
      </c>
      <c r="U66" s="73">
        <f>IFERROR(VLOOKUP(A:A,信息流数据源!A:N,14,FALSE),0)</f>
        <v>0</v>
      </c>
      <c r="V66" s="74">
        <f>IFERROR(VLOOKUP(A:A,信息流数据源!A:O,15,FALSE),0)</f>
        <v>0</v>
      </c>
      <c r="W66" s="3">
        <f>IFERROR(VLOOKUP(A:A,搜索数据源!A:T,2,FALSE),0)</f>
        <v>0</v>
      </c>
      <c r="X66" s="71">
        <f>IFERROR(VLOOKUP(A:A,搜索数据源!A:T,5,FALSE),0)</f>
        <v>0</v>
      </c>
      <c r="Y66" s="73">
        <f>IFERROR(VLOOKUP(A:A,搜索数据源!A:T,6,FALSE),0)</f>
        <v>0</v>
      </c>
      <c r="Z66" s="3">
        <f>IFERROR(VLOOKUP(A:A,搜索数据源!A:T,9,FALSE),0)</f>
        <v>0</v>
      </c>
      <c r="AA66" s="3" t="e">
        <f>VLOOKUP(A:A,[1]搜索数据源!A:T,13,FALSE)</f>
        <v>#N/A</v>
      </c>
      <c r="AB66" s="72">
        <f>IFERROR(VLOOKUP(A:A,搜索数据源!A:T,14,FALSE),0)</f>
        <v>0</v>
      </c>
      <c r="AC66" s="69" t="str">
        <f>_xlfn.DISPIMG("ID_7C9CFCC96AF744F686994FC3BF368D0F",1)</f>
        <v>=DISPIMG("ID_7C9CFCC96AF744F686994FC3BF368D0F",1)</v>
      </c>
      <c r="AD66" s="4" t="s">
        <v>467</v>
      </c>
      <c r="AE66" s="69"/>
      <c r="AF66" s="77"/>
      <c r="AG66" s="2"/>
      <c r="AH66" s="69"/>
      <c r="AI66" s="4"/>
      <c r="AJ66" s="4"/>
      <c r="AK66" s="4"/>
      <c r="AL66" s="4">
        <f t="shared" si="5"/>
        <v>0</v>
      </c>
      <c r="AM66" s="81">
        <f t="shared" si="6"/>
        <v>0</v>
      </c>
      <c r="AN66" s="5">
        <f>IFERROR(VLOOKUP(A:A,回搜数据源!B:N,4,FALSE),0)</f>
        <v>0</v>
      </c>
      <c r="AO66" s="5">
        <f>IFERROR(VLOOKUP(A:A,回搜数据源!B:N,5,FALSE),0)</f>
        <v>0</v>
      </c>
    </row>
    <row r="67" s="57" customFormat="1" ht="100" hidden="1" customHeight="1" spans="1:41">
      <c r="A67" s="4" t="s">
        <v>466</v>
      </c>
      <c r="B67" s="3" t="str">
        <f>VLOOKUP(A:A,笔记匹配!A:N,5,FALSE)</f>
        <v>=DISPIMG("ID_13B68F063A8D48DDBF89BE7B40760742",1)</v>
      </c>
      <c r="C67" s="30" t="str">
        <f>VLOOKUP(A:A,笔记匹配!A:N,3,FALSE)</f>
        <v>小胡的张张</v>
      </c>
      <c r="D67" s="30" t="str">
        <f>VLOOKUP(A:A,笔记匹配!A:N,6,FALSE)</f>
        <v>筋膜枪正确使用指南️⚠️千万别乱用！</v>
      </c>
      <c r="E67" s="30" t="str">
        <f>VLOOKUP(A:A,笔记匹配!A:N,7,FALSE)</f>
        <v>https://www.xiaohongshu.com/discovery/item/62a321f2000000001d032701</v>
      </c>
      <c r="F67" s="65">
        <f>VLOOKUP(A:A,笔记匹配!A:N,8,FALSE)</f>
        <v>44722</v>
      </c>
      <c r="G67" s="66" t="str">
        <f>VLOOKUP(A:A,笔记匹配!A:P,15,FALSE)</f>
        <v>2022-06-17</v>
      </c>
      <c r="H67" s="30" t="str">
        <f>VLOOKUP(A:A,笔记匹配!A:N,9,FALSE)</f>
        <v>图文</v>
      </c>
      <c r="I67" s="30" t="str">
        <f>VLOOKUP(A:A,笔记匹配!A:N,2,FALSE)</f>
        <v>筋膜枪</v>
      </c>
      <c r="J67" s="30" t="str">
        <f>VLOOKUP(A:A,笔记匹配!A:N,4,FALSE)</f>
        <v>云麦cc筋膜枪</v>
      </c>
      <c r="K67" s="30" t="str">
        <f>VLOOKUP(A:A,笔记匹配!A:N,14,FALSE)</f>
        <v>云麦筋膜枪cc</v>
      </c>
      <c r="L67" s="3">
        <f>VLOOKUP(A:A,笔记匹配!A:N,10,FALSE)</f>
        <v>307</v>
      </c>
      <c r="M67" s="3">
        <f>VLOOKUP(A:A,笔记匹配!A:N,11,FALSE)</f>
        <v>165</v>
      </c>
      <c r="N67" s="69">
        <f>VLOOKUP(A:A,笔记匹配!A:N,12,FALSE)</f>
        <v>37</v>
      </c>
      <c r="O67" s="2">
        <f t="shared" ref="O67:O122" si="7">N67+M67+L67</f>
        <v>509</v>
      </c>
      <c r="P67" s="3">
        <f>IFERROR(VLOOKUP(A:A,信息流数据源!A:K,2,FALSE),0)</f>
        <v>0</v>
      </c>
      <c r="Q67" s="71">
        <f>IFERROR(VLOOKUP(A:A,信息流数据源!A:N,5,FALSE),0)</f>
        <v>0</v>
      </c>
      <c r="R67" s="72">
        <f>IFERROR(VLOOKUP(A:A,信息流数据源!A:N,6,FALSE),0)</f>
        <v>0</v>
      </c>
      <c r="S67" s="2">
        <f>IFERROR(VLOOKUP(A:A,信息流数据源!A:N,9,FALSE),0)</f>
        <v>0</v>
      </c>
      <c r="T67" s="3">
        <f>IFERROR(VLOOKUP(A:A,信息流数据源!A:N,13,FALSE),0)</f>
        <v>0</v>
      </c>
      <c r="U67" s="73">
        <f>IFERROR(VLOOKUP(A:A,信息流数据源!A:N,14,FALSE),0)</f>
        <v>0</v>
      </c>
      <c r="V67" s="74">
        <f>IFERROR(VLOOKUP(A:A,信息流数据源!A:O,15,FALSE),0)</f>
        <v>0</v>
      </c>
      <c r="W67" s="3">
        <f>IFERROR(VLOOKUP(A:A,搜索数据源!A:T,2,FALSE),0)</f>
        <v>0</v>
      </c>
      <c r="X67" s="71">
        <f>IFERROR(VLOOKUP(A:A,搜索数据源!A:T,5,FALSE),0)</f>
        <v>0</v>
      </c>
      <c r="Y67" s="73">
        <f>IFERROR(VLOOKUP(A:A,搜索数据源!A:T,6,FALSE),0)</f>
        <v>0</v>
      </c>
      <c r="Z67" s="3">
        <f>IFERROR(VLOOKUP(A:A,搜索数据源!A:T,9,FALSE),0)</f>
        <v>0</v>
      </c>
      <c r="AA67" s="3" t="e">
        <f>VLOOKUP(A:A,[1]搜索数据源!A:T,13,FALSE)</f>
        <v>#N/A</v>
      </c>
      <c r="AB67" s="72">
        <f>IFERROR(VLOOKUP(A:A,搜索数据源!A:T,14,FALSE),0)</f>
        <v>0</v>
      </c>
      <c r="AC67" s="69" t="str">
        <f>_xlfn.DISPIMG("ID_7C9CFCC96AF744F686994FC3BF368D0F",1)</f>
        <v>=DISPIMG("ID_7C9CFCC96AF744F686994FC3BF368D0F",1)</v>
      </c>
      <c r="AD67" s="4" t="s">
        <v>467</v>
      </c>
      <c r="AE67" s="69"/>
      <c r="AF67" s="77"/>
      <c r="AG67" s="2"/>
      <c r="AH67" s="69"/>
      <c r="AI67" s="4"/>
      <c r="AJ67" s="4"/>
      <c r="AK67" s="4"/>
      <c r="AL67" s="4">
        <f t="shared" si="5"/>
        <v>0</v>
      </c>
      <c r="AM67" s="81">
        <f t="shared" si="6"/>
        <v>0</v>
      </c>
      <c r="AN67" s="5">
        <f>IFERROR(VLOOKUP(A:A,回搜数据源!B:N,4,FALSE),0)</f>
        <v>0</v>
      </c>
      <c r="AO67" s="5">
        <f>IFERROR(VLOOKUP(A:A,回搜数据源!B:N,5,FALSE),0)</f>
        <v>0</v>
      </c>
    </row>
    <row r="68" s="57" customFormat="1" ht="100" hidden="1" customHeight="1" spans="1:41">
      <c r="A68" s="4" t="s">
        <v>468</v>
      </c>
      <c r="B68" s="3" t="str">
        <f>VLOOKUP(A:A,笔记匹配!A:N,5,FALSE)</f>
        <v>=DISPIMG("ID_3656D33F2B914C5CB2C48C75073A4D5B",1)</v>
      </c>
      <c r="C68" s="30" t="str">
        <f>VLOOKUP(A:A,笔记匹配!A:N,3,FALSE)</f>
        <v>生椰黎子yoga</v>
      </c>
      <c r="D68" s="30" t="str">
        <f>VLOOKUP(A:A,笔记匹配!A:N,6,FALSE)</f>
        <v>超🔥极速瘦肚子！太有用了‼️6分钟紧致腰腹</v>
      </c>
      <c r="E68" s="30" t="str">
        <f>VLOOKUP(A:A,笔记匹配!A:N,7,FALSE)</f>
        <v>https://www.xiaohongshu.com/discovery/item/62a98321000000001401a556</v>
      </c>
      <c r="F68" s="65">
        <f>VLOOKUP(A:A,笔记匹配!A:N,8,FALSE)</f>
        <v>44727</v>
      </c>
      <c r="G68" s="66" t="str">
        <f>VLOOKUP(A:A,笔记匹配!A:P,15,FALSE)</f>
        <v>2022-06-17</v>
      </c>
      <c r="H68" s="30" t="str">
        <f>VLOOKUP(A:A,笔记匹配!A:N,9,FALSE)</f>
        <v>视频</v>
      </c>
      <c r="I68" s="30" t="str">
        <f>VLOOKUP(A:A,笔记匹配!A:N,2,FALSE)</f>
        <v>体脂秤</v>
      </c>
      <c r="J68" s="30" t="str">
        <f>VLOOKUP(A:A,笔记匹配!A:N,4,FALSE)</f>
        <v>云麦体脂秤3mini</v>
      </c>
      <c r="K68" s="30" t="str">
        <f>VLOOKUP(A:A,笔记匹配!A:N,14,FALSE)</f>
        <v>云麦体脂秤3mini</v>
      </c>
      <c r="L68" s="3">
        <f>VLOOKUP(A:A,笔记匹配!A:N,10,FALSE)</f>
        <v>6033</v>
      </c>
      <c r="M68" s="3">
        <f>VLOOKUP(A:A,笔记匹配!A:N,11,FALSE)</f>
        <v>8088</v>
      </c>
      <c r="N68" s="69">
        <f>VLOOKUP(A:A,笔记匹配!A:N,12,FALSE)</f>
        <v>111</v>
      </c>
      <c r="O68" s="2">
        <f t="shared" si="7"/>
        <v>14232</v>
      </c>
      <c r="P68" s="3">
        <f>IFERROR(VLOOKUP(A:A,信息流数据源!A:K,2,FALSE),0)</f>
        <v>0</v>
      </c>
      <c r="Q68" s="71">
        <f>IFERROR(VLOOKUP(A:A,信息流数据源!A:N,5,FALSE),0)</f>
        <v>0</v>
      </c>
      <c r="R68" s="72">
        <f>IFERROR(VLOOKUP(A:A,信息流数据源!A:N,6,FALSE),0)</f>
        <v>0</v>
      </c>
      <c r="S68" s="2">
        <f>IFERROR(VLOOKUP(A:A,信息流数据源!A:N,9,FALSE),0)</f>
        <v>0</v>
      </c>
      <c r="T68" s="3">
        <f>IFERROR(VLOOKUP(A:A,信息流数据源!A:N,13,FALSE),0)</f>
        <v>0</v>
      </c>
      <c r="U68" s="73">
        <f>IFERROR(VLOOKUP(A:A,信息流数据源!A:N,14,FALSE),0)</f>
        <v>0</v>
      </c>
      <c r="V68" s="74">
        <f>IFERROR(VLOOKUP(A:A,信息流数据源!A:O,15,FALSE),0)</f>
        <v>0</v>
      </c>
      <c r="W68" s="3">
        <f>IFERROR(VLOOKUP(A:A,搜索数据源!A:T,2,FALSE),0)</f>
        <v>0</v>
      </c>
      <c r="X68" s="71">
        <f>IFERROR(VLOOKUP(A:A,搜索数据源!A:T,5,FALSE),0)</f>
        <v>0</v>
      </c>
      <c r="Y68" s="73">
        <f>IFERROR(VLOOKUP(A:A,搜索数据源!A:T,6,FALSE),0)</f>
        <v>0</v>
      </c>
      <c r="Z68" s="3">
        <f>IFERROR(VLOOKUP(A:A,搜索数据源!A:T,9,FALSE),0)</f>
        <v>0</v>
      </c>
      <c r="AA68" s="3" t="e">
        <f>VLOOKUP(A:A,[1]搜索数据源!A:T,13,FALSE)</f>
        <v>#N/A</v>
      </c>
      <c r="AB68" s="72">
        <f>IFERROR(VLOOKUP(A:A,搜索数据源!A:T,14,FALSE),0)</f>
        <v>0</v>
      </c>
      <c r="AC68" s="69" t="str">
        <f>_xlfn.DISPIMG("ID_A26A79CAB86D4534B40654E9AE065CC8",1)</f>
        <v>=DISPIMG("ID_A26A79CAB86D4534B40654E9AE065CC8",1)</v>
      </c>
      <c r="AD68" s="4" t="s">
        <v>469</v>
      </c>
      <c r="AE68" s="75">
        <v>44732</v>
      </c>
      <c r="AF68" s="3">
        <v>791.01</v>
      </c>
      <c r="AG68" s="2">
        <v>3922</v>
      </c>
      <c r="AH68" s="69" t="str">
        <f>_xlfn.DISPIMG("ID_890065810A0341E38AFCA7E82BE49D6B",1)</f>
        <v>=DISPIMG("ID_890065810A0341E38AFCA7E82BE49D6B",1)</v>
      </c>
      <c r="AI68" s="4" t="s">
        <v>470</v>
      </c>
      <c r="AJ68" s="4">
        <v>62</v>
      </c>
      <c r="AK68" s="4">
        <v>51</v>
      </c>
      <c r="AL68" s="4">
        <f t="shared" si="5"/>
        <v>-11</v>
      </c>
      <c r="AM68" s="81">
        <f t="shared" si="6"/>
        <v>-71.91</v>
      </c>
      <c r="AN68" s="5">
        <f>IFERROR(VLOOKUP(A:A,回搜数据源!B:N,4,FALSE),0)</f>
        <v>0</v>
      </c>
      <c r="AO68" s="5">
        <f>IFERROR(VLOOKUP(A:A,回搜数据源!B:N,5,FALSE),0)</f>
        <v>0</v>
      </c>
    </row>
    <row r="69" s="57" customFormat="1" ht="100" hidden="1" customHeight="1" spans="1:41">
      <c r="A69" s="4" t="s">
        <v>471</v>
      </c>
      <c r="B69" s="3" t="str">
        <f>VLOOKUP(A:A,笔记匹配!A:N,5,FALSE)</f>
        <v>=DISPIMG("ID_A1B163FD6DB543B091647FA275125296",1)</v>
      </c>
      <c r="C69" s="30" t="str">
        <f>VLOOKUP(A:A,笔记匹配!A:N,3,FALSE)</f>
        <v>咩咩是杨景然</v>
      </c>
      <c r="D69" s="30" t="str">
        <f>VLOOKUP(A:A,笔记匹配!A:N,6,FALSE)</f>
        <v>减重8.5斤‼️跳绳后拉伸&amp;筋膜枪按摩不粗腿</v>
      </c>
      <c r="E69" s="30" t="str">
        <f>VLOOKUP(A:A,笔记匹配!A:N,7,FALSE)</f>
        <v>https://www.xiaohongshu.com/discovery/item/627e0bba000000000102fbbb</v>
      </c>
      <c r="F69" s="65">
        <f>VLOOKUP(A:A,笔记匹配!A:N,8,FALSE)</f>
        <v>44694</v>
      </c>
      <c r="G69" s="66" t="str">
        <f>VLOOKUP(A:A,笔记匹配!A:P,15,FALSE)</f>
        <v>2022-05-19</v>
      </c>
      <c r="H69" s="30" t="str">
        <f>VLOOKUP(A:A,笔记匹配!A:N,9,FALSE)</f>
        <v>视频</v>
      </c>
      <c r="I69" s="30" t="str">
        <f>VLOOKUP(A:A,笔记匹配!A:N,2,FALSE)</f>
        <v>筋膜枪</v>
      </c>
      <c r="J69" s="30" t="str">
        <f>VLOOKUP(A:A,笔记匹配!A:N,4,FALSE)</f>
        <v>云麦cc</v>
      </c>
      <c r="K69" s="30" t="str">
        <f>VLOOKUP(A:A,笔记匹配!A:N,14,FALSE)</f>
        <v>云麦筋膜枪cc</v>
      </c>
      <c r="L69" s="3">
        <f>VLOOKUP(A:A,笔记匹配!A:N,10,FALSE)</f>
        <v>166</v>
      </c>
      <c r="M69" s="3">
        <f>VLOOKUP(A:A,笔记匹配!A:N,11,FALSE)</f>
        <v>231</v>
      </c>
      <c r="N69" s="69">
        <f>VLOOKUP(A:A,笔记匹配!A:N,12,FALSE)</f>
        <v>32</v>
      </c>
      <c r="O69" s="2">
        <f t="shared" si="7"/>
        <v>429</v>
      </c>
      <c r="P69" s="3">
        <f>IFERROR(VLOOKUP(A:A,信息流数据源!A:K,2,FALSE),0)</f>
        <v>0</v>
      </c>
      <c r="Q69" s="71">
        <f>IFERROR(VLOOKUP(A:A,信息流数据源!A:N,5,FALSE),0)</f>
        <v>0</v>
      </c>
      <c r="R69" s="72">
        <f>IFERROR(VLOOKUP(A:A,信息流数据源!A:N,6,FALSE),0)</f>
        <v>0</v>
      </c>
      <c r="S69" s="2">
        <f>IFERROR(VLOOKUP(A:A,信息流数据源!A:N,9,FALSE),0)</f>
        <v>0</v>
      </c>
      <c r="T69" s="3">
        <f>IFERROR(VLOOKUP(A:A,信息流数据源!A:N,13,FALSE),0)</f>
        <v>0</v>
      </c>
      <c r="U69" s="73">
        <f>IFERROR(VLOOKUP(A:A,信息流数据源!A:N,14,FALSE),0)</f>
        <v>0</v>
      </c>
      <c r="V69" s="74">
        <f>IFERROR(VLOOKUP(A:A,信息流数据源!A:O,15,FALSE),0)</f>
        <v>0</v>
      </c>
      <c r="W69" s="3">
        <f>IFERROR(VLOOKUP(A:A,搜索数据源!A:T,2,FALSE),0)</f>
        <v>0</v>
      </c>
      <c r="X69" s="71">
        <f>IFERROR(VLOOKUP(A:A,搜索数据源!A:T,5,FALSE),0)</f>
        <v>0</v>
      </c>
      <c r="Y69" s="73">
        <f>IFERROR(VLOOKUP(A:A,搜索数据源!A:T,6,FALSE),0)</f>
        <v>0</v>
      </c>
      <c r="Z69" s="3">
        <f>IFERROR(VLOOKUP(A:A,搜索数据源!A:T,9,FALSE),0)</f>
        <v>0</v>
      </c>
      <c r="AA69" s="3" t="e">
        <f>VLOOKUP(A:A,[1]搜索数据源!A:T,13,FALSE)</f>
        <v>#N/A</v>
      </c>
      <c r="AB69" s="72">
        <f>IFERROR(VLOOKUP(A:A,搜索数据源!A:T,14,FALSE),0)</f>
        <v>0</v>
      </c>
      <c r="AC69" s="78" t="str">
        <f>_xlfn.DISPIMG("ID_049A06A6594C40B88A3FFC9A994E70D3",1)</f>
        <v>=DISPIMG("ID_049A06A6594C40B88A3FFC9A994E70D3",1)</v>
      </c>
      <c r="AD69" s="4" t="s">
        <v>472</v>
      </c>
      <c r="AE69" s="69"/>
      <c r="AF69" s="69"/>
      <c r="AG69" s="2"/>
      <c r="AH69" s="69"/>
      <c r="AI69" s="69"/>
      <c r="AJ69" s="69"/>
      <c r="AK69" s="69"/>
      <c r="AL69" s="4">
        <f t="shared" si="5"/>
        <v>0</v>
      </c>
      <c r="AM69" s="81">
        <f t="shared" si="6"/>
        <v>0</v>
      </c>
      <c r="AN69" s="5">
        <f>IFERROR(VLOOKUP(A:A,回搜数据源!B:N,4,FALSE),0)</f>
        <v>0</v>
      </c>
      <c r="AO69" s="5">
        <f>IFERROR(VLOOKUP(A:A,回搜数据源!B:N,5,FALSE),0)</f>
        <v>0</v>
      </c>
    </row>
    <row r="70" s="57" customFormat="1" ht="100" hidden="1" customHeight="1" spans="1:41">
      <c r="A70" s="4" t="s">
        <v>471</v>
      </c>
      <c r="B70" s="3" t="str">
        <f>VLOOKUP(A:A,笔记匹配!A:N,5,FALSE)</f>
        <v>=DISPIMG("ID_A1B163FD6DB543B091647FA275125296",1)</v>
      </c>
      <c r="C70" s="30" t="str">
        <f>VLOOKUP(A:A,笔记匹配!A:N,3,FALSE)</f>
        <v>咩咩是杨景然</v>
      </c>
      <c r="D70" s="30" t="str">
        <f>VLOOKUP(A:A,笔记匹配!A:N,6,FALSE)</f>
        <v>减重8.5斤‼️跳绳后拉伸&amp;筋膜枪按摩不粗腿</v>
      </c>
      <c r="E70" s="30" t="str">
        <f>VLOOKUP(A:A,笔记匹配!A:N,7,FALSE)</f>
        <v>https://www.xiaohongshu.com/discovery/item/627e0bba000000000102fbbb</v>
      </c>
      <c r="F70" s="65">
        <f>VLOOKUP(A:A,笔记匹配!A:N,8,FALSE)</f>
        <v>44694</v>
      </c>
      <c r="G70" s="66" t="str">
        <f>VLOOKUP(A:A,笔记匹配!A:P,15,FALSE)</f>
        <v>2022-05-19</v>
      </c>
      <c r="H70" s="30" t="str">
        <f>VLOOKUP(A:A,笔记匹配!A:N,9,FALSE)</f>
        <v>视频</v>
      </c>
      <c r="I70" s="30" t="str">
        <f>VLOOKUP(A:A,笔记匹配!A:N,2,FALSE)</f>
        <v>筋膜枪</v>
      </c>
      <c r="J70" s="30" t="str">
        <f>VLOOKUP(A:A,笔记匹配!A:N,4,FALSE)</f>
        <v>云麦cc</v>
      </c>
      <c r="K70" s="30" t="str">
        <f>VLOOKUP(A:A,笔记匹配!A:N,14,FALSE)</f>
        <v>云麦筋膜枪cc</v>
      </c>
      <c r="L70" s="3">
        <f>VLOOKUP(A:A,笔记匹配!A:N,10,FALSE)</f>
        <v>166</v>
      </c>
      <c r="M70" s="3">
        <f>VLOOKUP(A:A,笔记匹配!A:N,11,FALSE)</f>
        <v>231</v>
      </c>
      <c r="N70" s="69">
        <f>VLOOKUP(A:A,笔记匹配!A:N,12,FALSE)</f>
        <v>32</v>
      </c>
      <c r="O70" s="2">
        <f t="shared" si="7"/>
        <v>429</v>
      </c>
      <c r="P70" s="3">
        <f>IFERROR(VLOOKUP(A:A,信息流数据源!A:K,2,FALSE),0)</f>
        <v>0</v>
      </c>
      <c r="Q70" s="71">
        <f>IFERROR(VLOOKUP(A:A,信息流数据源!A:N,5,FALSE),0)</f>
        <v>0</v>
      </c>
      <c r="R70" s="72">
        <f>IFERROR(VLOOKUP(A:A,信息流数据源!A:N,6,FALSE),0)</f>
        <v>0</v>
      </c>
      <c r="S70" s="2">
        <f>IFERROR(VLOOKUP(A:A,信息流数据源!A:N,9,FALSE),0)</f>
        <v>0</v>
      </c>
      <c r="T70" s="3">
        <f>IFERROR(VLOOKUP(A:A,信息流数据源!A:N,13,FALSE),0)</f>
        <v>0</v>
      </c>
      <c r="U70" s="73">
        <f>IFERROR(VLOOKUP(A:A,信息流数据源!A:N,14,FALSE),0)</f>
        <v>0</v>
      </c>
      <c r="V70" s="74">
        <f>IFERROR(VLOOKUP(A:A,信息流数据源!A:O,15,FALSE),0)</f>
        <v>0</v>
      </c>
      <c r="W70" s="3">
        <f>IFERROR(VLOOKUP(A:A,搜索数据源!A:T,2,FALSE),0)</f>
        <v>0</v>
      </c>
      <c r="X70" s="71">
        <f>IFERROR(VLOOKUP(A:A,搜索数据源!A:T,5,FALSE),0)</f>
        <v>0</v>
      </c>
      <c r="Y70" s="73">
        <f>IFERROR(VLOOKUP(A:A,搜索数据源!A:T,6,FALSE),0)</f>
        <v>0</v>
      </c>
      <c r="Z70" s="3">
        <f>IFERROR(VLOOKUP(A:A,搜索数据源!A:T,9,FALSE),0)</f>
        <v>0</v>
      </c>
      <c r="AA70" s="3" t="e">
        <f>VLOOKUP(A:A,[1]搜索数据源!A:T,13,FALSE)</f>
        <v>#N/A</v>
      </c>
      <c r="AB70" s="72">
        <f>IFERROR(VLOOKUP(A:A,搜索数据源!A:T,14,FALSE),0)</f>
        <v>0</v>
      </c>
      <c r="AC70" s="78" t="str">
        <f>_xlfn.DISPIMG("ID_049A06A6594C40B88A3FFC9A994E70D3",1)</f>
        <v>=DISPIMG("ID_049A06A6594C40B88A3FFC9A994E70D3",1)</v>
      </c>
      <c r="AD70" s="4" t="s">
        <v>472</v>
      </c>
      <c r="AE70" s="69"/>
      <c r="AF70" s="69"/>
      <c r="AG70" s="2"/>
      <c r="AH70" s="69"/>
      <c r="AI70" s="69"/>
      <c r="AJ70" s="69"/>
      <c r="AK70" s="69"/>
      <c r="AL70" s="4">
        <f t="shared" si="5"/>
        <v>0</v>
      </c>
      <c r="AM70" s="81">
        <f t="shared" si="6"/>
        <v>0</v>
      </c>
      <c r="AN70" s="5">
        <f>IFERROR(VLOOKUP(A:A,回搜数据源!B:N,4,FALSE),0)</f>
        <v>0</v>
      </c>
      <c r="AO70" s="5">
        <f>IFERROR(VLOOKUP(A:A,回搜数据源!B:N,5,FALSE),0)</f>
        <v>0</v>
      </c>
    </row>
    <row r="71" s="57" customFormat="1" ht="100" hidden="1" customHeight="1" spans="1:41">
      <c r="A71" s="4" t="s">
        <v>473</v>
      </c>
      <c r="B71" s="3" t="str">
        <f>VLOOKUP(A:A,笔记匹配!A:N,5,FALSE)</f>
        <v>=DISPIMG("ID_8F251EF4E6F240DFA49083E4E405686D",1)</v>
      </c>
      <c r="C71" s="30" t="str">
        <f>VLOOKUP(A:A,笔记匹配!A:N,3,FALSE)</f>
        <v>茜茜子</v>
      </c>
      <c r="D71" s="30" t="str">
        <f>VLOOKUP(A:A,笔记匹配!A:N,6,FALSE)</f>
        <v>我真的很会瘦肚子❗️</v>
      </c>
      <c r="E71" s="30" t="str">
        <f>VLOOKUP(A:A,笔记匹配!A:N,7,FALSE)</f>
        <v>https://www.xiaohongshu.com/discovery/item/62a86da600000000210394c6</v>
      </c>
      <c r="F71" s="65">
        <f>VLOOKUP(A:A,笔记匹配!A:N,8,FALSE)</f>
        <v>44726</v>
      </c>
      <c r="G71" s="66" t="str">
        <f>VLOOKUP(A:A,笔记匹配!A:P,15,FALSE)</f>
        <v>2022-06-16</v>
      </c>
      <c r="H71" s="30" t="str">
        <f>VLOOKUP(A:A,笔记匹配!A:N,9,FALSE)</f>
        <v>视频</v>
      </c>
      <c r="I71" s="30" t="str">
        <f>VLOOKUP(A:A,笔记匹配!A:N,2,FALSE)</f>
        <v>体脂秤</v>
      </c>
      <c r="J71" s="30" t="str">
        <f>VLOOKUP(A:A,笔记匹配!A:N,4,FALSE)</f>
        <v>云麦3mini体脂秤</v>
      </c>
      <c r="K71" s="30" t="str">
        <f>VLOOKUP(A:A,笔记匹配!A:N,14,FALSE)</f>
        <v>云麦体脂秤3mini</v>
      </c>
      <c r="L71" s="3">
        <f>VLOOKUP(A:A,笔记匹配!A:N,10,FALSE)</f>
        <v>20000</v>
      </c>
      <c r="M71" s="3">
        <f>VLOOKUP(A:A,笔记匹配!A:N,11,FALSE)</f>
        <v>15000</v>
      </c>
      <c r="N71" s="69">
        <f>VLOOKUP(A:A,笔记匹配!A:N,12,FALSE)</f>
        <v>123</v>
      </c>
      <c r="O71" s="2">
        <f t="shared" si="7"/>
        <v>35123</v>
      </c>
      <c r="P71" s="3">
        <f>IFERROR(VLOOKUP(A:A,信息流数据源!A:K,2,FALSE),0)</f>
        <v>0</v>
      </c>
      <c r="Q71" s="71">
        <f>IFERROR(VLOOKUP(A:A,信息流数据源!A:N,5,FALSE),0)</f>
        <v>0</v>
      </c>
      <c r="R71" s="72">
        <f>IFERROR(VLOOKUP(A:A,信息流数据源!A:N,6,FALSE),0)</f>
        <v>0</v>
      </c>
      <c r="S71" s="2">
        <f>IFERROR(VLOOKUP(A:A,信息流数据源!A:N,9,FALSE),0)</f>
        <v>0</v>
      </c>
      <c r="T71" s="3">
        <f>IFERROR(VLOOKUP(A:A,信息流数据源!A:N,13,FALSE),0)</f>
        <v>0</v>
      </c>
      <c r="U71" s="73">
        <f>IFERROR(VLOOKUP(A:A,信息流数据源!A:N,14,FALSE),0)</f>
        <v>0</v>
      </c>
      <c r="V71" s="74">
        <f>IFERROR(VLOOKUP(A:A,信息流数据源!A:O,15,FALSE),0)</f>
        <v>0</v>
      </c>
      <c r="W71" s="3">
        <f>IFERROR(VLOOKUP(A:A,搜索数据源!A:T,2,FALSE),0)</f>
        <v>0</v>
      </c>
      <c r="X71" s="71">
        <f>IFERROR(VLOOKUP(A:A,搜索数据源!A:T,5,FALSE),0)</f>
        <v>0</v>
      </c>
      <c r="Y71" s="73">
        <f>IFERROR(VLOOKUP(A:A,搜索数据源!A:T,6,FALSE),0)</f>
        <v>0</v>
      </c>
      <c r="Z71" s="3">
        <f>IFERROR(VLOOKUP(A:A,搜索数据源!A:T,9,FALSE),0)</f>
        <v>0</v>
      </c>
      <c r="AA71" s="3" t="e">
        <f>VLOOKUP(A:A,[1]搜索数据源!A:T,13,FALSE)</f>
        <v>#N/A</v>
      </c>
      <c r="AB71" s="72">
        <f>IFERROR(VLOOKUP(A:A,搜索数据源!A:T,14,FALSE),0)</f>
        <v>0</v>
      </c>
      <c r="AC71" s="69" t="str">
        <f>_xlfn.DISPIMG("ID_958FC02C304346CE95BD9A166EF82A3B",1)</f>
        <v>=DISPIMG("ID_958FC02C304346CE95BD9A166EF82A3B",1)</v>
      </c>
      <c r="AD71" s="4" t="s">
        <v>474</v>
      </c>
      <c r="AE71" s="75">
        <v>44731</v>
      </c>
      <c r="AF71" s="3">
        <v>1016.02</v>
      </c>
      <c r="AG71" s="2">
        <v>25483</v>
      </c>
      <c r="AH71" s="69" t="str">
        <f>_xlfn.DISPIMG("ID_F0A83CB16C034BD39B93B5D2DA172A32",1)</f>
        <v>=DISPIMG("ID_F0A83CB16C034BD39B93B5D2DA172A32",1)</v>
      </c>
      <c r="AI71" s="4" t="s">
        <v>475</v>
      </c>
      <c r="AJ71" s="4">
        <v>6</v>
      </c>
      <c r="AK71" s="4">
        <v>0</v>
      </c>
      <c r="AL71" s="4">
        <f t="shared" si="5"/>
        <v>-6</v>
      </c>
      <c r="AM71" s="81">
        <f t="shared" si="6"/>
        <v>-169.336666666667</v>
      </c>
      <c r="AN71" s="5">
        <f>IFERROR(VLOOKUP(A:A,回搜数据源!B:N,4,FALSE),0)</f>
        <v>0</v>
      </c>
      <c r="AO71" s="5">
        <f>IFERROR(VLOOKUP(A:A,回搜数据源!B:N,5,FALSE),0)</f>
        <v>0</v>
      </c>
    </row>
    <row r="72" s="57" customFormat="1" ht="100" hidden="1" customHeight="1" spans="1:41">
      <c r="A72" s="4" t="s">
        <v>476</v>
      </c>
      <c r="B72" s="3" t="str">
        <f>VLOOKUP(A:A,笔记匹配!A:N,5,FALSE)</f>
        <v>=DISPIMG("ID_4F59F7460C2642D2A80586478E4200B0",1)</v>
      </c>
      <c r="C72" s="30" t="str">
        <f>VLOOKUP(A:A,笔记匹配!A:N,3,FALSE)</f>
        <v>雪碧要加冰-</v>
      </c>
      <c r="D72" s="30" t="str">
        <f>VLOOKUP(A:A,笔记匹配!A:N,6,FALSE)</f>
        <v>提前给男友准备的生日🎁他开心的合不拢嘴</v>
      </c>
      <c r="E72" s="30" t="str">
        <f>VLOOKUP(A:A,笔记匹配!A:N,7,FALSE)</f>
        <v>https://www.xiaohongshu.com/discovery/item/630055e2000000001b007e50</v>
      </c>
      <c r="F72" s="65">
        <f>VLOOKUP(A:A,笔记匹配!A:N,8,FALSE)</f>
        <v>44793</v>
      </c>
      <c r="G72" s="66" t="str">
        <f>VLOOKUP(A:A,笔记匹配!A:P,15,FALSE)</f>
        <v>2022-08-31</v>
      </c>
      <c r="H72" s="30" t="str">
        <f>VLOOKUP(A:A,笔记匹配!A:N,9,FALSE)</f>
        <v>图文</v>
      </c>
      <c r="I72" s="30" t="str">
        <f>VLOOKUP(A:A,笔记匹配!A:N,2,FALSE)</f>
        <v>筋膜枪</v>
      </c>
      <c r="J72" s="30" t="str">
        <f>VLOOKUP(A:A,笔记匹配!A:N,4,FALSE)</f>
        <v>云麦筋膜枪pb2</v>
      </c>
      <c r="K72" s="30" t="str">
        <f>VLOOKUP(A:A,笔记匹配!A:N,14,FALSE)</f>
        <v>云麦筋膜枪pb2</v>
      </c>
      <c r="L72" s="3">
        <f>VLOOKUP(A:A,笔记匹配!A:N,10,FALSE)</f>
        <v>183</v>
      </c>
      <c r="M72" s="3">
        <f>VLOOKUP(A:A,笔记匹配!A:N,11,FALSE)</f>
        <v>181</v>
      </c>
      <c r="N72" s="69">
        <f>VLOOKUP(A:A,笔记匹配!A:N,12,FALSE)</f>
        <v>31</v>
      </c>
      <c r="O72" s="2">
        <f t="shared" si="7"/>
        <v>395</v>
      </c>
      <c r="P72" s="3">
        <f>IFERROR(VLOOKUP(A:A,信息流数据源!A:K,2,FALSE),0)</f>
        <v>0</v>
      </c>
      <c r="Q72" s="71">
        <f>IFERROR(VLOOKUP(A:A,信息流数据源!A:N,5,FALSE),0)</f>
        <v>0</v>
      </c>
      <c r="R72" s="72">
        <f>IFERROR(VLOOKUP(A:A,信息流数据源!A:N,6,FALSE),0)</f>
        <v>0</v>
      </c>
      <c r="S72" s="2">
        <f>IFERROR(VLOOKUP(A:A,信息流数据源!A:N,9,FALSE),0)</f>
        <v>0</v>
      </c>
      <c r="T72" s="3">
        <f>IFERROR(VLOOKUP(A:A,信息流数据源!A:N,13,FALSE),0)</f>
        <v>0</v>
      </c>
      <c r="U72" s="73">
        <f>IFERROR(VLOOKUP(A:A,信息流数据源!A:N,14,FALSE),0)</f>
        <v>0</v>
      </c>
      <c r="V72" s="74">
        <f>IFERROR(VLOOKUP(A:A,信息流数据源!A:O,15,FALSE),0)</f>
        <v>0</v>
      </c>
      <c r="W72" s="3">
        <f>IFERROR(VLOOKUP(A:A,搜索数据源!A:T,2,FALSE),0)</f>
        <v>0</v>
      </c>
      <c r="X72" s="71">
        <f>IFERROR(VLOOKUP(A:A,搜索数据源!A:T,5,FALSE),0)</f>
        <v>0</v>
      </c>
      <c r="Y72" s="73">
        <f>IFERROR(VLOOKUP(A:A,搜索数据源!A:T,6,FALSE),0)</f>
        <v>0</v>
      </c>
      <c r="Z72" s="3">
        <f>IFERROR(VLOOKUP(A:A,搜索数据源!A:T,9,FALSE),0)</f>
        <v>0</v>
      </c>
      <c r="AA72" s="3" t="e">
        <f>VLOOKUP(A:A,[1]搜索数据源!A:T,13,FALSE)</f>
        <v>#N/A</v>
      </c>
      <c r="AB72" s="72">
        <f>IFERROR(VLOOKUP(A:A,搜索数据源!A:T,14,FALSE),0)</f>
        <v>0</v>
      </c>
      <c r="AC72" s="69" t="str">
        <f>_xlfn.DISPIMG("ID_FC87D17D017D4E89AAAA75475F60A8D9",1)</f>
        <v>=DISPIMG("ID_FC87D17D017D4E89AAAA75475F60A8D9",1)</v>
      </c>
      <c r="AD72" s="4" t="s">
        <v>477</v>
      </c>
      <c r="AE72" s="69"/>
      <c r="AF72" s="77"/>
      <c r="AG72" s="2"/>
      <c r="AH72" s="69"/>
      <c r="AI72" s="4"/>
      <c r="AJ72" s="4"/>
      <c r="AK72" s="4"/>
      <c r="AL72" s="4">
        <f t="shared" si="5"/>
        <v>0</v>
      </c>
      <c r="AM72" s="81">
        <f t="shared" si="6"/>
        <v>0</v>
      </c>
      <c r="AN72" s="5">
        <f>IFERROR(VLOOKUP(A:A,回搜数据源!B:N,4,FALSE),0)</f>
        <v>0.0178571428571428</v>
      </c>
      <c r="AO72" s="5">
        <f>IFERROR(VLOOKUP(A:A,回搜数据源!B:N,5,FALSE),0)</f>
        <v>0</v>
      </c>
    </row>
    <row r="73" s="57" customFormat="1" ht="100" hidden="1" customHeight="1" spans="1:41">
      <c r="A73" s="4" t="s">
        <v>476</v>
      </c>
      <c r="B73" s="3" t="str">
        <f>VLOOKUP(A:A,笔记匹配!A:N,5,FALSE)</f>
        <v>=DISPIMG("ID_4F59F7460C2642D2A80586478E4200B0",1)</v>
      </c>
      <c r="C73" s="30" t="str">
        <f>VLOOKUP(A:A,笔记匹配!A:N,3,FALSE)</f>
        <v>雪碧要加冰-</v>
      </c>
      <c r="D73" s="30" t="str">
        <f>VLOOKUP(A:A,笔记匹配!A:N,6,FALSE)</f>
        <v>提前给男友准备的生日🎁他开心的合不拢嘴</v>
      </c>
      <c r="E73" s="30" t="str">
        <f>VLOOKUP(A:A,笔记匹配!A:N,7,FALSE)</f>
        <v>https://www.xiaohongshu.com/discovery/item/630055e2000000001b007e50</v>
      </c>
      <c r="F73" s="65">
        <f>VLOOKUP(A:A,笔记匹配!A:N,8,FALSE)</f>
        <v>44793</v>
      </c>
      <c r="G73" s="66" t="str">
        <f>VLOOKUP(A:A,笔记匹配!A:P,15,FALSE)</f>
        <v>2022-08-31</v>
      </c>
      <c r="H73" s="30" t="str">
        <f>VLOOKUP(A:A,笔记匹配!A:N,9,FALSE)</f>
        <v>图文</v>
      </c>
      <c r="I73" s="30" t="str">
        <f>VLOOKUP(A:A,笔记匹配!A:N,2,FALSE)</f>
        <v>筋膜枪</v>
      </c>
      <c r="J73" s="30" t="str">
        <f>VLOOKUP(A:A,笔记匹配!A:N,4,FALSE)</f>
        <v>云麦筋膜枪pb2</v>
      </c>
      <c r="K73" s="30" t="str">
        <f>VLOOKUP(A:A,笔记匹配!A:N,14,FALSE)</f>
        <v>云麦筋膜枪pb2</v>
      </c>
      <c r="L73" s="3">
        <f>VLOOKUP(A:A,笔记匹配!A:N,10,FALSE)</f>
        <v>183</v>
      </c>
      <c r="M73" s="3">
        <f>VLOOKUP(A:A,笔记匹配!A:N,11,FALSE)</f>
        <v>181</v>
      </c>
      <c r="N73" s="69">
        <f>VLOOKUP(A:A,笔记匹配!A:N,12,FALSE)</f>
        <v>31</v>
      </c>
      <c r="O73" s="2">
        <f t="shared" si="7"/>
        <v>395</v>
      </c>
      <c r="P73" s="3">
        <f>IFERROR(VLOOKUP(A:A,信息流数据源!A:K,2,FALSE),0)</f>
        <v>0</v>
      </c>
      <c r="Q73" s="71">
        <f>IFERROR(VLOOKUP(A:A,信息流数据源!A:N,5,FALSE),0)</f>
        <v>0</v>
      </c>
      <c r="R73" s="72">
        <f>IFERROR(VLOOKUP(A:A,信息流数据源!A:N,6,FALSE),0)</f>
        <v>0</v>
      </c>
      <c r="S73" s="2">
        <f>IFERROR(VLOOKUP(A:A,信息流数据源!A:N,9,FALSE),0)</f>
        <v>0</v>
      </c>
      <c r="T73" s="3">
        <f>IFERROR(VLOOKUP(A:A,信息流数据源!A:N,13,FALSE),0)</f>
        <v>0</v>
      </c>
      <c r="U73" s="73">
        <f>IFERROR(VLOOKUP(A:A,信息流数据源!A:N,14,FALSE),0)</f>
        <v>0</v>
      </c>
      <c r="V73" s="74">
        <f>IFERROR(VLOOKUP(A:A,信息流数据源!A:O,15,FALSE),0)</f>
        <v>0</v>
      </c>
      <c r="W73" s="3">
        <f>IFERROR(VLOOKUP(A:A,搜索数据源!A:T,2,FALSE),0)</f>
        <v>0</v>
      </c>
      <c r="X73" s="71">
        <f>IFERROR(VLOOKUP(A:A,搜索数据源!A:T,5,FALSE),0)</f>
        <v>0</v>
      </c>
      <c r="Y73" s="73">
        <f>IFERROR(VLOOKUP(A:A,搜索数据源!A:T,6,FALSE),0)</f>
        <v>0</v>
      </c>
      <c r="Z73" s="3">
        <f>IFERROR(VLOOKUP(A:A,搜索数据源!A:T,9,FALSE),0)</f>
        <v>0</v>
      </c>
      <c r="AA73" s="3" t="e">
        <f>VLOOKUP(A:A,[1]搜索数据源!A:T,13,FALSE)</f>
        <v>#N/A</v>
      </c>
      <c r="AB73" s="72">
        <f>IFERROR(VLOOKUP(A:A,搜索数据源!A:T,14,FALSE),0)</f>
        <v>0</v>
      </c>
      <c r="AC73" s="69" t="str">
        <f>_xlfn.DISPIMG("ID_FC87D17D017D4E89AAAA75475F60A8D9",1)</f>
        <v>=DISPIMG("ID_FC87D17D017D4E89AAAA75475F60A8D9",1)</v>
      </c>
      <c r="AD73" s="4" t="s">
        <v>477</v>
      </c>
      <c r="AE73" s="69"/>
      <c r="AF73" s="77"/>
      <c r="AG73" s="2"/>
      <c r="AH73" s="69"/>
      <c r="AI73" s="4"/>
      <c r="AJ73" s="4"/>
      <c r="AK73" s="4"/>
      <c r="AL73" s="4">
        <f t="shared" si="5"/>
        <v>0</v>
      </c>
      <c r="AM73" s="81">
        <f t="shared" si="6"/>
        <v>0</v>
      </c>
      <c r="AN73" s="5">
        <f>IFERROR(VLOOKUP(A:A,回搜数据源!B:N,4,FALSE),0)</f>
        <v>0.0178571428571428</v>
      </c>
      <c r="AO73" s="5">
        <f>IFERROR(VLOOKUP(A:A,回搜数据源!B:N,5,FALSE),0)</f>
        <v>0</v>
      </c>
    </row>
    <row r="74" s="57" customFormat="1" ht="100" hidden="1" customHeight="1" spans="1:41">
      <c r="A74" s="4" t="s">
        <v>271</v>
      </c>
      <c r="B74" s="3" t="str">
        <f>VLOOKUP(A:A,笔记匹配!A:N,5,FALSE)</f>
        <v>=DISPIMG("ID_76126D4CBA2241119ABAED6960326892",1)</v>
      </c>
      <c r="C74" s="30" t="str">
        <f>VLOOKUP(A:A,笔记匹配!A:N,3,FALSE)</f>
        <v>爱健身的陈淼淼</v>
      </c>
      <c r="D74" s="30" t="str">
        <f>VLOOKUP(A:A,笔记匹配!A:N,6,FALSE)</f>
        <v>真的有用‼️小腿外翻改善了，一定要试试❗</v>
      </c>
      <c r="E74" s="30" t="str">
        <f>VLOOKUP(A:A,笔记匹配!A:N,7,FALSE)</f>
        <v>https://www.xiaohongshu.com/discovery/item/6360d1d5000000000600811c</v>
      </c>
      <c r="F74" s="65">
        <f>VLOOKUP(A:A,笔记匹配!A:N,8,FALSE)</f>
        <v>44866</v>
      </c>
      <c r="G74" s="66" t="str">
        <f>VLOOKUP(A:A,笔记匹配!A:P,15,FALSE)</f>
        <v>2022-11-02</v>
      </c>
      <c r="H74" s="30" t="str">
        <f>VLOOKUP(A:A,笔记匹配!A:N,9,FALSE)</f>
        <v>视频</v>
      </c>
      <c r="I74" s="30" t="str">
        <f>VLOOKUP(A:A,笔记匹配!A:N,2,FALSE)</f>
        <v>筋膜枪</v>
      </c>
      <c r="J74" s="30" t="str">
        <f>VLOOKUP(A:A,笔记匹配!A:N,4,FALSE)</f>
        <v>云麦筋膜枪pb2</v>
      </c>
      <c r="K74" s="30" t="str">
        <f>VLOOKUP(A:A,笔记匹配!A:N,14,FALSE)</f>
        <v>云麦筋膜枪pb2</v>
      </c>
      <c r="L74" s="3">
        <f>VLOOKUP(A:A,笔记匹配!A:N,10,FALSE)</f>
        <v>492</v>
      </c>
      <c r="M74" s="3">
        <f>VLOOKUP(A:A,笔记匹配!A:N,11,FALSE)</f>
        <v>558</v>
      </c>
      <c r="N74" s="69">
        <f>VLOOKUP(A:A,笔记匹配!A:N,12,FALSE)</f>
        <v>18</v>
      </c>
      <c r="O74" s="2">
        <f t="shared" si="7"/>
        <v>1068</v>
      </c>
      <c r="P74" s="3">
        <f>IFERROR(VLOOKUP(A:A,信息流数据源!A:K,2,FALSE),0)</f>
        <v>0</v>
      </c>
      <c r="Q74" s="71">
        <f>IFERROR(VLOOKUP(A:A,信息流数据源!A:N,5,FALSE),0)</f>
        <v>0</v>
      </c>
      <c r="R74" s="72">
        <f>IFERROR(VLOOKUP(A:A,信息流数据源!A:N,6,FALSE),0)</f>
        <v>0</v>
      </c>
      <c r="S74" s="2">
        <f>IFERROR(VLOOKUP(A:A,信息流数据源!A:N,9,FALSE),0)</f>
        <v>0</v>
      </c>
      <c r="T74" s="3">
        <f>IFERROR(VLOOKUP(A:A,信息流数据源!A:N,13,FALSE),0)</f>
        <v>0</v>
      </c>
      <c r="U74" s="73">
        <f>IFERROR(VLOOKUP(A:A,信息流数据源!A:N,14,FALSE),0)</f>
        <v>0</v>
      </c>
      <c r="V74" s="74">
        <f>IFERROR(VLOOKUP(A:A,信息流数据源!A:O,15,FALSE),0)</f>
        <v>0</v>
      </c>
      <c r="W74" s="3">
        <f>IFERROR(VLOOKUP(A:A,搜索数据源!A:T,2,FALSE),0)</f>
        <v>0</v>
      </c>
      <c r="X74" s="71">
        <f>IFERROR(VLOOKUP(A:A,搜索数据源!A:T,5,FALSE),0)</f>
        <v>0</v>
      </c>
      <c r="Y74" s="73">
        <f>IFERROR(VLOOKUP(A:A,搜索数据源!A:T,6,FALSE),0)</f>
        <v>0</v>
      </c>
      <c r="Z74" s="3">
        <f>IFERROR(VLOOKUP(A:A,搜索数据源!A:T,9,FALSE),0)</f>
        <v>0</v>
      </c>
      <c r="AA74" s="3" t="e">
        <f>VLOOKUP(A:A,[1]搜索数据源!A:T,13,FALSE)</f>
        <v>#N/A</v>
      </c>
      <c r="AB74" s="72">
        <f>IFERROR(VLOOKUP(A:A,搜索数据源!A:T,14,FALSE),0)</f>
        <v>0</v>
      </c>
      <c r="AC74" s="30" t="str">
        <f>_xlfn.DISPIMG("ID_808F0A7B0EF64F20A62EBB0C3D97F3AB",1)</f>
        <v>=DISPIMG("ID_808F0A7B0EF64F20A62EBB0C3D97F3AB",1)</v>
      </c>
      <c r="AD74" s="4" t="s">
        <v>478</v>
      </c>
      <c r="AE74" s="84">
        <v>44870</v>
      </c>
      <c r="AF74" s="3">
        <v>2010.66</v>
      </c>
      <c r="AG74" s="2">
        <v>4354</v>
      </c>
      <c r="AH74" s="30" t="str">
        <f>_xlfn.DISPIMG("ID_25FE1CC35F204753ABEA7E73B658ED5C",1)</f>
        <v>=DISPIMG("ID_25FE1CC35F204753ABEA7E73B658ED5C",1)</v>
      </c>
      <c r="AI74" s="4" t="s">
        <v>479</v>
      </c>
      <c r="AJ74" s="69">
        <v>142</v>
      </c>
      <c r="AK74" s="69">
        <v>56</v>
      </c>
      <c r="AL74" s="4">
        <f t="shared" si="5"/>
        <v>-86</v>
      </c>
      <c r="AM74" s="81">
        <f>AF74/AL74</f>
        <v>-23.3797674418605</v>
      </c>
      <c r="AN74" s="5">
        <f>IFERROR(VLOOKUP(A:A,回搜数据源!B:N,4,FALSE),0)</f>
        <v>0</v>
      </c>
      <c r="AO74" s="5">
        <f>IFERROR(VLOOKUP(A:A,回搜数据源!B:N,5,FALSE),0)</f>
        <v>0</v>
      </c>
    </row>
    <row r="75" s="57" customFormat="1" ht="100" hidden="1" customHeight="1" spans="1:41">
      <c r="A75" s="4" t="s">
        <v>480</v>
      </c>
      <c r="B75" s="3" t="str">
        <f>VLOOKUP(A:A,笔记匹配!A:N,5,FALSE)</f>
        <v>=DISPIMG("ID_9FAA472BC68E475497717F7BF36F6FA3",1)</v>
      </c>
      <c r="C75" s="30" t="str">
        <f>VLOOKUP(A:A,笔记匹配!A:N,3,FALSE)</f>
        <v>马可乐cora</v>
      </c>
      <c r="D75" s="30" t="str">
        <f>VLOOKUP(A:A,笔记匹配!A:N,6,FALSE)</f>
        <v>‼️真心劝你们想成功瘦下来这6件事别再做了</v>
      </c>
      <c r="E75" s="30" t="str">
        <f>VLOOKUP(A:A,笔记匹配!A:N,7,FALSE)</f>
        <v>https://www.xiaohongshu.com/discovery/item/62a6fd32000000001d0141d2</v>
      </c>
      <c r="F75" s="65">
        <f>VLOOKUP(A:A,笔记匹配!A:N,8,FALSE)</f>
        <v>44725</v>
      </c>
      <c r="G75" s="66" t="str">
        <f>VLOOKUP(A:A,笔记匹配!A:P,15,FALSE)</f>
        <v>2022-06-15</v>
      </c>
      <c r="H75" s="30" t="str">
        <f>VLOOKUP(A:A,笔记匹配!A:N,9,FALSE)</f>
        <v>视频</v>
      </c>
      <c r="I75" s="30" t="str">
        <f>VLOOKUP(A:A,笔记匹配!A:N,2,FALSE)</f>
        <v>体脂秤</v>
      </c>
      <c r="J75" s="30" t="str">
        <f>VLOOKUP(A:A,笔记匹配!A:N,4,FALSE)</f>
        <v>云麦3mini（无埋词）</v>
      </c>
      <c r="K75" s="30" t="str">
        <f>VLOOKUP(A:A,笔记匹配!A:N,14,FALSE)</f>
        <v>云麦体脂秤3mini</v>
      </c>
      <c r="L75" s="3">
        <f>VLOOKUP(A:A,笔记匹配!A:N,10,FALSE)</f>
        <v>62000</v>
      </c>
      <c r="M75" s="3">
        <f>VLOOKUP(A:A,笔记匹配!A:N,11,FALSE)</f>
        <v>55000</v>
      </c>
      <c r="N75" s="69">
        <f>VLOOKUP(A:A,笔记匹配!A:N,12,FALSE)</f>
        <v>938</v>
      </c>
      <c r="O75" s="2">
        <f t="shared" si="7"/>
        <v>117938</v>
      </c>
      <c r="P75" s="3">
        <f>IFERROR(VLOOKUP(A:A,信息流数据源!A:K,2,FALSE),0)</f>
        <v>0</v>
      </c>
      <c r="Q75" s="71">
        <f>IFERROR(VLOOKUP(A:A,信息流数据源!A:N,5,FALSE),0)</f>
        <v>0</v>
      </c>
      <c r="R75" s="72">
        <f>IFERROR(VLOOKUP(A:A,信息流数据源!A:N,6,FALSE),0)</f>
        <v>0</v>
      </c>
      <c r="S75" s="2">
        <f>IFERROR(VLOOKUP(A:A,信息流数据源!A:N,9,FALSE),0)</f>
        <v>0</v>
      </c>
      <c r="T75" s="3">
        <f>IFERROR(VLOOKUP(A:A,信息流数据源!A:N,13,FALSE),0)</f>
        <v>0</v>
      </c>
      <c r="U75" s="73">
        <f>IFERROR(VLOOKUP(A:A,信息流数据源!A:N,14,FALSE),0)</f>
        <v>0</v>
      </c>
      <c r="V75" s="74">
        <f>IFERROR(VLOOKUP(A:A,信息流数据源!A:O,15,FALSE),0)</f>
        <v>0</v>
      </c>
      <c r="W75" s="3">
        <f>IFERROR(VLOOKUP(A:A,搜索数据源!A:T,2,FALSE),0)</f>
        <v>0</v>
      </c>
      <c r="X75" s="71">
        <f>IFERROR(VLOOKUP(A:A,搜索数据源!A:T,5,FALSE),0)</f>
        <v>0</v>
      </c>
      <c r="Y75" s="73">
        <f>IFERROR(VLOOKUP(A:A,搜索数据源!A:T,6,FALSE),0)</f>
        <v>0</v>
      </c>
      <c r="Z75" s="3">
        <f>IFERROR(VLOOKUP(A:A,搜索数据源!A:T,9,FALSE),0)</f>
        <v>0</v>
      </c>
      <c r="AA75" s="3" t="e">
        <f>VLOOKUP(A:A,[1]搜索数据源!A:T,13,FALSE)</f>
        <v>#N/A</v>
      </c>
      <c r="AB75" s="72">
        <f>IFERROR(VLOOKUP(A:A,搜索数据源!A:T,14,FALSE),0)</f>
        <v>0</v>
      </c>
      <c r="AC75" s="69" t="str">
        <f>_xlfn.DISPIMG("ID_F322428B6F9A4CE9BBD5F2A0262A9BF2",1)</f>
        <v>=DISPIMG("ID_F322428B6F9A4CE9BBD5F2A0262A9BF2",1)</v>
      </c>
      <c r="AD75" s="4" t="s">
        <v>481</v>
      </c>
      <c r="AE75" s="75">
        <v>44785</v>
      </c>
      <c r="AF75" s="69">
        <v>1011.77</v>
      </c>
      <c r="AG75" s="2">
        <v>7402</v>
      </c>
      <c r="AH75" s="69" t="str">
        <f>_xlfn.DISPIMG("ID_D88DEB9398FB464CA53EE735AE9209EC",1)</f>
        <v>=DISPIMG("ID_D88DEB9398FB464CA53EE735AE9209EC",1)</v>
      </c>
      <c r="AI75" s="4" t="s">
        <v>482</v>
      </c>
      <c r="AJ75" s="69">
        <v>41</v>
      </c>
      <c r="AK75" s="69">
        <v>38</v>
      </c>
      <c r="AL75" s="4">
        <f t="shared" si="5"/>
        <v>-3</v>
      </c>
      <c r="AM75" s="81">
        <f t="shared" ref="AM75:AM96" si="8">IFERROR(AF75/AL75,0)</f>
        <v>-337.256666666667</v>
      </c>
      <c r="AN75" s="5">
        <f>IFERROR(VLOOKUP(A:A,回搜数据源!B:N,4,FALSE),0)</f>
        <v>0</v>
      </c>
      <c r="AO75" s="5">
        <f>IFERROR(VLOOKUP(A:A,回搜数据源!B:N,5,FALSE),0)</f>
        <v>0</v>
      </c>
    </row>
    <row r="76" s="57" customFormat="1" ht="100" hidden="1" customHeight="1" spans="1:41">
      <c r="A76" s="4" t="s">
        <v>483</v>
      </c>
      <c r="B76" s="3" t="str">
        <f>VLOOKUP(A:A,笔记匹配!A:N,5,FALSE)</f>
        <v>=DISPIMG("ID_EB840292A2E2463E9661AF31428E7157",1)</v>
      </c>
      <c r="C76" s="30" t="str">
        <f>VLOOKUP(A:A,笔记匹配!A:N,3,FALSE)</f>
        <v>六月炎妍</v>
      </c>
      <c r="D76" s="30" t="str">
        <f>VLOOKUP(A:A,笔记匹配!A:N,6,FALSE)</f>
        <v>体脂秤监测|瘦了23斤的经验无保留分享</v>
      </c>
      <c r="E76" s="30" t="str">
        <f>VLOOKUP(A:A,笔记匹配!A:N,7,FALSE)</f>
        <v>https://www.xiaohongshu.com/discovery/item/62a045ea000000002103a321</v>
      </c>
      <c r="F76" s="65">
        <f>VLOOKUP(A:A,笔记匹配!A:N,8,FALSE)</f>
        <v>44720</v>
      </c>
      <c r="G76" s="66" t="str">
        <f>VLOOKUP(A:A,笔记匹配!A:P,15,FALSE)</f>
        <v>2022-06-14</v>
      </c>
      <c r="H76" s="30" t="str">
        <f>VLOOKUP(A:A,笔记匹配!A:N,9,FALSE)</f>
        <v>图文</v>
      </c>
      <c r="I76" s="30" t="str">
        <f>VLOOKUP(A:A,笔记匹配!A:N,2,FALSE)</f>
        <v>体脂秤</v>
      </c>
      <c r="J76" s="30" t="str">
        <f>VLOOKUP(A:A,笔记匹配!A:N,4,FALSE)</f>
        <v>云麦3mini</v>
      </c>
      <c r="K76" s="30" t="str">
        <f>VLOOKUP(A:A,笔记匹配!A:N,14,FALSE)</f>
        <v>云麦体脂秤3mini</v>
      </c>
      <c r="L76" s="3">
        <f>VLOOKUP(A:A,笔记匹配!A:N,10,FALSE)</f>
        <v>3319</v>
      </c>
      <c r="M76" s="3">
        <f>VLOOKUP(A:A,笔记匹配!A:N,11,FALSE)</f>
        <v>1941</v>
      </c>
      <c r="N76" s="69">
        <f>VLOOKUP(A:A,笔记匹配!A:N,12,FALSE)</f>
        <v>131</v>
      </c>
      <c r="O76" s="2">
        <f t="shared" si="7"/>
        <v>5391</v>
      </c>
      <c r="P76" s="3">
        <f>IFERROR(VLOOKUP(A:A,信息流数据源!A:K,2,FALSE),0)</f>
        <v>0</v>
      </c>
      <c r="Q76" s="71">
        <f>IFERROR(VLOOKUP(A:A,信息流数据源!A:N,5,FALSE),0)</f>
        <v>0</v>
      </c>
      <c r="R76" s="72">
        <f>IFERROR(VLOOKUP(A:A,信息流数据源!A:N,6,FALSE),0)</f>
        <v>0</v>
      </c>
      <c r="S76" s="2">
        <f>IFERROR(VLOOKUP(A:A,信息流数据源!A:N,9,FALSE),0)</f>
        <v>0</v>
      </c>
      <c r="T76" s="3">
        <f>IFERROR(VLOOKUP(A:A,信息流数据源!A:N,13,FALSE),0)</f>
        <v>0</v>
      </c>
      <c r="U76" s="73">
        <f>IFERROR(VLOOKUP(A:A,信息流数据源!A:N,14,FALSE),0)</f>
        <v>0</v>
      </c>
      <c r="V76" s="74">
        <f>IFERROR(VLOOKUP(A:A,信息流数据源!A:O,15,FALSE),0)</f>
        <v>0</v>
      </c>
      <c r="W76" s="3">
        <f>IFERROR(VLOOKUP(A:A,搜索数据源!A:T,2,FALSE),0)</f>
        <v>0</v>
      </c>
      <c r="X76" s="71">
        <f>IFERROR(VLOOKUP(A:A,搜索数据源!A:T,5,FALSE),0)</f>
        <v>0</v>
      </c>
      <c r="Y76" s="73">
        <f>IFERROR(VLOOKUP(A:A,搜索数据源!A:T,6,FALSE),0)</f>
        <v>0</v>
      </c>
      <c r="Z76" s="3">
        <f>IFERROR(VLOOKUP(A:A,搜索数据源!A:T,9,FALSE),0)</f>
        <v>0</v>
      </c>
      <c r="AA76" s="3" t="e">
        <f>VLOOKUP(A:A,[1]搜索数据源!A:T,13,FALSE)</f>
        <v>#N/A</v>
      </c>
      <c r="AB76" s="72">
        <f>IFERROR(VLOOKUP(A:A,搜索数据源!A:T,14,FALSE),0)</f>
        <v>0</v>
      </c>
      <c r="AC76" s="69" t="str">
        <f>_xlfn.DISPIMG("ID_1772A7EC4757442AB736240397668C62",1)</f>
        <v>=DISPIMG("ID_1772A7EC4757442AB736240397668C62",1)</v>
      </c>
      <c r="AD76" s="4" t="s">
        <v>484</v>
      </c>
      <c r="AE76" s="75">
        <v>44729</v>
      </c>
      <c r="AF76" s="69">
        <v>1681.13</v>
      </c>
      <c r="AG76" s="2">
        <v>10531</v>
      </c>
      <c r="AH76" s="69" t="str">
        <f>_xlfn.DISPIMG("ID_ABD59D84923D4DB788EF444DA940EF8D",1)</f>
        <v>=DISPIMG("ID_ABD59D84923D4DB788EF444DA940EF8D",1)</v>
      </c>
      <c r="AI76" s="4" t="s">
        <v>485</v>
      </c>
      <c r="AJ76" s="69">
        <v>63</v>
      </c>
      <c r="AK76" s="69">
        <v>41</v>
      </c>
      <c r="AL76" s="4">
        <f t="shared" si="5"/>
        <v>-22</v>
      </c>
      <c r="AM76" s="81">
        <f t="shared" si="8"/>
        <v>-76.415</v>
      </c>
      <c r="AN76" s="5">
        <f>IFERROR(VLOOKUP(A:A,回搜数据源!B:N,4,FALSE),0)</f>
        <v>0</v>
      </c>
      <c r="AO76" s="5">
        <f>IFERROR(VLOOKUP(A:A,回搜数据源!B:N,5,FALSE),0)</f>
        <v>0</v>
      </c>
    </row>
    <row r="77" s="57" customFormat="1" ht="100" hidden="1" customHeight="1" spans="1:41">
      <c r="A77" s="4" t="s">
        <v>486</v>
      </c>
      <c r="B77" s="3" t="str">
        <f>VLOOKUP(A:A,笔记匹配!A:N,5,FALSE)</f>
        <v>=DISPIMG("ID_912D918303A84192953F7ADE4A516B06",1)</v>
      </c>
      <c r="C77" s="30" t="str">
        <f>VLOOKUP(A:A,笔记匹配!A:N,3,FALSE)</f>
        <v>小月月</v>
      </c>
      <c r="D77" s="30" t="str">
        <f>VLOOKUP(A:A,笔记匹配!A:N,6,FALSE)</f>
        <v>体重秤上的数字告诉我：你是个失败者</v>
      </c>
      <c r="E77" s="30" t="str">
        <f>VLOOKUP(A:A,笔记匹配!A:N,7,FALSE)</f>
        <v>https://www.xiaohongshu.com/discovery/item/62a461080000000001029226</v>
      </c>
      <c r="F77" s="65">
        <f>VLOOKUP(A:A,笔记匹配!A:N,8,FALSE)</f>
        <v>44724</v>
      </c>
      <c r="G77" s="66" t="str">
        <f>VLOOKUP(A:A,笔记匹配!A:P,15,FALSE)</f>
        <v>2022-06-14</v>
      </c>
      <c r="H77" s="30" t="str">
        <f>VLOOKUP(A:A,笔记匹配!A:N,9,FALSE)</f>
        <v>视频</v>
      </c>
      <c r="I77" s="30" t="str">
        <f>VLOOKUP(A:A,笔记匹配!A:N,2,FALSE)</f>
        <v>体脂秤</v>
      </c>
      <c r="J77" s="30" t="str">
        <f>VLOOKUP(A:A,笔记匹配!A:N,4,FALSE)</f>
        <v>云麦体脂秤3</v>
      </c>
      <c r="K77" s="30" t="str">
        <f>VLOOKUP(A:A,笔记匹配!A:N,14,FALSE)</f>
        <v>云麦体脂秤3</v>
      </c>
      <c r="L77" s="3">
        <f>VLOOKUP(A:A,笔记匹配!A:N,10,FALSE)</f>
        <v>334</v>
      </c>
      <c r="M77" s="3">
        <f>VLOOKUP(A:A,笔记匹配!A:N,11,FALSE)</f>
        <v>33</v>
      </c>
      <c r="N77" s="69">
        <f>VLOOKUP(A:A,笔记匹配!A:N,12,FALSE)</f>
        <v>23</v>
      </c>
      <c r="O77" s="2">
        <f t="shared" si="7"/>
        <v>390</v>
      </c>
      <c r="P77" s="3">
        <f>IFERROR(VLOOKUP(A:A,信息流数据源!A:K,2,FALSE),0)</f>
        <v>0</v>
      </c>
      <c r="Q77" s="71">
        <f>IFERROR(VLOOKUP(A:A,信息流数据源!A:N,5,FALSE),0)</f>
        <v>0</v>
      </c>
      <c r="R77" s="72">
        <f>IFERROR(VLOOKUP(A:A,信息流数据源!A:N,6,FALSE),0)</f>
        <v>0</v>
      </c>
      <c r="S77" s="2">
        <f>IFERROR(VLOOKUP(A:A,信息流数据源!A:N,9,FALSE),0)</f>
        <v>0</v>
      </c>
      <c r="T77" s="3">
        <f>IFERROR(VLOOKUP(A:A,信息流数据源!A:N,13,FALSE),0)</f>
        <v>0</v>
      </c>
      <c r="U77" s="73">
        <f>IFERROR(VLOOKUP(A:A,信息流数据源!A:N,14,FALSE),0)</f>
        <v>0</v>
      </c>
      <c r="V77" s="74">
        <f>IFERROR(VLOOKUP(A:A,信息流数据源!A:O,15,FALSE),0)</f>
        <v>0</v>
      </c>
      <c r="W77" s="3">
        <f>IFERROR(VLOOKUP(A:A,搜索数据源!A:T,2,FALSE),0)</f>
        <v>0</v>
      </c>
      <c r="X77" s="71">
        <f>IFERROR(VLOOKUP(A:A,搜索数据源!A:T,5,FALSE),0)</f>
        <v>0</v>
      </c>
      <c r="Y77" s="73">
        <f>IFERROR(VLOOKUP(A:A,搜索数据源!A:T,6,FALSE),0)</f>
        <v>0</v>
      </c>
      <c r="Z77" s="3">
        <f>IFERROR(VLOOKUP(A:A,搜索数据源!A:T,9,FALSE),0)</f>
        <v>0</v>
      </c>
      <c r="AA77" s="3" t="e">
        <f>VLOOKUP(A:A,[1]搜索数据源!A:T,13,FALSE)</f>
        <v>#N/A</v>
      </c>
      <c r="AB77" s="72">
        <f>IFERROR(VLOOKUP(A:A,搜索数据源!A:T,14,FALSE),0)</f>
        <v>0</v>
      </c>
      <c r="AC77" s="78" t="str">
        <f>_xlfn.DISPIMG("ID_8399BC5D079D4ADD93E056260D4D67B6",1)</f>
        <v>=DISPIMG("ID_8399BC5D079D4ADD93E056260D4D67B6",1)</v>
      </c>
      <c r="AD77" s="4" t="s">
        <v>487</v>
      </c>
      <c r="AE77" s="79">
        <v>44729</v>
      </c>
      <c r="AF77" s="3">
        <v>2489.03</v>
      </c>
      <c r="AG77" s="2">
        <v>13028</v>
      </c>
      <c r="AH77" s="69" t="str">
        <f>_xlfn.DISPIMG("ID_E6EF8EA15A4143EA871A6103BD4DBBA4",1)</f>
        <v>=DISPIMG("ID_E6EF8EA15A4143EA871A6103BD4DBBA4",1)</v>
      </c>
      <c r="AI77" s="4" t="s">
        <v>485</v>
      </c>
      <c r="AJ77" s="4">
        <v>63</v>
      </c>
      <c r="AK77" s="4">
        <v>41</v>
      </c>
      <c r="AL77" s="4">
        <f t="shared" si="5"/>
        <v>-22</v>
      </c>
      <c r="AM77" s="81">
        <f t="shared" si="8"/>
        <v>-113.137727272727</v>
      </c>
      <c r="AN77" s="5">
        <f>IFERROR(VLOOKUP(A:A,回搜数据源!B:N,4,FALSE),0)</f>
        <v>0</v>
      </c>
      <c r="AO77" s="5">
        <f>IFERROR(VLOOKUP(A:A,回搜数据源!B:N,5,FALSE),0)</f>
        <v>0</v>
      </c>
    </row>
    <row r="78" s="57" customFormat="1" ht="100" hidden="1" customHeight="1" spans="1:41">
      <c r="A78" s="4" t="s">
        <v>488</v>
      </c>
      <c r="B78" s="3" t="str">
        <f>VLOOKUP(A:A,笔记匹配!A:N,5,FALSE)</f>
        <v>=DISPIMG("ID_34DF0104CCB44B21A98155B0B4140130",1)</v>
      </c>
      <c r="C78" s="30" t="str">
        <f>VLOOKUP(A:A,笔记匹配!A:N,3,FALSE)</f>
        <v>板野友美iii</v>
      </c>
      <c r="D78" s="30" t="str">
        <f>VLOOKUP(A:A,笔记匹配!A:N,6,FALSE)</f>
        <v>这小东西真的可以拯救肩颈酸痛！后悔用晚了！</v>
      </c>
      <c r="E78" s="30" t="str">
        <f>VLOOKUP(A:A,笔记匹配!A:N,7,FALSE)</f>
        <v>https://www.xiaohongshu.com/discovery/item/62fc81290000000016037396</v>
      </c>
      <c r="F78" s="65">
        <f>VLOOKUP(A:A,笔记匹配!A:N,8,FALSE)</f>
        <v>44790</v>
      </c>
      <c r="G78" s="66" t="str">
        <f>VLOOKUP(A:A,笔记匹配!A:P,15,FALSE)</f>
        <v>2022-08-18</v>
      </c>
      <c r="H78" s="30" t="str">
        <f>VLOOKUP(A:A,笔记匹配!A:N,9,FALSE)</f>
        <v>图文</v>
      </c>
      <c r="I78" s="30" t="str">
        <f>VLOOKUP(A:A,笔记匹配!A:N,2,FALSE)</f>
        <v>筋膜枪</v>
      </c>
      <c r="J78" s="30" t="str">
        <f>VLOOKUP(A:A,笔记匹配!A:N,4,FALSE)</f>
        <v>云麦筋膜枪PB2</v>
      </c>
      <c r="K78" s="30" t="str">
        <f>VLOOKUP(A:A,笔记匹配!A:N,14,FALSE)</f>
        <v>云麦筋膜枪pb2</v>
      </c>
      <c r="L78" s="3">
        <f>VLOOKUP(A:A,笔记匹配!A:N,10,FALSE)</f>
        <v>182</v>
      </c>
      <c r="M78" s="3">
        <f>VLOOKUP(A:A,笔记匹配!A:N,11,FALSE)</f>
        <v>130</v>
      </c>
      <c r="N78" s="69">
        <f>VLOOKUP(A:A,笔记匹配!A:N,12,FALSE)</f>
        <v>42</v>
      </c>
      <c r="O78" s="2">
        <f t="shared" si="7"/>
        <v>354</v>
      </c>
      <c r="P78" s="3">
        <f>IFERROR(VLOOKUP(A:A,信息流数据源!A:K,2,FALSE),0)</f>
        <v>0</v>
      </c>
      <c r="Q78" s="71">
        <f>IFERROR(VLOOKUP(A:A,信息流数据源!A:N,5,FALSE),0)</f>
        <v>0</v>
      </c>
      <c r="R78" s="72">
        <f>IFERROR(VLOOKUP(A:A,信息流数据源!A:N,6,FALSE),0)</f>
        <v>0</v>
      </c>
      <c r="S78" s="2">
        <f>IFERROR(VLOOKUP(A:A,信息流数据源!A:N,9,FALSE),0)</f>
        <v>0</v>
      </c>
      <c r="T78" s="3">
        <f>IFERROR(VLOOKUP(A:A,信息流数据源!A:N,13,FALSE),0)</f>
        <v>0</v>
      </c>
      <c r="U78" s="73">
        <f>IFERROR(VLOOKUP(A:A,信息流数据源!A:N,14,FALSE),0)</f>
        <v>0</v>
      </c>
      <c r="V78" s="74">
        <f>IFERROR(VLOOKUP(A:A,信息流数据源!A:O,15,FALSE),0)</f>
        <v>0</v>
      </c>
      <c r="W78" s="3">
        <f>IFERROR(VLOOKUP(A:A,搜索数据源!A:T,2,FALSE),0)</f>
        <v>0</v>
      </c>
      <c r="X78" s="71">
        <f>IFERROR(VLOOKUP(A:A,搜索数据源!A:T,5,FALSE),0)</f>
        <v>0</v>
      </c>
      <c r="Y78" s="73">
        <f>IFERROR(VLOOKUP(A:A,搜索数据源!A:T,6,FALSE),0)</f>
        <v>0</v>
      </c>
      <c r="Z78" s="3">
        <f>IFERROR(VLOOKUP(A:A,搜索数据源!A:T,9,FALSE),0)</f>
        <v>0</v>
      </c>
      <c r="AA78" s="3" t="e">
        <f>VLOOKUP(A:A,[1]搜索数据源!A:T,13,FALSE)</f>
        <v>#N/A</v>
      </c>
      <c r="AB78" s="72">
        <f>IFERROR(VLOOKUP(A:A,搜索数据源!A:T,14,FALSE),0)</f>
        <v>0</v>
      </c>
      <c r="AC78" s="69" t="str">
        <f>_xlfn.DISPIMG("ID_83A25C4E93B84A0F8B3D3CC93A5D1855",1)</f>
        <v>=DISPIMG("ID_83A25C4E93B84A0F8B3D3CC93A5D1855",1)</v>
      </c>
      <c r="AD78" s="4" t="s">
        <v>489</v>
      </c>
      <c r="AE78" s="69"/>
      <c r="AF78" s="77"/>
      <c r="AG78" s="2"/>
      <c r="AH78" s="69"/>
      <c r="AI78" s="4"/>
      <c r="AJ78" s="4"/>
      <c r="AK78" s="4"/>
      <c r="AL78" s="4">
        <f t="shared" si="5"/>
        <v>0</v>
      </c>
      <c r="AM78" s="81">
        <f t="shared" si="8"/>
        <v>0</v>
      </c>
      <c r="AN78" s="5">
        <f>IFERROR(VLOOKUP(A:A,回搜数据源!B:N,4,FALSE),0)</f>
        <v>0.00251889168765743</v>
      </c>
      <c r="AO78" s="5">
        <f>IFERROR(VLOOKUP(A:A,回搜数据源!B:N,5,FALSE),0)</f>
        <v>0</v>
      </c>
    </row>
    <row r="79" s="57" customFormat="1" ht="100" hidden="1" customHeight="1" spans="1:41">
      <c r="A79" s="4" t="s">
        <v>488</v>
      </c>
      <c r="B79" s="3" t="str">
        <f>VLOOKUP(A:A,笔记匹配!A:N,5,FALSE)</f>
        <v>=DISPIMG("ID_34DF0104CCB44B21A98155B0B4140130",1)</v>
      </c>
      <c r="C79" s="30" t="str">
        <f>VLOOKUP(A:A,笔记匹配!A:N,3,FALSE)</f>
        <v>板野友美iii</v>
      </c>
      <c r="D79" s="30" t="str">
        <f>VLOOKUP(A:A,笔记匹配!A:N,6,FALSE)</f>
        <v>这小东西真的可以拯救肩颈酸痛！后悔用晚了！</v>
      </c>
      <c r="E79" s="30" t="str">
        <f>VLOOKUP(A:A,笔记匹配!A:N,7,FALSE)</f>
        <v>https://www.xiaohongshu.com/discovery/item/62fc81290000000016037396</v>
      </c>
      <c r="F79" s="65">
        <f>VLOOKUP(A:A,笔记匹配!A:N,8,FALSE)</f>
        <v>44790</v>
      </c>
      <c r="G79" s="66" t="str">
        <f>VLOOKUP(A:A,笔记匹配!A:P,15,FALSE)</f>
        <v>2022-08-18</v>
      </c>
      <c r="H79" s="30" t="str">
        <f>VLOOKUP(A:A,笔记匹配!A:N,9,FALSE)</f>
        <v>图文</v>
      </c>
      <c r="I79" s="30" t="str">
        <f>VLOOKUP(A:A,笔记匹配!A:N,2,FALSE)</f>
        <v>筋膜枪</v>
      </c>
      <c r="J79" s="30" t="str">
        <f>VLOOKUP(A:A,笔记匹配!A:N,4,FALSE)</f>
        <v>云麦筋膜枪PB2</v>
      </c>
      <c r="K79" s="30" t="str">
        <f>VLOOKUP(A:A,笔记匹配!A:N,14,FALSE)</f>
        <v>云麦筋膜枪pb2</v>
      </c>
      <c r="L79" s="3">
        <f>VLOOKUP(A:A,笔记匹配!A:N,10,FALSE)</f>
        <v>182</v>
      </c>
      <c r="M79" s="3">
        <f>VLOOKUP(A:A,笔记匹配!A:N,11,FALSE)</f>
        <v>130</v>
      </c>
      <c r="N79" s="69">
        <f>VLOOKUP(A:A,笔记匹配!A:N,12,FALSE)</f>
        <v>42</v>
      </c>
      <c r="O79" s="2">
        <f t="shared" si="7"/>
        <v>354</v>
      </c>
      <c r="P79" s="3">
        <f>IFERROR(VLOOKUP(A:A,信息流数据源!A:K,2,FALSE),0)</f>
        <v>0</v>
      </c>
      <c r="Q79" s="71">
        <f>IFERROR(VLOOKUP(A:A,信息流数据源!A:N,5,FALSE),0)</f>
        <v>0</v>
      </c>
      <c r="R79" s="72">
        <f>IFERROR(VLOOKUP(A:A,信息流数据源!A:N,6,FALSE),0)</f>
        <v>0</v>
      </c>
      <c r="S79" s="2">
        <f>IFERROR(VLOOKUP(A:A,信息流数据源!A:N,9,FALSE),0)</f>
        <v>0</v>
      </c>
      <c r="T79" s="3">
        <f>IFERROR(VLOOKUP(A:A,信息流数据源!A:N,13,FALSE),0)</f>
        <v>0</v>
      </c>
      <c r="U79" s="73">
        <f>IFERROR(VLOOKUP(A:A,信息流数据源!A:N,14,FALSE),0)</f>
        <v>0</v>
      </c>
      <c r="V79" s="74">
        <f>IFERROR(VLOOKUP(A:A,信息流数据源!A:O,15,FALSE),0)</f>
        <v>0</v>
      </c>
      <c r="W79" s="3">
        <f>IFERROR(VLOOKUP(A:A,搜索数据源!A:T,2,FALSE),0)</f>
        <v>0</v>
      </c>
      <c r="X79" s="71">
        <f>IFERROR(VLOOKUP(A:A,搜索数据源!A:T,5,FALSE),0)</f>
        <v>0</v>
      </c>
      <c r="Y79" s="73">
        <f>IFERROR(VLOOKUP(A:A,搜索数据源!A:T,6,FALSE),0)</f>
        <v>0</v>
      </c>
      <c r="Z79" s="3">
        <f>IFERROR(VLOOKUP(A:A,搜索数据源!A:T,9,FALSE),0)</f>
        <v>0</v>
      </c>
      <c r="AA79" s="3" t="e">
        <f>VLOOKUP(A:A,[1]搜索数据源!A:T,13,FALSE)</f>
        <v>#N/A</v>
      </c>
      <c r="AB79" s="72">
        <f>IFERROR(VLOOKUP(A:A,搜索数据源!A:T,14,FALSE),0)</f>
        <v>0</v>
      </c>
      <c r="AC79" s="69" t="str">
        <f>_xlfn.DISPIMG("ID_83A25C4E93B84A0F8B3D3CC93A5D1855",1)</f>
        <v>=DISPIMG("ID_83A25C4E93B84A0F8B3D3CC93A5D1855",1)</v>
      </c>
      <c r="AD79" s="4" t="s">
        <v>489</v>
      </c>
      <c r="AE79" s="69"/>
      <c r="AF79" s="77"/>
      <c r="AG79" s="2"/>
      <c r="AH79" s="69"/>
      <c r="AI79" s="4"/>
      <c r="AJ79" s="4"/>
      <c r="AK79" s="4"/>
      <c r="AL79" s="4">
        <f t="shared" si="5"/>
        <v>0</v>
      </c>
      <c r="AM79" s="81">
        <f t="shared" si="8"/>
        <v>0</v>
      </c>
      <c r="AN79" s="5">
        <f>IFERROR(VLOOKUP(A:A,回搜数据源!B:N,4,FALSE),0)</f>
        <v>0.00251889168765743</v>
      </c>
      <c r="AO79" s="5">
        <f>IFERROR(VLOOKUP(A:A,回搜数据源!B:N,5,FALSE),0)</f>
        <v>0</v>
      </c>
    </row>
    <row r="80" s="57" customFormat="1" ht="100" hidden="1" customHeight="1" spans="1:41">
      <c r="A80" s="4" t="s">
        <v>490</v>
      </c>
      <c r="B80" s="3" t="str">
        <f>VLOOKUP(A:A,笔记匹配!A:N,5,FALSE)</f>
        <v>=DISPIMG("ID_BC91049A639C4F8082BFF5D9BAEB73FC",1)</v>
      </c>
      <c r="C80" s="30" t="str">
        <f>VLOOKUP(A:A,笔记匹配!A:N,3,FALSE)</f>
        <v>丫丫小姐姐</v>
      </c>
      <c r="D80" s="30" t="str">
        <f>VLOOKUP(A:A,笔记匹配!A:N,6,FALSE)</f>
        <v>产后辣妈恢复秘诀 | 学会这样跳不瘦都不行</v>
      </c>
      <c r="E80" s="30" t="str">
        <f>VLOOKUP(A:A,笔记匹配!A:N,7,FALSE)</f>
        <v>https://www.xiaohongshu.com/discovery/item/629434dd0000000021038af3</v>
      </c>
      <c r="F80" s="65">
        <f>VLOOKUP(A:A,笔记匹配!A:N,8,FALSE)</f>
        <v>44711</v>
      </c>
      <c r="G80" s="66" t="str">
        <f>VLOOKUP(A:A,笔记匹配!A:P,15,FALSE)</f>
        <v>2022-06-08</v>
      </c>
      <c r="H80" s="30" t="str">
        <f>VLOOKUP(A:A,笔记匹配!A:N,9,FALSE)</f>
        <v>视频</v>
      </c>
      <c r="I80" s="30" t="str">
        <f>VLOOKUP(A:A,笔记匹配!A:N,2,FALSE)</f>
        <v>跳绳</v>
      </c>
      <c r="J80" s="30" t="str">
        <f>VLOOKUP(A:A,笔记匹配!A:N,4,FALSE)</f>
        <v>云麦心率跳绳</v>
      </c>
      <c r="K80" s="30" t="str">
        <f>VLOOKUP(A:A,笔记匹配!A:N,14,FALSE)</f>
        <v>云麦心率跳绳</v>
      </c>
      <c r="L80" s="3">
        <f>VLOOKUP(A:A,笔记匹配!A:N,10,FALSE)</f>
        <v>613</v>
      </c>
      <c r="M80" s="3">
        <f>VLOOKUP(A:A,笔记匹配!A:N,11,FALSE)</f>
        <v>287</v>
      </c>
      <c r="N80" s="69">
        <f>VLOOKUP(A:A,笔记匹配!A:N,12,FALSE)</f>
        <v>53</v>
      </c>
      <c r="O80" s="2">
        <f t="shared" si="7"/>
        <v>953</v>
      </c>
      <c r="P80" s="3">
        <f>IFERROR(VLOOKUP(A:A,信息流数据源!A:K,2,FALSE),0)</f>
        <v>0</v>
      </c>
      <c r="Q80" s="71">
        <f>IFERROR(VLOOKUP(A:A,信息流数据源!A:N,5,FALSE),0)</f>
        <v>0</v>
      </c>
      <c r="R80" s="72">
        <f>IFERROR(VLOOKUP(A:A,信息流数据源!A:N,6,FALSE),0)</f>
        <v>0</v>
      </c>
      <c r="S80" s="2">
        <f>IFERROR(VLOOKUP(A:A,信息流数据源!A:N,9,FALSE),0)</f>
        <v>0</v>
      </c>
      <c r="T80" s="3">
        <f>IFERROR(VLOOKUP(A:A,信息流数据源!A:N,13,FALSE),0)</f>
        <v>0</v>
      </c>
      <c r="U80" s="73">
        <f>IFERROR(VLOOKUP(A:A,信息流数据源!A:N,14,FALSE),0)</f>
        <v>0</v>
      </c>
      <c r="V80" s="74">
        <f>IFERROR(VLOOKUP(A:A,信息流数据源!A:O,15,FALSE),0)</f>
        <v>0</v>
      </c>
      <c r="W80" s="3">
        <f>IFERROR(VLOOKUP(A:A,搜索数据源!A:T,2,FALSE),0)</f>
        <v>0</v>
      </c>
      <c r="X80" s="71">
        <f>IFERROR(VLOOKUP(A:A,搜索数据源!A:T,5,FALSE),0)</f>
        <v>0</v>
      </c>
      <c r="Y80" s="73">
        <f>IFERROR(VLOOKUP(A:A,搜索数据源!A:T,6,FALSE),0)</f>
        <v>0</v>
      </c>
      <c r="Z80" s="3">
        <f>IFERROR(VLOOKUP(A:A,搜索数据源!A:T,9,FALSE),0)</f>
        <v>0</v>
      </c>
      <c r="AA80" s="3" t="e">
        <f>VLOOKUP(A:A,[1]搜索数据源!A:T,13,FALSE)</f>
        <v>#N/A</v>
      </c>
      <c r="AB80" s="72">
        <f>IFERROR(VLOOKUP(A:A,搜索数据源!A:T,14,FALSE),0)</f>
        <v>0</v>
      </c>
      <c r="AC80" s="69"/>
      <c r="AD80" s="69"/>
      <c r="AE80" s="69"/>
      <c r="AF80" s="69"/>
      <c r="AG80" s="2"/>
      <c r="AH80" s="69"/>
      <c r="AI80" s="69"/>
      <c r="AJ80" s="69"/>
      <c r="AK80" s="69"/>
      <c r="AL80" s="4">
        <f t="shared" si="5"/>
        <v>0</v>
      </c>
      <c r="AM80" s="81">
        <f t="shared" si="8"/>
        <v>0</v>
      </c>
      <c r="AN80" s="5">
        <f>IFERROR(VLOOKUP(A:A,回搜数据源!B:N,4,FALSE),0)</f>
        <v>0</v>
      </c>
      <c r="AO80" s="5">
        <f>IFERROR(VLOOKUP(A:A,回搜数据源!B:N,5,FALSE),0)</f>
        <v>0</v>
      </c>
    </row>
    <row r="81" s="57" customFormat="1" ht="100" hidden="1" customHeight="1" spans="1:41">
      <c r="A81" s="4" t="s">
        <v>491</v>
      </c>
      <c r="B81" s="3" t="str">
        <f>VLOOKUP(A:A,笔记匹配!A:N,5,FALSE)</f>
        <v>=DISPIMG("ID_BFCE16E47C0240E7920BE3C01EDCFA38",1)</v>
      </c>
      <c r="C81" s="30" t="str">
        <f>VLOOKUP(A:A,笔记匹配!A:N,3,FALSE)</f>
        <v>辣妈含含</v>
      </c>
      <c r="D81" s="30" t="str">
        <f>VLOOKUP(A:A,笔记匹配!A:N,6,FALSE)</f>
        <v>辣妈养成|产后重回少女身材～</v>
      </c>
      <c r="E81" s="30" t="str">
        <f>VLOOKUP(A:A,笔记匹配!A:N,7,FALSE)</f>
        <v>https://www.xiaohongshu.com/discovery/item/6299f16c000000000102ddd2</v>
      </c>
      <c r="F81" s="65">
        <f>VLOOKUP(A:A,笔记匹配!A:N,8,FALSE)</f>
        <v>44715</v>
      </c>
      <c r="G81" s="66" t="str">
        <f>VLOOKUP(A:A,笔记匹配!A:P,15,FALSE)</f>
        <v>2022-06-07</v>
      </c>
      <c r="H81" s="30" t="str">
        <f>VLOOKUP(A:A,笔记匹配!A:N,9,FALSE)</f>
        <v>图文</v>
      </c>
      <c r="I81" s="30" t="str">
        <f>VLOOKUP(A:A,笔记匹配!A:N,2,FALSE)</f>
        <v>体脂秤</v>
      </c>
      <c r="J81" s="30" t="str">
        <f>VLOOKUP(A:A,笔记匹配!A:N,4,FALSE)</f>
        <v>云麦体脂秤3</v>
      </c>
      <c r="K81" s="30" t="str">
        <f>VLOOKUP(A:A,笔记匹配!A:N,14,FALSE)</f>
        <v>云麦体脂秤3</v>
      </c>
      <c r="L81" s="3">
        <f>VLOOKUP(A:A,笔记匹配!A:N,10,FALSE)</f>
        <v>208</v>
      </c>
      <c r="M81" s="3">
        <f>VLOOKUP(A:A,笔记匹配!A:N,11,FALSE)</f>
        <v>48</v>
      </c>
      <c r="N81" s="69">
        <f>VLOOKUP(A:A,笔记匹配!A:N,12,FALSE)</f>
        <v>50</v>
      </c>
      <c r="O81" s="2">
        <f t="shared" si="7"/>
        <v>306</v>
      </c>
      <c r="P81" s="3">
        <f>IFERROR(VLOOKUP(A:A,信息流数据源!A:K,2,FALSE),0)</f>
        <v>0</v>
      </c>
      <c r="Q81" s="71">
        <f>IFERROR(VLOOKUP(A:A,信息流数据源!A:N,5,FALSE),0)</f>
        <v>0</v>
      </c>
      <c r="R81" s="72">
        <f>IFERROR(VLOOKUP(A:A,信息流数据源!A:N,6,FALSE),0)</f>
        <v>0</v>
      </c>
      <c r="S81" s="2">
        <f>IFERROR(VLOOKUP(A:A,信息流数据源!A:N,9,FALSE),0)</f>
        <v>0</v>
      </c>
      <c r="T81" s="3">
        <f>IFERROR(VLOOKUP(A:A,信息流数据源!A:N,13,FALSE),0)</f>
        <v>0</v>
      </c>
      <c r="U81" s="73">
        <f>IFERROR(VLOOKUP(A:A,信息流数据源!A:N,14,FALSE),0)</f>
        <v>0</v>
      </c>
      <c r="V81" s="74">
        <f>IFERROR(VLOOKUP(A:A,信息流数据源!A:O,15,FALSE),0)</f>
        <v>0</v>
      </c>
      <c r="W81" s="3">
        <f>IFERROR(VLOOKUP(A:A,搜索数据源!A:T,2,FALSE),0)</f>
        <v>0</v>
      </c>
      <c r="X81" s="71">
        <f>IFERROR(VLOOKUP(A:A,搜索数据源!A:T,5,FALSE),0)</f>
        <v>0</v>
      </c>
      <c r="Y81" s="73">
        <f>IFERROR(VLOOKUP(A:A,搜索数据源!A:T,6,FALSE),0)</f>
        <v>0</v>
      </c>
      <c r="Z81" s="3">
        <f>IFERROR(VLOOKUP(A:A,搜索数据源!A:T,9,FALSE),0)</f>
        <v>0</v>
      </c>
      <c r="AA81" s="3" t="e">
        <f>VLOOKUP(A:A,[1]搜索数据源!A:T,13,FALSE)</f>
        <v>#N/A</v>
      </c>
      <c r="AB81" s="72">
        <f>IFERROR(VLOOKUP(A:A,搜索数据源!A:T,14,FALSE),0)</f>
        <v>0</v>
      </c>
      <c r="AC81" s="69" t="str">
        <f>_xlfn.DISPIMG("ID_31EAA9283F004F138FC7C62691F571A2",1)</f>
        <v>=DISPIMG("ID_31EAA9283F004F138FC7C62691F571A2",1)</v>
      </c>
      <c r="AD81" s="4" t="s">
        <v>492</v>
      </c>
      <c r="AE81" s="75">
        <v>44720</v>
      </c>
      <c r="AF81" s="3">
        <v>740.76</v>
      </c>
      <c r="AG81" s="2">
        <v>9020</v>
      </c>
      <c r="AH81" s="69" t="str">
        <f>_xlfn.DISPIMG("ID_F0EC91AE9CB947018B020B2C5D585439",1)</f>
        <v>=DISPIMG("ID_F0EC91AE9CB947018B020B2C5D585439",1)</v>
      </c>
      <c r="AI81" s="4" t="s">
        <v>493</v>
      </c>
      <c r="AJ81" s="4">
        <v>17</v>
      </c>
      <c r="AK81" s="4">
        <v>16</v>
      </c>
      <c r="AL81" s="4">
        <f t="shared" si="5"/>
        <v>-1</v>
      </c>
      <c r="AM81" s="81">
        <f t="shared" si="8"/>
        <v>-740.76</v>
      </c>
      <c r="AN81" s="5">
        <f>IFERROR(VLOOKUP(A:A,回搜数据源!B:N,4,FALSE),0)</f>
        <v>0</v>
      </c>
      <c r="AO81" s="5">
        <f>IFERROR(VLOOKUP(A:A,回搜数据源!B:N,5,FALSE),0)</f>
        <v>0</v>
      </c>
    </row>
    <row r="82" s="57" customFormat="1" ht="100" hidden="1" customHeight="1" spans="1:41">
      <c r="A82" s="4" t="s">
        <v>494</v>
      </c>
      <c r="B82" s="3" t="str">
        <f>VLOOKUP(A:A,笔记匹配!A:N,5,FALSE)</f>
        <v>=DISPIMG("ID_DBC9865B846140CE9AC57F3C931BA171",1)</v>
      </c>
      <c r="C82" s="30" t="str">
        <f>VLOOKUP(A:A,笔记匹配!A:N,3,FALSE)</f>
        <v>凯琳KatherineW</v>
      </c>
      <c r="D82" s="30" t="str">
        <f>VLOOKUP(A:A,笔记匹配!A:N,6,FALSE)</f>
        <v>无绳卡点暴汗230卡跟练 ｜小基数瘦腿瘦全身</v>
      </c>
      <c r="E82" s="30" t="str">
        <f>VLOOKUP(A:A,笔记匹配!A:N,7,FALSE)</f>
        <v>https://www.xiaohongshu.com/discovery/item/6290b2bb0000000021036eee</v>
      </c>
      <c r="F82" s="65">
        <f>VLOOKUP(A:A,笔记匹配!A:N,8,FALSE)</f>
        <v>44709</v>
      </c>
      <c r="G82" s="66" t="str">
        <f>VLOOKUP(A:A,笔记匹配!A:P,15,FALSE)</f>
        <v>2022-06-07</v>
      </c>
      <c r="H82" s="30" t="str">
        <f>VLOOKUP(A:A,笔记匹配!A:N,9,FALSE)</f>
        <v>视频</v>
      </c>
      <c r="I82" s="30" t="str">
        <f>VLOOKUP(A:A,笔记匹配!A:N,2,FALSE)</f>
        <v>跳绳</v>
      </c>
      <c r="J82" s="30" t="str">
        <f>VLOOKUP(A:A,笔记匹配!A:N,4,FALSE)</f>
        <v>云麦心率跳绳</v>
      </c>
      <c r="K82" s="30" t="str">
        <f>VLOOKUP(A:A,笔记匹配!A:N,14,FALSE)</f>
        <v>云麦心率跳绳</v>
      </c>
      <c r="L82" s="3">
        <f>VLOOKUP(A:A,笔记匹配!A:N,10,FALSE)</f>
        <v>846</v>
      </c>
      <c r="M82" s="3">
        <f>VLOOKUP(A:A,笔记匹配!A:N,11,FALSE)</f>
        <v>786</v>
      </c>
      <c r="N82" s="69">
        <f>VLOOKUP(A:A,笔记匹配!A:N,12,FALSE)</f>
        <v>105</v>
      </c>
      <c r="O82" s="2">
        <f t="shared" si="7"/>
        <v>1737</v>
      </c>
      <c r="P82" s="3">
        <f>IFERROR(VLOOKUP(A:A,信息流数据源!A:K,2,FALSE),0)</f>
        <v>0</v>
      </c>
      <c r="Q82" s="71">
        <f>IFERROR(VLOOKUP(A:A,信息流数据源!A:N,5,FALSE),0)</f>
        <v>0</v>
      </c>
      <c r="R82" s="72">
        <f>IFERROR(VLOOKUP(A:A,信息流数据源!A:N,6,FALSE),0)</f>
        <v>0</v>
      </c>
      <c r="S82" s="2">
        <f>IFERROR(VLOOKUP(A:A,信息流数据源!A:N,9,FALSE),0)</f>
        <v>0</v>
      </c>
      <c r="T82" s="3">
        <f>IFERROR(VLOOKUP(A:A,信息流数据源!A:N,13,FALSE),0)</f>
        <v>0</v>
      </c>
      <c r="U82" s="73">
        <f>IFERROR(VLOOKUP(A:A,信息流数据源!A:N,14,FALSE),0)</f>
        <v>0</v>
      </c>
      <c r="V82" s="74">
        <f>IFERROR(VLOOKUP(A:A,信息流数据源!A:O,15,FALSE),0)</f>
        <v>0</v>
      </c>
      <c r="W82" s="3">
        <f>IFERROR(VLOOKUP(A:A,搜索数据源!A:T,2,FALSE),0)</f>
        <v>0</v>
      </c>
      <c r="X82" s="71">
        <f>IFERROR(VLOOKUP(A:A,搜索数据源!A:T,5,FALSE),0)</f>
        <v>0</v>
      </c>
      <c r="Y82" s="73">
        <f>IFERROR(VLOOKUP(A:A,搜索数据源!A:T,6,FALSE),0)</f>
        <v>0</v>
      </c>
      <c r="Z82" s="3">
        <f>IFERROR(VLOOKUP(A:A,搜索数据源!A:T,9,FALSE),0)</f>
        <v>0</v>
      </c>
      <c r="AA82" s="3" t="e">
        <f>VLOOKUP(A:A,[1]搜索数据源!A:T,13,FALSE)</f>
        <v>#N/A</v>
      </c>
      <c r="AB82" s="72">
        <f>IFERROR(VLOOKUP(A:A,搜索数据源!A:T,14,FALSE),0)</f>
        <v>0</v>
      </c>
      <c r="AC82" s="69"/>
      <c r="AD82" s="69"/>
      <c r="AE82" s="69"/>
      <c r="AF82" s="69"/>
      <c r="AG82" s="2"/>
      <c r="AH82" s="69"/>
      <c r="AI82" s="69"/>
      <c r="AJ82" s="69"/>
      <c r="AK82" s="69"/>
      <c r="AL82" s="4">
        <f t="shared" si="5"/>
        <v>0</v>
      </c>
      <c r="AM82" s="81">
        <f t="shared" si="8"/>
        <v>0</v>
      </c>
      <c r="AN82" s="5">
        <f>IFERROR(VLOOKUP(A:A,回搜数据源!B:N,4,FALSE),0)</f>
        <v>0</v>
      </c>
      <c r="AO82" s="5">
        <f>IFERROR(VLOOKUP(A:A,回搜数据源!B:N,5,FALSE),0)</f>
        <v>0</v>
      </c>
    </row>
    <row r="83" s="57" customFormat="1" ht="100" hidden="1" customHeight="1" spans="1:41">
      <c r="A83" s="4" t="s">
        <v>495</v>
      </c>
      <c r="B83" s="3" t="str">
        <f>VLOOKUP(A:A,笔记匹配!A:N,5,FALSE)</f>
        <v>=DISPIMG("ID_0CEDD2D832FA4D338B1220A036D19882",1)</v>
      </c>
      <c r="C83" s="30" t="str">
        <f>VLOOKUP(A:A,笔记匹配!A:N,3,FALSE)</f>
        <v>桃子酱酱</v>
      </c>
      <c r="D83" s="30" t="str">
        <f>VLOOKUP(A:A,笔记匹配!A:N,6,FALSE)</f>
        <v>爱运动的姐妹！筋膜枪放松法get一下！</v>
      </c>
      <c r="E83" s="30" t="str">
        <f>VLOOKUP(A:A,笔记匹配!A:N,7,FALSE)</f>
        <v>https://www.xiaohongshu.com/discovery/item/630096c8000000001800de5a</v>
      </c>
      <c r="F83" s="65">
        <f>VLOOKUP(A:A,笔记匹配!A:N,8,FALSE)</f>
        <v>44795</v>
      </c>
      <c r="G83" s="66" t="str">
        <f>VLOOKUP(A:A,笔记匹配!A:P,15,FALSE)</f>
        <v>2022-08-23</v>
      </c>
      <c r="H83" s="30" t="str">
        <f>VLOOKUP(A:A,笔记匹配!A:N,9,FALSE)</f>
        <v>图文</v>
      </c>
      <c r="I83" s="30" t="str">
        <f>VLOOKUP(A:A,笔记匹配!A:N,2,FALSE)</f>
        <v>筋膜枪</v>
      </c>
      <c r="J83" s="30" t="str">
        <f>VLOOKUP(A:A,笔记匹配!A:N,4,FALSE)</f>
        <v>云麦筋膜枪pb2</v>
      </c>
      <c r="K83" s="30" t="str">
        <f>VLOOKUP(A:A,笔记匹配!A:N,14,FALSE)</f>
        <v>云麦筋膜枪pb2</v>
      </c>
      <c r="L83" s="3">
        <f>VLOOKUP(A:A,笔记匹配!A:N,10,FALSE)</f>
        <v>210</v>
      </c>
      <c r="M83" s="3">
        <f>VLOOKUP(A:A,笔记匹配!A:N,11,FALSE)</f>
        <v>85</v>
      </c>
      <c r="N83" s="69">
        <f>VLOOKUP(A:A,笔记匹配!A:N,12,FALSE)</f>
        <v>33</v>
      </c>
      <c r="O83" s="2">
        <f t="shared" si="7"/>
        <v>328</v>
      </c>
      <c r="P83" s="3">
        <f>IFERROR(VLOOKUP(A:A,信息流数据源!A:K,2,FALSE),0)</f>
        <v>0</v>
      </c>
      <c r="Q83" s="71">
        <f>IFERROR(VLOOKUP(A:A,信息流数据源!A:N,5,FALSE),0)</f>
        <v>0</v>
      </c>
      <c r="R83" s="72">
        <f>IFERROR(VLOOKUP(A:A,信息流数据源!A:N,6,FALSE),0)</f>
        <v>0</v>
      </c>
      <c r="S83" s="2">
        <f>IFERROR(VLOOKUP(A:A,信息流数据源!A:N,9,FALSE),0)</f>
        <v>0</v>
      </c>
      <c r="T83" s="3">
        <f>IFERROR(VLOOKUP(A:A,信息流数据源!A:N,13,FALSE),0)</f>
        <v>0</v>
      </c>
      <c r="U83" s="73">
        <f>IFERROR(VLOOKUP(A:A,信息流数据源!A:N,14,FALSE),0)</f>
        <v>0</v>
      </c>
      <c r="V83" s="74">
        <f>IFERROR(VLOOKUP(A:A,信息流数据源!A:O,15,FALSE),0)</f>
        <v>0</v>
      </c>
      <c r="W83" s="3">
        <f>IFERROR(VLOOKUP(A:A,搜索数据源!A:T,2,FALSE),0)</f>
        <v>0</v>
      </c>
      <c r="X83" s="71">
        <f>IFERROR(VLOOKUP(A:A,搜索数据源!A:T,5,FALSE),0)</f>
        <v>0</v>
      </c>
      <c r="Y83" s="73">
        <f>IFERROR(VLOOKUP(A:A,搜索数据源!A:T,6,FALSE),0)</f>
        <v>0</v>
      </c>
      <c r="Z83" s="3">
        <f>IFERROR(VLOOKUP(A:A,搜索数据源!A:T,9,FALSE),0)</f>
        <v>0</v>
      </c>
      <c r="AA83" s="3" t="e">
        <f>VLOOKUP(A:A,[1]搜索数据源!A:T,13,FALSE)</f>
        <v>#N/A</v>
      </c>
      <c r="AB83" s="72">
        <f>IFERROR(VLOOKUP(A:A,搜索数据源!A:T,14,FALSE),0)</f>
        <v>0</v>
      </c>
      <c r="AC83" s="69" t="str">
        <f>_xlfn.DISPIMG("ID_B8ED0F81D3E94185A6797ECCC54D33D4",1)</f>
        <v>=DISPIMG("ID_B8ED0F81D3E94185A6797ECCC54D33D4",1)</v>
      </c>
      <c r="AD83" s="4" t="s">
        <v>396</v>
      </c>
      <c r="AE83" s="69"/>
      <c r="AF83" s="77"/>
      <c r="AG83" s="2"/>
      <c r="AH83" s="69"/>
      <c r="AI83" s="4"/>
      <c r="AJ83" s="4"/>
      <c r="AK83" s="4"/>
      <c r="AL83" s="4">
        <f t="shared" si="5"/>
        <v>0</v>
      </c>
      <c r="AM83" s="81">
        <f t="shared" si="8"/>
        <v>0</v>
      </c>
      <c r="AN83" s="5">
        <f>IFERROR(VLOOKUP(A:A,回搜数据源!B:N,4,FALSE),0)</f>
        <v>0</v>
      </c>
      <c r="AO83" s="5">
        <f>IFERROR(VLOOKUP(A:A,回搜数据源!B:N,5,FALSE),0)</f>
        <v>0</v>
      </c>
    </row>
    <row r="84" s="57" customFormat="1" ht="100" hidden="1" customHeight="1" spans="1:41">
      <c r="A84" s="4" t="s">
        <v>496</v>
      </c>
      <c r="B84" s="3" t="str">
        <f>VLOOKUP(A:A,笔记匹配!A:N,5,FALSE)</f>
        <v>=DISPIMG("ID_0863F6F3D76E4126964EA98D320D31FE",1)</v>
      </c>
      <c r="C84" s="30" t="str">
        <f>VLOOKUP(A:A,笔记匹配!A:N,3,FALSE)</f>
        <v>杨大大的预备辣妹日记</v>
      </c>
      <c r="D84" s="30" t="str">
        <f>VLOOKUP(A:A,笔记匹配!A:N,6,FALSE)</f>
        <v>130-110斤跳绳不复胖‼️间歇性跳绳减脂快</v>
      </c>
      <c r="E84" s="30" t="str">
        <f>VLOOKUP(A:A,笔记匹配!A:N,7,FALSE)</f>
        <v>https://www.xiaohongshu.com/discovery/item/629700ce000000002103529c</v>
      </c>
      <c r="F84" s="65">
        <f>VLOOKUP(A:A,笔记匹配!A:N,8,FALSE)</f>
        <v>44713</v>
      </c>
      <c r="G84" s="66" t="str">
        <f>VLOOKUP(A:A,笔记匹配!A:P,15,FALSE)</f>
        <v>2022-06-07</v>
      </c>
      <c r="H84" s="30" t="str">
        <f>VLOOKUP(A:A,笔记匹配!A:N,9,FALSE)</f>
        <v>图文</v>
      </c>
      <c r="I84" s="30" t="str">
        <f>VLOOKUP(A:A,笔记匹配!A:N,2,FALSE)</f>
        <v>跳绳</v>
      </c>
      <c r="J84" s="30" t="str">
        <f>VLOOKUP(A:A,笔记匹配!A:N,4,FALSE)</f>
        <v>云麦心率跳绳</v>
      </c>
      <c r="K84" s="30" t="str">
        <f>VLOOKUP(A:A,笔记匹配!A:N,14,FALSE)</f>
        <v>云麦心率跳绳</v>
      </c>
      <c r="L84" s="3">
        <f>VLOOKUP(A:A,笔记匹配!A:N,10,FALSE)</f>
        <v>505</v>
      </c>
      <c r="M84" s="3">
        <f>VLOOKUP(A:A,笔记匹配!A:N,11,FALSE)</f>
        <v>127</v>
      </c>
      <c r="N84" s="69">
        <f>VLOOKUP(A:A,笔记匹配!A:N,12,FALSE)</f>
        <v>55</v>
      </c>
      <c r="O84" s="2">
        <f t="shared" si="7"/>
        <v>687</v>
      </c>
      <c r="P84" s="3">
        <f>IFERROR(VLOOKUP(A:A,信息流数据源!A:K,2,FALSE),0)</f>
        <v>0</v>
      </c>
      <c r="Q84" s="71">
        <f>IFERROR(VLOOKUP(A:A,信息流数据源!A:N,5,FALSE),0)</f>
        <v>0</v>
      </c>
      <c r="R84" s="72">
        <f>IFERROR(VLOOKUP(A:A,信息流数据源!A:N,6,FALSE),0)</f>
        <v>0</v>
      </c>
      <c r="S84" s="2">
        <f>IFERROR(VLOOKUP(A:A,信息流数据源!A:N,9,FALSE),0)</f>
        <v>0</v>
      </c>
      <c r="T84" s="3">
        <f>IFERROR(VLOOKUP(A:A,信息流数据源!A:N,13,FALSE),0)</f>
        <v>0</v>
      </c>
      <c r="U84" s="73">
        <f>IFERROR(VLOOKUP(A:A,信息流数据源!A:N,14,FALSE),0)</f>
        <v>0</v>
      </c>
      <c r="V84" s="74">
        <f>IFERROR(VLOOKUP(A:A,信息流数据源!A:O,15,FALSE),0)</f>
        <v>0</v>
      </c>
      <c r="W84" s="3">
        <f>IFERROR(VLOOKUP(A:A,搜索数据源!A:T,2,FALSE),0)</f>
        <v>0</v>
      </c>
      <c r="X84" s="71">
        <f>IFERROR(VLOOKUP(A:A,搜索数据源!A:T,5,FALSE),0)</f>
        <v>0</v>
      </c>
      <c r="Y84" s="73">
        <f>IFERROR(VLOOKUP(A:A,搜索数据源!A:T,6,FALSE),0)</f>
        <v>0</v>
      </c>
      <c r="Z84" s="3">
        <f>IFERROR(VLOOKUP(A:A,搜索数据源!A:T,9,FALSE),0)</f>
        <v>0</v>
      </c>
      <c r="AA84" s="3" t="e">
        <f>VLOOKUP(A:A,[1]搜索数据源!A:T,13,FALSE)</f>
        <v>#N/A</v>
      </c>
      <c r="AB84" s="72">
        <f>IFERROR(VLOOKUP(A:A,搜索数据源!A:T,14,FALSE),0)</f>
        <v>0</v>
      </c>
      <c r="AC84" s="69"/>
      <c r="AD84" s="69"/>
      <c r="AE84" s="69"/>
      <c r="AF84" s="69"/>
      <c r="AG84" s="2"/>
      <c r="AH84" s="69"/>
      <c r="AI84" s="69"/>
      <c r="AJ84" s="69"/>
      <c r="AK84" s="69"/>
      <c r="AL84" s="4">
        <f t="shared" si="5"/>
        <v>0</v>
      </c>
      <c r="AM84" s="81">
        <f t="shared" si="8"/>
        <v>0</v>
      </c>
      <c r="AN84" s="5">
        <f>IFERROR(VLOOKUP(A:A,回搜数据源!B:N,4,FALSE),0)</f>
        <v>0</v>
      </c>
      <c r="AO84" s="5">
        <f>IFERROR(VLOOKUP(A:A,回搜数据源!B:N,5,FALSE),0)</f>
        <v>0</v>
      </c>
    </row>
    <row r="85" s="57" customFormat="1" ht="100" hidden="1" customHeight="1" spans="1:41">
      <c r="A85" s="4" t="s">
        <v>497</v>
      </c>
      <c r="B85" s="3" t="str">
        <f>VLOOKUP(A:A,笔记匹配!A:N,5,FALSE)</f>
        <v>=DISPIMG("ID_A4D8C9FA751B4AE19BB35B45CBE37910",1)</v>
      </c>
      <c r="C85" s="30" t="str">
        <f>VLOOKUP(A:A,笔记匹配!A:N,3,FALSE)</f>
        <v>小方今天瘦了吗</v>
      </c>
      <c r="D85" s="30" t="str">
        <f>VLOOKUP(A:A,笔记匹配!A:N,6,FALSE)</f>
        <v>大基数无运动节食减45斤 （饮食习惯/食谱‼️）</v>
      </c>
      <c r="E85" s="30" t="str">
        <f>VLOOKUP(A:A,笔记匹配!A:N,7,FALSE)</f>
        <v>https://www.xiaohongshu.com/discovery/item/629714e6000000000102d6c7</v>
      </c>
      <c r="F85" s="65">
        <f>VLOOKUP(A:A,笔记匹配!A:N,8,FALSE)</f>
        <v>44715</v>
      </c>
      <c r="G85" s="66" t="str">
        <f>VLOOKUP(A:A,笔记匹配!A:P,15,FALSE)</f>
        <v>2022-06-06</v>
      </c>
      <c r="H85" s="30" t="str">
        <f>VLOOKUP(A:A,笔记匹配!A:N,9,FALSE)</f>
        <v>图文</v>
      </c>
      <c r="I85" s="30" t="str">
        <f>VLOOKUP(A:A,笔记匹配!A:N,2,FALSE)</f>
        <v>体脂秤</v>
      </c>
      <c r="J85" s="30" t="str">
        <f>VLOOKUP(A:A,笔记匹配!A:N,4,FALSE)</f>
        <v>云麦3mini</v>
      </c>
      <c r="K85" s="30" t="str">
        <f>VLOOKUP(A:A,笔记匹配!A:N,14,FALSE)</f>
        <v>云麦体脂秤3mini</v>
      </c>
      <c r="L85" s="3">
        <f>VLOOKUP(A:A,笔记匹配!A:N,10,FALSE)</f>
        <v>8147</v>
      </c>
      <c r="M85" s="3">
        <f>VLOOKUP(A:A,笔记匹配!A:N,11,FALSE)</f>
        <v>2997</v>
      </c>
      <c r="N85" s="69">
        <f>VLOOKUP(A:A,笔记匹配!A:N,12,FALSE)</f>
        <v>128</v>
      </c>
      <c r="O85" s="2">
        <f t="shared" si="7"/>
        <v>11272</v>
      </c>
      <c r="P85" s="3">
        <f>IFERROR(VLOOKUP(A:A,信息流数据源!A:K,2,FALSE),0)</f>
        <v>0</v>
      </c>
      <c r="Q85" s="71">
        <f>IFERROR(VLOOKUP(A:A,信息流数据源!A:N,5,FALSE),0)</f>
        <v>0</v>
      </c>
      <c r="R85" s="72">
        <f>IFERROR(VLOOKUP(A:A,信息流数据源!A:N,6,FALSE),0)</f>
        <v>0</v>
      </c>
      <c r="S85" s="2">
        <f>IFERROR(VLOOKUP(A:A,信息流数据源!A:N,9,FALSE),0)</f>
        <v>0</v>
      </c>
      <c r="T85" s="3">
        <f>IFERROR(VLOOKUP(A:A,信息流数据源!A:N,13,FALSE),0)</f>
        <v>0</v>
      </c>
      <c r="U85" s="73">
        <f>IFERROR(VLOOKUP(A:A,信息流数据源!A:N,14,FALSE),0)</f>
        <v>0</v>
      </c>
      <c r="V85" s="74">
        <f>IFERROR(VLOOKUP(A:A,信息流数据源!A:O,15,FALSE),0)</f>
        <v>0</v>
      </c>
      <c r="W85" s="3">
        <f>IFERROR(VLOOKUP(A:A,搜索数据源!A:T,2,FALSE),0)</f>
        <v>0</v>
      </c>
      <c r="X85" s="71">
        <f>IFERROR(VLOOKUP(A:A,搜索数据源!A:T,5,FALSE),0)</f>
        <v>0</v>
      </c>
      <c r="Y85" s="73">
        <f>IFERROR(VLOOKUP(A:A,搜索数据源!A:T,6,FALSE),0)</f>
        <v>0</v>
      </c>
      <c r="Z85" s="3">
        <f>IFERROR(VLOOKUP(A:A,搜索数据源!A:T,9,FALSE),0)</f>
        <v>0</v>
      </c>
      <c r="AA85" s="3" t="e">
        <f>VLOOKUP(A:A,[1]搜索数据源!A:T,13,FALSE)</f>
        <v>#N/A</v>
      </c>
      <c r="AB85" s="72">
        <f>IFERROR(VLOOKUP(A:A,搜索数据源!A:T,14,FALSE),0)</f>
        <v>0</v>
      </c>
      <c r="AC85" s="69" t="str">
        <f>_xlfn.DISPIMG("ID_1034192FF6D24A35BA2AB63042529B33",1)</f>
        <v>=DISPIMG("ID_1034192FF6D24A35BA2AB63042529B33",1)</v>
      </c>
      <c r="AD85" s="4" t="s">
        <v>484</v>
      </c>
      <c r="AE85" s="75">
        <v>44718</v>
      </c>
      <c r="AF85" s="69">
        <v>1008.88</v>
      </c>
      <c r="AG85" s="2">
        <v>6237</v>
      </c>
      <c r="AH85" s="69" t="str">
        <f>_xlfn.DISPIMG("ID_0A784B5CA28D4622AC9E0F791A57A2B7",1)</f>
        <v>=DISPIMG("ID_0A784B5CA28D4622AC9E0F791A57A2B7",1)</v>
      </c>
      <c r="AI85" s="4" t="s">
        <v>498</v>
      </c>
      <c r="AJ85" s="69">
        <v>3</v>
      </c>
      <c r="AK85" s="69">
        <v>2</v>
      </c>
      <c r="AL85" s="4">
        <f t="shared" si="5"/>
        <v>-1</v>
      </c>
      <c r="AM85" s="81">
        <f t="shared" si="8"/>
        <v>-1008.88</v>
      </c>
      <c r="AN85" s="5">
        <f>IFERROR(VLOOKUP(A:A,回搜数据源!B:N,4,FALSE),0)</f>
        <v>0</v>
      </c>
      <c r="AO85" s="5">
        <f>IFERROR(VLOOKUP(A:A,回搜数据源!B:N,5,FALSE),0)</f>
        <v>0</v>
      </c>
    </row>
    <row r="86" s="57" customFormat="1" ht="100" hidden="1" customHeight="1" spans="1:41">
      <c r="A86" s="4" t="s">
        <v>499</v>
      </c>
      <c r="B86" s="3" t="str">
        <f>VLOOKUP(A:A,笔记匹配!A:N,5,FALSE)</f>
        <v>=DISPIMG("ID_68AB6A29AFB4448CBDDD3EC7968307FA",1)</v>
      </c>
      <c r="C86" s="30" t="str">
        <f>VLOOKUP(A:A,笔记匹配!A:N,3,FALSE)</f>
        <v>威风凛凛小队长</v>
      </c>
      <c r="D86" s="30" t="str">
        <f>VLOOKUP(A:A,笔记匹配!A:N,6,FALSE)</f>
        <v>被你们形容的“肥美多脂”气哭了</v>
      </c>
      <c r="E86" s="30" t="str">
        <f>VLOOKUP(A:A,笔记匹配!A:N,7,FALSE)</f>
        <v>https://www.xiaohongshu.com/discovery/item/62903659000000000102fa9a</v>
      </c>
      <c r="F86" s="65">
        <f>VLOOKUP(A:A,笔记匹配!A:N,8,FALSE)</f>
        <v>44708</v>
      </c>
      <c r="G86" s="66" t="str">
        <f>VLOOKUP(A:A,笔记匹配!A:P,15,FALSE)</f>
        <v>2022-06-02</v>
      </c>
      <c r="H86" s="30" t="str">
        <f>VLOOKUP(A:A,笔记匹配!A:N,9,FALSE)</f>
        <v>图文</v>
      </c>
      <c r="I86" s="30" t="str">
        <f>VLOOKUP(A:A,笔记匹配!A:N,2,FALSE)</f>
        <v>体脂秤</v>
      </c>
      <c r="J86" s="30" t="str">
        <f>VLOOKUP(A:A,笔记匹配!A:N,4,FALSE)</f>
        <v>云麦体脂秤3</v>
      </c>
      <c r="K86" s="30" t="str">
        <f>VLOOKUP(A:A,笔记匹配!A:N,14,FALSE)</f>
        <v>云麦体脂秤3</v>
      </c>
      <c r="L86" s="3">
        <f>VLOOKUP(A:A,笔记匹配!A:N,10,FALSE)</f>
        <v>229</v>
      </c>
      <c r="M86" s="3">
        <f>VLOOKUP(A:A,笔记匹配!A:N,11,FALSE)</f>
        <v>24</v>
      </c>
      <c r="N86" s="69">
        <f>VLOOKUP(A:A,笔记匹配!A:N,12,FALSE)</f>
        <v>38</v>
      </c>
      <c r="O86" s="2">
        <f t="shared" si="7"/>
        <v>291</v>
      </c>
      <c r="P86" s="3">
        <f>IFERROR(VLOOKUP(A:A,信息流数据源!A:K,2,FALSE),0)</f>
        <v>0</v>
      </c>
      <c r="Q86" s="71">
        <f>IFERROR(VLOOKUP(A:A,信息流数据源!A:N,5,FALSE),0)</f>
        <v>0</v>
      </c>
      <c r="R86" s="72">
        <f>IFERROR(VLOOKUP(A:A,信息流数据源!A:N,6,FALSE),0)</f>
        <v>0</v>
      </c>
      <c r="S86" s="2">
        <f>IFERROR(VLOOKUP(A:A,信息流数据源!A:N,9,FALSE),0)</f>
        <v>0</v>
      </c>
      <c r="T86" s="3">
        <f>IFERROR(VLOOKUP(A:A,信息流数据源!A:N,13,FALSE),0)</f>
        <v>0</v>
      </c>
      <c r="U86" s="73">
        <f>IFERROR(VLOOKUP(A:A,信息流数据源!A:N,14,FALSE),0)</f>
        <v>0</v>
      </c>
      <c r="V86" s="74">
        <f>IFERROR(VLOOKUP(A:A,信息流数据源!A:O,15,FALSE),0)</f>
        <v>0</v>
      </c>
      <c r="W86" s="3">
        <f>IFERROR(VLOOKUP(A:A,搜索数据源!A:T,2,FALSE),0)</f>
        <v>0</v>
      </c>
      <c r="X86" s="71">
        <f>IFERROR(VLOOKUP(A:A,搜索数据源!A:T,5,FALSE),0)</f>
        <v>0</v>
      </c>
      <c r="Y86" s="73">
        <f>IFERROR(VLOOKUP(A:A,搜索数据源!A:T,6,FALSE),0)</f>
        <v>0</v>
      </c>
      <c r="Z86" s="3">
        <f>IFERROR(VLOOKUP(A:A,搜索数据源!A:T,9,FALSE),0)</f>
        <v>0</v>
      </c>
      <c r="AA86" s="3" t="e">
        <f>VLOOKUP(A:A,[1]搜索数据源!A:T,13,FALSE)</f>
        <v>#N/A</v>
      </c>
      <c r="AB86" s="72">
        <f>IFERROR(VLOOKUP(A:A,搜索数据源!A:T,14,FALSE),0)</f>
        <v>0</v>
      </c>
      <c r="AC86" s="69" t="str">
        <f>_xlfn.DISPIMG("ID_DE3C1B4D698547C1B43CF76158F26370",1)</f>
        <v>=DISPIMG("ID_DE3C1B4D698547C1B43CF76158F26370",1)</v>
      </c>
      <c r="AD86" s="4" t="s">
        <v>500</v>
      </c>
      <c r="AE86" s="69"/>
      <c r="AF86" s="69"/>
      <c r="AG86" s="2"/>
      <c r="AH86" s="69"/>
      <c r="AI86" s="69"/>
      <c r="AJ86" s="69"/>
      <c r="AK86" s="69"/>
      <c r="AL86" s="4">
        <f t="shared" si="5"/>
        <v>0</v>
      </c>
      <c r="AM86" s="81">
        <f t="shared" si="8"/>
        <v>0</v>
      </c>
      <c r="AN86" s="5">
        <f>IFERROR(VLOOKUP(A:A,回搜数据源!B:N,4,FALSE),0)</f>
        <v>0</v>
      </c>
      <c r="AO86" s="5">
        <f>IFERROR(VLOOKUP(A:A,回搜数据源!B:N,5,FALSE),0)</f>
        <v>0</v>
      </c>
    </row>
    <row r="87" s="57" customFormat="1" ht="100" hidden="1" customHeight="1" spans="1:41">
      <c r="A87" s="4" t="s">
        <v>501</v>
      </c>
      <c r="B87" s="3" t="str">
        <f>VLOOKUP(A:A,笔记匹配!A:N,5,FALSE)</f>
        <v>=DISPIMG("ID_07852D61A3D64963B2C2DFFE5AB3FCF1",1)</v>
      </c>
      <c r="C87" s="30" t="str">
        <f>VLOOKUP(A:A,笔记匹配!A:N,3,FALSE)</f>
        <v>咕咕猪小短腿</v>
      </c>
      <c r="D87" s="30" t="str">
        <f>VLOOKUP(A:A,笔记匹配!A:N,6,FALSE)</f>
        <v>笑死！一到称重就心虚到没耳朵</v>
      </c>
      <c r="E87" s="30" t="str">
        <f>VLOOKUP(A:A,笔记匹配!A:N,7,FALSE)</f>
        <v>https://www.xiaohongshu.com/discovery/item/6290c4360000000021036385</v>
      </c>
      <c r="F87" s="65">
        <f>VLOOKUP(A:A,笔记匹配!A:N,8,FALSE)</f>
        <v>44709</v>
      </c>
      <c r="G87" s="66" t="str">
        <f>VLOOKUP(A:A,笔记匹配!A:P,15,FALSE)</f>
        <v>2022-06-02</v>
      </c>
      <c r="H87" s="30" t="str">
        <f>VLOOKUP(A:A,笔记匹配!A:N,9,FALSE)</f>
        <v>图文</v>
      </c>
      <c r="I87" s="30" t="str">
        <f>VLOOKUP(A:A,笔记匹配!A:N,2,FALSE)</f>
        <v>体脂秤</v>
      </c>
      <c r="J87" s="30" t="str">
        <f>VLOOKUP(A:A,笔记匹配!A:N,4,FALSE)</f>
        <v>云麦体脂秤3</v>
      </c>
      <c r="K87" s="30" t="str">
        <f>VLOOKUP(A:A,笔记匹配!A:N,14,FALSE)</f>
        <v>云麦体脂秤3</v>
      </c>
      <c r="L87" s="3">
        <f>VLOOKUP(A:A,笔记匹配!A:N,10,FALSE)</f>
        <v>309</v>
      </c>
      <c r="M87" s="3">
        <f>VLOOKUP(A:A,笔记匹配!A:N,11,FALSE)</f>
        <v>27</v>
      </c>
      <c r="N87" s="69">
        <f>VLOOKUP(A:A,笔记匹配!A:N,12,FALSE)</f>
        <v>40</v>
      </c>
      <c r="O87" s="2">
        <f t="shared" si="7"/>
        <v>376</v>
      </c>
      <c r="P87" s="3">
        <f>IFERROR(VLOOKUP(A:A,信息流数据源!A:K,2,FALSE),0)</f>
        <v>0</v>
      </c>
      <c r="Q87" s="71">
        <f>IFERROR(VLOOKUP(A:A,信息流数据源!A:N,5,FALSE),0)</f>
        <v>0</v>
      </c>
      <c r="R87" s="72">
        <f>IFERROR(VLOOKUP(A:A,信息流数据源!A:N,6,FALSE),0)</f>
        <v>0</v>
      </c>
      <c r="S87" s="2">
        <f>IFERROR(VLOOKUP(A:A,信息流数据源!A:N,9,FALSE),0)</f>
        <v>0</v>
      </c>
      <c r="T87" s="3">
        <f>IFERROR(VLOOKUP(A:A,信息流数据源!A:N,13,FALSE),0)</f>
        <v>0</v>
      </c>
      <c r="U87" s="73">
        <f>IFERROR(VLOOKUP(A:A,信息流数据源!A:N,14,FALSE),0)</f>
        <v>0</v>
      </c>
      <c r="V87" s="74">
        <f>IFERROR(VLOOKUP(A:A,信息流数据源!A:O,15,FALSE),0)</f>
        <v>0</v>
      </c>
      <c r="W87" s="3">
        <f>IFERROR(VLOOKUP(A:A,搜索数据源!A:T,2,FALSE),0)</f>
        <v>0</v>
      </c>
      <c r="X87" s="71">
        <f>IFERROR(VLOOKUP(A:A,搜索数据源!A:T,5,FALSE),0)</f>
        <v>0</v>
      </c>
      <c r="Y87" s="73">
        <f>IFERROR(VLOOKUP(A:A,搜索数据源!A:T,6,FALSE),0)</f>
        <v>0</v>
      </c>
      <c r="Z87" s="3">
        <f>IFERROR(VLOOKUP(A:A,搜索数据源!A:T,9,FALSE),0)</f>
        <v>0</v>
      </c>
      <c r="AA87" s="3" t="e">
        <f>VLOOKUP(A:A,[1]搜索数据源!A:T,13,FALSE)</f>
        <v>#N/A</v>
      </c>
      <c r="AB87" s="72">
        <f>IFERROR(VLOOKUP(A:A,搜索数据源!A:T,14,FALSE),0)</f>
        <v>0</v>
      </c>
      <c r="AC87" s="69" t="str">
        <f>_xlfn.DISPIMG("ID_80798C44F1A641339EDD644D16DAF1F6",1)</f>
        <v>=DISPIMG("ID_80798C44F1A641339EDD644D16DAF1F6",1)</v>
      </c>
      <c r="AD87" s="4" t="s">
        <v>502</v>
      </c>
      <c r="AE87" s="75">
        <v>44717</v>
      </c>
      <c r="AF87" s="3">
        <v>960.65</v>
      </c>
      <c r="AG87" s="2">
        <v>18650</v>
      </c>
      <c r="AH87" s="69" t="str">
        <f>_xlfn.DISPIMG("ID_7291C0B4AB3E491AA828C926A2586E31",1)</f>
        <v>=DISPIMG("ID_7291C0B4AB3E491AA828C926A2586E31",1)</v>
      </c>
      <c r="AI87" s="4" t="s">
        <v>503</v>
      </c>
      <c r="AJ87" s="4">
        <v>9</v>
      </c>
      <c r="AK87" s="4">
        <v>8</v>
      </c>
      <c r="AL87" s="4">
        <f t="shared" si="5"/>
        <v>-1</v>
      </c>
      <c r="AM87" s="81">
        <f t="shared" si="8"/>
        <v>-960.65</v>
      </c>
      <c r="AN87" s="5">
        <f>IFERROR(VLOOKUP(A:A,回搜数据源!B:N,4,FALSE),0)</f>
        <v>0</v>
      </c>
      <c r="AO87" s="5">
        <f>IFERROR(VLOOKUP(A:A,回搜数据源!B:N,5,FALSE),0)</f>
        <v>0</v>
      </c>
    </row>
    <row r="88" s="57" customFormat="1" ht="100" hidden="1" customHeight="1" spans="1:41">
      <c r="A88" s="4" t="s">
        <v>495</v>
      </c>
      <c r="B88" s="3" t="str">
        <f>VLOOKUP(A:A,笔记匹配!A:N,5,FALSE)</f>
        <v>=DISPIMG("ID_0CEDD2D832FA4D338B1220A036D19882",1)</v>
      </c>
      <c r="C88" s="30" t="str">
        <f>VLOOKUP(A:A,笔记匹配!A:N,3,FALSE)</f>
        <v>桃子酱酱</v>
      </c>
      <c r="D88" s="30" t="str">
        <f>VLOOKUP(A:A,笔记匹配!A:N,6,FALSE)</f>
        <v>爱运动的姐妹！筋膜枪放松法get一下！</v>
      </c>
      <c r="E88" s="30" t="str">
        <f>VLOOKUP(A:A,笔记匹配!A:N,7,FALSE)</f>
        <v>https://www.xiaohongshu.com/discovery/item/630096c8000000001800de5a</v>
      </c>
      <c r="F88" s="65">
        <f>VLOOKUP(A:A,笔记匹配!A:N,8,FALSE)</f>
        <v>44795</v>
      </c>
      <c r="G88" s="66" t="str">
        <f>VLOOKUP(A:A,笔记匹配!A:P,15,FALSE)</f>
        <v>2022-08-23</v>
      </c>
      <c r="H88" s="30" t="str">
        <f>VLOOKUP(A:A,笔记匹配!A:N,9,FALSE)</f>
        <v>图文</v>
      </c>
      <c r="I88" s="30" t="str">
        <f>VLOOKUP(A:A,笔记匹配!A:N,2,FALSE)</f>
        <v>筋膜枪</v>
      </c>
      <c r="J88" s="30" t="str">
        <f>VLOOKUP(A:A,笔记匹配!A:N,4,FALSE)</f>
        <v>云麦筋膜枪pb2</v>
      </c>
      <c r="K88" s="30" t="str">
        <f>VLOOKUP(A:A,笔记匹配!A:N,14,FALSE)</f>
        <v>云麦筋膜枪pb2</v>
      </c>
      <c r="L88" s="3">
        <f>VLOOKUP(A:A,笔记匹配!A:N,10,FALSE)</f>
        <v>210</v>
      </c>
      <c r="M88" s="3">
        <f>VLOOKUP(A:A,笔记匹配!A:N,11,FALSE)</f>
        <v>85</v>
      </c>
      <c r="N88" s="69">
        <f>VLOOKUP(A:A,笔记匹配!A:N,12,FALSE)</f>
        <v>33</v>
      </c>
      <c r="O88" s="2">
        <f t="shared" si="7"/>
        <v>328</v>
      </c>
      <c r="P88" s="3">
        <f>IFERROR(VLOOKUP(A:A,信息流数据源!A:K,2,FALSE),0)</f>
        <v>0</v>
      </c>
      <c r="Q88" s="71">
        <f>IFERROR(VLOOKUP(A:A,信息流数据源!A:N,5,FALSE),0)</f>
        <v>0</v>
      </c>
      <c r="R88" s="72">
        <f>IFERROR(VLOOKUP(A:A,信息流数据源!A:N,6,FALSE),0)</f>
        <v>0</v>
      </c>
      <c r="S88" s="2">
        <f>IFERROR(VLOOKUP(A:A,信息流数据源!A:N,9,FALSE),0)</f>
        <v>0</v>
      </c>
      <c r="T88" s="3">
        <f>IFERROR(VLOOKUP(A:A,信息流数据源!A:N,13,FALSE),0)</f>
        <v>0</v>
      </c>
      <c r="U88" s="73">
        <f>IFERROR(VLOOKUP(A:A,信息流数据源!A:N,14,FALSE),0)</f>
        <v>0</v>
      </c>
      <c r="V88" s="74">
        <f>IFERROR(VLOOKUP(A:A,信息流数据源!A:O,15,FALSE),0)</f>
        <v>0</v>
      </c>
      <c r="W88" s="3">
        <f>IFERROR(VLOOKUP(A:A,搜索数据源!A:T,2,FALSE),0)</f>
        <v>0</v>
      </c>
      <c r="X88" s="71">
        <f>IFERROR(VLOOKUP(A:A,搜索数据源!A:T,5,FALSE),0)</f>
        <v>0</v>
      </c>
      <c r="Y88" s="73">
        <f>IFERROR(VLOOKUP(A:A,搜索数据源!A:T,6,FALSE),0)</f>
        <v>0</v>
      </c>
      <c r="Z88" s="3">
        <f>IFERROR(VLOOKUP(A:A,搜索数据源!A:T,9,FALSE),0)</f>
        <v>0</v>
      </c>
      <c r="AA88" s="3" t="e">
        <f>VLOOKUP(A:A,[1]搜索数据源!A:T,13,FALSE)</f>
        <v>#N/A</v>
      </c>
      <c r="AB88" s="72">
        <f>IFERROR(VLOOKUP(A:A,搜索数据源!A:T,14,FALSE),0)</f>
        <v>0</v>
      </c>
      <c r="AC88" s="69" t="str">
        <f>_xlfn.DISPIMG("ID_B8ED0F81D3E94185A6797ECCC54D33D4",1)</f>
        <v>=DISPIMG("ID_B8ED0F81D3E94185A6797ECCC54D33D4",1)</v>
      </c>
      <c r="AD88" s="4" t="s">
        <v>396</v>
      </c>
      <c r="AE88" s="69"/>
      <c r="AF88" s="77"/>
      <c r="AG88" s="2"/>
      <c r="AH88" s="69"/>
      <c r="AI88" s="4"/>
      <c r="AJ88" s="4"/>
      <c r="AK88" s="4"/>
      <c r="AL88" s="4">
        <f t="shared" si="5"/>
        <v>0</v>
      </c>
      <c r="AM88" s="81">
        <f t="shared" si="8"/>
        <v>0</v>
      </c>
      <c r="AN88" s="5">
        <f>IFERROR(VLOOKUP(A:A,回搜数据源!B:N,4,FALSE),0)</f>
        <v>0</v>
      </c>
      <c r="AO88" s="5">
        <f>IFERROR(VLOOKUP(A:A,回搜数据源!B:N,5,FALSE),0)</f>
        <v>0</v>
      </c>
    </row>
    <row r="89" s="57" customFormat="1" ht="100" hidden="1" customHeight="1" spans="1:41">
      <c r="A89" s="8" t="s">
        <v>504</v>
      </c>
      <c r="B89" s="3" t="str">
        <f>VLOOKUP(A:A,笔记匹配!A:N,5,FALSE)</f>
        <v>=DISPIMG("ID_26346FF0222C49A4B885C88934DD5F88",1)</v>
      </c>
      <c r="C89" s="30" t="str">
        <f>VLOOKUP(A:A,笔记匹配!A:N,3,FALSE)</f>
        <v>小菜包超幸运</v>
      </c>
      <c r="D89" s="30" t="str">
        <f>VLOOKUP(A:A,笔记匹配!A:N,6,FALSE)</f>
        <v>超全产后修复攻略✅三个阶段恢复少女身材</v>
      </c>
      <c r="E89" s="30" t="str">
        <f>VLOOKUP(A:A,笔记匹配!A:N,7,FALSE)</f>
        <v>https://www.xiaohongshu.com/discovery/item/628da6fb000000000102646e</v>
      </c>
      <c r="F89" s="65">
        <f>VLOOKUP(A:A,笔记匹配!A:N,8,FALSE)</f>
        <v>44707</v>
      </c>
      <c r="G89" s="66" t="str">
        <f>VLOOKUP(A:A,笔记匹配!A:P,15,FALSE)</f>
        <v>2022-05-31</v>
      </c>
      <c r="H89" s="30" t="str">
        <f>VLOOKUP(A:A,笔记匹配!A:N,9,FALSE)</f>
        <v>视频</v>
      </c>
      <c r="I89" s="30" t="str">
        <f>VLOOKUP(A:A,笔记匹配!A:N,2,FALSE)</f>
        <v>体脂秤</v>
      </c>
      <c r="J89" s="30" t="str">
        <f>VLOOKUP(A:A,笔记匹配!A:N,4,FALSE)</f>
        <v>云麦体脂秤3</v>
      </c>
      <c r="K89" s="30" t="str">
        <f>VLOOKUP(A:A,笔记匹配!A:N,14,FALSE)</f>
        <v>云麦体脂秤3</v>
      </c>
      <c r="L89" s="3">
        <f>VLOOKUP(A:A,笔记匹配!A:N,10,FALSE)</f>
        <v>1918</v>
      </c>
      <c r="M89" s="3">
        <f>VLOOKUP(A:A,笔记匹配!A:N,11,FALSE)</f>
        <v>2913</v>
      </c>
      <c r="N89" s="69">
        <f>VLOOKUP(A:A,笔记匹配!A:N,12,FALSE)</f>
        <v>47</v>
      </c>
      <c r="O89" s="2">
        <f t="shared" si="7"/>
        <v>4878</v>
      </c>
      <c r="P89" s="3">
        <f>IFERROR(VLOOKUP(A:A,信息流数据源!A:K,2,FALSE),0)</f>
        <v>0</v>
      </c>
      <c r="Q89" s="71">
        <f>IFERROR(VLOOKUP(A:A,信息流数据源!A:N,5,FALSE),0)</f>
        <v>0</v>
      </c>
      <c r="R89" s="72">
        <f>IFERROR(VLOOKUP(A:A,信息流数据源!A:N,6,FALSE),0)</f>
        <v>0</v>
      </c>
      <c r="S89" s="2">
        <f>IFERROR(VLOOKUP(A:A,信息流数据源!A:N,9,FALSE),0)</f>
        <v>0</v>
      </c>
      <c r="T89" s="3">
        <f>IFERROR(VLOOKUP(A:A,信息流数据源!A:N,13,FALSE),0)</f>
        <v>0</v>
      </c>
      <c r="U89" s="73">
        <f>IFERROR(VLOOKUP(A:A,信息流数据源!A:N,14,FALSE),0)</f>
        <v>0</v>
      </c>
      <c r="V89" s="74">
        <f>IFERROR(VLOOKUP(A:A,信息流数据源!A:O,15,FALSE),0)</f>
        <v>0</v>
      </c>
      <c r="W89" s="3">
        <f>IFERROR(VLOOKUP(A:A,搜索数据源!A:T,2,FALSE),0)</f>
        <v>0</v>
      </c>
      <c r="X89" s="71">
        <f>IFERROR(VLOOKUP(A:A,搜索数据源!A:T,5,FALSE),0)</f>
        <v>0</v>
      </c>
      <c r="Y89" s="73">
        <f>IFERROR(VLOOKUP(A:A,搜索数据源!A:T,6,FALSE),0)</f>
        <v>0</v>
      </c>
      <c r="Z89" s="3">
        <f>IFERROR(VLOOKUP(A:A,搜索数据源!A:T,9,FALSE),0)</f>
        <v>0</v>
      </c>
      <c r="AA89" s="3" t="e">
        <f>VLOOKUP(A:A,[1]搜索数据源!A:T,13,FALSE)</f>
        <v>#N/A</v>
      </c>
      <c r="AB89" s="72">
        <f>IFERROR(VLOOKUP(A:A,搜索数据源!A:T,14,FALSE),0)</f>
        <v>0</v>
      </c>
      <c r="AC89" s="69" t="str">
        <f>_xlfn.DISPIMG("ID_3D3B2CD87069478F9E49591B053FA8A4",1)</f>
        <v>=DISPIMG("ID_3D3B2CD87069478F9E49591B053FA8A4",1)</v>
      </c>
      <c r="AD89" s="4" t="s">
        <v>505</v>
      </c>
      <c r="AE89" s="75">
        <v>44714</v>
      </c>
      <c r="AF89" s="3">
        <v>1514.56</v>
      </c>
      <c r="AG89" s="2">
        <v>3853</v>
      </c>
      <c r="AH89" s="69" t="str">
        <f>_xlfn.DISPIMG("ID_C9FC57E2C9E340CBAAABC67AC3C5A924",1)</f>
        <v>=DISPIMG("ID_C9FC57E2C9E340CBAAABC67AC3C5A924",1)</v>
      </c>
      <c r="AI89" s="4" t="s">
        <v>506</v>
      </c>
      <c r="AJ89" s="4">
        <v>11</v>
      </c>
      <c r="AK89" s="4">
        <v>12</v>
      </c>
      <c r="AL89" s="4">
        <f t="shared" si="5"/>
        <v>1</v>
      </c>
      <c r="AM89" s="81">
        <f t="shared" si="8"/>
        <v>1514.56</v>
      </c>
      <c r="AN89" s="5">
        <f>IFERROR(VLOOKUP(A:A,回搜数据源!B:N,4,FALSE),0)</f>
        <v>0</v>
      </c>
      <c r="AO89" s="5">
        <f>IFERROR(VLOOKUP(A:A,回搜数据源!B:N,5,FALSE),0)</f>
        <v>0</v>
      </c>
    </row>
    <row r="90" s="57" customFormat="1" ht="100" hidden="1" customHeight="1" spans="1:41">
      <c r="A90" s="8" t="s">
        <v>507</v>
      </c>
      <c r="B90" s="3" t="str">
        <f>VLOOKUP(A:A,笔记匹配!A:N,5,FALSE)</f>
        <v>=DISPIMG("ID_7E9CF1BB3AF24824AE24AFFB22C45CAB",1)</v>
      </c>
      <c r="C90" s="30" t="str">
        <f>VLOOKUP(A:A,笔记匹配!A:N,3,FALSE)</f>
        <v>Candy yoga</v>
      </c>
      <c r="D90" s="30" t="str">
        <f>VLOOKUP(A:A,笔记匹配!A:N,6,FALSE)</f>
        <v>根源性告别妈妈臀‼️/12种臀部训练解析</v>
      </c>
      <c r="E90" s="30" t="str">
        <f>VLOOKUP(A:A,笔记匹配!A:N,7,FALSE)</f>
        <v>https://www.xiaohongshu.com/discovery/item/62879826000000000102800f</v>
      </c>
      <c r="F90" s="65">
        <f>VLOOKUP(A:A,笔记匹配!A:N,8,FALSE)</f>
        <v>44703</v>
      </c>
      <c r="G90" s="66" t="str">
        <f>VLOOKUP(A:A,笔记匹配!A:P,15,FALSE)</f>
        <v>2022-05-31</v>
      </c>
      <c r="H90" s="30" t="str">
        <f>VLOOKUP(A:A,笔记匹配!A:N,9,FALSE)</f>
        <v>视频</v>
      </c>
      <c r="I90" s="30" t="str">
        <f>VLOOKUP(A:A,笔记匹配!A:N,2,FALSE)</f>
        <v>体脂秤</v>
      </c>
      <c r="J90" s="30" t="str">
        <f>VLOOKUP(A:A,笔记匹配!A:N,4,FALSE)</f>
        <v>云麦体脂秤3</v>
      </c>
      <c r="K90" s="30" t="str">
        <f>VLOOKUP(A:A,笔记匹配!A:N,14,FALSE)</f>
        <v>云麦体脂秤3</v>
      </c>
      <c r="L90" s="3">
        <f>VLOOKUP(A:A,笔记匹配!A:N,10,FALSE)</f>
        <v>1981</v>
      </c>
      <c r="M90" s="3">
        <f>VLOOKUP(A:A,笔记匹配!A:N,11,FALSE)</f>
        <v>2256</v>
      </c>
      <c r="N90" s="69">
        <f>VLOOKUP(A:A,笔记匹配!A:N,12,FALSE)</f>
        <v>44</v>
      </c>
      <c r="O90" s="2">
        <f t="shared" si="7"/>
        <v>4281</v>
      </c>
      <c r="P90" s="3">
        <f>IFERROR(VLOOKUP(A:A,信息流数据源!A:K,2,FALSE),0)</f>
        <v>0</v>
      </c>
      <c r="Q90" s="71">
        <f>IFERROR(VLOOKUP(A:A,信息流数据源!A:N,5,FALSE),0)</f>
        <v>0</v>
      </c>
      <c r="R90" s="72">
        <f>IFERROR(VLOOKUP(A:A,信息流数据源!A:N,6,FALSE),0)</f>
        <v>0</v>
      </c>
      <c r="S90" s="2">
        <f>IFERROR(VLOOKUP(A:A,信息流数据源!A:N,9,FALSE),0)</f>
        <v>0</v>
      </c>
      <c r="T90" s="3">
        <f>IFERROR(VLOOKUP(A:A,信息流数据源!A:N,13,FALSE),0)</f>
        <v>0</v>
      </c>
      <c r="U90" s="73">
        <f>IFERROR(VLOOKUP(A:A,信息流数据源!A:N,14,FALSE),0)</f>
        <v>0</v>
      </c>
      <c r="V90" s="74">
        <f>IFERROR(VLOOKUP(A:A,信息流数据源!A:O,15,FALSE),0)</f>
        <v>0</v>
      </c>
      <c r="W90" s="3">
        <f>IFERROR(VLOOKUP(A:A,搜索数据源!A:T,2,FALSE),0)</f>
        <v>0</v>
      </c>
      <c r="X90" s="71">
        <f>IFERROR(VLOOKUP(A:A,搜索数据源!A:T,5,FALSE),0)</f>
        <v>0</v>
      </c>
      <c r="Y90" s="73">
        <f>IFERROR(VLOOKUP(A:A,搜索数据源!A:T,6,FALSE),0)</f>
        <v>0</v>
      </c>
      <c r="Z90" s="3">
        <f>IFERROR(VLOOKUP(A:A,搜索数据源!A:T,9,FALSE),0)</f>
        <v>0</v>
      </c>
      <c r="AA90" s="3" t="e">
        <f>VLOOKUP(A:A,[1]搜索数据源!A:T,13,FALSE)</f>
        <v>#N/A</v>
      </c>
      <c r="AB90" s="72">
        <f>IFERROR(VLOOKUP(A:A,搜索数据源!A:T,14,FALSE),0)</f>
        <v>0</v>
      </c>
      <c r="AC90" s="69" t="str">
        <f>_xlfn.DISPIMG("ID_1D969AB2A654443188EF1A55C538BB59",1)</f>
        <v>=DISPIMG("ID_1D969AB2A654443188EF1A55C538BB59",1)</v>
      </c>
      <c r="AD90" s="4" t="s">
        <v>508</v>
      </c>
      <c r="AE90" s="69"/>
      <c r="AF90" s="69"/>
      <c r="AG90" s="2"/>
      <c r="AH90" s="69"/>
      <c r="AI90" s="69"/>
      <c r="AJ90" s="69"/>
      <c r="AK90" s="69"/>
      <c r="AL90" s="4">
        <f t="shared" si="5"/>
        <v>0</v>
      </c>
      <c r="AM90" s="81">
        <f t="shared" si="8"/>
        <v>0</v>
      </c>
      <c r="AN90" s="5">
        <f>IFERROR(VLOOKUP(A:A,回搜数据源!B:N,4,FALSE),0)</f>
        <v>0</v>
      </c>
      <c r="AO90" s="5">
        <f>IFERROR(VLOOKUP(A:A,回搜数据源!B:N,5,FALSE),0)</f>
        <v>0</v>
      </c>
    </row>
    <row r="91" s="57" customFormat="1" ht="100" hidden="1" customHeight="1" spans="1:41">
      <c r="A91" s="8" t="s">
        <v>509</v>
      </c>
      <c r="B91" s="3" t="str">
        <f>VLOOKUP(A:A,笔记匹配!A:N,5,FALSE)</f>
        <v>=DISPIMG("ID_E84951BDB7E74E6291C5FA4C8A88DC80",1)</v>
      </c>
      <c r="C91" s="30" t="str">
        <f>VLOOKUP(A:A,笔记匹配!A:N,3,FALSE)</f>
        <v>小小李</v>
      </c>
      <c r="D91" s="30" t="str">
        <f>VLOOKUP(A:A,笔记匹配!A:N,6,FALSE)</f>
        <v>4分钟跳绳TABATA | 居家高效燃脂瘦全身</v>
      </c>
      <c r="E91" s="30" t="str">
        <f>VLOOKUP(A:A,笔记匹配!A:N,7,FALSE)</f>
        <v>https://www.xiaohongshu.com/discovery/item/6290482100000000210356f2</v>
      </c>
      <c r="F91" s="65">
        <f>VLOOKUP(A:A,笔记匹配!A:N,8,FALSE)</f>
        <v>44708</v>
      </c>
      <c r="G91" s="66" t="str">
        <f>VLOOKUP(A:A,笔记匹配!A:P,15,FALSE)</f>
        <v>2022-05-31</v>
      </c>
      <c r="H91" s="30" t="str">
        <f>VLOOKUP(A:A,笔记匹配!A:N,9,FALSE)</f>
        <v>视频</v>
      </c>
      <c r="I91" s="30" t="str">
        <f>VLOOKUP(A:A,笔记匹配!A:N,2,FALSE)</f>
        <v>跳绳</v>
      </c>
      <c r="J91" s="30" t="str">
        <f>VLOOKUP(A:A,笔记匹配!A:N,4,FALSE)</f>
        <v>云麦心率跳绳</v>
      </c>
      <c r="K91" s="30" t="str">
        <f>VLOOKUP(A:A,笔记匹配!A:N,14,FALSE)</f>
        <v>云麦心率跳绳</v>
      </c>
      <c r="L91" s="3">
        <f>VLOOKUP(A:A,笔记匹配!A:N,10,FALSE)</f>
        <v>3671</v>
      </c>
      <c r="M91" s="3">
        <f>VLOOKUP(A:A,笔记匹配!A:N,11,FALSE)</f>
        <v>3397</v>
      </c>
      <c r="N91" s="69">
        <f>VLOOKUP(A:A,笔记匹配!A:N,12,FALSE)</f>
        <v>118</v>
      </c>
      <c r="O91" s="2">
        <f t="shared" si="7"/>
        <v>7186</v>
      </c>
      <c r="P91" s="3">
        <f>IFERROR(VLOOKUP(A:A,信息流数据源!A:K,2,FALSE),0)</f>
        <v>0</v>
      </c>
      <c r="Q91" s="71">
        <f>IFERROR(VLOOKUP(A:A,信息流数据源!A:N,5,FALSE),0)</f>
        <v>0</v>
      </c>
      <c r="R91" s="72">
        <f>IFERROR(VLOOKUP(A:A,信息流数据源!A:N,6,FALSE),0)</f>
        <v>0</v>
      </c>
      <c r="S91" s="2">
        <f>IFERROR(VLOOKUP(A:A,信息流数据源!A:N,9,FALSE),0)</f>
        <v>0</v>
      </c>
      <c r="T91" s="3">
        <f>IFERROR(VLOOKUP(A:A,信息流数据源!A:N,13,FALSE),0)</f>
        <v>0</v>
      </c>
      <c r="U91" s="73">
        <f>IFERROR(VLOOKUP(A:A,信息流数据源!A:N,14,FALSE),0)</f>
        <v>0</v>
      </c>
      <c r="V91" s="74">
        <f>IFERROR(VLOOKUP(A:A,信息流数据源!A:O,15,FALSE),0)</f>
        <v>0</v>
      </c>
      <c r="W91" s="3">
        <f>IFERROR(VLOOKUP(A:A,搜索数据源!A:T,2,FALSE),0)</f>
        <v>0</v>
      </c>
      <c r="X91" s="71">
        <f>IFERROR(VLOOKUP(A:A,搜索数据源!A:T,5,FALSE),0)</f>
        <v>0</v>
      </c>
      <c r="Y91" s="73">
        <f>IFERROR(VLOOKUP(A:A,搜索数据源!A:T,6,FALSE),0)</f>
        <v>0</v>
      </c>
      <c r="Z91" s="3">
        <f>IFERROR(VLOOKUP(A:A,搜索数据源!A:T,9,FALSE),0)</f>
        <v>0</v>
      </c>
      <c r="AA91" s="3" t="e">
        <f>VLOOKUP(A:A,[1]搜索数据源!A:T,13,FALSE)</f>
        <v>#N/A</v>
      </c>
      <c r="AB91" s="72">
        <f>IFERROR(VLOOKUP(A:A,搜索数据源!A:T,14,FALSE),0)</f>
        <v>0</v>
      </c>
      <c r="AC91" s="69"/>
      <c r="AD91" s="69"/>
      <c r="AE91" s="69"/>
      <c r="AF91" s="69"/>
      <c r="AG91" s="2"/>
      <c r="AH91" s="69"/>
      <c r="AI91" s="69"/>
      <c r="AJ91" s="69"/>
      <c r="AK91" s="69"/>
      <c r="AL91" s="4">
        <f t="shared" si="5"/>
        <v>0</v>
      </c>
      <c r="AM91" s="81">
        <f t="shared" si="8"/>
        <v>0</v>
      </c>
      <c r="AN91" s="5">
        <f>IFERROR(VLOOKUP(A:A,回搜数据源!B:N,4,FALSE),0)</f>
        <v>0</v>
      </c>
      <c r="AO91" s="5">
        <f>IFERROR(VLOOKUP(A:A,回搜数据源!B:N,5,FALSE),0)</f>
        <v>0</v>
      </c>
    </row>
    <row r="92" s="57" customFormat="1" ht="100" hidden="1" customHeight="1" spans="1:41">
      <c r="A92" s="8" t="s">
        <v>510</v>
      </c>
      <c r="B92" s="3" t="str">
        <f>VLOOKUP(A:A,笔记匹配!A:N,5,FALSE)</f>
        <v>=DISPIMG("ID_C56FAD1C30124E73A3F9418FFA60B44B",1)</v>
      </c>
      <c r="C92" s="30" t="str">
        <f>VLOOKUP(A:A,笔记匹配!A:N,3,FALSE)</f>
        <v>白白</v>
      </c>
      <c r="D92" s="30" t="str">
        <f>VLOOKUP(A:A,笔记匹配!A:N,6,FALSE)</f>
        <v>大腿围42 | 瘦腿还得要跳绳！</v>
      </c>
      <c r="E92" s="30" t="str">
        <f>VLOOKUP(A:A,笔记匹配!A:N,7,FALSE)</f>
        <v>https://www.xiaohongshu.com/discovery/item/628f4e490000000001027a43</v>
      </c>
      <c r="F92" s="65">
        <f>VLOOKUP(A:A,笔记匹配!A:N,8,FALSE)</f>
        <v>44708</v>
      </c>
      <c r="G92" s="66" t="str">
        <f>VLOOKUP(A:A,笔记匹配!A:P,15,FALSE)</f>
        <v>2022-05-31</v>
      </c>
      <c r="H92" s="30" t="str">
        <f>VLOOKUP(A:A,笔记匹配!A:N,9,FALSE)</f>
        <v>图文</v>
      </c>
      <c r="I92" s="30" t="str">
        <f>VLOOKUP(A:A,笔记匹配!A:N,2,FALSE)</f>
        <v>跳绳</v>
      </c>
      <c r="J92" s="30" t="str">
        <f>VLOOKUP(A:A,笔记匹配!A:N,4,FALSE)</f>
        <v>云麦心率跳绳</v>
      </c>
      <c r="K92" s="30" t="str">
        <f>VLOOKUP(A:A,笔记匹配!A:N,14,FALSE)</f>
        <v>云麦心率跳绳</v>
      </c>
      <c r="L92" s="3">
        <f>VLOOKUP(A:A,笔记匹配!A:N,10,FALSE)</f>
        <v>306</v>
      </c>
      <c r="M92" s="3">
        <f>VLOOKUP(A:A,笔记匹配!A:N,11,FALSE)</f>
        <v>139</v>
      </c>
      <c r="N92" s="69">
        <f>VLOOKUP(A:A,笔记匹配!A:N,12,FALSE)</f>
        <v>47</v>
      </c>
      <c r="O92" s="2">
        <f t="shared" si="7"/>
        <v>492</v>
      </c>
      <c r="P92" s="3">
        <f>IFERROR(VLOOKUP(A:A,信息流数据源!A:K,2,FALSE),0)</f>
        <v>0</v>
      </c>
      <c r="Q92" s="71">
        <f>IFERROR(VLOOKUP(A:A,信息流数据源!A:N,5,FALSE),0)</f>
        <v>0</v>
      </c>
      <c r="R92" s="72">
        <f>IFERROR(VLOOKUP(A:A,信息流数据源!A:N,6,FALSE),0)</f>
        <v>0</v>
      </c>
      <c r="S92" s="2">
        <f>IFERROR(VLOOKUP(A:A,信息流数据源!A:N,9,FALSE),0)</f>
        <v>0</v>
      </c>
      <c r="T92" s="3">
        <f>IFERROR(VLOOKUP(A:A,信息流数据源!A:N,13,FALSE),0)</f>
        <v>0</v>
      </c>
      <c r="U92" s="73">
        <f>IFERROR(VLOOKUP(A:A,信息流数据源!A:N,14,FALSE),0)</f>
        <v>0</v>
      </c>
      <c r="V92" s="74">
        <f>IFERROR(VLOOKUP(A:A,信息流数据源!A:O,15,FALSE),0)</f>
        <v>0</v>
      </c>
      <c r="W92" s="3">
        <f>IFERROR(VLOOKUP(A:A,搜索数据源!A:T,2,FALSE),0)</f>
        <v>0</v>
      </c>
      <c r="X92" s="71">
        <f>IFERROR(VLOOKUP(A:A,搜索数据源!A:T,5,FALSE),0)</f>
        <v>0</v>
      </c>
      <c r="Y92" s="73">
        <f>IFERROR(VLOOKUP(A:A,搜索数据源!A:T,6,FALSE),0)</f>
        <v>0</v>
      </c>
      <c r="Z92" s="3">
        <f>IFERROR(VLOOKUP(A:A,搜索数据源!A:T,9,FALSE),0)</f>
        <v>0</v>
      </c>
      <c r="AA92" s="3" t="e">
        <f>VLOOKUP(A:A,[1]搜索数据源!A:T,13,FALSE)</f>
        <v>#N/A</v>
      </c>
      <c r="AB92" s="72">
        <f>IFERROR(VLOOKUP(A:A,搜索数据源!A:T,14,FALSE),0)</f>
        <v>0</v>
      </c>
      <c r="AC92" s="69" t="str">
        <f>_xlfn.DISPIMG("ID_F53097BD070C4DC7B8BA4E7543A407A8",1)</f>
        <v>=DISPIMG("ID_F53097BD070C4DC7B8BA4E7543A407A8",1)</v>
      </c>
      <c r="AD92" s="4" t="s">
        <v>511</v>
      </c>
      <c r="AE92" s="69"/>
      <c r="AF92" s="69"/>
      <c r="AG92" s="2"/>
      <c r="AH92" s="69"/>
      <c r="AI92" s="69"/>
      <c r="AJ92" s="69"/>
      <c r="AK92" s="69"/>
      <c r="AL92" s="4">
        <f t="shared" si="5"/>
        <v>0</v>
      </c>
      <c r="AM92" s="81">
        <f t="shared" si="8"/>
        <v>0</v>
      </c>
      <c r="AN92" s="5">
        <f>IFERROR(VLOOKUP(A:A,回搜数据源!B:N,4,FALSE),0)</f>
        <v>0</v>
      </c>
      <c r="AO92" s="5">
        <f>IFERROR(VLOOKUP(A:A,回搜数据源!B:N,5,FALSE),0)</f>
        <v>0</v>
      </c>
    </row>
    <row r="93" s="57" customFormat="1" ht="100" hidden="1" customHeight="1" spans="1:41">
      <c r="A93" s="8" t="s">
        <v>512</v>
      </c>
      <c r="B93" s="3" t="str">
        <f>VLOOKUP(A:A,笔记匹配!A:N,5,FALSE)</f>
        <v>=DISPIMG("ID_6D31ADD2ABA04A7F9EEDF159CF92F014",1)</v>
      </c>
      <c r="C93" s="30" t="str">
        <f>VLOOKUP(A:A,笔记匹配!A:N,3,FALSE)</f>
        <v>爱上健身的Amy</v>
      </c>
      <c r="D93" s="30" t="str">
        <f>VLOOKUP(A:A,笔记匹配!A:N,6,FALSE)</f>
        <v>玛丽姐6分钟快速瘦肚子🔥腰围已瘦8cm</v>
      </c>
      <c r="E93" s="30" t="str">
        <f>VLOOKUP(A:A,笔记匹配!A:N,7,FALSE)</f>
        <v>https://www.xiaohongshu.com/discovery/item/6290703f000000002103d411</v>
      </c>
      <c r="F93" s="65">
        <f>VLOOKUP(A:A,笔记匹配!A:N,8,FALSE)</f>
        <v>44708</v>
      </c>
      <c r="G93" s="66" t="str">
        <f>VLOOKUP(A:A,笔记匹配!A:P,15,FALSE)</f>
        <v>2022-05-30</v>
      </c>
      <c r="H93" s="30" t="str">
        <f>VLOOKUP(A:A,笔记匹配!A:N,9,FALSE)</f>
        <v>视频</v>
      </c>
      <c r="I93" s="30" t="str">
        <f>VLOOKUP(A:A,笔记匹配!A:N,2,FALSE)</f>
        <v>体脂秤</v>
      </c>
      <c r="J93" s="30" t="str">
        <f>VLOOKUP(A:A,笔记匹配!A:N,4,FALSE)</f>
        <v>云麦体脂秤3mini</v>
      </c>
      <c r="K93" s="30" t="str">
        <f>VLOOKUP(A:A,笔记匹配!A:N,14,FALSE)</f>
        <v>云麦体脂秤3mini</v>
      </c>
      <c r="L93" s="3">
        <f>VLOOKUP(A:A,笔记匹配!A:N,10,FALSE)</f>
        <v>659</v>
      </c>
      <c r="M93" s="3">
        <f>VLOOKUP(A:A,笔记匹配!A:N,11,FALSE)</f>
        <v>727</v>
      </c>
      <c r="N93" s="69">
        <f>VLOOKUP(A:A,笔记匹配!A:N,12,FALSE)</f>
        <v>42</v>
      </c>
      <c r="O93" s="2">
        <f t="shared" si="7"/>
        <v>1428</v>
      </c>
      <c r="P93" s="3">
        <f>IFERROR(VLOOKUP(A:A,信息流数据源!A:K,2,FALSE),0)</f>
        <v>0</v>
      </c>
      <c r="Q93" s="71">
        <f>IFERROR(VLOOKUP(A:A,信息流数据源!A:N,5,FALSE),0)</f>
        <v>0</v>
      </c>
      <c r="R93" s="72">
        <f>IFERROR(VLOOKUP(A:A,信息流数据源!A:N,6,FALSE),0)</f>
        <v>0</v>
      </c>
      <c r="S93" s="2">
        <f>IFERROR(VLOOKUP(A:A,信息流数据源!A:N,9,FALSE),0)</f>
        <v>0</v>
      </c>
      <c r="T93" s="3">
        <f>IFERROR(VLOOKUP(A:A,信息流数据源!A:N,13,FALSE),0)</f>
        <v>0</v>
      </c>
      <c r="U93" s="73">
        <f>IFERROR(VLOOKUP(A:A,信息流数据源!A:N,14,FALSE),0)</f>
        <v>0</v>
      </c>
      <c r="V93" s="74">
        <f>IFERROR(VLOOKUP(A:A,信息流数据源!A:O,15,FALSE),0)</f>
        <v>0</v>
      </c>
      <c r="W93" s="3">
        <f>IFERROR(VLOOKUP(A:A,搜索数据源!A:T,2,FALSE),0)</f>
        <v>0</v>
      </c>
      <c r="X93" s="71">
        <f>IFERROR(VLOOKUP(A:A,搜索数据源!A:T,5,FALSE),0)</f>
        <v>0</v>
      </c>
      <c r="Y93" s="73">
        <f>IFERROR(VLOOKUP(A:A,搜索数据源!A:T,6,FALSE),0)</f>
        <v>0</v>
      </c>
      <c r="Z93" s="3">
        <f>IFERROR(VLOOKUP(A:A,搜索数据源!A:T,9,FALSE),0)</f>
        <v>0</v>
      </c>
      <c r="AA93" s="3" t="e">
        <f>VLOOKUP(A:A,[1]搜索数据源!A:T,13,FALSE)</f>
        <v>#N/A</v>
      </c>
      <c r="AB93" s="72">
        <f>IFERROR(VLOOKUP(A:A,搜索数据源!A:T,14,FALSE),0)</f>
        <v>0</v>
      </c>
      <c r="AC93" s="69"/>
      <c r="AD93" s="69"/>
      <c r="AE93" s="69"/>
      <c r="AF93" s="69"/>
      <c r="AG93" s="2"/>
      <c r="AH93" s="69"/>
      <c r="AI93" s="69"/>
      <c r="AJ93" s="69"/>
      <c r="AK93" s="69"/>
      <c r="AL93" s="4">
        <f t="shared" si="5"/>
        <v>0</v>
      </c>
      <c r="AM93" s="81">
        <f t="shared" si="8"/>
        <v>0</v>
      </c>
      <c r="AN93" s="5">
        <f>IFERROR(VLOOKUP(A:A,回搜数据源!B:N,4,FALSE),0)</f>
        <v>0</v>
      </c>
      <c r="AO93" s="5">
        <f>IFERROR(VLOOKUP(A:A,回搜数据源!B:N,5,FALSE),0)</f>
        <v>0</v>
      </c>
    </row>
    <row r="94" s="57" customFormat="1" ht="100" hidden="1" customHeight="1" spans="1:41">
      <c r="A94" s="8" t="s">
        <v>513</v>
      </c>
      <c r="B94" s="3" t="str">
        <f>VLOOKUP(A:A,笔记匹配!A:N,5,FALSE)</f>
        <v>=DISPIMG("ID_861F1200E18B419989945F61BD4CA04C",1)</v>
      </c>
      <c r="C94" s="30" t="str">
        <f>VLOOKUP(A:A,笔记匹配!A:N,3,FALSE)</f>
        <v>大桐yoto</v>
      </c>
      <c r="D94" s="30" t="str">
        <f>VLOOKUP(A:A,笔记匹配!A:N,6,FALSE)</f>
        <v>减肥就是要饿｜饮食和运动的完整计划在这里</v>
      </c>
      <c r="E94" s="30" t="str">
        <f>VLOOKUP(A:A,笔记匹配!A:N,7,FALSE)</f>
        <v>https://www.xiaohongshu.com/discovery/item/628c7af500000000010254ad</v>
      </c>
      <c r="F94" s="65">
        <f>VLOOKUP(A:A,笔记匹配!A:N,8,FALSE)</f>
        <v>44706</v>
      </c>
      <c r="G94" s="66" t="str">
        <f>VLOOKUP(A:A,笔记匹配!A:P,15,FALSE)</f>
        <v>2022-05-30</v>
      </c>
      <c r="H94" s="30" t="str">
        <f>VLOOKUP(A:A,笔记匹配!A:N,9,FALSE)</f>
        <v>图文</v>
      </c>
      <c r="I94" s="30" t="str">
        <f>VLOOKUP(A:A,笔记匹配!A:N,2,FALSE)</f>
        <v>跳绳</v>
      </c>
      <c r="J94" s="30" t="str">
        <f>VLOOKUP(A:A,笔记匹配!A:N,4,FALSE)</f>
        <v>云麦3mini</v>
      </c>
      <c r="K94" s="30" t="str">
        <f>VLOOKUP(A:A,笔记匹配!A:N,14,FALSE)</f>
        <v>云麦体脂秤3mini</v>
      </c>
      <c r="L94" s="3">
        <f>VLOOKUP(A:A,笔记匹配!A:N,10,FALSE)</f>
        <v>2381</v>
      </c>
      <c r="M94" s="3">
        <f>VLOOKUP(A:A,笔记匹配!A:N,11,FALSE)</f>
        <v>367</v>
      </c>
      <c r="N94" s="69">
        <f>VLOOKUP(A:A,笔记匹配!A:N,12,FALSE)</f>
        <v>284</v>
      </c>
      <c r="O94" s="2">
        <f t="shared" si="7"/>
        <v>3032</v>
      </c>
      <c r="P94" s="3">
        <f>IFERROR(VLOOKUP(A:A,信息流数据源!A:K,2,FALSE),0)</f>
        <v>0</v>
      </c>
      <c r="Q94" s="71">
        <f>IFERROR(VLOOKUP(A:A,信息流数据源!A:N,5,FALSE),0)</f>
        <v>0</v>
      </c>
      <c r="R94" s="72">
        <f>IFERROR(VLOOKUP(A:A,信息流数据源!A:N,6,FALSE),0)</f>
        <v>0</v>
      </c>
      <c r="S94" s="2">
        <f>IFERROR(VLOOKUP(A:A,信息流数据源!A:N,9,FALSE),0)</f>
        <v>0</v>
      </c>
      <c r="T94" s="3">
        <f>IFERROR(VLOOKUP(A:A,信息流数据源!A:N,13,FALSE),0)</f>
        <v>0</v>
      </c>
      <c r="U94" s="73">
        <f>IFERROR(VLOOKUP(A:A,信息流数据源!A:N,14,FALSE),0)</f>
        <v>0</v>
      </c>
      <c r="V94" s="74">
        <f>IFERROR(VLOOKUP(A:A,信息流数据源!A:O,15,FALSE),0)</f>
        <v>0</v>
      </c>
      <c r="W94" s="3">
        <f>IFERROR(VLOOKUP(A:A,搜索数据源!A:T,2,FALSE),0)</f>
        <v>0</v>
      </c>
      <c r="X94" s="71">
        <f>IFERROR(VLOOKUP(A:A,搜索数据源!A:T,5,FALSE),0)</f>
        <v>0</v>
      </c>
      <c r="Y94" s="73">
        <f>IFERROR(VLOOKUP(A:A,搜索数据源!A:T,6,FALSE),0)</f>
        <v>0</v>
      </c>
      <c r="Z94" s="3">
        <f>IFERROR(VLOOKUP(A:A,搜索数据源!A:T,9,FALSE),0)</f>
        <v>0</v>
      </c>
      <c r="AA94" s="3" t="e">
        <f>VLOOKUP(A:A,[1]搜索数据源!A:T,13,FALSE)</f>
        <v>#N/A</v>
      </c>
      <c r="AB94" s="72">
        <f>IFERROR(VLOOKUP(A:A,搜索数据源!A:T,14,FALSE),0)</f>
        <v>0</v>
      </c>
      <c r="AC94" s="69" t="str">
        <f>_xlfn.DISPIMG("ID_4EB1B77A08D64D2D9D3913736CF51A9B",1)</f>
        <v>=DISPIMG("ID_4EB1B77A08D64D2D9D3913736CF51A9B",1)</v>
      </c>
      <c r="AD94" s="4" t="s">
        <v>484</v>
      </c>
      <c r="AE94" s="75"/>
      <c r="AF94" s="75"/>
      <c r="AG94" s="2"/>
      <c r="AH94" s="69"/>
      <c r="AI94" s="69"/>
      <c r="AJ94" s="69"/>
      <c r="AK94" s="69"/>
      <c r="AL94" s="4">
        <f t="shared" si="5"/>
        <v>0</v>
      </c>
      <c r="AM94" s="81">
        <f t="shared" si="8"/>
        <v>0</v>
      </c>
      <c r="AN94" s="5">
        <f>IFERROR(VLOOKUP(A:A,回搜数据源!B:N,4,FALSE),0)</f>
        <v>0</v>
      </c>
      <c r="AO94" s="5">
        <f>IFERROR(VLOOKUP(A:A,回搜数据源!B:N,5,FALSE),0)</f>
        <v>0</v>
      </c>
    </row>
    <row r="95" s="57" customFormat="1" ht="100" hidden="1" customHeight="1" spans="1:41">
      <c r="A95" s="8" t="s">
        <v>514</v>
      </c>
      <c r="B95" s="3" t="str">
        <f>VLOOKUP(A:A,笔记匹配!A:N,5,FALSE)</f>
        <v>=DISPIMG("ID_30EC5F7C7EBF4543847F4503B6E1579B",1)</v>
      </c>
      <c r="C95" s="30">
        <f>VLOOKUP(A:A,笔记匹配!A:N,3,FALSE)</f>
        <v>-77</v>
      </c>
      <c r="D95" s="30" t="str">
        <f>VLOOKUP(A:A,笔记匹配!A:N,6,FALSE)</f>
        <v>睡前8min瘦大腿内外侧</v>
      </c>
      <c r="E95" s="30" t="str">
        <f>VLOOKUP(A:A,笔记匹配!A:N,7,FALSE)</f>
        <v>https://www.xiaohongshu.com/discovery/item/6284a6120000000021036c2e</v>
      </c>
      <c r="F95" s="65">
        <f>VLOOKUP(A:A,笔记匹配!A:N,8,FALSE)</f>
        <v>44699</v>
      </c>
      <c r="G95" s="66" t="str">
        <f>VLOOKUP(A:A,笔记匹配!A:P,15,FALSE)</f>
        <v>2022-05-26</v>
      </c>
      <c r="H95" s="30" t="str">
        <f>VLOOKUP(A:A,笔记匹配!A:N,9,FALSE)</f>
        <v>视频</v>
      </c>
      <c r="I95" s="30" t="str">
        <f>VLOOKUP(A:A,笔记匹配!A:N,2,FALSE)</f>
        <v>体脂秤</v>
      </c>
      <c r="J95" s="30" t="str">
        <f>VLOOKUP(A:A,笔记匹配!A:N,4,FALSE)</f>
        <v>云麦3mini</v>
      </c>
      <c r="K95" s="30" t="str">
        <f>VLOOKUP(A:A,笔记匹配!A:N,14,FALSE)</f>
        <v>云麦体脂秤3mini</v>
      </c>
      <c r="L95" s="3">
        <f>VLOOKUP(A:A,笔记匹配!A:N,10,FALSE)</f>
        <v>1746</v>
      </c>
      <c r="M95" s="3">
        <f>VLOOKUP(A:A,笔记匹配!A:N,11,FALSE)</f>
        <v>885</v>
      </c>
      <c r="N95" s="69">
        <f>VLOOKUP(A:A,笔记匹配!A:N,12,FALSE)</f>
        <v>25</v>
      </c>
      <c r="O95" s="2">
        <f t="shared" si="7"/>
        <v>2656</v>
      </c>
      <c r="P95" s="3">
        <f>IFERROR(VLOOKUP(A:A,信息流数据源!A:K,2,FALSE),0)</f>
        <v>0</v>
      </c>
      <c r="Q95" s="71">
        <f>IFERROR(VLOOKUP(A:A,信息流数据源!A:N,5,FALSE),0)</f>
        <v>0</v>
      </c>
      <c r="R95" s="72">
        <f>IFERROR(VLOOKUP(A:A,信息流数据源!A:N,6,FALSE),0)</f>
        <v>0</v>
      </c>
      <c r="S95" s="2">
        <f>IFERROR(VLOOKUP(A:A,信息流数据源!A:N,9,FALSE),0)</f>
        <v>0</v>
      </c>
      <c r="T95" s="3">
        <f>IFERROR(VLOOKUP(A:A,信息流数据源!A:N,13,FALSE),0)</f>
        <v>0</v>
      </c>
      <c r="U95" s="73">
        <f>IFERROR(VLOOKUP(A:A,信息流数据源!A:N,14,FALSE),0)</f>
        <v>0</v>
      </c>
      <c r="V95" s="74">
        <f>IFERROR(VLOOKUP(A:A,信息流数据源!A:O,15,FALSE),0)</f>
        <v>0</v>
      </c>
      <c r="W95" s="3">
        <f>IFERROR(VLOOKUP(A:A,搜索数据源!A:T,2,FALSE),0)</f>
        <v>0</v>
      </c>
      <c r="X95" s="71">
        <f>IFERROR(VLOOKUP(A:A,搜索数据源!A:T,5,FALSE),0)</f>
        <v>0</v>
      </c>
      <c r="Y95" s="73">
        <f>IFERROR(VLOOKUP(A:A,搜索数据源!A:T,6,FALSE),0)</f>
        <v>0</v>
      </c>
      <c r="Z95" s="3">
        <f>IFERROR(VLOOKUP(A:A,搜索数据源!A:T,9,FALSE),0)</f>
        <v>0</v>
      </c>
      <c r="AA95" s="3" t="e">
        <f>VLOOKUP(A:A,[1]搜索数据源!A:T,13,FALSE)</f>
        <v>#N/A</v>
      </c>
      <c r="AB95" s="72">
        <f>IFERROR(VLOOKUP(A:A,搜索数据源!A:T,14,FALSE),0)</f>
        <v>0</v>
      </c>
      <c r="AC95" s="69" t="str">
        <f>_xlfn.DISPIMG("ID_B3DBED6FEAB041648ED2ADCF1C0E1AA3",1)</f>
        <v>=DISPIMG("ID_B3DBED6FEAB041648ED2ADCF1C0E1AA3",1)</v>
      </c>
      <c r="AD95" s="4" t="s">
        <v>515</v>
      </c>
      <c r="AE95" s="69"/>
      <c r="AF95" s="69"/>
      <c r="AG95" s="2"/>
      <c r="AH95" s="69"/>
      <c r="AI95" s="69"/>
      <c r="AJ95" s="69"/>
      <c r="AK95" s="69"/>
      <c r="AL95" s="4">
        <f t="shared" si="5"/>
        <v>0</v>
      </c>
      <c r="AM95" s="81">
        <f t="shared" si="8"/>
        <v>0</v>
      </c>
      <c r="AN95" s="5">
        <f>IFERROR(VLOOKUP(A:A,回搜数据源!B:N,4,FALSE),0)</f>
        <v>0</v>
      </c>
      <c r="AO95" s="5">
        <f>IFERROR(VLOOKUP(A:A,回搜数据源!B:N,5,FALSE),0)</f>
        <v>0</v>
      </c>
    </row>
    <row r="96" s="57" customFormat="1" ht="100" hidden="1" customHeight="1" spans="1:41">
      <c r="A96" s="8" t="s">
        <v>516</v>
      </c>
      <c r="B96" s="3" t="str">
        <f>VLOOKUP(A:A,笔记匹配!A:N,5,FALSE)</f>
        <v>=DISPIMG("ID_9113B1655B9F4B45ADB000543D2E9035",1)</v>
      </c>
      <c r="C96" s="30" t="str">
        <f>VLOOKUP(A:A,笔记匹配!A:N,3,FALSE)</f>
        <v>爱跳绳的粥粥</v>
      </c>
      <c r="D96" s="30" t="str">
        <f>VLOOKUP(A:A,笔记匹配!A:N,6,FALSE)</f>
        <v>坚持跳绳瘦24斤这个高效跳绳组合你一定要跳</v>
      </c>
      <c r="E96" s="30" t="str">
        <f>VLOOKUP(A:A,笔记匹配!A:N,7,FALSE)</f>
        <v>https://www.xiaohongshu.com/discovery/item/6286eeb6000000002103d135</v>
      </c>
      <c r="F96" s="65">
        <f>VLOOKUP(A:A,笔记匹配!A:N,8,FALSE)</f>
        <v>44701</v>
      </c>
      <c r="G96" s="66" t="str">
        <f>VLOOKUP(A:A,笔记匹配!A:P,15,FALSE)</f>
        <v>2022-05-26</v>
      </c>
      <c r="H96" s="30" t="str">
        <f>VLOOKUP(A:A,笔记匹配!A:N,9,FALSE)</f>
        <v>视频</v>
      </c>
      <c r="I96" s="30" t="str">
        <f>VLOOKUP(A:A,笔记匹配!A:N,2,FALSE)</f>
        <v>跳绳</v>
      </c>
      <c r="J96" s="30" t="str">
        <f>VLOOKUP(A:A,笔记匹配!A:N,4,FALSE)</f>
        <v>云麦跳绳心率款</v>
      </c>
      <c r="K96" s="30" t="str">
        <f>VLOOKUP(A:A,笔记匹配!A:N,14,FALSE)</f>
        <v>云麦心率跳绳</v>
      </c>
      <c r="L96" s="3">
        <f>VLOOKUP(A:A,笔记匹配!A:N,10,FALSE)</f>
        <v>13000</v>
      </c>
      <c r="M96" s="3">
        <f>VLOOKUP(A:A,笔记匹配!A:N,11,FALSE)</f>
        <v>7890</v>
      </c>
      <c r="N96" s="69">
        <f>VLOOKUP(A:A,笔记匹配!A:N,12,FALSE)</f>
        <v>193</v>
      </c>
      <c r="O96" s="2">
        <f t="shared" si="7"/>
        <v>21083</v>
      </c>
      <c r="P96" s="3">
        <f>IFERROR(VLOOKUP(A:A,信息流数据源!A:K,2,FALSE),0)</f>
        <v>0</v>
      </c>
      <c r="Q96" s="71">
        <f>IFERROR(VLOOKUP(A:A,信息流数据源!A:N,5,FALSE),0)</f>
        <v>0</v>
      </c>
      <c r="R96" s="72">
        <f>IFERROR(VLOOKUP(A:A,信息流数据源!A:N,6,FALSE),0)</f>
        <v>0</v>
      </c>
      <c r="S96" s="2">
        <f>IFERROR(VLOOKUP(A:A,信息流数据源!A:N,9,FALSE),0)</f>
        <v>0</v>
      </c>
      <c r="T96" s="3">
        <f>IFERROR(VLOOKUP(A:A,信息流数据源!A:N,13,FALSE),0)</f>
        <v>0</v>
      </c>
      <c r="U96" s="73">
        <f>IFERROR(VLOOKUP(A:A,信息流数据源!A:N,14,FALSE),0)</f>
        <v>0</v>
      </c>
      <c r="V96" s="74">
        <f>IFERROR(VLOOKUP(A:A,信息流数据源!A:O,15,FALSE),0)</f>
        <v>0</v>
      </c>
      <c r="W96" s="3">
        <f>IFERROR(VLOOKUP(A:A,搜索数据源!A:T,2,FALSE),0)</f>
        <v>0</v>
      </c>
      <c r="X96" s="71">
        <f>IFERROR(VLOOKUP(A:A,搜索数据源!A:T,5,FALSE),0)</f>
        <v>0</v>
      </c>
      <c r="Y96" s="73">
        <f>IFERROR(VLOOKUP(A:A,搜索数据源!A:T,6,FALSE),0)</f>
        <v>0</v>
      </c>
      <c r="Z96" s="3">
        <f>IFERROR(VLOOKUP(A:A,搜索数据源!A:T,9,FALSE),0)</f>
        <v>0</v>
      </c>
      <c r="AA96" s="3" t="e">
        <f>VLOOKUP(A:A,[1]搜索数据源!A:T,13,FALSE)</f>
        <v>#N/A</v>
      </c>
      <c r="AB96" s="72">
        <f>IFERROR(VLOOKUP(A:A,搜索数据源!A:T,14,FALSE),0)</f>
        <v>0</v>
      </c>
      <c r="AC96" s="69"/>
      <c r="AD96" s="69"/>
      <c r="AE96" s="69"/>
      <c r="AF96" s="69"/>
      <c r="AG96" s="2"/>
      <c r="AH96" s="69"/>
      <c r="AI96" s="69"/>
      <c r="AJ96" s="69"/>
      <c r="AK96" s="69"/>
      <c r="AL96" s="4">
        <f t="shared" si="5"/>
        <v>0</v>
      </c>
      <c r="AM96" s="81">
        <f t="shared" si="8"/>
        <v>0</v>
      </c>
      <c r="AN96" s="5">
        <f>IFERROR(VLOOKUP(A:A,回搜数据源!B:N,4,FALSE),0)</f>
        <v>0</v>
      </c>
      <c r="AO96" s="5">
        <f>IFERROR(VLOOKUP(A:A,回搜数据源!B:N,5,FALSE),0)</f>
        <v>0</v>
      </c>
    </row>
    <row r="97" s="57" customFormat="1" ht="100" hidden="1" customHeight="1" spans="1:41">
      <c r="A97" s="8" t="s">
        <v>261</v>
      </c>
      <c r="B97" s="3" t="str">
        <f>VLOOKUP(A:A,笔记匹配!A:N,5,FALSE)</f>
        <v>=DISPIMG("ID_07681901BEFF4A56858EAB41E7A428CE",1)</v>
      </c>
      <c r="C97" s="30" t="str">
        <f>VLOOKUP(A:A,笔记匹配!A:N,3,FALSE)</f>
        <v>猪脚ivi</v>
      </c>
      <c r="D97" s="30" t="str">
        <f>VLOOKUP(A:A,笔记匹配!A:N,6,FALSE)</f>
        <v>拜托!!跳绳真的不粗腿‼️跳绳yyds！</v>
      </c>
      <c r="E97" s="30" t="str">
        <f>VLOOKUP(A:A,笔记匹配!A:N,7,FALSE)</f>
        <v>https://www.xiaohongshu.com/discovery/item/635f7fd20000000008010ca4</v>
      </c>
      <c r="F97" s="65">
        <f>VLOOKUP(A:A,笔记匹配!A:N,8,FALSE)</f>
        <v>44865</v>
      </c>
      <c r="G97" s="66" t="str">
        <f>VLOOKUP(A:A,笔记匹配!A:P,15,FALSE)</f>
        <v>2022-11-09</v>
      </c>
      <c r="H97" s="30" t="str">
        <f>VLOOKUP(A:A,笔记匹配!A:N,9,FALSE)</f>
        <v>视频</v>
      </c>
      <c r="I97" s="30" t="str">
        <f>VLOOKUP(A:A,笔记匹配!A:N,2,FALSE)</f>
        <v>筋膜枪</v>
      </c>
      <c r="J97" s="30" t="str">
        <f>VLOOKUP(A:A,笔记匹配!A:N,4,FALSE)</f>
        <v>云麦筋膜枪cc</v>
      </c>
      <c r="K97" s="30" t="str">
        <f>VLOOKUP(A:A,笔记匹配!A:N,14,FALSE)</f>
        <v>云麦筋膜枪cc</v>
      </c>
      <c r="L97" s="3">
        <f>VLOOKUP(A:A,笔记匹配!A:N,10,FALSE)</f>
        <v>868</v>
      </c>
      <c r="M97" s="3">
        <f>VLOOKUP(A:A,笔记匹配!A:N,11,FALSE)</f>
        <v>224</v>
      </c>
      <c r="N97" s="69">
        <f>VLOOKUP(A:A,笔记匹配!A:N,12,FALSE)</f>
        <v>40</v>
      </c>
      <c r="O97" s="2">
        <f t="shared" si="7"/>
        <v>1132</v>
      </c>
      <c r="P97" s="3">
        <f>IFERROR(VLOOKUP(A:A,信息流数据源!A:K,2,FALSE),0)</f>
        <v>0</v>
      </c>
      <c r="Q97" s="71">
        <f>IFERROR(VLOOKUP(A:A,信息流数据源!A:N,5,FALSE),0)</f>
        <v>0</v>
      </c>
      <c r="R97" s="72">
        <f>IFERROR(VLOOKUP(A:A,信息流数据源!A:N,6,FALSE),0)</f>
        <v>0</v>
      </c>
      <c r="S97" s="2">
        <f>IFERROR(VLOOKUP(A:A,信息流数据源!A:N,9,FALSE),0)</f>
        <v>0</v>
      </c>
      <c r="T97" s="3">
        <f>IFERROR(VLOOKUP(A:A,信息流数据源!A:N,13,FALSE),0)</f>
        <v>0</v>
      </c>
      <c r="U97" s="73">
        <f>IFERROR(VLOOKUP(A:A,信息流数据源!A:N,14,FALSE),0)</f>
        <v>0</v>
      </c>
      <c r="V97" s="74">
        <f>IFERROR(VLOOKUP(A:A,信息流数据源!A:O,15,FALSE),0)</f>
        <v>0</v>
      </c>
      <c r="W97" s="3">
        <f>IFERROR(VLOOKUP(A:A,搜索数据源!A:T,2,FALSE),0)</f>
        <v>0</v>
      </c>
      <c r="X97" s="71">
        <f>IFERROR(VLOOKUP(A:A,搜索数据源!A:T,5,FALSE),0)</f>
        <v>0</v>
      </c>
      <c r="Y97" s="73">
        <f>IFERROR(VLOOKUP(A:A,搜索数据源!A:T,6,FALSE),0)</f>
        <v>0</v>
      </c>
      <c r="Z97" s="3">
        <f>IFERROR(VLOOKUP(A:A,搜索数据源!A:T,9,FALSE),0)</f>
        <v>0</v>
      </c>
      <c r="AA97" s="3">
        <f>VLOOKUP(A:A,[1]搜索数据源!A:T,13,FALSE)</f>
        <v>17</v>
      </c>
      <c r="AB97" s="72">
        <f>IFERROR(VLOOKUP(A:A,搜索数据源!A:T,14,FALSE),0)</f>
        <v>0</v>
      </c>
      <c r="AC97" s="69" t="str">
        <f>_xlfn.DISPIMG("ID_565971F1D0494FCB8C085756C0A6EBCC",1)</f>
        <v>=DISPIMG("ID_565971F1D0494FCB8C085756C0A6EBCC",1)</v>
      </c>
      <c r="AD97" s="4" t="s">
        <v>517</v>
      </c>
      <c r="AE97" s="76"/>
      <c r="AF97" s="77"/>
      <c r="AG97" s="82"/>
      <c r="AH97" s="69"/>
      <c r="AI97" s="4"/>
      <c r="AJ97" s="4"/>
      <c r="AK97" s="4"/>
      <c r="AL97" s="4"/>
      <c r="AM97" s="81"/>
      <c r="AN97" s="5">
        <f>IFERROR(VLOOKUP(A:A,回搜数据源!B:N,4,FALSE),0)</f>
        <v>0</v>
      </c>
      <c r="AO97" s="5">
        <f>IFERROR(VLOOKUP(A:A,回搜数据源!B:N,5,FALSE),0)</f>
        <v>0</v>
      </c>
    </row>
    <row r="98" s="57" customFormat="1" ht="100" hidden="1" customHeight="1" spans="1:41">
      <c r="A98" s="8" t="s">
        <v>518</v>
      </c>
      <c r="B98" s="3" t="str">
        <f>VLOOKUP(A:A,笔记匹配!A:N,5,FALSE)</f>
        <v>=DISPIMG("ID_620976F31BEF4727B2AC86C7B6ED2B08",1)</v>
      </c>
      <c r="C98" s="30" t="str">
        <f>VLOOKUP(A:A,笔记匹配!A:N,3,FALSE)</f>
        <v>我是铁核桃也是小百合</v>
      </c>
      <c r="D98" s="30" t="str">
        <f>VLOOKUP(A:A,笔记匹配!A:N,6,FALSE)</f>
        <v>产后5大阶段恢复必做事‼️错过多花3年补‼️</v>
      </c>
      <c r="E98" s="30" t="str">
        <f>VLOOKUP(A:A,笔记匹配!A:N,7,FALSE)</f>
        <v>https://www.xiaohongshu.com/discovery/item/627bb815000000000102a1d9</v>
      </c>
      <c r="F98" s="65">
        <f>VLOOKUP(A:A,笔记匹配!A:N,8,FALSE)</f>
        <v>44693</v>
      </c>
      <c r="G98" s="66" t="str">
        <f>VLOOKUP(A:A,笔记匹配!A:P,15,FALSE)</f>
        <v>2022-05-19</v>
      </c>
      <c r="H98" s="30" t="str">
        <f>VLOOKUP(A:A,笔记匹配!A:N,9,FALSE)</f>
        <v>视频</v>
      </c>
      <c r="I98" s="30" t="str">
        <f>VLOOKUP(A:A,笔记匹配!A:N,2,FALSE)</f>
        <v>体脂秤</v>
      </c>
      <c r="J98" s="30" t="str">
        <f>VLOOKUP(A:A,笔记匹配!A:N,4,FALSE)</f>
        <v>云麦体脂秤3</v>
      </c>
      <c r="K98" s="30" t="str">
        <f>VLOOKUP(A:A,笔记匹配!A:N,14,FALSE)</f>
        <v>云麦体脂秤3</v>
      </c>
      <c r="L98" s="3">
        <f>VLOOKUP(A:A,笔记匹配!A:N,10,FALSE)</f>
        <v>795</v>
      </c>
      <c r="M98" s="3">
        <f>VLOOKUP(A:A,笔记匹配!A:N,11,FALSE)</f>
        <v>825</v>
      </c>
      <c r="N98" s="69">
        <f>VLOOKUP(A:A,笔记匹配!A:N,12,FALSE)</f>
        <v>60</v>
      </c>
      <c r="O98" s="2">
        <f t="shared" si="7"/>
        <v>1680</v>
      </c>
      <c r="P98" s="3">
        <f>IFERROR(VLOOKUP(A:A,信息流数据源!A:K,2,FALSE),0)</f>
        <v>0</v>
      </c>
      <c r="Q98" s="71">
        <f>IFERROR(VLOOKUP(A:A,信息流数据源!A:N,5,FALSE),0)</f>
        <v>0</v>
      </c>
      <c r="R98" s="72">
        <f>IFERROR(VLOOKUP(A:A,信息流数据源!A:N,6,FALSE),0)</f>
        <v>0</v>
      </c>
      <c r="S98" s="2">
        <f>IFERROR(VLOOKUP(A:A,信息流数据源!A:N,9,FALSE),0)</f>
        <v>0</v>
      </c>
      <c r="T98" s="3">
        <f>IFERROR(VLOOKUP(A:A,信息流数据源!A:N,13,FALSE),0)</f>
        <v>0</v>
      </c>
      <c r="U98" s="73">
        <f>IFERROR(VLOOKUP(A:A,信息流数据源!A:N,14,FALSE),0)</f>
        <v>0</v>
      </c>
      <c r="V98" s="74">
        <f>IFERROR(VLOOKUP(A:A,信息流数据源!A:O,15,FALSE),0)</f>
        <v>0</v>
      </c>
      <c r="W98" s="3">
        <f>IFERROR(VLOOKUP(A:A,搜索数据源!A:T,2,FALSE),0)</f>
        <v>0</v>
      </c>
      <c r="X98" s="71">
        <f>IFERROR(VLOOKUP(A:A,搜索数据源!A:T,5,FALSE),0)</f>
        <v>0</v>
      </c>
      <c r="Y98" s="73">
        <f>IFERROR(VLOOKUP(A:A,搜索数据源!A:T,6,FALSE),0)</f>
        <v>0</v>
      </c>
      <c r="Z98" s="3">
        <f>IFERROR(VLOOKUP(A:A,搜索数据源!A:T,9,FALSE),0)</f>
        <v>0</v>
      </c>
      <c r="AA98" s="3" t="e">
        <f>VLOOKUP(A:A,[1]搜索数据源!A:T,13,FALSE)</f>
        <v>#N/A</v>
      </c>
      <c r="AB98" s="72">
        <f>IFERROR(VLOOKUP(A:A,搜索数据源!A:T,14,FALSE),0)</f>
        <v>0</v>
      </c>
      <c r="AC98" s="78" t="str">
        <f>_xlfn.DISPIMG("ID_2255809C12FF4D6FBA67206C539BE540",1)</f>
        <v>=DISPIMG("ID_2255809C12FF4D6FBA67206C539BE540",1)</v>
      </c>
      <c r="AD98" s="85" t="s">
        <v>472</v>
      </c>
      <c r="AE98" s="76"/>
      <c r="AF98" s="76"/>
      <c r="AG98" s="2"/>
      <c r="AH98" s="78"/>
      <c r="AI98" s="78"/>
      <c r="AJ98" s="78"/>
      <c r="AK98" s="78"/>
      <c r="AL98" s="4">
        <f>AK98-AJ98</f>
        <v>0</v>
      </c>
      <c r="AM98" s="81">
        <f>IFERROR(AF98/AL98,0)</f>
        <v>0</v>
      </c>
      <c r="AN98" s="5">
        <f>IFERROR(VLOOKUP(A:A,回搜数据源!B:N,4,FALSE),0)</f>
        <v>0</v>
      </c>
      <c r="AO98" s="5">
        <f>IFERROR(VLOOKUP(A:A,回搜数据源!B:N,5,FALSE),0)</f>
        <v>0</v>
      </c>
    </row>
    <row r="99" s="57" customFormat="1" ht="100" hidden="1" customHeight="1" spans="1:41">
      <c r="A99" s="8" t="s">
        <v>519</v>
      </c>
      <c r="B99" s="3" t="str">
        <f>VLOOKUP(A:A,笔记匹配!A:N,5,FALSE)</f>
        <v>=DISPIMG("ID_4A8E9B38CBB14B759398045063C9B54F",1)</v>
      </c>
      <c r="C99" s="30" t="str">
        <f>VLOOKUP(A:A,笔记匹配!A:N,3,FALSE)</f>
        <v>大敏敏的蜕变日记</v>
      </c>
      <c r="D99" s="30" t="str">
        <f>VLOOKUP(A:A,笔记匹配!A:N,6,FALSE)</f>
        <v>刘畊宏女孩的21天虐腹计划‼谁练谁瘦💪</v>
      </c>
      <c r="E99" s="30" t="str">
        <f>VLOOKUP(A:A,笔记匹配!A:N,7,FALSE)</f>
        <v>https://www.xiaohongshu.com/discovery/item/627e157b000000000102d2c9</v>
      </c>
      <c r="F99" s="65">
        <f>VLOOKUP(A:A,笔记匹配!A:N,8,FALSE)</f>
        <v>44695</v>
      </c>
      <c r="G99" s="66" t="str">
        <f>VLOOKUP(A:A,笔记匹配!A:P,15,FALSE)</f>
        <v>2022-05-19</v>
      </c>
      <c r="H99" s="30" t="str">
        <f>VLOOKUP(A:A,笔记匹配!A:N,9,FALSE)</f>
        <v>视频</v>
      </c>
      <c r="I99" s="30" t="str">
        <f>VLOOKUP(A:A,笔记匹配!A:N,2,FALSE)</f>
        <v>体脂秤</v>
      </c>
      <c r="J99" s="30" t="str">
        <f>VLOOKUP(A:A,笔记匹配!A:N,4,FALSE)</f>
        <v>云麦3mini</v>
      </c>
      <c r="K99" s="30" t="str">
        <f>VLOOKUP(A:A,笔记匹配!A:N,14,FALSE)</f>
        <v>云麦体脂秤3mini</v>
      </c>
      <c r="L99" s="3">
        <f>VLOOKUP(A:A,笔记匹配!A:N,10,FALSE)</f>
        <v>714</v>
      </c>
      <c r="M99" s="3">
        <f>VLOOKUP(A:A,笔记匹配!A:N,11,FALSE)</f>
        <v>624</v>
      </c>
      <c r="N99" s="69">
        <f>VLOOKUP(A:A,笔记匹配!A:N,12,FALSE)</f>
        <v>34</v>
      </c>
      <c r="O99" s="2">
        <f t="shared" si="7"/>
        <v>1372</v>
      </c>
      <c r="P99" s="3">
        <f>IFERROR(VLOOKUP(A:A,信息流数据源!A:K,2,FALSE),0)</f>
        <v>0</v>
      </c>
      <c r="Q99" s="71">
        <f>IFERROR(VLOOKUP(A:A,信息流数据源!A:N,5,FALSE),0)</f>
        <v>0</v>
      </c>
      <c r="R99" s="72">
        <f>IFERROR(VLOOKUP(A:A,信息流数据源!A:N,6,FALSE),0)</f>
        <v>0</v>
      </c>
      <c r="S99" s="2">
        <f>IFERROR(VLOOKUP(A:A,信息流数据源!A:N,9,FALSE),0)</f>
        <v>0</v>
      </c>
      <c r="T99" s="3">
        <f>IFERROR(VLOOKUP(A:A,信息流数据源!A:N,13,FALSE),0)</f>
        <v>0</v>
      </c>
      <c r="U99" s="73">
        <f>IFERROR(VLOOKUP(A:A,信息流数据源!A:N,14,FALSE),0)</f>
        <v>0</v>
      </c>
      <c r="V99" s="74">
        <f>IFERROR(VLOOKUP(A:A,信息流数据源!A:O,15,FALSE),0)</f>
        <v>0</v>
      </c>
      <c r="W99" s="3">
        <f>IFERROR(VLOOKUP(A:A,搜索数据源!A:T,2,FALSE),0)</f>
        <v>0</v>
      </c>
      <c r="X99" s="71">
        <f>IFERROR(VLOOKUP(A:A,搜索数据源!A:T,5,FALSE),0)</f>
        <v>0</v>
      </c>
      <c r="Y99" s="73">
        <f>IFERROR(VLOOKUP(A:A,搜索数据源!A:T,6,FALSE),0)</f>
        <v>0</v>
      </c>
      <c r="Z99" s="3">
        <f>IFERROR(VLOOKUP(A:A,搜索数据源!A:T,9,FALSE),0)</f>
        <v>0</v>
      </c>
      <c r="AA99" s="3" t="e">
        <f>VLOOKUP(A:A,[1]搜索数据源!A:T,13,FALSE)</f>
        <v>#N/A</v>
      </c>
      <c r="AB99" s="72">
        <f>IFERROR(VLOOKUP(A:A,搜索数据源!A:T,14,FALSE),0)</f>
        <v>0</v>
      </c>
      <c r="AC99" s="69" t="str">
        <f>_xlfn.DISPIMG("ID_D5FBBD5DA8B1497486FC0FCE7C36161D",1)</f>
        <v>=DISPIMG("ID_D5FBBD5DA8B1497486FC0FCE7C36161D",1)</v>
      </c>
      <c r="AD99" s="4" t="s">
        <v>515</v>
      </c>
      <c r="AE99" s="69"/>
      <c r="AF99" s="69"/>
      <c r="AG99" s="2"/>
      <c r="AH99" s="69"/>
      <c r="AI99" s="69"/>
      <c r="AJ99" s="69"/>
      <c r="AK99" s="69"/>
      <c r="AL99" s="4">
        <f>AK99-AJ99</f>
        <v>0</v>
      </c>
      <c r="AM99" s="81">
        <f>IFERROR(AF99/AL99,0)</f>
        <v>0</v>
      </c>
      <c r="AN99" s="5">
        <f>IFERROR(VLOOKUP(A:A,回搜数据源!B:N,4,FALSE),0)</f>
        <v>0</v>
      </c>
      <c r="AO99" s="5">
        <f>IFERROR(VLOOKUP(A:A,回搜数据源!B:N,5,FALSE),0)</f>
        <v>0</v>
      </c>
    </row>
    <row r="100" s="57" customFormat="1" ht="100" hidden="1" customHeight="1" spans="1:41">
      <c r="A100" s="8" t="s">
        <v>520</v>
      </c>
      <c r="B100" s="3" t="str">
        <f>VLOOKUP(A:A,笔记匹配!A:N,5,FALSE)</f>
        <v>=DISPIMG("ID_B3EF46834C03430989D864C7049896FC",1)</v>
      </c>
      <c r="C100" s="30" t="str">
        <f>VLOOKUP(A:A,笔记匹配!A:N,3,FALSE)</f>
        <v>沁儿你好哇</v>
      </c>
      <c r="D100" s="30" t="str">
        <f>VLOOKUP(A:A,笔记匹配!A:N,6,FALSE)</f>
        <v>居家瘦肚子｜燃烧腹部脂肪紧致腰线get马甲线</v>
      </c>
      <c r="E100" s="30" t="str">
        <f>VLOOKUP(A:A,笔记匹配!A:N,7,FALSE)</f>
        <v>https://www.xiaohongshu.com/discovery/item/62737915000000002103f16c</v>
      </c>
      <c r="F100" s="65">
        <f>VLOOKUP(A:A,笔记匹配!A:N,8,FALSE)</f>
        <v>44686</v>
      </c>
      <c r="G100" s="66" t="str">
        <f>VLOOKUP(A:A,笔记匹配!A:P,15,FALSE)</f>
        <v>2022-05-19</v>
      </c>
      <c r="H100" s="30" t="str">
        <f>VLOOKUP(A:A,笔记匹配!A:N,9,FALSE)</f>
        <v>图文</v>
      </c>
      <c r="I100" s="30" t="str">
        <f>VLOOKUP(A:A,笔记匹配!A:N,2,FALSE)</f>
        <v>体脂秤</v>
      </c>
      <c r="J100" s="30" t="str">
        <f>VLOOKUP(A:A,笔记匹配!A:N,4,FALSE)</f>
        <v>云麦体脂秤3mini</v>
      </c>
      <c r="K100" s="30" t="str">
        <f>VLOOKUP(A:A,笔记匹配!A:N,14,FALSE)</f>
        <v>云麦体脂秤3mini</v>
      </c>
      <c r="L100" s="3">
        <f>VLOOKUP(A:A,笔记匹配!A:N,10,FALSE)</f>
        <v>213</v>
      </c>
      <c r="M100" s="3">
        <f>VLOOKUP(A:A,笔记匹配!A:N,11,FALSE)</f>
        <v>176</v>
      </c>
      <c r="N100" s="69">
        <f>VLOOKUP(A:A,笔记匹配!A:N,12,FALSE)</f>
        <v>32</v>
      </c>
      <c r="O100" s="2">
        <f t="shared" si="7"/>
        <v>421</v>
      </c>
      <c r="P100" s="3">
        <f>IFERROR(VLOOKUP(A:A,信息流数据源!A:K,2,FALSE),0)</f>
        <v>0</v>
      </c>
      <c r="Q100" s="71">
        <f>IFERROR(VLOOKUP(A:A,信息流数据源!A:N,5,FALSE),0)</f>
        <v>0</v>
      </c>
      <c r="R100" s="72">
        <f>IFERROR(VLOOKUP(A:A,信息流数据源!A:N,6,FALSE),0)</f>
        <v>0</v>
      </c>
      <c r="S100" s="2">
        <f>IFERROR(VLOOKUP(A:A,信息流数据源!A:N,9,FALSE),0)</f>
        <v>0</v>
      </c>
      <c r="T100" s="3">
        <f>IFERROR(VLOOKUP(A:A,信息流数据源!A:N,13,FALSE),0)</f>
        <v>0</v>
      </c>
      <c r="U100" s="73">
        <f>IFERROR(VLOOKUP(A:A,信息流数据源!A:N,14,FALSE),0)</f>
        <v>0</v>
      </c>
      <c r="V100" s="74">
        <f>IFERROR(VLOOKUP(A:A,信息流数据源!A:O,15,FALSE),0)</f>
        <v>0</v>
      </c>
      <c r="W100" s="3">
        <f>IFERROR(VLOOKUP(A:A,搜索数据源!A:T,2,FALSE),0)</f>
        <v>0</v>
      </c>
      <c r="X100" s="71">
        <f>IFERROR(VLOOKUP(A:A,搜索数据源!A:T,5,FALSE),0)</f>
        <v>0</v>
      </c>
      <c r="Y100" s="73">
        <f>IFERROR(VLOOKUP(A:A,搜索数据源!A:T,6,FALSE),0)</f>
        <v>0</v>
      </c>
      <c r="Z100" s="3">
        <f>IFERROR(VLOOKUP(A:A,搜索数据源!A:T,9,FALSE),0)</f>
        <v>0</v>
      </c>
      <c r="AA100" s="3" t="e">
        <f>VLOOKUP(A:A,[1]搜索数据源!A:T,13,FALSE)</f>
        <v>#N/A</v>
      </c>
      <c r="AB100" s="72">
        <f>IFERROR(VLOOKUP(A:A,搜索数据源!A:T,14,FALSE),0)</f>
        <v>0</v>
      </c>
      <c r="AC100" s="69" t="str">
        <f>_xlfn.DISPIMG("ID_C7CC56F52AE84891A7A4B88FD49DB467",1)</f>
        <v>=DISPIMG("ID_C7CC56F52AE84891A7A4B88FD49DB467",1)</v>
      </c>
      <c r="AD100" s="4" t="s">
        <v>521</v>
      </c>
      <c r="AE100" s="69"/>
      <c r="AF100" s="69"/>
      <c r="AG100" s="2"/>
      <c r="AH100" s="69"/>
      <c r="AI100" s="69"/>
      <c r="AJ100" s="69"/>
      <c r="AK100" s="69"/>
      <c r="AL100" s="4">
        <f>AK100-AJ100</f>
        <v>0</v>
      </c>
      <c r="AM100" s="81">
        <f>IFERROR(AF100/AL100,0)</f>
        <v>0</v>
      </c>
      <c r="AN100" s="5">
        <f>IFERROR(VLOOKUP(A:A,回搜数据源!B:N,4,FALSE),0)</f>
        <v>0</v>
      </c>
      <c r="AO100" s="5">
        <f>IFERROR(VLOOKUP(A:A,回搜数据源!B:N,5,FALSE),0)</f>
        <v>0</v>
      </c>
    </row>
    <row r="101" s="57" customFormat="1" ht="100" hidden="1" customHeight="1" spans="1:41">
      <c r="A101" s="4" t="s">
        <v>264</v>
      </c>
      <c r="B101" s="3" t="str">
        <f>VLOOKUP(A:A,笔记匹配!A:N,5,FALSE)</f>
        <v>=DISPIMG("ID_841E9F6C4FB24939B9BB2B94FA547E1B",1)</v>
      </c>
      <c r="C101" s="30" t="str">
        <f>VLOOKUP(A:A,笔记匹配!A:N,3,FALSE)</f>
        <v>BD方丈</v>
      </c>
      <c r="D101" s="30" t="str">
        <f>VLOOKUP(A:A,笔记匹配!A:N,6,FALSE)</f>
        <v>翘臀不难？！筋膜枪使用敲重点</v>
      </c>
      <c r="E101" s="30" t="str">
        <f>VLOOKUP(A:A,笔记匹配!A:N,7,FALSE)</f>
        <v>https://www.xiaohongshu.com/discovery/item/635f8a250000000009000539</v>
      </c>
      <c r="F101" s="65">
        <f>VLOOKUP(A:A,笔记匹配!A:N,8,FALSE)</f>
        <v>44865</v>
      </c>
      <c r="G101" s="66" t="str">
        <f>VLOOKUP(A:A,笔记匹配!A:P,15,FALSE)</f>
        <v>2022-11-08</v>
      </c>
      <c r="H101" s="30" t="str">
        <f>VLOOKUP(A:A,笔记匹配!A:N,9,FALSE)</f>
        <v>视频</v>
      </c>
      <c r="I101" s="30" t="str">
        <f>VLOOKUP(A:A,笔记匹配!A:N,2,FALSE)</f>
        <v>筋膜枪</v>
      </c>
      <c r="J101" s="30" t="str">
        <f>VLOOKUP(A:A,笔记匹配!A:N,4,FALSE)</f>
        <v>云麦筋膜枪PB2</v>
      </c>
      <c r="K101" s="30" t="str">
        <f>VLOOKUP(A:A,笔记匹配!A:N,14,FALSE)</f>
        <v>云麦筋膜枪pb2</v>
      </c>
      <c r="L101" s="3">
        <f>VLOOKUP(A:A,笔记匹配!A:N,10,FALSE)</f>
        <v>228</v>
      </c>
      <c r="M101" s="3">
        <f>VLOOKUP(A:A,笔记匹配!A:N,11,FALSE)</f>
        <v>63</v>
      </c>
      <c r="N101" s="69">
        <f>VLOOKUP(A:A,笔记匹配!A:N,12,FALSE)</f>
        <v>20</v>
      </c>
      <c r="O101" s="2">
        <f t="shared" si="7"/>
        <v>311</v>
      </c>
      <c r="P101" s="3">
        <f>IFERROR(VLOOKUP(A:A,信息流数据源!A:K,2,FALSE),0)</f>
        <v>0</v>
      </c>
      <c r="Q101" s="71">
        <f>IFERROR(VLOOKUP(A:A,信息流数据源!A:N,5,FALSE),0)</f>
        <v>0</v>
      </c>
      <c r="R101" s="72">
        <f>IFERROR(VLOOKUP(A:A,信息流数据源!A:N,6,FALSE),0)</f>
        <v>0</v>
      </c>
      <c r="S101" s="2">
        <f>IFERROR(VLOOKUP(A:A,信息流数据源!A:N,9,FALSE),0)</f>
        <v>0</v>
      </c>
      <c r="T101" s="3">
        <f>IFERROR(VLOOKUP(A:A,信息流数据源!A:N,13,FALSE),0)</f>
        <v>0</v>
      </c>
      <c r="U101" s="73">
        <f>IFERROR(VLOOKUP(A:A,信息流数据源!A:N,14,FALSE),0)</f>
        <v>0</v>
      </c>
      <c r="V101" s="74">
        <f>IFERROR(VLOOKUP(A:A,信息流数据源!A:O,15,FALSE),0)</f>
        <v>0</v>
      </c>
      <c r="W101" s="3">
        <f>IFERROR(VLOOKUP(A:A,搜索数据源!A:T,2,FALSE),0)</f>
        <v>0</v>
      </c>
      <c r="X101" s="71">
        <f>IFERROR(VLOOKUP(A:A,搜索数据源!A:T,5,FALSE),0)</f>
        <v>0</v>
      </c>
      <c r="Y101" s="73">
        <f>IFERROR(VLOOKUP(A:A,搜索数据源!A:T,6,FALSE),0)</f>
        <v>0</v>
      </c>
      <c r="Z101" s="3">
        <f>IFERROR(VLOOKUP(A:A,搜索数据源!A:T,9,FALSE),0)</f>
        <v>0</v>
      </c>
      <c r="AA101" s="3" t="e">
        <f>VLOOKUP(A:A,[1]搜索数据源!A:T,13,FALSE)</f>
        <v>#N/A</v>
      </c>
      <c r="AB101" s="72">
        <f>IFERROR(VLOOKUP(A:A,搜索数据源!A:T,14,FALSE),0)</f>
        <v>0</v>
      </c>
      <c r="AC101" s="69" t="str">
        <f>_xlfn.DISPIMG("ID_5AA95424D3084D7D90684CBBDFFCC9A8",1)</f>
        <v>=DISPIMG("ID_5AA95424D3084D7D90684CBBDFFCC9A8",1)</v>
      </c>
      <c r="AD101" s="4" t="s">
        <v>522</v>
      </c>
      <c r="AE101" s="76"/>
      <c r="AF101" s="77"/>
      <c r="AG101" s="82"/>
      <c r="AH101" s="69"/>
      <c r="AI101" s="4"/>
      <c r="AJ101" s="4"/>
      <c r="AK101" s="4"/>
      <c r="AL101" s="4"/>
      <c r="AM101" s="81"/>
      <c r="AN101" s="5">
        <f>IFERROR(VLOOKUP(A:A,回搜数据源!B:N,4,FALSE),0)</f>
        <v>0</v>
      </c>
      <c r="AO101" s="5">
        <f>IFERROR(VLOOKUP(A:A,回搜数据源!B:N,5,FALSE),0)</f>
        <v>0</v>
      </c>
    </row>
    <row r="102" s="57" customFormat="1" ht="100" hidden="1" customHeight="1" spans="1:41">
      <c r="A102" s="4" t="s">
        <v>234</v>
      </c>
      <c r="B102" s="3" t="str">
        <f>VLOOKUP(A:A,笔记匹配!A:N,5,FALSE)</f>
        <v>=DISPIMG("ID_FD1E5446828640A698ED9A15562EB3B3",1)</v>
      </c>
      <c r="C102" s="30" t="str">
        <f>VLOOKUP(A:A,笔记匹配!A:N,3,FALSE)</f>
        <v>pp</v>
      </c>
      <c r="D102" s="30" t="str">
        <f>VLOOKUP(A:A,笔记匹配!A:N,6,FALSE)</f>
        <v>110到88 一些减肥小建议｜如何正确运动</v>
      </c>
      <c r="E102" s="30" t="str">
        <f>VLOOKUP(A:A,笔记匹配!A:N,7,FALSE)</f>
        <v>https://www.xiaohongshu.com/discovery/item/6255518c000000002103cbe1</v>
      </c>
      <c r="F102" s="65">
        <f>VLOOKUP(A:A,笔记匹配!A:N,8,FALSE)</f>
        <v>44666</v>
      </c>
      <c r="G102" s="66" t="str">
        <f>VLOOKUP(A:A,笔记匹配!A:P,15,FALSE)</f>
        <v>2022-03-10~2022-05-10</v>
      </c>
      <c r="H102" s="30" t="str">
        <f>VLOOKUP(A:A,笔记匹配!A:N,9,FALSE)</f>
        <v>图文</v>
      </c>
      <c r="I102" s="30" t="str">
        <f>VLOOKUP(A:A,笔记匹配!A:N,2,FALSE)</f>
        <v>体脂秤</v>
      </c>
      <c r="J102" s="30" t="str">
        <f>VLOOKUP(A:A,笔记匹配!A:N,4,FALSE)</f>
        <v>云麦体脂秤3mini</v>
      </c>
      <c r="K102" s="30" t="str">
        <f>VLOOKUP(A:A,笔记匹配!A:N,14,FALSE)</f>
        <v>云麦体脂秤3mini</v>
      </c>
      <c r="L102" s="3">
        <f>VLOOKUP(A:A,笔记匹配!A:N,10,FALSE)</f>
        <v>2869</v>
      </c>
      <c r="M102" s="3">
        <f>VLOOKUP(A:A,笔记匹配!A:N,11,FALSE)</f>
        <v>877</v>
      </c>
      <c r="N102" s="69">
        <f>VLOOKUP(A:A,笔记匹配!A:N,12,FALSE)</f>
        <v>130</v>
      </c>
      <c r="O102" s="2">
        <f t="shared" si="7"/>
        <v>3876</v>
      </c>
      <c r="P102" s="3">
        <f>IFERROR(VLOOKUP(A:A,信息流数据源!A:K,2,FALSE),0)</f>
        <v>0</v>
      </c>
      <c r="Q102" s="71">
        <f>IFERROR(VLOOKUP(A:A,信息流数据源!A:N,5,FALSE),0)</f>
        <v>0</v>
      </c>
      <c r="R102" s="72">
        <f>IFERROR(VLOOKUP(A:A,信息流数据源!A:N,6,FALSE),0)</f>
        <v>0</v>
      </c>
      <c r="S102" s="2">
        <f>IFERROR(VLOOKUP(A:A,信息流数据源!A:N,9,FALSE),0)</f>
        <v>0</v>
      </c>
      <c r="T102" s="3">
        <f>IFERROR(VLOOKUP(A:A,信息流数据源!A:N,13,FALSE),0)</f>
        <v>0</v>
      </c>
      <c r="U102" s="73">
        <f>IFERROR(VLOOKUP(A:A,信息流数据源!A:N,14,FALSE),0)</f>
        <v>0</v>
      </c>
      <c r="V102" s="74">
        <f>IFERROR(VLOOKUP(A:A,信息流数据源!A:O,15,FALSE),0)</f>
        <v>0</v>
      </c>
      <c r="W102" s="3">
        <f>IFERROR(VLOOKUP(A:A,搜索数据源!A:T,2,FALSE),0)</f>
        <v>0</v>
      </c>
      <c r="X102" s="71">
        <f>IFERROR(VLOOKUP(A:A,搜索数据源!A:T,5,FALSE),0)</f>
        <v>0</v>
      </c>
      <c r="Y102" s="73">
        <f>IFERROR(VLOOKUP(A:A,搜索数据源!A:T,6,FALSE),0)</f>
        <v>0</v>
      </c>
      <c r="Z102" s="3">
        <f>IFERROR(VLOOKUP(A:A,搜索数据源!A:T,9,FALSE),0)</f>
        <v>0</v>
      </c>
      <c r="AA102" s="3">
        <f>VLOOKUP(A:A,[1]搜索数据源!A:T,13,FALSE)</f>
        <v>60</v>
      </c>
      <c r="AB102" s="72">
        <f>IFERROR(VLOOKUP(A:A,搜索数据源!A:T,14,FALSE),0)</f>
        <v>0</v>
      </c>
      <c r="AC102" s="69" t="str">
        <f>_xlfn.DISPIMG("ID_59F4E7A50B1F4EEE9D495CFCDB944A47",1)</f>
        <v>=DISPIMG("ID_59F4E7A50B1F4EEE9D495CFCDB944A47",1)</v>
      </c>
      <c r="AD102" s="4" t="s">
        <v>523</v>
      </c>
      <c r="AE102" s="75">
        <v>44718</v>
      </c>
      <c r="AF102" s="3">
        <v>1981.74</v>
      </c>
      <c r="AG102" s="2">
        <v>14026</v>
      </c>
      <c r="AH102" s="69" t="str">
        <f>_xlfn.DISPIMG("ID_02E1F52AE3834AFCBC6E4267A8535C8B",1)</f>
        <v>=DISPIMG("ID_02E1F52AE3834AFCBC6E4267A8535C8B",1)</v>
      </c>
      <c r="AI102" s="4" t="s">
        <v>524</v>
      </c>
      <c r="AJ102" s="4">
        <v>37</v>
      </c>
      <c r="AK102" s="4">
        <v>74</v>
      </c>
      <c r="AL102" s="4">
        <f>AK102-AJ102</f>
        <v>37</v>
      </c>
      <c r="AM102" s="81">
        <f>IFERROR(AF102/AL102,0)</f>
        <v>53.5605405405405</v>
      </c>
      <c r="AN102" s="5">
        <f>IFERROR(VLOOKUP(A:A,回搜数据源!B:N,4,FALSE),0)</f>
        <v>0.0043</v>
      </c>
      <c r="AO102" s="5">
        <f>IFERROR(VLOOKUP(A:A,回搜数据源!B:N,5,FALSE),0)</f>
        <v>0</v>
      </c>
    </row>
    <row r="103" s="57" customFormat="1" ht="100" hidden="1" customHeight="1" spans="1:41">
      <c r="A103" s="4" t="s">
        <v>525</v>
      </c>
      <c r="B103" s="3" t="str">
        <f>VLOOKUP(A:A,笔记匹配!A:N,5,FALSE)</f>
        <v>=DISPIMG("ID_1DCB59441F794EAF98F9A0FC140C5EFC",1)</v>
      </c>
      <c r="C103" s="30" t="str">
        <f>VLOOKUP(A:A,笔记匹配!A:N,3,FALSE)</f>
        <v>圆圆今天暴富了么</v>
      </c>
      <c r="D103" s="30" t="str">
        <f>VLOOKUP(A:A,笔记匹配!A:N,6,FALSE)</f>
        <v>云麦的筋膜枪我真的是服了….</v>
      </c>
      <c r="E103" s="30" t="str">
        <f>VLOOKUP(A:A,笔记匹配!A:N,7,FALSE)</f>
        <v>https://www.xiaohongshu.com/discovery/item/62fddb6e000000001b01b0e1</v>
      </c>
      <c r="F103" s="65">
        <f>VLOOKUP(A:A,笔记匹配!A:N,8,FALSE)</f>
        <v>44791</v>
      </c>
      <c r="G103" s="66" t="str">
        <f>VLOOKUP(A:A,笔记匹配!A:P,15,FALSE)</f>
        <v>2022-08-19</v>
      </c>
      <c r="H103" s="30" t="str">
        <f>VLOOKUP(A:A,笔记匹配!A:N,9,FALSE)</f>
        <v>图文</v>
      </c>
      <c r="I103" s="30" t="str">
        <f>VLOOKUP(A:A,笔记匹配!A:N,2,FALSE)</f>
        <v>筋膜枪</v>
      </c>
      <c r="J103" s="30" t="str">
        <f>VLOOKUP(A:A,笔记匹配!A:N,4,FALSE)</f>
        <v>云麦筋膜枪PB2</v>
      </c>
      <c r="K103" s="30" t="str">
        <f>VLOOKUP(A:A,笔记匹配!A:N,14,FALSE)</f>
        <v>云麦筋膜枪pb2</v>
      </c>
      <c r="L103" s="3">
        <f>VLOOKUP(A:A,笔记匹配!A:N,10,FALSE)</f>
        <v>173</v>
      </c>
      <c r="M103" s="3">
        <f>VLOOKUP(A:A,笔记匹配!A:N,11,FALSE)</f>
        <v>68</v>
      </c>
      <c r="N103" s="69">
        <f>VLOOKUP(A:A,笔记匹配!A:N,12,FALSE)</f>
        <v>25</v>
      </c>
      <c r="O103" s="2">
        <f t="shared" si="7"/>
        <v>266</v>
      </c>
      <c r="P103" s="3">
        <f>IFERROR(VLOOKUP(A:A,信息流数据源!A:K,2,FALSE),0)</f>
        <v>0</v>
      </c>
      <c r="Q103" s="71">
        <f>IFERROR(VLOOKUP(A:A,信息流数据源!A:N,5,FALSE),0)</f>
        <v>0</v>
      </c>
      <c r="R103" s="72">
        <f>IFERROR(VLOOKUP(A:A,信息流数据源!A:N,6,FALSE),0)</f>
        <v>0</v>
      </c>
      <c r="S103" s="2">
        <f>IFERROR(VLOOKUP(A:A,信息流数据源!A:N,9,FALSE),0)</f>
        <v>0</v>
      </c>
      <c r="T103" s="3">
        <f>IFERROR(VLOOKUP(A:A,信息流数据源!A:N,13,FALSE),0)</f>
        <v>0</v>
      </c>
      <c r="U103" s="73">
        <f>IFERROR(VLOOKUP(A:A,信息流数据源!A:N,14,FALSE),0)</f>
        <v>0</v>
      </c>
      <c r="V103" s="74">
        <f>IFERROR(VLOOKUP(A:A,信息流数据源!A:O,15,FALSE),0)</f>
        <v>0</v>
      </c>
      <c r="W103" s="3">
        <f>IFERROR(VLOOKUP(A:A,搜索数据源!A:T,2,FALSE),0)</f>
        <v>0</v>
      </c>
      <c r="X103" s="71">
        <f>IFERROR(VLOOKUP(A:A,搜索数据源!A:T,5,FALSE),0)</f>
        <v>0</v>
      </c>
      <c r="Y103" s="73">
        <f>IFERROR(VLOOKUP(A:A,搜索数据源!A:T,6,FALSE),0)</f>
        <v>0</v>
      </c>
      <c r="Z103" s="3">
        <f>IFERROR(VLOOKUP(A:A,搜索数据源!A:T,9,FALSE),0)</f>
        <v>0</v>
      </c>
      <c r="AA103" s="3" t="e">
        <f>VLOOKUP(A:A,[1]搜索数据源!A:T,13,FALSE)</f>
        <v>#N/A</v>
      </c>
      <c r="AB103" s="72">
        <f>IFERROR(VLOOKUP(A:A,搜索数据源!A:T,14,FALSE),0)</f>
        <v>0</v>
      </c>
      <c r="AC103" s="69" t="str">
        <f>_xlfn.DISPIMG("ID_0EEE4393AD1D4B83B64953A401199BB2",1)</f>
        <v>=DISPIMG("ID_0EEE4393AD1D4B83B64953A401199BB2",1)</v>
      </c>
      <c r="AD103" s="4" t="s">
        <v>526</v>
      </c>
      <c r="AE103" s="69"/>
      <c r="AF103" s="77"/>
      <c r="AG103" s="2"/>
      <c r="AH103" s="69"/>
      <c r="AI103" s="4"/>
      <c r="AJ103" s="4"/>
      <c r="AK103" s="4"/>
      <c r="AL103" s="4">
        <f>AK103-AJ103</f>
        <v>0</v>
      </c>
      <c r="AM103" s="81">
        <f>IFERROR(AF103/AL103,0)</f>
        <v>0</v>
      </c>
      <c r="AN103" s="5">
        <f>IFERROR(VLOOKUP(A:A,回搜数据源!B:N,4,FALSE),0)</f>
        <v>0</v>
      </c>
      <c r="AO103" s="5">
        <f>IFERROR(VLOOKUP(A:A,回搜数据源!B:N,5,FALSE),0)</f>
        <v>0</v>
      </c>
    </row>
    <row r="104" s="57" customFormat="1" ht="100" hidden="1" customHeight="1" spans="1:41">
      <c r="A104" s="4" t="s">
        <v>525</v>
      </c>
      <c r="B104" s="3" t="str">
        <f>VLOOKUP(A:A,笔记匹配!A:N,5,FALSE)</f>
        <v>=DISPIMG("ID_1DCB59441F794EAF98F9A0FC140C5EFC",1)</v>
      </c>
      <c r="C104" s="30" t="str">
        <f>VLOOKUP(A:A,笔记匹配!A:N,3,FALSE)</f>
        <v>圆圆今天暴富了么</v>
      </c>
      <c r="D104" s="30" t="str">
        <f>VLOOKUP(A:A,笔记匹配!A:N,6,FALSE)</f>
        <v>云麦的筋膜枪我真的是服了….</v>
      </c>
      <c r="E104" s="30" t="str">
        <f>VLOOKUP(A:A,笔记匹配!A:N,7,FALSE)</f>
        <v>https://www.xiaohongshu.com/discovery/item/62fddb6e000000001b01b0e1</v>
      </c>
      <c r="F104" s="65">
        <f>VLOOKUP(A:A,笔记匹配!A:N,8,FALSE)</f>
        <v>44791</v>
      </c>
      <c r="G104" s="66" t="str">
        <f>VLOOKUP(A:A,笔记匹配!A:P,15,FALSE)</f>
        <v>2022-08-19</v>
      </c>
      <c r="H104" s="30" t="str">
        <f>VLOOKUP(A:A,笔记匹配!A:N,9,FALSE)</f>
        <v>图文</v>
      </c>
      <c r="I104" s="30" t="str">
        <f>VLOOKUP(A:A,笔记匹配!A:N,2,FALSE)</f>
        <v>筋膜枪</v>
      </c>
      <c r="J104" s="30" t="str">
        <f>VLOOKUP(A:A,笔记匹配!A:N,4,FALSE)</f>
        <v>云麦筋膜枪PB2</v>
      </c>
      <c r="K104" s="30" t="str">
        <f>VLOOKUP(A:A,笔记匹配!A:N,14,FALSE)</f>
        <v>云麦筋膜枪pb2</v>
      </c>
      <c r="L104" s="3">
        <f>VLOOKUP(A:A,笔记匹配!A:N,10,FALSE)</f>
        <v>173</v>
      </c>
      <c r="M104" s="3">
        <f>VLOOKUP(A:A,笔记匹配!A:N,11,FALSE)</f>
        <v>68</v>
      </c>
      <c r="N104" s="69">
        <f>VLOOKUP(A:A,笔记匹配!A:N,12,FALSE)</f>
        <v>25</v>
      </c>
      <c r="O104" s="2">
        <f t="shared" si="7"/>
        <v>266</v>
      </c>
      <c r="P104" s="3">
        <f>IFERROR(VLOOKUP(A:A,信息流数据源!A:K,2,FALSE),0)</f>
        <v>0</v>
      </c>
      <c r="Q104" s="71">
        <f>IFERROR(VLOOKUP(A:A,信息流数据源!A:N,5,FALSE),0)</f>
        <v>0</v>
      </c>
      <c r="R104" s="72">
        <f>IFERROR(VLOOKUP(A:A,信息流数据源!A:N,6,FALSE),0)</f>
        <v>0</v>
      </c>
      <c r="S104" s="2">
        <f>IFERROR(VLOOKUP(A:A,信息流数据源!A:N,9,FALSE),0)</f>
        <v>0</v>
      </c>
      <c r="T104" s="3">
        <f>IFERROR(VLOOKUP(A:A,信息流数据源!A:N,13,FALSE),0)</f>
        <v>0</v>
      </c>
      <c r="U104" s="73">
        <f>IFERROR(VLOOKUP(A:A,信息流数据源!A:N,14,FALSE),0)</f>
        <v>0</v>
      </c>
      <c r="V104" s="74">
        <f>IFERROR(VLOOKUP(A:A,信息流数据源!A:O,15,FALSE),0)</f>
        <v>0</v>
      </c>
      <c r="W104" s="3">
        <f>IFERROR(VLOOKUP(A:A,搜索数据源!A:T,2,FALSE),0)</f>
        <v>0</v>
      </c>
      <c r="X104" s="71">
        <f>IFERROR(VLOOKUP(A:A,搜索数据源!A:T,5,FALSE),0)</f>
        <v>0</v>
      </c>
      <c r="Y104" s="73">
        <f>IFERROR(VLOOKUP(A:A,搜索数据源!A:T,6,FALSE),0)</f>
        <v>0</v>
      </c>
      <c r="Z104" s="3">
        <f>IFERROR(VLOOKUP(A:A,搜索数据源!A:T,9,FALSE),0)</f>
        <v>0</v>
      </c>
      <c r="AA104" s="3" t="e">
        <f>VLOOKUP(A:A,[1]搜索数据源!A:T,13,FALSE)</f>
        <v>#N/A</v>
      </c>
      <c r="AB104" s="72">
        <f>IFERROR(VLOOKUP(A:A,搜索数据源!A:T,14,FALSE),0)</f>
        <v>0</v>
      </c>
      <c r="AC104" s="69" t="str">
        <f>_xlfn.DISPIMG("ID_0EEE4393AD1D4B83B64953A401199BB2",1)</f>
        <v>=DISPIMG("ID_0EEE4393AD1D4B83B64953A401199BB2",1)</v>
      </c>
      <c r="AD104" s="4" t="s">
        <v>526</v>
      </c>
      <c r="AE104" s="69"/>
      <c r="AF104" s="77"/>
      <c r="AG104" s="2"/>
      <c r="AH104" s="69"/>
      <c r="AI104" s="4"/>
      <c r="AJ104" s="4"/>
      <c r="AK104" s="4"/>
      <c r="AL104" s="4">
        <f>AK104-AJ104</f>
        <v>0</v>
      </c>
      <c r="AM104" s="81">
        <f>IFERROR(AF104/AL104,0)</f>
        <v>0</v>
      </c>
      <c r="AN104" s="5">
        <f>IFERROR(VLOOKUP(A:A,回搜数据源!B:N,4,FALSE),0)</f>
        <v>0</v>
      </c>
      <c r="AO104" s="5">
        <f>IFERROR(VLOOKUP(A:A,回搜数据源!B:N,5,FALSE),0)</f>
        <v>0</v>
      </c>
    </row>
    <row r="105" s="57" customFormat="1" ht="100" hidden="1" customHeight="1" spans="1:41">
      <c r="A105" s="4" t="s">
        <v>223</v>
      </c>
      <c r="B105" s="3" t="str">
        <f>VLOOKUP(A:A,笔记匹配!A:N,5,FALSE)</f>
        <v>=DISPIMG("ID_81ED24732E2F4734A8082688FA6AD768",1)</v>
      </c>
      <c r="C105" s="30" t="str">
        <f>VLOOKUP(A:A,笔记匹配!A:N,3,FALSE)</f>
        <v>樱丸小桃子</v>
      </c>
      <c r="D105" s="30" t="str">
        <f>VLOOKUP(A:A,笔记匹配!A:N,6,FALSE)</f>
        <v>建议小腿粗的美少女人手一个的mini筋膜枪！</v>
      </c>
      <c r="E105" s="30" t="str">
        <f>VLOOKUP(A:A,笔记匹配!A:N,7,FALSE)</f>
        <v>https://www.xiaohongshu.com/discovery/item/635ca4d0000000001601eee4</v>
      </c>
      <c r="F105" s="65">
        <f>VLOOKUP(A:A,笔记匹配!A:N,8,FALSE)</f>
        <v>44863</v>
      </c>
      <c r="G105" s="66" t="str">
        <f>VLOOKUP(A:A,笔记匹配!A:P,15,FALSE)</f>
        <v>2022-11-10</v>
      </c>
      <c r="H105" s="30" t="str">
        <f>VLOOKUP(A:A,笔记匹配!A:N,9,FALSE)</f>
        <v>图文</v>
      </c>
      <c r="I105" s="30" t="str">
        <f>VLOOKUP(A:A,笔记匹配!A:N,2,FALSE)</f>
        <v>筋膜枪</v>
      </c>
      <c r="J105" s="30" t="str">
        <f>VLOOKUP(A:A,笔记匹配!A:N,4,FALSE)</f>
        <v>云麦筋膜枪cc</v>
      </c>
      <c r="K105" s="30" t="str">
        <f>VLOOKUP(A:A,笔记匹配!A:N,14,FALSE)</f>
        <v>云麦筋膜枪ccgo</v>
      </c>
      <c r="L105" s="3">
        <f>VLOOKUP(A:A,笔记匹配!A:N,10,FALSE)</f>
        <v>94</v>
      </c>
      <c r="M105" s="3">
        <f>VLOOKUP(A:A,笔记匹配!A:N,11,FALSE)</f>
        <v>32</v>
      </c>
      <c r="N105" s="69">
        <f>VLOOKUP(A:A,笔记匹配!A:N,12,FALSE)</f>
        <v>37</v>
      </c>
      <c r="O105" s="2">
        <f t="shared" si="7"/>
        <v>163</v>
      </c>
      <c r="P105" s="3">
        <f>IFERROR(VLOOKUP(A:A,信息流数据源!A:K,2,FALSE),0)</f>
        <v>0</v>
      </c>
      <c r="Q105" s="71">
        <f>IFERROR(VLOOKUP(A:A,信息流数据源!A:N,5,FALSE),0)</f>
        <v>0</v>
      </c>
      <c r="R105" s="72">
        <f>IFERROR(VLOOKUP(A:A,信息流数据源!A:N,6,FALSE),0)</f>
        <v>0</v>
      </c>
      <c r="S105" s="2">
        <f>IFERROR(VLOOKUP(A:A,信息流数据源!A:N,9,FALSE),0)</f>
        <v>0</v>
      </c>
      <c r="T105" s="3">
        <f>IFERROR(VLOOKUP(A:A,信息流数据源!A:N,13,FALSE),0)</f>
        <v>0</v>
      </c>
      <c r="U105" s="73">
        <f>IFERROR(VLOOKUP(A:A,信息流数据源!A:N,14,FALSE),0)</f>
        <v>0</v>
      </c>
      <c r="V105" s="74">
        <f>IFERROR(VLOOKUP(A:A,信息流数据源!A:O,15,FALSE),0)</f>
        <v>0</v>
      </c>
      <c r="W105" s="3">
        <f>IFERROR(VLOOKUP(A:A,搜索数据源!A:T,2,FALSE),0)</f>
        <v>0</v>
      </c>
      <c r="X105" s="71">
        <f>IFERROR(VLOOKUP(A:A,搜索数据源!A:T,5,FALSE),0)</f>
        <v>0</v>
      </c>
      <c r="Y105" s="73">
        <f>IFERROR(VLOOKUP(A:A,搜索数据源!A:T,6,FALSE),0)</f>
        <v>0</v>
      </c>
      <c r="Z105" s="3">
        <f>IFERROR(VLOOKUP(A:A,搜索数据源!A:T,9,FALSE),0)</f>
        <v>0</v>
      </c>
      <c r="AA105" s="3" t="e">
        <f>VLOOKUP(A:A,[1]搜索数据源!A:T,13,FALSE)</f>
        <v>#N/A</v>
      </c>
      <c r="AB105" s="72">
        <f>IFERROR(VLOOKUP(A:A,搜索数据源!A:T,14,FALSE),0)</f>
        <v>0</v>
      </c>
      <c r="AC105" s="69" t="str">
        <f>_xlfn.DISPIMG("ID_924DAC9F662F43D7BF184E9AFBBF0222",1)</f>
        <v>=DISPIMG("ID_924DAC9F662F43D7BF184E9AFBBF0222",1)</v>
      </c>
      <c r="AD105" s="4" t="s">
        <v>527</v>
      </c>
      <c r="AE105" s="76"/>
      <c r="AF105" s="77"/>
      <c r="AG105" s="82"/>
      <c r="AH105" s="69"/>
      <c r="AI105" s="4"/>
      <c r="AJ105" s="4"/>
      <c r="AK105" s="4"/>
      <c r="AL105" s="4"/>
      <c r="AM105" s="81"/>
      <c r="AN105" s="5">
        <f>IFERROR(VLOOKUP(A:A,回搜数据源!B:N,4,FALSE),0)</f>
        <v>0.00570613409415121</v>
      </c>
      <c r="AO105" s="5">
        <f>IFERROR(VLOOKUP(A:A,回搜数据源!B:N,5,FALSE),0)</f>
        <v>0</v>
      </c>
    </row>
    <row r="106" s="57" customFormat="1" ht="100" hidden="1" customHeight="1" spans="1:41">
      <c r="A106" s="4" t="s">
        <v>528</v>
      </c>
      <c r="B106" s="3" t="str">
        <f>VLOOKUP(A:A,笔记匹配!A:N,5,FALSE)</f>
        <v>=DISPIMG("ID_1327A78070C047B1AFCD8A06C8D91778",1)</v>
      </c>
      <c r="C106" s="30" t="str">
        <f>VLOOKUP(A:A,笔记匹配!A:N,3,FALSE)</f>
        <v>一个胖虎</v>
      </c>
      <c r="D106" s="30" t="str">
        <f>VLOOKUP(A:A,笔记匹配!A:N,6,FALSE)</f>
        <v>165 83｜腰围54瘦腰不瘦胸这么练！附详细教程</v>
      </c>
      <c r="E106" s="30" t="str">
        <f>VLOOKUP(A:A,笔记匹配!A:N,7,FALSE)</f>
        <v>https://www.xiaohongshu.com/discovery/item/635b8f19000000001601f0cb</v>
      </c>
      <c r="F106" s="65">
        <f>VLOOKUP(A:A,笔记匹配!A:N,8,FALSE)</f>
        <v>44863</v>
      </c>
      <c r="G106" s="66" t="str">
        <f>VLOOKUP(A:A,笔记匹配!A:P,15,FALSE)</f>
        <v>未测试</v>
      </c>
      <c r="H106" s="30" t="str">
        <f>VLOOKUP(A:A,笔记匹配!A:N,9,FALSE)</f>
        <v>图文</v>
      </c>
      <c r="I106" s="30" t="str">
        <f>VLOOKUP(A:A,笔记匹配!A:N,2,FALSE)</f>
        <v>筋膜枪</v>
      </c>
      <c r="J106" s="30" t="str">
        <f>VLOOKUP(A:A,笔记匹配!A:N,4,FALSE)</f>
        <v> 云麦筋膜抢PB2</v>
      </c>
      <c r="K106" s="30" t="str">
        <f>VLOOKUP(A:A,笔记匹配!A:N,14,FALSE)</f>
        <v>云麦筋膜枪pb2</v>
      </c>
      <c r="L106" s="3">
        <f>VLOOKUP(A:A,笔记匹配!A:N,10,FALSE)</f>
        <v>0</v>
      </c>
      <c r="M106" s="3">
        <f>VLOOKUP(A:A,笔记匹配!A:N,11,FALSE)</f>
        <v>0</v>
      </c>
      <c r="N106" s="69">
        <f>VLOOKUP(A:A,笔记匹配!A:N,12,FALSE)</f>
        <v>0</v>
      </c>
      <c r="O106" s="2">
        <f t="shared" si="7"/>
        <v>0</v>
      </c>
      <c r="P106" s="3">
        <f>IFERROR(VLOOKUP(A:A,信息流数据源!A:K,2,FALSE),0)</f>
        <v>0</v>
      </c>
      <c r="Q106" s="71">
        <f>IFERROR(VLOOKUP(A:A,信息流数据源!A:N,5,FALSE),0)</f>
        <v>0</v>
      </c>
      <c r="R106" s="72">
        <f>IFERROR(VLOOKUP(A:A,信息流数据源!A:N,6,FALSE),0)</f>
        <v>0</v>
      </c>
      <c r="S106" s="2">
        <f>IFERROR(VLOOKUP(A:A,信息流数据源!A:N,9,FALSE),0)</f>
        <v>0</v>
      </c>
      <c r="T106" s="3">
        <f>IFERROR(VLOOKUP(A:A,信息流数据源!A:N,13,FALSE),0)</f>
        <v>0</v>
      </c>
      <c r="U106" s="73">
        <f>IFERROR(VLOOKUP(A:A,信息流数据源!A:N,14,FALSE),0)</f>
        <v>0</v>
      </c>
      <c r="V106" s="74">
        <f>IFERROR(VLOOKUP(A:A,信息流数据源!A:O,15,FALSE),0)</f>
        <v>0</v>
      </c>
      <c r="W106" s="3">
        <f>IFERROR(VLOOKUP(A:A,搜索数据源!A:T,2,FALSE),0)</f>
        <v>0</v>
      </c>
      <c r="X106" s="71">
        <f>IFERROR(VLOOKUP(A:A,搜索数据源!A:T,5,FALSE),0)</f>
        <v>0</v>
      </c>
      <c r="Y106" s="73">
        <f>IFERROR(VLOOKUP(A:A,搜索数据源!A:T,6,FALSE),0)</f>
        <v>0</v>
      </c>
      <c r="Z106" s="3">
        <f>IFERROR(VLOOKUP(A:A,搜索数据源!A:T,9,FALSE),0)</f>
        <v>0</v>
      </c>
      <c r="AA106" s="3" t="e">
        <f>VLOOKUP(A:A,[1]搜索数据源!A:T,13,FALSE)</f>
        <v>#N/A</v>
      </c>
      <c r="AB106" s="72">
        <f>IFERROR(VLOOKUP(A:A,搜索数据源!A:T,14,FALSE),0)</f>
        <v>0</v>
      </c>
      <c r="AC106" s="69"/>
      <c r="AD106" s="4"/>
      <c r="AE106" s="69"/>
      <c r="AF106" s="77"/>
      <c r="AG106" s="2"/>
      <c r="AH106" s="69"/>
      <c r="AI106" s="4"/>
      <c r="AJ106" s="4"/>
      <c r="AK106" s="4"/>
      <c r="AL106" s="4"/>
      <c r="AM106" s="81"/>
      <c r="AN106" s="5">
        <f>IFERROR(VLOOKUP(A:A,回搜数据源!B:N,4,FALSE),0)</f>
        <v>0</v>
      </c>
      <c r="AO106" s="5">
        <f>IFERROR(VLOOKUP(A:A,回搜数据源!B:N,5,FALSE),0)</f>
        <v>0</v>
      </c>
    </row>
    <row r="107" s="57" customFormat="1" ht="100" hidden="1" customHeight="1" spans="1:41">
      <c r="A107" s="4" t="s">
        <v>529</v>
      </c>
      <c r="B107" s="3" t="str">
        <f>VLOOKUP(A:A,笔记匹配!A:N,5,FALSE)</f>
        <v>=DISPIMG("ID_DEC39630B161479D92B60C8F959C6837",1)</v>
      </c>
      <c r="C107" s="30" t="str">
        <f>VLOOKUP(A:A,笔记匹配!A:N,3,FALSE)</f>
        <v>小吴同学！</v>
      </c>
      <c r="D107" s="30" t="str">
        <f>VLOOKUP(A:A,笔记匹配!A:N,6,FALSE)</f>
        <v>30岁素颜肌｜996下班后要运动，更要放松</v>
      </c>
      <c r="E107" s="30" t="str">
        <f>VLOOKUP(A:A,笔记匹配!A:N,7,FALSE)</f>
        <v>https://www.xiaohongshu.com/discovery/item/6357c7ae000000001401e908</v>
      </c>
      <c r="F107" s="65">
        <f>VLOOKUP(A:A,笔记匹配!A:N,8,FALSE)</f>
        <v>44859</v>
      </c>
      <c r="G107" s="66" t="str">
        <f>VLOOKUP(A:A,笔记匹配!A:P,15,FALSE)</f>
        <v>未测试</v>
      </c>
      <c r="H107" s="30" t="str">
        <f>VLOOKUP(A:A,笔记匹配!A:N,9,FALSE)</f>
        <v>图文</v>
      </c>
      <c r="I107" s="30" t="str">
        <f>VLOOKUP(A:A,笔记匹配!A:N,2,FALSE)</f>
        <v>筋膜枪</v>
      </c>
      <c r="J107" s="30" t="str">
        <f>VLOOKUP(A:A,笔记匹配!A:N,4,FALSE)</f>
        <v>云麦筋膜枪cc </v>
      </c>
      <c r="K107" s="30" t="str">
        <f>VLOOKUP(A:A,笔记匹配!A:N,14,FALSE)</f>
        <v>云麦筋膜枪ccgo</v>
      </c>
      <c r="L107" s="3">
        <f>VLOOKUP(A:A,笔记匹配!A:N,10,FALSE)</f>
        <v>0</v>
      </c>
      <c r="M107" s="3">
        <f>VLOOKUP(A:A,笔记匹配!A:N,11,FALSE)</f>
        <v>0</v>
      </c>
      <c r="N107" s="69">
        <f>VLOOKUP(A:A,笔记匹配!A:N,12,FALSE)</f>
        <v>0</v>
      </c>
      <c r="O107" s="2">
        <f t="shared" si="7"/>
        <v>0</v>
      </c>
      <c r="P107" s="3">
        <f>IFERROR(VLOOKUP(A:A,信息流数据源!A:K,2,FALSE),0)</f>
        <v>0</v>
      </c>
      <c r="Q107" s="71">
        <f>IFERROR(VLOOKUP(A:A,信息流数据源!A:N,5,FALSE),0)</f>
        <v>0</v>
      </c>
      <c r="R107" s="72">
        <f>IFERROR(VLOOKUP(A:A,信息流数据源!A:N,6,FALSE),0)</f>
        <v>0</v>
      </c>
      <c r="S107" s="2">
        <f>IFERROR(VLOOKUP(A:A,信息流数据源!A:N,9,FALSE),0)</f>
        <v>0</v>
      </c>
      <c r="T107" s="3">
        <f>IFERROR(VLOOKUP(A:A,信息流数据源!A:N,13,FALSE),0)</f>
        <v>0</v>
      </c>
      <c r="U107" s="73">
        <f>IFERROR(VLOOKUP(A:A,信息流数据源!A:N,14,FALSE),0)</f>
        <v>0</v>
      </c>
      <c r="V107" s="74">
        <f>IFERROR(VLOOKUP(A:A,信息流数据源!A:O,15,FALSE),0)</f>
        <v>0</v>
      </c>
      <c r="W107" s="3">
        <f>IFERROR(VLOOKUP(A:A,搜索数据源!A:T,2,FALSE),0)</f>
        <v>0</v>
      </c>
      <c r="X107" s="71">
        <f>IFERROR(VLOOKUP(A:A,搜索数据源!A:T,5,FALSE),0)</f>
        <v>0</v>
      </c>
      <c r="Y107" s="73">
        <f>IFERROR(VLOOKUP(A:A,搜索数据源!A:T,6,FALSE),0)</f>
        <v>0</v>
      </c>
      <c r="Z107" s="3">
        <f>IFERROR(VLOOKUP(A:A,搜索数据源!A:T,9,FALSE),0)</f>
        <v>0</v>
      </c>
      <c r="AA107" s="3" t="e">
        <f>VLOOKUP(A:A,[1]搜索数据源!A:T,13,FALSE)</f>
        <v>#N/A</v>
      </c>
      <c r="AB107" s="72">
        <f>IFERROR(VLOOKUP(A:A,搜索数据源!A:T,14,FALSE),0)</f>
        <v>0</v>
      </c>
      <c r="AC107" s="69"/>
      <c r="AD107" s="4"/>
      <c r="AE107" s="76"/>
      <c r="AF107" s="3"/>
      <c r="AG107" s="2"/>
      <c r="AH107" s="69"/>
      <c r="AI107" s="4"/>
      <c r="AJ107" s="4"/>
      <c r="AK107" s="4"/>
      <c r="AL107" s="4"/>
      <c r="AM107" s="81"/>
      <c r="AN107" s="5">
        <f>IFERROR(VLOOKUP(A:A,回搜数据源!B:N,4,FALSE),0)</f>
        <v>0</v>
      </c>
      <c r="AO107" s="5">
        <f>IFERROR(VLOOKUP(A:A,回搜数据源!B:N,5,FALSE),0)</f>
        <v>0</v>
      </c>
    </row>
    <row r="108" s="57" customFormat="1" ht="100" hidden="1" customHeight="1" spans="1:41">
      <c r="A108" s="4" t="s">
        <v>252</v>
      </c>
      <c r="B108" s="3" t="str">
        <f>VLOOKUP(A:A,笔记匹配!A:N,5,FALSE)</f>
        <v>=DISPIMG("ID_D7867A62D30B44798B6A444E8C3F57F0",1)</v>
      </c>
      <c r="C108" s="30" t="str">
        <f>VLOOKUP(A:A,笔记匹配!A:N,3,FALSE)</f>
        <v>脆鱼日记</v>
      </c>
      <c r="D108" s="30" t="str">
        <f>VLOOKUP(A:A,笔记匹配!A:N,6,FALSE)</f>
        <v>每天坚持这4个动作🔥瘦脂包肌小腿‼️已瘦4cm</v>
      </c>
      <c r="E108" s="30" t="str">
        <f>VLOOKUP(A:A,笔记匹配!A:N,7,FALSE)</f>
        <v>https://www.xiaohongshu.com/discovery/item/63563e19000000001601ebbf</v>
      </c>
      <c r="F108" s="65">
        <f>VLOOKUP(A:A,笔记匹配!A:N,8,FALSE)</f>
        <v>44858</v>
      </c>
      <c r="G108" s="66" t="str">
        <f>VLOOKUP(A:A,笔记匹配!A:P,15,FALSE)</f>
        <v>2022-10-25</v>
      </c>
      <c r="H108" s="30" t="str">
        <f>VLOOKUP(A:A,笔记匹配!A:N,9,FALSE)</f>
        <v>视频</v>
      </c>
      <c r="I108" s="30" t="str">
        <f>VLOOKUP(A:A,笔记匹配!A:N,2,FALSE)</f>
        <v>筋膜枪</v>
      </c>
      <c r="J108" s="30" t="str">
        <f>VLOOKUP(A:A,笔记匹配!A:N,4,FALSE)</f>
        <v>云麦筋膜枪cc</v>
      </c>
      <c r="K108" s="30" t="str">
        <f>VLOOKUP(A:A,笔记匹配!A:N,14,FALSE)</f>
        <v>云麦筋膜枪ccgo</v>
      </c>
      <c r="L108" s="3">
        <f>VLOOKUP(A:A,笔记匹配!A:N,10,FALSE)</f>
        <v>625</v>
      </c>
      <c r="M108" s="3">
        <f>VLOOKUP(A:A,笔记匹配!A:N,11,FALSE)</f>
        <v>392</v>
      </c>
      <c r="N108" s="69">
        <f>VLOOKUP(A:A,笔记匹配!A:N,12,FALSE)</f>
        <v>20</v>
      </c>
      <c r="O108" s="2">
        <f t="shared" si="7"/>
        <v>1037</v>
      </c>
      <c r="P108" s="3">
        <f>IFERROR(VLOOKUP(A:A,信息流数据源!A:K,2,FALSE),0)</f>
        <v>0</v>
      </c>
      <c r="Q108" s="71">
        <f>IFERROR(VLOOKUP(A:A,信息流数据源!A:N,5,FALSE),0)</f>
        <v>0</v>
      </c>
      <c r="R108" s="72">
        <f>IFERROR(VLOOKUP(A:A,信息流数据源!A:N,6,FALSE),0)</f>
        <v>0</v>
      </c>
      <c r="S108" s="2">
        <f>IFERROR(VLOOKUP(A:A,信息流数据源!A:N,9,FALSE),0)</f>
        <v>0</v>
      </c>
      <c r="T108" s="3">
        <f>IFERROR(VLOOKUP(A:A,信息流数据源!A:N,13,FALSE),0)</f>
        <v>0</v>
      </c>
      <c r="U108" s="73">
        <f>IFERROR(VLOOKUP(A:A,信息流数据源!A:N,14,FALSE),0)</f>
        <v>0</v>
      </c>
      <c r="V108" s="74">
        <f>IFERROR(VLOOKUP(A:A,信息流数据源!A:O,15,FALSE),0)</f>
        <v>0</v>
      </c>
      <c r="W108" s="3">
        <f>IFERROR(VLOOKUP(A:A,搜索数据源!A:T,2,FALSE),0)</f>
        <v>0</v>
      </c>
      <c r="X108" s="71">
        <f>IFERROR(VLOOKUP(A:A,搜索数据源!A:T,5,FALSE),0)</f>
        <v>0</v>
      </c>
      <c r="Y108" s="73">
        <f>IFERROR(VLOOKUP(A:A,搜索数据源!A:T,6,FALSE),0)</f>
        <v>0</v>
      </c>
      <c r="Z108" s="3">
        <f>IFERROR(VLOOKUP(A:A,搜索数据源!A:T,9,FALSE),0)</f>
        <v>0</v>
      </c>
      <c r="AA108" s="3" t="e">
        <f>VLOOKUP(A:A,[1]搜索数据源!A:T,13,FALSE)</f>
        <v>#N/A</v>
      </c>
      <c r="AB108" s="72">
        <f>IFERROR(VLOOKUP(A:A,搜索数据源!A:T,14,FALSE),0)</f>
        <v>0</v>
      </c>
      <c r="AC108" s="30" t="str">
        <f>_xlfn.DISPIMG("ID_2CDECC8DAF84467487AC042E1118EB90",1)</f>
        <v>=DISPIMG("ID_2CDECC8DAF84467487AC042E1118EB90",1)</v>
      </c>
      <c r="AD108" s="4" t="s">
        <v>530</v>
      </c>
      <c r="AE108" s="30"/>
      <c r="AF108" s="30"/>
      <c r="AG108" s="2"/>
      <c r="AH108" s="30"/>
      <c r="AI108" s="30"/>
      <c r="AJ108" s="30"/>
      <c r="AK108" s="30"/>
      <c r="AL108" s="30"/>
      <c r="AM108" s="83"/>
      <c r="AN108" s="5">
        <f>IFERROR(VLOOKUP(A:A,回搜数据源!B:N,4,FALSE),0)</f>
        <v>0</v>
      </c>
      <c r="AO108" s="5">
        <f>IFERROR(VLOOKUP(A:A,回搜数据源!B:N,5,FALSE),0)</f>
        <v>0</v>
      </c>
    </row>
    <row r="109" s="57" customFormat="1" ht="100" hidden="1" customHeight="1" spans="1:41">
      <c r="A109" s="4" t="s">
        <v>531</v>
      </c>
      <c r="B109" s="3" t="str">
        <f>VLOOKUP(A:A,笔记匹配!A:N,5,FALSE)</f>
        <v>=DISPIMG("ID_169E1A906E2141F2879477F19EA39AD2",1)</v>
      </c>
      <c r="C109" s="30" t="str">
        <f>VLOOKUP(A:A,笔记匹配!A:N,3,FALSE)</f>
        <v>拉拉也叫Tira</v>
      </c>
      <c r="D109" s="30" t="str">
        <f>VLOOKUP(A:A,笔记匹配!A:N,6,FALSE)</f>
        <v>我不驼背了🔥改善圆肩驼背➕筋膜枪按摩</v>
      </c>
      <c r="E109" s="30" t="str">
        <f>VLOOKUP(A:A,笔记匹配!A:N,7,FALSE)</f>
        <v>https://www.xiaohongshu.com/discovery/item/635606820000000014026abc</v>
      </c>
      <c r="F109" s="65">
        <f>VLOOKUP(A:A,笔记匹配!A:N,8,FALSE)</f>
        <v>44858</v>
      </c>
      <c r="G109" s="66" t="str">
        <f>VLOOKUP(A:A,笔记匹配!A:P,15,FALSE)</f>
        <v>未测试</v>
      </c>
      <c r="H109" s="30" t="str">
        <f>VLOOKUP(A:A,笔记匹配!A:N,9,FALSE)</f>
        <v>视频</v>
      </c>
      <c r="I109" s="30" t="str">
        <f>VLOOKUP(A:A,笔记匹配!A:N,2,FALSE)</f>
        <v>筋膜枪</v>
      </c>
      <c r="J109" s="30" t="str">
        <f>VLOOKUP(A:A,笔记匹配!A:N,4,FALSE)</f>
        <v>云麦筋膜枪PB2</v>
      </c>
      <c r="K109" s="30" t="str">
        <f>VLOOKUP(A:A,笔记匹配!A:N,14,FALSE)</f>
        <v>云麦筋膜枪pb2</v>
      </c>
      <c r="L109" s="3">
        <f>VLOOKUP(A:A,笔记匹配!A:N,10,FALSE)</f>
        <v>0</v>
      </c>
      <c r="M109" s="3">
        <f>VLOOKUP(A:A,笔记匹配!A:N,11,FALSE)</f>
        <v>0</v>
      </c>
      <c r="N109" s="69">
        <f>VLOOKUP(A:A,笔记匹配!A:N,12,FALSE)</f>
        <v>0</v>
      </c>
      <c r="O109" s="2">
        <f t="shared" si="7"/>
        <v>0</v>
      </c>
      <c r="P109" s="3">
        <f>IFERROR(VLOOKUP(A:A,信息流数据源!A:K,2,FALSE),0)</f>
        <v>0</v>
      </c>
      <c r="Q109" s="71">
        <f>IFERROR(VLOOKUP(A:A,信息流数据源!A:N,5,FALSE),0)</f>
        <v>0</v>
      </c>
      <c r="R109" s="72">
        <f>IFERROR(VLOOKUP(A:A,信息流数据源!A:N,6,FALSE),0)</f>
        <v>0</v>
      </c>
      <c r="S109" s="2">
        <f>IFERROR(VLOOKUP(A:A,信息流数据源!A:N,9,FALSE),0)</f>
        <v>0</v>
      </c>
      <c r="T109" s="3">
        <f>IFERROR(VLOOKUP(A:A,信息流数据源!A:N,13,FALSE),0)</f>
        <v>0</v>
      </c>
      <c r="U109" s="73">
        <f>IFERROR(VLOOKUP(A:A,信息流数据源!A:N,14,FALSE),0)</f>
        <v>0</v>
      </c>
      <c r="V109" s="74">
        <f>IFERROR(VLOOKUP(A:A,信息流数据源!A:O,15,FALSE),0)</f>
        <v>0</v>
      </c>
      <c r="W109" s="3">
        <f>IFERROR(VLOOKUP(A:A,搜索数据源!A:T,2,FALSE),0)</f>
        <v>0</v>
      </c>
      <c r="X109" s="71">
        <f>IFERROR(VLOOKUP(A:A,搜索数据源!A:T,5,FALSE),0)</f>
        <v>0</v>
      </c>
      <c r="Y109" s="73">
        <f>IFERROR(VLOOKUP(A:A,搜索数据源!A:T,6,FALSE),0)</f>
        <v>0</v>
      </c>
      <c r="Z109" s="3">
        <f>IFERROR(VLOOKUP(A:A,搜索数据源!A:T,9,FALSE),0)</f>
        <v>0</v>
      </c>
      <c r="AA109" s="3" t="e">
        <f>VLOOKUP(A:A,[1]搜索数据源!A:T,13,FALSE)</f>
        <v>#N/A</v>
      </c>
      <c r="AB109" s="72">
        <f>IFERROR(VLOOKUP(A:A,搜索数据源!A:T,14,FALSE),0)</f>
        <v>0</v>
      </c>
      <c r="AC109" s="69"/>
      <c r="AD109" s="4"/>
      <c r="AE109" s="69"/>
      <c r="AF109" s="77"/>
      <c r="AG109" s="2"/>
      <c r="AH109" s="69"/>
      <c r="AI109" s="4"/>
      <c r="AJ109" s="4"/>
      <c r="AK109" s="4"/>
      <c r="AL109" s="4"/>
      <c r="AM109" s="81"/>
      <c r="AN109" s="5">
        <f>IFERROR(VLOOKUP(A:A,回搜数据源!B:N,4,FALSE),0)</f>
        <v>0</v>
      </c>
      <c r="AO109" s="5">
        <f>IFERROR(VLOOKUP(A:A,回搜数据源!B:N,5,FALSE),0)</f>
        <v>0</v>
      </c>
    </row>
    <row r="110" s="57" customFormat="1" ht="100" hidden="1" customHeight="1" spans="1:41">
      <c r="A110" s="4" t="s">
        <v>228</v>
      </c>
      <c r="B110" s="3" t="str">
        <f>VLOOKUP(A:A,笔记匹配!A:N,5,FALSE)</f>
        <v>=DISPIMG("ID_B556FF733708467D9F63276FEE393878",1)</v>
      </c>
      <c r="C110" s="30" t="str">
        <f>VLOOKUP(A:A,笔记匹配!A:N,3,FALSE)</f>
        <v>语宸要做插画师</v>
      </c>
      <c r="D110" s="30" t="str">
        <f>VLOOKUP(A:A,笔记匹配!A:N,6,FALSE)</f>
        <v>挑战在筋膜枪上画画</v>
      </c>
      <c r="E110" s="30" t="str">
        <f>VLOOKUP(A:A,笔记匹配!A:N,7,FALSE)</f>
        <v>https://www.xiaohongshu.com/discovery/item/635361ae0000000015023541</v>
      </c>
      <c r="F110" s="65">
        <f>VLOOKUP(A:A,笔记匹配!A:N,8,FALSE)</f>
        <v>44856</v>
      </c>
      <c r="G110" s="66" t="str">
        <f>VLOOKUP(A:A,笔记匹配!A:P,15,FALSE)</f>
        <v>2022-11-07</v>
      </c>
      <c r="H110" s="30" t="str">
        <f>VLOOKUP(A:A,笔记匹配!A:N,9,FALSE)</f>
        <v>视频</v>
      </c>
      <c r="I110" s="30" t="str">
        <f>VLOOKUP(A:A,笔记匹配!A:N,2,FALSE)</f>
        <v>筋膜枪</v>
      </c>
      <c r="J110" s="30" t="str">
        <f>VLOOKUP(A:A,笔记匹配!A:N,4,FALSE)</f>
        <v>云麦筋膜枪cc </v>
      </c>
      <c r="K110" s="30" t="str">
        <f>VLOOKUP(A:A,笔记匹配!A:N,14,FALSE)</f>
        <v>云麦筋膜枪cc</v>
      </c>
      <c r="L110" s="3">
        <f>VLOOKUP(A:A,笔记匹配!A:N,10,FALSE)</f>
        <v>1631</v>
      </c>
      <c r="M110" s="3">
        <f>VLOOKUP(A:A,笔记匹配!A:N,11,FALSE)</f>
        <v>193</v>
      </c>
      <c r="N110" s="69">
        <f>VLOOKUP(A:A,笔记匹配!A:N,12,FALSE)</f>
        <v>43</v>
      </c>
      <c r="O110" s="2">
        <f t="shared" si="7"/>
        <v>1867</v>
      </c>
      <c r="P110" s="3">
        <f>IFERROR(VLOOKUP(A:A,信息流数据源!A:K,2,FALSE),0)</f>
        <v>0</v>
      </c>
      <c r="Q110" s="71">
        <f>IFERROR(VLOOKUP(A:A,信息流数据源!A:N,5,FALSE),0)</f>
        <v>0</v>
      </c>
      <c r="R110" s="72">
        <f>IFERROR(VLOOKUP(A:A,信息流数据源!A:N,6,FALSE),0)</f>
        <v>0</v>
      </c>
      <c r="S110" s="2">
        <f>IFERROR(VLOOKUP(A:A,信息流数据源!A:N,9,FALSE),0)</f>
        <v>0</v>
      </c>
      <c r="T110" s="3">
        <f>IFERROR(VLOOKUP(A:A,信息流数据源!A:N,13,FALSE),0)</f>
        <v>0</v>
      </c>
      <c r="U110" s="73">
        <f>IFERROR(VLOOKUP(A:A,信息流数据源!A:N,14,FALSE),0)</f>
        <v>0</v>
      </c>
      <c r="V110" s="74">
        <f>IFERROR(VLOOKUP(A:A,信息流数据源!A:O,15,FALSE),0)</f>
        <v>0</v>
      </c>
      <c r="W110" s="3">
        <f>IFERROR(VLOOKUP(A:A,搜索数据源!A:T,2,FALSE),0)</f>
        <v>0</v>
      </c>
      <c r="X110" s="71">
        <f>IFERROR(VLOOKUP(A:A,搜索数据源!A:T,5,FALSE),0)</f>
        <v>0</v>
      </c>
      <c r="Y110" s="73">
        <f>IFERROR(VLOOKUP(A:A,搜索数据源!A:T,6,FALSE),0)</f>
        <v>0</v>
      </c>
      <c r="Z110" s="3">
        <f>IFERROR(VLOOKUP(A:A,搜索数据源!A:T,9,FALSE),0)</f>
        <v>0</v>
      </c>
      <c r="AA110" s="3" t="e">
        <f>VLOOKUP(A:A,[1]搜索数据源!A:T,13,FALSE)</f>
        <v>#N/A</v>
      </c>
      <c r="AB110" s="72">
        <f>IFERROR(VLOOKUP(A:A,搜索数据源!A:T,14,FALSE),0)</f>
        <v>0</v>
      </c>
      <c r="AC110" s="69" t="str">
        <f>_xlfn.DISPIMG("ID_80DE298DF22749D3B15CD7A21A6DACBF",1)</f>
        <v>=DISPIMG("ID_80DE298DF22749D3B15CD7A21A6DACBF",1)</v>
      </c>
      <c r="AD110" s="4" t="s">
        <v>532</v>
      </c>
      <c r="AE110" s="76"/>
      <c r="AF110" s="77"/>
      <c r="AG110" s="82"/>
      <c r="AH110" s="69"/>
      <c r="AI110" s="4"/>
      <c r="AJ110" s="4"/>
      <c r="AK110" s="4"/>
      <c r="AL110" s="4"/>
      <c r="AM110" s="81"/>
      <c r="AN110" s="5">
        <f>IFERROR(VLOOKUP(A:A,回搜数据源!B:N,4,FALSE),0)</f>
        <v>0</v>
      </c>
      <c r="AO110" s="5">
        <f>IFERROR(VLOOKUP(A:A,回搜数据源!B:N,5,FALSE),0)</f>
        <v>0</v>
      </c>
    </row>
    <row r="111" s="57" customFormat="1" ht="100" hidden="1" customHeight="1" spans="1:41">
      <c r="A111" s="4" t="s">
        <v>533</v>
      </c>
      <c r="B111" s="3" t="str">
        <f>VLOOKUP(A:A,笔记匹配!A:N,5,FALSE)</f>
        <v>=DISPIMG("ID_E721F5DCF75648EA8A751EF39EEA1CC4",1)</v>
      </c>
      <c r="C111" s="30" t="str">
        <f>VLOOKUP(A:A,笔记匹配!A:N,3,FALSE)</f>
        <v>大红辣辣椒</v>
      </c>
      <c r="D111" s="30" t="str">
        <f>VLOOKUP(A:A,笔记匹配!A:N,6,FALSE)</f>
        <v>打工人久坐党肩颈自救！筋膜枪按摩超舒服</v>
      </c>
      <c r="E111" s="30" t="str">
        <f>VLOOKUP(A:A,笔记匹配!A:N,7,FALSE)</f>
        <v>https://www.xiaohongshu.com/discovery/item/62fa14a60000000014019759</v>
      </c>
      <c r="F111" s="65">
        <f>VLOOKUP(A:A,笔记匹配!A:N,8,FALSE)</f>
        <v>44789</v>
      </c>
      <c r="G111" s="66" t="str">
        <f>VLOOKUP(A:A,笔记匹配!A:P,15,FALSE)</f>
        <v>2022-08-17</v>
      </c>
      <c r="H111" s="30" t="str">
        <f>VLOOKUP(A:A,笔记匹配!A:N,9,FALSE)</f>
        <v>图文</v>
      </c>
      <c r="I111" s="30" t="str">
        <f>VLOOKUP(A:A,笔记匹配!A:N,2,FALSE)</f>
        <v>筋膜枪</v>
      </c>
      <c r="J111" s="30" t="str">
        <f>VLOOKUP(A:A,笔记匹配!A:N,4,FALSE)</f>
        <v>云麦筋膜枪PB2</v>
      </c>
      <c r="K111" s="30" t="str">
        <f>VLOOKUP(A:A,笔记匹配!A:N,14,FALSE)</f>
        <v>云麦筋膜枪pb2</v>
      </c>
      <c r="L111" s="3">
        <f>VLOOKUP(A:A,笔记匹配!A:N,10,FALSE)</f>
        <v>64</v>
      </c>
      <c r="M111" s="3">
        <f>VLOOKUP(A:A,笔记匹配!A:N,11,FALSE)</f>
        <v>40</v>
      </c>
      <c r="N111" s="69">
        <f>VLOOKUP(A:A,笔记匹配!A:N,12,FALSE)</f>
        <v>15</v>
      </c>
      <c r="O111" s="2">
        <f t="shared" si="7"/>
        <v>119</v>
      </c>
      <c r="P111" s="3">
        <f>IFERROR(VLOOKUP(A:A,信息流数据源!A:K,2,FALSE),0)</f>
        <v>0</v>
      </c>
      <c r="Q111" s="71">
        <f>IFERROR(VLOOKUP(A:A,信息流数据源!A:N,5,FALSE),0)</f>
        <v>0</v>
      </c>
      <c r="R111" s="72">
        <f>IFERROR(VLOOKUP(A:A,信息流数据源!A:N,6,FALSE),0)</f>
        <v>0</v>
      </c>
      <c r="S111" s="2">
        <f>IFERROR(VLOOKUP(A:A,信息流数据源!A:N,9,FALSE),0)</f>
        <v>0</v>
      </c>
      <c r="T111" s="3">
        <f>IFERROR(VLOOKUP(A:A,信息流数据源!A:N,13,FALSE),0)</f>
        <v>0</v>
      </c>
      <c r="U111" s="73">
        <f>IFERROR(VLOOKUP(A:A,信息流数据源!A:N,14,FALSE),0)</f>
        <v>0</v>
      </c>
      <c r="V111" s="74">
        <f>IFERROR(VLOOKUP(A:A,信息流数据源!A:O,15,FALSE),0)</f>
        <v>0</v>
      </c>
      <c r="W111" s="3">
        <f>IFERROR(VLOOKUP(A:A,搜索数据源!A:T,2,FALSE),0)</f>
        <v>0</v>
      </c>
      <c r="X111" s="71">
        <f>IFERROR(VLOOKUP(A:A,搜索数据源!A:T,5,FALSE),0)</f>
        <v>0</v>
      </c>
      <c r="Y111" s="73">
        <f>IFERROR(VLOOKUP(A:A,搜索数据源!A:T,6,FALSE),0)</f>
        <v>0</v>
      </c>
      <c r="Z111" s="3">
        <f>IFERROR(VLOOKUP(A:A,搜索数据源!A:T,9,FALSE),0)</f>
        <v>0</v>
      </c>
      <c r="AA111" s="3" t="e">
        <f>VLOOKUP(A:A,[1]搜索数据源!A:T,13,FALSE)</f>
        <v>#N/A</v>
      </c>
      <c r="AB111" s="72">
        <f>IFERROR(VLOOKUP(A:A,搜索数据源!A:T,14,FALSE),0)</f>
        <v>0</v>
      </c>
      <c r="AC111" s="69" t="str">
        <f>_xlfn.DISPIMG("ID_F635EA8EF5734264AC900DE0CE3CCF52",1)</f>
        <v>=DISPIMG("ID_F635EA8EF5734264AC900DE0CE3CCF52",1)</v>
      </c>
      <c r="AD111" s="4" t="s">
        <v>534</v>
      </c>
      <c r="AE111" s="69"/>
      <c r="AF111" s="77"/>
      <c r="AG111" s="2"/>
      <c r="AH111" s="69"/>
      <c r="AI111" s="4"/>
      <c r="AJ111" s="4"/>
      <c r="AK111" s="4"/>
      <c r="AL111" s="4">
        <f>AK111-AJ111</f>
        <v>0</v>
      </c>
      <c r="AM111" s="81">
        <f>IFERROR(AF111/AL111,0)</f>
        <v>0</v>
      </c>
      <c r="AN111" s="5">
        <f>IFERROR(VLOOKUP(A:A,回搜数据源!B:N,4,FALSE),0)</f>
        <v>0</v>
      </c>
      <c r="AO111" s="5">
        <f>IFERROR(VLOOKUP(A:A,回搜数据源!B:N,5,FALSE),0)</f>
        <v>0</v>
      </c>
    </row>
    <row r="112" s="57" customFormat="1" ht="100" hidden="1" customHeight="1" spans="1:41">
      <c r="A112" s="4" t="s">
        <v>535</v>
      </c>
      <c r="B112" s="3" t="str">
        <f>VLOOKUP(A:A,笔记匹配!A:N,5,FALSE)</f>
        <v>=DISPIMG("ID_6A0C8E88443B465F94D4563942EFEEEB",1)</v>
      </c>
      <c r="C112" s="30" t="str">
        <f>VLOOKUP(A:A,笔记匹配!A:N,3,FALSE)</f>
        <v>爱撸铁的丁</v>
      </c>
      <c r="D112" s="30" t="str">
        <f>VLOOKUP(A:A,笔记匹配!A:N,6,FALSE)</f>
        <v>身高165 体重52 翘臀不粗腿🦵我悟了！！</v>
      </c>
      <c r="E112" s="30" t="str">
        <f>VLOOKUP(A:A,笔记匹配!A:N,7,FALSE)</f>
        <v>https://www.xiaohongshu.com/discovery/item/62a72114000000002103631b</v>
      </c>
      <c r="F112" s="65">
        <f>VLOOKUP(A:A,笔记匹配!A:N,8,FALSE)</f>
        <v>44726</v>
      </c>
      <c r="G112" s="66" t="str">
        <f>VLOOKUP(A:A,笔记匹配!A:P,15,FALSE)</f>
        <v>2022-06-16</v>
      </c>
      <c r="H112" s="30" t="str">
        <f>VLOOKUP(A:A,笔记匹配!A:N,9,FALSE)</f>
        <v>图文</v>
      </c>
      <c r="I112" s="30" t="str">
        <f>VLOOKUP(A:A,笔记匹配!A:N,2,FALSE)</f>
        <v>筋膜枪</v>
      </c>
      <c r="J112" s="30" t="str">
        <f>VLOOKUP(A:A,笔记匹配!A:N,4,FALSE)</f>
        <v>云麦cc筋膜枪</v>
      </c>
      <c r="K112" s="30" t="str">
        <f>VLOOKUP(A:A,笔记匹配!A:N,14,FALSE)</f>
        <v>云麦筋膜枪cc</v>
      </c>
      <c r="L112" s="3">
        <f>VLOOKUP(A:A,笔记匹配!A:N,10,FALSE)</f>
        <v>44</v>
      </c>
      <c r="M112" s="3">
        <f>VLOOKUP(A:A,笔记匹配!A:N,11,FALSE)</f>
        <v>27</v>
      </c>
      <c r="N112" s="69">
        <f>VLOOKUP(A:A,笔记匹配!A:N,12,FALSE)</f>
        <v>36</v>
      </c>
      <c r="O112" s="2">
        <f t="shared" si="7"/>
        <v>107</v>
      </c>
      <c r="P112" s="3">
        <f>IFERROR(VLOOKUP(A:A,信息流数据源!A:K,2,FALSE),0)</f>
        <v>0</v>
      </c>
      <c r="Q112" s="71">
        <f>IFERROR(VLOOKUP(A:A,信息流数据源!A:N,5,FALSE),0)</f>
        <v>0</v>
      </c>
      <c r="R112" s="72">
        <f>IFERROR(VLOOKUP(A:A,信息流数据源!A:N,6,FALSE),0)</f>
        <v>0</v>
      </c>
      <c r="S112" s="2">
        <f>IFERROR(VLOOKUP(A:A,信息流数据源!A:N,9,FALSE),0)</f>
        <v>0</v>
      </c>
      <c r="T112" s="3">
        <f>IFERROR(VLOOKUP(A:A,信息流数据源!A:N,13,FALSE),0)</f>
        <v>0</v>
      </c>
      <c r="U112" s="73">
        <f>IFERROR(VLOOKUP(A:A,信息流数据源!A:N,14,FALSE),0)</f>
        <v>0</v>
      </c>
      <c r="V112" s="74">
        <f>IFERROR(VLOOKUP(A:A,信息流数据源!A:O,15,FALSE),0)</f>
        <v>0</v>
      </c>
      <c r="W112" s="3">
        <f>IFERROR(VLOOKUP(A:A,搜索数据源!A:T,2,FALSE),0)</f>
        <v>0</v>
      </c>
      <c r="X112" s="71">
        <f>IFERROR(VLOOKUP(A:A,搜索数据源!A:T,5,FALSE),0)</f>
        <v>0</v>
      </c>
      <c r="Y112" s="73">
        <f>IFERROR(VLOOKUP(A:A,搜索数据源!A:T,6,FALSE),0)</f>
        <v>0</v>
      </c>
      <c r="Z112" s="3">
        <f>IFERROR(VLOOKUP(A:A,搜索数据源!A:T,9,FALSE),0)</f>
        <v>0</v>
      </c>
      <c r="AA112" s="3" t="e">
        <f>VLOOKUP(A:A,[1]搜索数据源!A:T,13,FALSE)</f>
        <v>#N/A</v>
      </c>
      <c r="AB112" s="72">
        <f>IFERROR(VLOOKUP(A:A,搜索数据源!A:T,14,FALSE),0)</f>
        <v>0</v>
      </c>
      <c r="AC112" s="4" t="str">
        <f>_xlfn.DISPIMG("ID_FF26C48ACE0648EBAC1F26DBF7813B56",1)</f>
        <v>=DISPIMG("ID_FF26C48ACE0648EBAC1F26DBF7813B56",1)</v>
      </c>
      <c r="AD112" s="4" t="s">
        <v>450</v>
      </c>
      <c r="AE112" s="69"/>
      <c r="AF112" s="77"/>
      <c r="AG112" s="2"/>
      <c r="AH112" s="69"/>
      <c r="AI112" s="4"/>
      <c r="AJ112" s="4"/>
      <c r="AK112" s="4"/>
      <c r="AL112" s="4">
        <f>AK112-AJ112</f>
        <v>0</v>
      </c>
      <c r="AM112" s="81">
        <f>IFERROR(AF112/AL112,0)</f>
        <v>0</v>
      </c>
      <c r="AN112" s="5">
        <f>IFERROR(VLOOKUP(A:A,回搜数据源!B:N,4,FALSE),0)</f>
        <v>0</v>
      </c>
      <c r="AO112" s="5">
        <f>IFERROR(VLOOKUP(A:A,回搜数据源!B:N,5,FALSE),0)</f>
        <v>0</v>
      </c>
    </row>
    <row r="113" s="57" customFormat="1" ht="100" hidden="1" customHeight="1" spans="1:41">
      <c r="A113" s="4" t="s">
        <v>284</v>
      </c>
      <c r="B113" s="3" t="str">
        <f>VLOOKUP(A:A,笔记匹配!A:N,5,FALSE)</f>
        <v>=DISPIMG("ID_99872ED68AA34B4CB510548869E20B07",1)</v>
      </c>
      <c r="C113" s="30" t="str">
        <f>VLOOKUP(A:A,笔记匹配!A:N,3,FALSE)</f>
        <v>周周也是倩倩</v>
      </c>
      <c r="D113" s="30" t="str">
        <f>VLOOKUP(A:A,笔记匹配!A:N,6,FALSE)</f>
        <v>姐妹们学会这三招，斜方肌想变“厚”都难！！！</v>
      </c>
      <c r="E113" s="30" t="str">
        <f>VLOOKUP(A:A,笔记匹配!A:N,7,FALSE)</f>
        <v>https://www.xiaohongshu.com/discovery/item/634fe7d20000000008010532</v>
      </c>
      <c r="F113" s="65">
        <f>VLOOKUP(A:A,笔记匹配!A:N,8,FALSE)</f>
        <v>44855</v>
      </c>
      <c r="G113" s="66" t="str">
        <f>VLOOKUP(A:A,笔记匹配!A:P,15,FALSE)</f>
        <v>2022-11-01</v>
      </c>
      <c r="H113" s="30" t="str">
        <f>VLOOKUP(A:A,笔记匹配!A:N,9,FALSE)</f>
        <v>视频</v>
      </c>
      <c r="I113" s="30" t="str">
        <f>VLOOKUP(A:A,笔记匹配!A:N,2,FALSE)</f>
        <v>筋膜枪</v>
      </c>
      <c r="J113" s="30" t="str">
        <f>VLOOKUP(A:A,笔记匹配!A:N,4,FALSE)</f>
        <v>云麦筋膜枪cc</v>
      </c>
      <c r="K113" s="30" t="str">
        <f>VLOOKUP(A:A,笔记匹配!A:N,14,FALSE)</f>
        <v>云麦筋膜枪ccgo</v>
      </c>
      <c r="L113" s="3">
        <f>VLOOKUP(A:A,笔记匹配!A:N,10,FALSE)</f>
        <v>208</v>
      </c>
      <c r="M113" s="3">
        <f>VLOOKUP(A:A,笔记匹配!A:N,11,FALSE)</f>
        <v>149</v>
      </c>
      <c r="N113" s="69">
        <f>VLOOKUP(A:A,笔记匹配!A:N,12,FALSE)</f>
        <v>20</v>
      </c>
      <c r="O113" s="2">
        <f t="shared" si="7"/>
        <v>377</v>
      </c>
      <c r="P113" s="3">
        <f>IFERROR(VLOOKUP(A:A,信息流数据源!A:K,2,FALSE),0)</f>
        <v>0</v>
      </c>
      <c r="Q113" s="71">
        <f>IFERROR(VLOOKUP(A:A,信息流数据源!A:N,5,FALSE),0)</f>
        <v>0</v>
      </c>
      <c r="R113" s="72">
        <f>IFERROR(VLOOKUP(A:A,信息流数据源!A:N,6,FALSE),0)</f>
        <v>0</v>
      </c>
      <c r="S113" s="2">
        <f>IFERROR(VLOOKUP(A:A,信息流数据源!A:N,9,FALSE),0)</f>
        <v>0</v>
      </c>
      <c r="T113" s="3">
        <f>IFERROR(VLOOKUP(A:A,信息流数据源!A:N,13,FALSE),0)</f>
        <v>0</v>
      </c>
      <c r="U113" s="73">
        <f>IFERROR(VLOOKUP(A:A,信息流数据源!A:N,14,FALSE),0)</f>
        <v>0</v>
      </c>
      <c r="V113" s="74">
        <f>IFERROR(VLOOKUP(A:A,信息流数据源!A:O,15,FALSE),0)</f>
        <v>0</v>
      </c>
      <c r="W113" s="3">
        <f>IFERROR(VLOOKUP(A:A,搜索数据源!A:T,2,FALSE),0)</f>
        <v>0</v>
      </c>
      <c r="X113" s="71">
        <f>IFERROR(VLOOKUP(A:A,搜索数据源!A:T,5,FALSE),0)</f>
        <v>0</v>
      </c>
      <c r="Y113" s="73">
        <f>IFERROR(VLOOKUP(A:A,搜索数据源!A:T,6,FALSE),0)</f>
        <v>0</v>
      </c>
      <c r="Z113" s="3">
        <f>IFERROR(VLOOKUP(A:A,搜索数据源!A:T,9,FALSE),0)</f>
        <v>0</v>
      </c>
      <c r="AA113" s="3" t="e">
        <f>VLOOKUP(A:A,[1]搜索数据源!A:T,13,FALSE)</f>
        <v>#N/A</v>
      </c>
      <c r="AB113" s="72">
        <f>IFERROR(VLOOKUP(A:A,搜索数据源!A:T,14,FALSE),0)</f>
        <v>0</v>
      </c>
      <c r="AC113" s="30" t="str">
        <f>_xlfn.DISPIMG("ID_3ED5032629364083A91005C955A553DB",1)</f>
        <v>=DISPIMG("ID_3ED5032629364083A91005C955A553DB",1)</v>
      </c>
      <c r="AD113" s="4" t="s">
        <v>536</v>
      </c>
      <c r="AE113" s="30"/>
      <c r="AF113" s="30"/>
      <c r="AG113" s="2"/>
      <c r="AH113" s="30"/>
      <c r="AI113" s="30"/>
      <c r="AJ113" s="30"/>
      <c r="AK113" s="30"/>
      <c r="AL113" s="30"/>
      <c r="AM113" s="83"/>
      <c r="AN113" s="5">
        <f>IFERROR(VLOOKUP(A:A,回搜数据源!B:N,4,FALSE),0)</f>
        <v>0</v>
      </c>
      <c r="AO113" s="5">
        <f>IFERROR(VLOOKUP(A:A,回搜数据源!B:N,5,FALSE),0)</f>
        <v>0</v>
      </c>
    </row>
    <row r="114" s="57" customFormat="1" ht="100" hidden="1" customHeight="1" spans="1:41">
      <c r="A114" s="4" t="s">
        <v>292</v>
      </c>
      <c r="B114" s="3" t="str">
        <f>VLOOKUP(A:A,笔记匹配!A:N,5,FALSE)</f>
        <v>=DISPIMG("ID_2BE48A4BB95A49C7BBE0437C7E052E59",1)</v>
      </c>
      <c r="C114" s="30" t="str">
        <f>VLOOKUP(A:A,笔记匹配!A:N,3,FALSE)</f>
        <v>形体矫正小李</v>
      </c>
      <c r="D114" s="30" t="str">
        <f>VLOOKUP(A:A,笔记匹配!A:N,6,FALSE)</f>
        <v>大腿内侧赘肉消失术‼️练出细长漫画腿全靠它</v>
      </c>
      <c r="E114" s="30" t="str">
        <f>VLOOKUP(A:A,笔记匹配!A:N,7,FALSE)</f>
        <v>https://www.xiaohongshu.com/discovery/item/634e1fe90000000008014572</v>
      </c>
      <c r="F114" s="65">
        <f>VLOOKUP(A:A,笔记匹配!A:N,8,FALSE)</f>
        <v>44854</v>
      </c>
      <c r="G114" s="66" t="str">
        <f>VLOOKUP(A:A,笔记匹配!A:P,15,FALSE)</f>
        <v>2022-10-22</v>
      </c>
      <c r="H114" s="30" t="str">
        <f>VLOOKUP(A:A,笔记匹配!A:N,9,FALSE)</f>
        <v>视频</v>
      </c>
      <c r="I114" s="30" t="str">
        <f>VLOOKUP(A:A,笔记匹配!A:N,2,FALSE)</f>
        <v>筋膜枪</v>
      </c>
      <c r="J114" s="30" t="str">
        <f>VLOOKUP(A:A,笔记匹配!A:N,4,FALSE)</f>
        <v>云麦筋膜枪PB2</v>
      </c>
      <c r="K114" s="30" t="str">
        <f>VLOOKUP(A:A,笔记匹配!A:N,14,FALSE)</f>
        <v>云麦筋膜枪pb2</v>
      </c>
      <c r="L114" s="3">
        <f>VLOOKUP(A:A,笔记匹配!A:N,10,FALSE)</f>
        <v>23000</v>
      </c>
      <c r="M114" s="3">
        <f>VLOOKUP(A:A,笔记匹配!A:N,11,FALSE)</f>
        <v>30000</v>
      </c>
      <c r="N114" s="69">
        <f>VLOOKUP(A:A,笔记匹配!A:N,12,FALSE)</f>
        <v>88</v>
      </c>
      <c r="O114" s="2">
        <f t="shared" si="7"/>
        <v>53088</v>
      </c>
      <c r="P114" s="3">
        <f>IFERROR(VLOOKUP(A:A,信息流数据源!A:K,2,FALSE),0)</f>
        <v>0</v>
      </c>
      <c r="Q114" s="71">
        <f>IFERROR(VLOOKUP(A:A,信息流数据源!A:N,5,FALSE),0)</f>
        <v>0</v>
      </c>
      <c r="R114" s="72">
        <f>IFERROR(VLOOKUP(A:A,信息流数据源!A:N,6,FALSE),0)</f>
        <v>0</v>
      </c>
      <c r="S114" s="2">
        <f>IFERROR(VLOOKUP(A:A,信息流数据源!A:N,9,FALSE),0)</f>
        <v>0</v>
      </c>
      <c r="T114" s="3">
        <f>IFERROR(VLOOKUP(A:A,信息流数据源!A:N,13,FALSE),0)</f>
        <v>0</v>
      </c>
      <c r="U114" s="73">
        <f>IFERROR(VLOOKUP(A:A,信息流数据源!A:N,14,FALSE),0)</f>
        <v>0</v>
      </c>
      <c r="V114" s="74">
        <f>IFERROR(VLOOKUP(A:A,信息流数据源!A:O,15,FALSE),0)</f>
        <v>0</v>
      </c>
      <c r="W114" s="3">
        <f>IFERROR(VLOOKUP(A:A,搜索数据源!A:T,2,FALSE),0)</f>
        <v>0</v>
      </c>
      <c r="X114" s="71">
        <f>IFERROR(VLOOKUP(A:A,搜索数据源!A:T,5,FALSE),0)</f>
        <v>0</v>
      </c>
      <c r="Y114" s="73">
        <f>IFERROR(VLOOKUP(A:A,搜索数据源!A:T,6,FALSE),0)</f>
        <v>0</v>
      </c>
      <c r="Z114" s="3">
        <f>IFERROR(VLOOKUP(A:A,搜索数据源!A:T,9,FALSE),0)</f>
        <v>0</v>
      </c>
      <c r="AA114" s="3">
        <f>IFERROR(VLOOKUP(A:A,搜索数据源!A:T,13,FALSE),0)</f>
        <v>0</v>
      </c>
      <c r="AB114" s="72">
        <f>IFERROR(VLOOKUP(A:A,搜索数据源!A:T,14,FALSE),0)</f>
        <v>0</v>
      </c>
      <c r="AC114" s="69" t="str">
        <f>_xlfn.DISPIMG("ID_CC1C8254304249EFA122801AA962E8CD",1)</f>
        <v>=DISPIMG("ID_CC1C8254304249EFA122801AA962E8CD",1)</v>
      </c>
      <c r="AD114" s="4" t="s">
        <v>537</v>
      </c>
      <c r="AE114" s="84">
        <v>44861</v>
      </c>
      <c r="AF114" s="3">
        <v>1643.98</v>
      </c>
      <c r="AG114" s="2">
        <v>9745</v>
      </c>
      <c r="AH114" s="69" t="str">
        <f>_xlfn.DISPIMG("ID_FB081E2EB7C44BAFAF5AA3E5D3EEB0B0",1)</f>
        <v>=DISPIMG("ID_FB081E2EB7C44BAFAF5AA3E5D3EEB0B0",1)</v>
      </c>
      <c r="AI114" s="4" t="s">
        <v>538</v>
      </c>
      <c r="AJ114" s="69">
        <v>69</v>
      </c>
      <c r="AK114" s="69">
        <v>38</v>
      </c>
      <c r="AL114" s="4">
        <f>AK114-AJ114</f>
        <v>-31</v>
      </c>
      <c r="AM114" s="81">
        <f>IFERROR(AF114/AL114,0)</f>
        <v>-53.0316129032258</v>
      </c>
      <c r="AN114" s="5">
        <f>IFERROR(VLOOKUP(A:A,回搜数据源!B:N,4,FALSE),0)</f>
        <v>0.000179539660310962</v>
      </c>
      <c r="AO114" s="5">
        <f>IFERROR(VLOOKUP(A:A,回搜数据源!B:N,5,FALSE),0)</f>
        <v>0</v>
      </c>
    </row>
    <row r="115" s="57" customFormat="1" ht="100" hidden="1" customHeight="1" spans="1:41">
      <c r="A115" s="4" t="s">
        <v>539</v>
      </c>
      <c r="B115" s="3" t="str">
        <f>VLOOKUP(A:A,笔记匹配!A:N,5,FALSE)</f>
        <v>=DISPIMG("ID_2BC816DE7C2944D1B39A6252EA40CF27",1)</v>
      </c>
      <c r="C115" s="30" t="str">
        <f>VLOOKUP(A:A,笔记匹配!A:N,3,FALSE)</f>
        <v>嘎嘎今天不要懒_</v>
      </c>
      <c r="D115" s="30" t="str">
        <f>VLOOKUP(A:A,笔记匹配!A:N,6,FALSE)</f>
        <v>163/95｜女大学生在校减脂vlog</v>
      </c>
      <c r="E115" s="30" t="str">
        <f>VLOOKUP(A:A,笔记匹配!A:N,7,FALSE)</f>
        <v>https://www.xiaohongshu.com/discovery/item/634e27100000000007017ebc</v>
      </c>
      <c r="F115" s="65">
        <f>VLOOKUP(A:A,笔记匹配!A:N,8,FALSE)</f>
        <v>44853</v>
      </c>
      <c r="G115" s="66" t="str">
        <f>VLOOKUP(A:A,笔记匹配!A:P,15,FALSE)</f>
        <v>未测试</v>
      </c>
      <c r="H115" s="30" t="str">
        <f>VLOOKUP(A:A,笔记匹配!A:N,9,FALSE)</f>
        <v>视频</v>
      </c>
      <c r="I115" s="30" t="str">
        <f>VLOOKUP(A:A,笔记匹配!A:N,2,FALSE)</f>
        <v>筋膜枪</v>
      </c>
      <c r="J115" s="30" t="str">
        <f>VLOOKUP(A:A,笔记匹配!A:N,4,FALSE)</f>
        <v>云麦筋膜枪cc</v>
      </c>
      <c r="K115" s="30" t="str">
        <f>VLOOKUP(A:A,笔记匹配!A:N,14,FALSE)</f>
        <v>云麦筋膜枪ccgo</v>
      </c>
      <c r="L115" s="3">
        <f>VLOOKUP(A:A,笔记匹配!A:N,10,FALSE)</f>
        <v>0</v>
      </c>
      <c r="M115" s="3">
        <f>VLOOKUP(A:A,笔记匹配!A:N,11,FALSE)</f>
        <v>0</v>
      </c>
      <c r="N115" s="69">
        <f>VLOOKUP(A:A,笔记匹配!A:N,12,FALSE)</f>
        <v>0</v>
      </c>
      <c r="O115" s="2">
        <f t="shared" si="7"/>
        <v>0</v>
      </c>
      <c r="P115" s="3">
        <f>IFERROR(VLOOKUP(A:A,信息流数据源!A:K,2,FALSE),0)</f>
        <v>0</v>
      </c>
      <c r="Q115" s="71">
        <f>IFERROR(VLOOKUP(A:A,信息流数据源!A:N,5,FALSE),0)</f>
        <v>0</v>
      </c>
      <c r="R115" s="72">
        <f>IFERROR(VLOOKUP(A:A,信息流数据源!A:N,6,FALSE),0)</f>
        <v>0</v>
      </c>
      <c r="S115" s="2">
        <f>IFERROR(VLOOKUP(A:A,信息流数据源!A:N,9,FALSE),0)</f>
        <v>0</v>
      </c>
      <c r="T115" s="3">
        <f>IFERROR(VLOOKUP(A:A,信息流数据源!A:N,13,FALSE),0)</f>
        <v>0</v>
      </c>
      <c r="U115" s="73">
        <f>IFERROR(VLOOKUP(A:A,信息流数据源!A:N,14,FALSE),0)</f>
        <v>0</v>
      </c>
      <c r="V115" s="74">
        <f>IFERROR(VLOOKUP(A:A,信息流数据源!A:O,15,FALSE),0)</f>
        <v>0</v>
      </c>
      <c r="W115" s="3">
        <f>IFERROR(VLOOKUP(A:A,搜索数据源!A:T,2,FALSE),0)</f>
        <v>0</v>
      </c>
      <c r="X115" s="71">
        <f>IFERROR(VLOOKUP(A:A,搜索数据源!A:T,5,FALSE),0)</f>
        <v>0</v>
      </c>
      <c r="Y115" s="73">
        <f>IFERROR(VLOOKUP(A:A,搜索数据源!A:T,6,FALSE),0)</f>
        <v>0</v>
      </c>
      <c r="Z115" s="3">
        <f>IFERROR(VLOOKUP(A:A,搜索数据源!A:T,9,FALSE),0)</f>
        <v>0</v>
      </c>
      <c r="AA115" s="3" t="e">
        <f>VLOOKUP(A:A,[1]搜索数据源!A:T,13,FALSE)</f>
        <v>#N/A</v>
      </c>
      <c r="AB115" s="72">
        <f>IFERROR(VLOOKUP(A:A,搜索数据源!A:T,14,FALSE),0)</f>
        <v>0</v>
      </c>
      <c r="AC115" s="69"/>
      <c r="AD115" s="4"/>
      <c r="AE115" s="69"/>
      <c r="AF115" s="77"/>
      <c r="AG115" s="2"/>
      <c r="AH115" s="69"/>
      <c r="AI115" s="4"/>
      <c r="AJ115" s="4"/>
      <c r="AK115" s="4"/>
      <c r="AL115" s="4"/>
      <c r="AM115" s="81"/>
      <c r="AN115" s="5">
        <f>IFERROR(VLOOKUP(A:A,回搜数据源!B:N,4,FALSE),0)</f>
        <v>0</v>
      </c>
      <c r="AO115" s="5">
        <f>IFERROR(VLOOKUP(A:A,回搜数据源!B:N,5,FALSE),0)</f>
        <v>0</v>
      </c>
    </row>
    <row r="116" s="57" customFormat="1" ht="100" hidden="1" customHeight="1" spans="1:41">
      <c r="A116" s="4" t="s">
        <v>289</v>
      </c>
      <c r="B116" s="3" t="str">
        <f>VLOOKUP(A:A,笔记匹配!A:N,5,FALSE)</f>
        <v>=DISPIMG("ID_7C89AB9D473A4D1FAC542A82BAAFA4C4",1)</v>
      </c>
      <c r="C116" s="30" t="str">
        <f>VLOOKUP(A:A,笔记匹配!A:N,3,FALSE)</f>
        <v>小蓝今天吃了没</v>
      </c>
      <c r="D116" s="30" t="str">
        <f>VLOOKUP(A:A,笔记匹配!A:N,6,FALSE)</f>
        <v>筋膜枪正确用法！刘耕宏女孩永不认输</v>
      </c>
      <c r="E116" s="30" t="str">
        <f>VLOOKUP(A:A,笔记匹配!A:N,7,FALSE)</f>
        <v>https://www.xiaohongshu.com/discovery/item/62fdc897000000001b0063ad</v>
      </c>
      <c r="F116" s="65">
        <f>VLOOKUP(A:A,笔记匹配!A:N,8,FALSE)</f>
        <v>44791</v>
      </c>
      <c r="G116" s="66" t="str">
        <f>VLOOKUP(A:A,笔记匹配!A:P,15,FALSE)</f>
        <v>2022-08-22</v>
      </c>
      <c r="H116" s="30" t="str">
        <f>VLOOKUP(A:A,笔记匹配!A:N,9,FALSE)</f>
        <v>图文</v>
      </c>
      <c r="I116" s="30" t="str">
        <f>VLOOKUP(A:A,笔记匹配!A:N,2,FALSE)</f>
        <v>筋膜枪</v>
      </c>
      <c r="J116" s="30" t="str">
        <f>VLOOKUP(A:A,笔记匹配!A:N,4,FALSE)</f>
        <v>云麦 筋膜枪PB2</v>
      </c>
      <c r="K116" s="30" t="str">
        <f>VLOOKUP(A:A,笔记匹配!A:N,14,FALSE)</f>
        <v>云麦筋膜枪pb2</v>
      </c>
      <c r="L116" s="3">
        <f>VLOOKUP(A:A,笔记匹配!A:N,10,FALSE)</f>
        <v>1335</v>
      </c>
      <c r="M116" s="3">
        <f>VLOOKUP(A:A,笔记匹配!A:N,11,FALSE)</f>
        <v>921</v>
      </c>
      <c r="N116" s="69">
        <f>VLOOKUP(A:A,笔记匹配!A:N,12,FALSE)</f>
        <v>35</v>
      </c>
      <c r="O116" s="2">
        <f t="shared" si="7"/>
        <v>2291</v>
      </c>
      <c r="P116" s="3">
        <f>IFERROR(VLOOKUP(A:A,信息流数据源!A:K,2,FALSE),0)</f>
        <v>0</v>
      </c>
      <c r="Q116" s="71">
        <f>IFERROR(VLOOKUP(A:A,信息流数据源!A:N,5,FALSE),0)</f>
        <v>0</v>
      </c>
      <c r="R116" s="72">
        <f>IFERROR(VLOOKUP(A:A,信息流数据源!A:N,6,FALSE),0)</f>
        <v>0</v>
      </c>
      <c r="S116" s="2">
        <f>IFERROR(VLOOKUP(A:A,信息流数据源!A:N,9,FALSE),0)</f>
        <v>0</v>
      </c>
      <c r="T116" s="3">
        <f>IFERROR(VLOOKUP(A:A,信息流数据源!A:N,13,FALSE),0)</f>
        <v>0</v>
      </c>
      <c r="U116" s="73">
        <f>IFERROR(VLOOKUP(A:A,信息流数据源!A:N,14,FALSE),0)</f>
        <v>0</v>
      </c>
      <c r="V116" s="74">
        <f>IFERROR(VLOOKUP(A:A,信息流数据源!A:O,15,FALSE),0)</f>
        <v>0</v>
      </c>
      <c r="W116" s="3">
        <f>IFERROR(VLOOKUP(A:A,搜索数据源!A:T,2,FALSE),0)</f>
        <v>0</v>
      </c>
      <c r="X116" s="71">
        <f>IFERROR(VLOOKUP(A:A,搜索数据源!A:T,5,FALSE),0)</f>
        <v>0</v>
      </c>
      <c r="Y116" s="73">
        <f>IFERROR(VLOOKUP(A:A,搜索数据源!A:T,6,FALSE),0)</f>
        <v>0</v>
      </c>
      <c r="Z116" s="3">
        <f>IFERROR(VLOOKUP(A:A,搜索数据源!A:T,9,FALSE),0)</f>
        <v>0</v>
      </c>
      <c r="AA116" s="3" t="e">
        <f>VLOOKUP(A:A,[1]搜索数据源!A:T,13,FALSE)</f>
        <v>#N/A</v>
      </c>
      <c r="AB116" s="72">
        <f>IFERROR(VLOOKUP(A:A,搜索数据源!A:T,14,FALSE),0)</f>
        <v>0</v>
      </c>
      <c r="AC116" s="69" t="str">
        <f>_xlfn.DISPIMG("ID_0EEE4393AD1D4B83B64953A401199BB2",1)</f>
        <v>=DISPIMG("ID_0EEE4393AD1D4B83B64953A401199BB2",1)</v>
      </c>
      <c r="AD116" s="4" t="s">
        <v>526</v>
      </c>
      <c r="AE116" s="75">
        <v>44794</v>
      </c>
      <c r="AF116" s="3">
        <v>885.65</v>
      </c>
      <c r="AG116" s="2">
        <v>2659</v>
      </c>
      <c r="AH116" s="69" t="str">
        <f>_xlfn.DISPIMG("ID_7ED9AF304C1544A58A290927F09E4383",1)</f>
        <v>=DISPIMG("ID_7ED9AF304C1544A58A290927F09E4383",1)</v>
      </c>
      <c r="AI116" s="4" t="s">
        <v>540</v>
      </c>
      <c r="AJ116" s="4">
        <v>88</v>
      </c>
      <c r="AK116" s="4">
        <v>71</v>
      </c>
      <c r="AL116" s="4">
        <f>AK116-AJ116</f>
        <v>-17</v>
      </c>
      <c r="AM116" s="81">
        <f>IFERROR(AF116/AL116,0)</f>
        <v>-52.0970588235294</v>
      </c>
      <c r="AN116" s="5">
        <f>IFERROR(VLOOKUP(A:A,回搜数据源!B:N,4,FALSE),0)</f>
        <v>0</v>
      </c>
      <c r="AO116" s="5">
        <f>IFERROR(VLOOKUP(A:A,回搜数据源!B:N,5,FALSE),0)</f>
        <v>0</v>
      </c>
    </row>
    <row r="117" s="57" customFormat="1" ht="100" hidden="1" customHeight="1" spans="1:41">
      <c r="A117" s="4" t="s">
        <v>277</v>
      </c>
      <c r="B117" s="3" t="str">
        <f>VLOOKUP(A:A,笔记匹配!A:N,5,FALSE)</f>
        <v>=DISPIMG("ID_4751D772921B4A03A58E433F726D3925",1)</v>
      </c>
      <c r="C117" s="30" t="str">
        <f>VLOOKUP(A:A,笔记匹配!A:N,3,FALSE)</f>
        <v>一颗小糖果w</v>
      </c>
      <c r="D117" s="30" t="str">
        <f>VLOOKUP(A:A,笔记匹配!A:N,6,FALSE)</f>
        <v>少女心爆棚！粉色甜心筋膜枪也太嫩了吧</v>
      </c>
      <c r="E117" s="30" t="str">
        <f>VLOOKUP(A:A,笔记匹配!A:N,7,FALSE)</f>
        <v>https://www.xiaohongshu.com/discovery/item/634d395b000000000602b10a</v>
      </c>
      <c r="F117" s="65">
        <f>VLOOKUP(A:A,笔记匹配!A:N,8,FALSE)</f>
        <v>44851</v>
      </c>
      <c r="G117" s="66" t="str">
        <f>VLOOKUP(A:A,笔记匹配!A:P,15,FALSE)</f>
        <v>2022-11-07</v>
      </c>
      <c r="H117" s="30" t="str">
        <f>VLOOKUP(A:A,笔记匹配!A:N,9,FALSE)</f>
        <v>图文</v>
      </c>
      <c r="I117" s="30" t="str">
        <f>VLOOKUP(A:A,笔记匹配!A:N,2,FALSE)</f>
        <v>筋膜枪</v>
      </c>
      <c r="J117" s="30" t="str">
        <f>VLOOKUP(A:A,笔记匹配!A:N,4,FALSE)</f>
        <v>云麦筋膜枪cc</v>
      </c>
      <c r="K117" s="30" t="str">
        <f>VLOOKUP(A:A,笔记匹配!A:N,14,FALSE)</f>
        <v>云麦筋膜枪ccgo</v>
      </c>
      <c r="L117" s="3">
        <f>VLOOKUP(A:A,笔记匹配!A:N,10,FALSE)</f>
        <v>100</v>
      </c>
      <c r="M117" s="3">
        <f>VLOOKUP(A:A,笔记匹配!A:N,11,FALSE)</f>
        <v>22</v>
      </c>
      <c r="N117" s="69">
        <f>VLOOKUP(A:A,笔记匹配!A:N,12,FALSE)</f>
        <v>21</v>
      </c>
      <c r="O117" s="2">
        <f t="shared" si="7"/>
        <v>143</v>
      </c>
      <c r="P117" s="3">
        <f>IFERROR(VLOOKUP(A:A,信息流数据源!A:K,2,FALSE),0)</f>
        <v>0</v>
      </c>
      <c r="Q117" s="71">
        <f>IFERROR(VLOOKUP(A:A,信息流数据源!A:N,5,FALSE),0)</f>
        <v>0</v>
      </c>
      <c r="R117" s="72">
        <f>IFERROR(VLOOKUP(A:A,信息流数据源!A:N,6,FALSE),0)</f>
        <v>0</v>
      </c>
      <c r="S117" s="2">
        <f>IFERROR(VLOOKUP(A:A,信息流数据源!A:N,9,FALSE),0)</f>
        <v>0</v>
      </c>
      <c r="T117" s="3">
        <f>IFERROR(VLOOKUP(A:A,信息流数据源!A:N,13,FALSE),0)</f>
        <v>0</v>
      </c>
      <c r="U117" s="73">
        <f>IFERROR(VLOOKUP(A:A,信息流数据源!A:N,14,FALSE),0)</f>
        <v>0</v>
      </c>
      <c r="V117" s="74">
        <f>IFERROR(VLOOKUP(A:A,信息流数据源!A:O,15,FALSE),0)</f>
        <v>0</v>
      </c>
      <c r="W117" s="3">
        <f>IFERROR(VLOOKUP(A:A,搜索数据源!A:T,2,FALSE),0)</f>
        <v>0</v>
      </c>
      <c r="X117" s="71">
        <f>IFERROR(VLOOKUP(A:A,搜索数据源!A:T,5,FALSE),0)</f>
        <v>0</v>
      </c>
      <c r="Y117" s="73">
        <f>IFERROR(VLOOKUP(A:A,搜索数据源!A:T,6,FALSE),0)</f>
        <v>0</v>
      </c>
      <c r="Z117" s="3">
        <f>IFERROR(VLOOKUP(A:A,搜索数据源!A:T,9,FALSE),0)</f>
        <v>0</v>
      </c>
      <c r="AA117" s="3" t="e">
        <f>VLOOKUP(A:A,[1]搜索数据源!A:T,13,FALSE)</f>
        <v>#N/A</v>
      </c>
      <c r="AB117" s="72">
        <f>IFERROR(VLOOKUP(A:A,搜索数据源!A:T,14,FALSE),0)</f>
        <v>0</v>
      </c>
      <c r="AC117" s="69" t="str">
        <f>_xlfn.DISPIMG("ID_68886E24C16643ABAD81FA6FE13BA64A",1)</f>
        <v>=DISPIMG("ID_68886E24C16643ABAD81FA6FE13BA64A",1)</v>
      </c>
      <c r="AD117" s="4" t="s">
        <v>541</v>
      </c>
      <c r="AE117" s="76"/>
      <c r="AF117" s="77"/>
      <c r="AG117" s="82"/>
      <c r="AH117" s="69"/>
      <c r="AI117" s="4"/>
      <c r="AJ117" s="4"/>
      <c r="AK117" s="4"/>
      <c r="AL117" s="4"/>
      <c r="AM117" s="81"/>
      <c r="AN117" s="5">
        <f>IFERROR(VLOOKUP(A:A,回搜数据源!B:N,4,FALSE),0)</f>
        <v>0.00506756756756756</v>
      </c>
      <c r="AO117" s="5">
        <f>IFERROR(VLOOKUP(A:A,回搜数据源!B:N,5,FALSE),0)</f>
        <v>0</v>
      </c>
    </row>
    <row r="118" s="57" customFormat="1" ht="100" hidden="1" customHeight="1" spans="1:41">
      <c r="A118" s="4" t="s">
        <v>542</v>
      </c>
      <c r="B118" s="3" t="str">
        <f>VLOOKUP(A:A,笔记匹配!A:N,5,FALSE)</f>
        <v>=DISPIMG("ID_F6D6313AC0CD4ECC936C12B0A5F5138C",1)</v>
      </c>
      <c r="C118" s="30" t="str">
        <f>VLOOKUP(A:A,笔记匹配!A:N,3,FALSE)</f>
        <v>小恩哥带你练臀</v>
      </c>
      <c r="D118" s="30" t="str">
        <f>VLOOKUP(A:A,笔记匹配!A:N,6,FALSE)</f>
        <v>翘臀别只练臀，骨盆端正更重要｜筋膜枪放松</v>
      </c>
      <c r="E118" s="30" t="str">
        <f>VLOOKUP(A:A,笔记匹配!A:N,7,FALSE)</f>
        <v>https://www.xiaohongshu.com/discovery/item/62e109a2000000001b03e2a0</v>
      </c>
      <c r="F118" s="65">
        <f>VLOOKUP(A:A,笔记匹配!A:N,8,FALSE)</f>
        <v>44770</v>
      </c>
      <c r="G118" s="66" t="str">
        <f>VLOOKUP(A:A,笔记匹配!A:P,15,FALSE)</f>
        <v>2022-08-06</v>
      </c>
      <c r="H118" s="30" t="str">
        <f>VLOOKUP(A:A,笔记匹配!A:N,9,FALSE)</f>
        <v>视频</v>
      </c>
      <c r="I118" s="30" t="str">
        <f>VLOOKUP(A:A,笔记匹配!A:N,2,FALSE)</f>
        <v>筋膜枪</v>
      </c>
      <c r="J118" s="30" t="str">
        <f>VLOOKUP(A:A,笔记匹配!A:N,4,FALSE)</f>
        <v>云麦PB2</v>
      </c>
      <c r="K118" s="30" t="str">
        <f>VLOOKUP(A:A,笔记匹配!A:N,14,FALSE)</f>
        <v>云麦筋膜枪pb2</v>
      </c>
      <c r="L118" s="3">
        <f>VLOOKUP(A:A,笔记匹配!A:N,10,FALSE)</f>
        <v>828</v>
      </c>
      <c r="M118" s="3">
        <f>VLOOKUP(A:A,笔记匹配!A:N,11,FALSE)</f>
        <v>642</v>
      </c>
      <c r="N118" s="69">
        <f>VLOOKUP(A:A,笔记匹配!A:N,12,FALSE)</f>
        <v>56</v>
      </c>
      <c r="O118" s="2">
        <f t="shared" si="7"/>
        <v>1526</v>
      </c>
      <c r="P118" s="3">
        <f>IFERROR(VLOOKUP(A:A,信息流数据源!A:K,2,FALSE),0)</f>
        <v>0</v>
      </c>
      <c r="Q118" s="71">
        <f>IFERROR(VLOOKUP(A:A,信息流数据源!A:N,5,FALSE),0)</f>
        <v>0</v>
      </c>
      <c r="R118" s="72">
        <f>IFERROR(VLOOKUP(A:A,信息流数据源!A:N,6,FALSE),0)</f>
        <v>0</v>
      </c>
      <c r="S118" s="2">
        <f>IFERROR(VLOOKUP(A:A,信息流数据源!A:N,9,FALSE),0)</f>
        <v>0</v>
      </c>
      <c r="T118" s="3">
        <f>IFERROR(VLOOKUP(A:A,信息流数据源!A:N,13,FALSE),0)</f>
        <v>0</v>
      </c>
      <c r="U118" s="73">
        <f>IFERROR(VLOOKUP(A:A,信息流数据源!A:N,14,FALSE),0)</f>
        <v>0</v>
      </c>
      <c r="V118" s="74">
        <f>IFERROR(VLOOKUP(A:A,信息流数据源!A:O,15,FALSE),0)</f>
        <v>0</v>
      </c>
      <c r="W118" s="3">
        <f>IFERROR(VLOOKUP(A:A,搜索数据源!A:T,2,FALSE),0)</f>
        <v>0</v>
      </c>
      <c r="X118" s="71">
        <f>IFERROR(VLOOKUP(A:A,搜索数据源!A:T,5,FALSE),0)</f>
        <v>0</v>
      </c>
      <c r="Y118" s="73">
        <f>IFERROR(VLOOKUP(A:A,搜索数据源!A:T,6,FALSE),0)</f>
        <v>0</v>
      </c>
      <c r="Z118" s="3">
        <f>IFERROR(VLOOKUP(A:A,搜索数据源!A:T,9,FALSE),0)</f>
        <v>0</v>
      </c>
      <c r="AA118" s="3" t="e">
        <f>VLOOKUP(A:A,[1]搜索数据源!A:T,13,FALSE)</f>
        <v>#N/A</v>
      </c>
      <c r="AB118" s="72">
        <f>IFERROR(VLOOKUP(A:A,搜索数据源!A:T,14,FALSE),0)</f>
        <v>0</v>
      </c>
      <c r="AC118" s="69" t="str">
        <f>_xlfn.DISPIMG("ID_A26A79CAB86D4534B40654E9AE065CC8",1)</f>
        <v>=DISPIMG("ID_A26A79CAB86D4534B40654E9AE065CC8",1)</v>
      </c>
      <c r="AD118" s="4" t="s">
        <v>469</v>
      </c>
      <c r="AE118" s="75">
        <v>44732</v>
      </c>
      <c r="AF118" s="3">
        <v>791.01</v>
      </c>
      <c r="AG118" s="2">
        <v>3922</v>
      </c>
      <c r="AH118" s="69" t="str">
        <f>_xlfn.DISPIMG("ID_890065810A0341E38AFCA7E82BE49D6B",1)</f>
        <v>=DISPIMG("ID_890065810A0341E38AFCA7E82BE49D6B",1)</v>
      </c>
      <c r="AI118" s="4" t="s">
        <v>470</v>
      </c>
      <c r="AJ118" s="4">
        <v>62</v>
      </c>
      <c r="AK118" s="4">
        <v>51</v>
      </c>
      <c r="AL118" s="4">
        <f t="shared" ref="AL118:AL150" si="9">AK118-AJ118</f>
        <v>-11</v>
      </c>
      <c r="AM118" s="81">
        <f t="shared" ref="AM118:AM150" si="10">IFERROR(AF118/AL118,0)</f>
        <v>-71.91</v>
      </c>
      <c r="AN118" s="5">
        <f>IFERROR(VLOOKUP(A:A,回搜数据源!B:N,4,FALSE),0)</f>
        <v>0</v>
      </c>
      <c r="AO118" s="5">
        <f>IFERROR(VLOOKUP(A:A,回搜数据源!B:N,5,FALSE),0)</f>
        <v>0</v>
      </c>
    </row>
    <row r="119" s="57" customFormat="1" ht="100" hidden="1" customHeight="1" spans="1:41">
      <c r="A119" s="4" t="s">
        <v>543</v>
      </c>
      <c r="B119" s="3" t="str">
        <f>VLOOKUP(A:A,笔记匹配!A:N,5,FALSE)</f>
        <v>=DISPIMG("ID_5F322F188D4846B288B7F12A89D01BBC",1)</v>
      </c>
      <c r="C119" s="30" t="str">
        <f>VLOOKUP(A:A,笔记匹配!A:N,3,FALSE)</f>
        <v>健康营养师格格</v>
      </c>
      <c r="D119" s="30" t="str">
        <f>VLOOKUP(A:A,笔记匹配!A:N,6,FALSE)</f>
        <v>四个动作拉伸瘦腿❗️筋膜枪按摩大腿小腿</v>
      </c>
      <c r="E119" s="30" t="str">
        <f>VLOOKUP(A:A,笔记匹配!A:N,7,FALSE)</f>
        <v>https://www.xiaohongshu.com/discovery/item/63492acb0000000008010b08</v>
      </c>
      <c r="F119" s="65">
        <f>VLOOKUP(A:A,笔记匹配!A:N,8,FALSE)</f>
        <v>44849</v>
      </c>
      <c r="G119" s="66" t="str">
        <f>VLOOKUP(A:A,笔记匹配!A:P,15,FALSE)</f>
        <v>2022-10-19</v>
      </c>
      <c r="H119" s="30" t="str">
        <f>VLOOKUP(A:A,笔记匹配!A:N,9,FALSE)</f>
        <v>视频</v>
      </c>
      <c r="I119" s="30" t="str">
        <f>VLOOKUP(A:A,笔记匹配!A:N,2,FALSE)</f>
        <v>筋膜枪</v>
      </c>
      <c r="J119" s="30" t="str">
        <f>VLOOKUP(A:A,笔记匹配!A:N,4,FALSE)</f>
        <v>云麦筋膜枪pb2</v>
      </c>
      <c r="K119" s="30" t="str">
        <f>VLOOKUP(A:A,笔记匹配!A:N,14,FALSE)</f>
        <v>云麦筋膜枪pb2</v>
      </c>
      <c r="L119" s="3">
        <f>VLOOKUP(A:A,笔记匹配!A:N,10,FALSE)</f>
        <v>383</v>
      </c>
      <c r="M119" s="3">
        <f>VLOOKUP(A:A,笔记匹配!A:N,11,FALSE)</f>
        <v>255</v>
      </c>
      <c r="N119" s="69">
        <f>VLOOKUP(A:A,笔记匹配!A:N,12,FALSE)</f>
        <v>32</v>
      </c>
      <c r="O119" s="2">
        <f t="shared" si="7"/>
        <v>670</v>
      </c>
      <c r="P119" s="3">
        <f>IFERROR(VLOOKUP(A:A,信息流数据源!A:K,2,FALSE),0)</f>
        <v>0</v>
      </c>
      <c r="Q119" s="71">
        <f>IFERROR(VLOOKUP(A:A,信息流数据源!A:N,5,FALSE),0)</f>
        <v>0</v>
      </c>
      <c r="R119" s="72">
        <f>IFERROR(VLOOKUP(A:A,信息流数据源!A:N,6,FALSE),0)</f>
        <v>0</v>
      </c>
      <c r="S119" s="2">
        <f>IFERROR(VLOOKUP(A:A,信息流数据源!A:N,9,FALSE),0)</f>
        <v>0</v>
      </c>
      <c r="T119" s="3">
        <f>IFERROR(VLOOKUP(A:A,信息流数据源!A:N,13,FALSE),0)</f>
        <v>0</v>
      </c>
      <c r="U119" s="73">
        <f>IFERROR(VLOOKUP(A:A,信息流数据源!A:N,14,FALSE),0)</f>
        <v>0</v>
      </c>
      <c r="V119" s="74">
        <f>IFERROR(VLOOKUP(A:A,信息流数据源!A:O,15,FALSE),0)</f>
        <v>0</v>
      </c>
      <c r="W119" s="3">
        <f>IFERROR(VLOOKUP(A:A,搜索数据源!A:T,2,FALSE),0)</f>
        <v>0</v>
      </c>
      <c r="X119" s="71">
        <f>IFERROR(VLOOKUP(A:A,搜索数据源!A:T,5,FALSE),0)</f>
        <v>0</v>
      </c>
      <c r="Y119" s="73">
        <f>IFERROR(VLOOKUP(A:A,搜索数据源!A:T,6,FALSE),0)</f>
        <v>0</v>
      </c>
      <c r="Z119" s="3">
        <f>IFERROR(VLOOKUP(A:A,搜索数据源!A:T,9,FALSE),0)</f>
        <v>0</v>
      </c>
      <c r="AA119" s="3" t="e">
        <f>VLOOKUP(A:A,[1]搜索数据源!A:T,13,FALSE)</f>
        <v>#N/A</v>
      </c>
      <c r="AB119" s="72">
        <f>IFERROR(VLOOKUP(A:A,搜索数据源!A:T,14,FALSE),0)</f>
        <v>0</v>
      </c>
      <c r="AC119" s="69" t="str">
        <f>_xlfn.DISPIMG("ID_7F130D7E830D4E1FB2E3389B90F34264",1)</f>
        <v>=DISPIMG("ID_7F130D7E830D4E1FB2E3389B90F34264",1)</v>
      </c>
      <c r="AD119" s="4" t="s">
        <v>441</v>
      </c>
      <c r="AE119" s="78"/>
      <c r="AF119" s="78"/>
      <c r="AG119" s="2"/>
      <c r="AH119" s="78"/>
      <c r="AI119" s="78"/>
      <c r="AJ119" s="78"/>
      <c r="AK119" s="78"/>
      <c r="AL119" s="4">
        <f t="shared" si="9"/>
        <v>0</v>
      </c>
      <c r="AM119" s="81">
        <f t="shared" si="10"/>
        <v>0</v>
      </c>
      <c r="AN119" s="5">
        <f>IFERROR(VLOOKUP(A:A,回搜数据源!B:N,4,FALSE),0)</f>
        <v>0</v>
      </c>
      <c r="AO119" s="5">
        <f>IFERROR(VLOOKUP(A:A,回搜数据源!B:N,5,FALSE),0)</f>
        <v>0</v>
      </c>
    </row>
    <row r="120" s="57" customFormat="1" ht="100" hidden="1" customHeight="1" spans="1:41">
      <c r="A120" s="4" t="s">
        <v>544</v>
      </c>
      <c r="B120" s="3" t="str">
        <f>VLOOKUP(A:A,笔记匹配!A:N,5,FALSE)</f>
        <v>=DISPIMG("ID_2792AD0522914200845DCEFE3D7A129F",1)</v>
      </c>
      <c r="C120" s="30" t="str">
        <f>VLOOKUP(A:A,笔记匹配!A:N,3,FALSE)</f>
        <v>福崽</v>
      </c>
      <c r="D120" s="30" t="str">
        <f>VLOOKUP(A:A,笔记匹配!A:N,6,FALSE)</f>
        <v>脂包肌的消除逻辑｜瘦小腿❌盲目</v>
      </c>
      <c r="E120" s="30" t="str">
        <f>VLOOKUP(A:A,笔记匹配!A:N,7,FALSE)</f>
        <v>https://www.xiaohongshu.com/discovery/item/62aa9568000000000e021f22</v>
      </c>
      <c r="F120" s="65">
        <f>VLOOKUP(A:A,笔记匹配!A:N,8,FALSE)</f>
        <v>44728</v>
      </c>
      <c r="G120" s="66" t="str">
        <f>VLOOKUP(A:A,笔记匹配!A:P,15,FALSE)</f>
        <v>2022-06-17</v>
      </c>
      <c r="H120" s="30" t="str">
        <f>VLOOKUP(A:A,笔记匹配!A:N,9,FALSE)</f>
        <v>视频</v>
      </c>
      <c r="I120" s="30" t="str">
        <f>VLOOKUP(A:A,笔记匹配!A:N,2,FALSE)</f>
        <v>筋膜枪</v>
      </c>
      <c r="J120" s="30" t="str">
        <f>VLOOKUP(A:A,笔记匹配!A:N,4,FALSE)</f>
        <v>云麦筋膜枪cc</v>
      </c>
      <c r="K120" s="30" t="str">
        <f>VLOOKUP(A:A,笔记匹配!A:N,14,FALSE)</f>
        <v>云麦筋膜枪cc</v>
      </c>
      <c r="L120" s="3">
        <f>VLOOKUP(A:A,笔记匹配!A:N,10,FALSE)</f>
        <v>4052</v>
      </c>
      <c r="M120" s="3">
        <f>VLOOKUP(A:A,笔记匹配!A:N,11,FALSE)</f>
        <v>3703</v>
      </c>
      <c r="N120" s="69">
        <f>VLOOKUP(A:A,笔记匹配!A:N,12,FALSE)</f>
        <v>108</v>
      </c>
      <c r="O120" s="2">
        <f t="shared" si="7"/>
        <v>7863</v>
      </c>
      <c r="P120" s="3">
        <f>IFERROR(VLOOKUP(A:A,信息流数据源!A:K,2,FALSE),0)</f>
        <v>0</v>
      </c>
      <c r="Q120" s="71">
        <f>IFERROR(VLOOKUP(A:A,信息流数据源!A:N,5,FALSE),0)</f>
        <v>0</v>
      </c>
      <c r="R120" s="72">
        <f>IFERROR(VLOOKUP(A:A,信息流数据源!A:N,6,FALSE),0)</f>
        <v>0</v>
      </c>
      <c r="S120" s="2">
        <f>IFERROR(VLOOKUP(A:A,信息流数据源!A:N,9,FALSE),0)</f>
        <v>0</v>
      </c>
      <c r="T120" s="3">
        <f>IFERROR(VLOOKUP(A:A,信息流数据源!A:N,13,FALSE),0)</f>
        <v>0</v>
      </c>
      <c r="U120" s="73">
        <f>IFERROR(VLOOKUP(A:A,信息流数据源!A:N,14,FALSE),0)</f>
        <v>0</v>
      </c>
      <c r="V120" s="74">
        <f>IFERROR(VLOOKUP(A:A,信息流数据源!A:O,15,FALSE),0)</f>
        <v>0</v>
      </c>
      <c r="W120" s="3">
        <f>IFERROR(VLOOKUP(A:A,搜索数据源!A:T,2,FALSE),0)</f>
        <v>0</v>
      </c>
      <c r="X120" s="71">
        <f>IFERROR(VLOOKUP(A:A,搜索数据源!A:T,5,FALSE),0)</f>
        <v>0</v>
      </c>
      <c r="Y120" s="73">
        <f>IFERROR(VLOOKUP(A:A,搜索数据源!A:T,6,FALSE),0)</f>
        <v>0</v>
      </c>
      <c r="Z120" s="3">
        <f>IFERROR(VLOOKUP(A:A,搜索数据源!A:T,9,FALSE),0)</f>
        <v>0</v>
      </c>
      <c r="AA120" s="3" t="e">
        <f>VLOOKUP(A:A,[1]搜索数据源!A:T,13,FALSE)</f>
        <v>#N/A</v>
      </c>
      <c r="AB120" s="72">
        <f>IFERROR(VLOOKUP(A:A,搜索数据源!A:T,14,FALSE),0)</f>
        <v>0</v>
      </c>
      <c r="AC120" s="69" t="str">
        <f>_xlfn.DISPIMG("ID_958FC02C304346CE95BD9A166EF82A3B",1)</f>
        <v>=DISPIMG("ID_958FC02C304346CE95BD9A166EF82A3B",1)</v>
      </c>
      <c r="AD120" s="4" t="s">
        <v>474</v>
      </c>
      <c r="AE120" s="75">
        <v>44731</v>
      </c>
      <c r="AF120" s="3">
        <v>1016.02</v>
      </c>
      <c r="AG120" s="2">
        <v>25483</v>
      </c>
      <c r="AH120" s="69" t="str">
        <f>_xlfn.DISPIMG("ID_F0A83CB16C034BD39B93B5D2DA172A32",1)</f>
        <v>=DISPIMG("ID_F0A83CB16C034BD39B93B5D2DA172A32",1)</v>
      </c>
      <c r="AI120" s="4" t="s">
        <v>475</v>
      </c>
      <c r="AJ120" s="4">
        <v>6</v>
      </c>
      <c r="AK120" s="4">
        <v>0</v>
      </c>
      <c r="AL120" s="4">
        <f t="shared" si="9"/>
        <v>-6</v>
      </c>
      <c r="AM120" s="81">
        <f t="shared" si="10"/>
        <v>-169.336666666667</v>
      </c>
      <c r="AN120" s="5">
        <f>IFERROR(VLOOKUP(A:A,回搜数据源!B:N,4,FALSE),0)</f>
        <v>0</v>
      </c>
      <c r="AO120" s="5">
        <f>IFERROR(VLOOKUP(A:A,回搜数据源!B:N,5,FALSE),0)</f>
        <v>0</v>
      </c>
    </row>
    <row r="121" s="57" customFormat="1" ht="100" hidden="1" customHeight="1" spans="1:41">
      <c r="A121" s="4" t="s">
        <v>545</v>
      </c>
      <c r="B121" s="3" t="str">
        <f>VLOOKUP(A:A,笔记匹配!A:N,5,FALSE)</f>
        <v>=DISPIMG("ID_30EF3C4592FD47C38937C03402D3B468",1)</v>
      </c>
      <c r="C121" s="30" t="str">
        <f>VLOOKUP(A:A,笔记匹配!A:N,3,FALSE)</f>
        <v>雾霾少女i</v>
      </c>
      <c r="D121" s="30" t="str">
        <f>VLOOKUP(A:A,笔记匹配!A:N,6,FALSE)</f>
        <v>千万不要乱用！初学者必看筋膜枪正确用法</v>
      </c>
      <c r="E121" s="30" t="str">
        <f>VLOOKUP(A:A,笔记匹配!A:N,7,FALSE)</f>
        <v>https://www.xiaohongshu.com/discovery/item/62fe048b000000001b005d67</v>
      </c>
      <c r="F121" s="65">
        <f>VLOOKUP(A:A,笔记匹配!A:N,8,FALSE)</f>
        <v>44791</v>
      </c>
      <c r="G121" s="66" t="str">
        <f>VLOOKUP(A:A,笔记匹配!A:P,15,FALSE)</f>
        <v>2022-08-22</v>
      </c>
      <c r="H121" s="30" t="str">
        <f>VLOOKUP(A:A,笔记匹配!A:N,9,FALSE)</f>
        <v>图文</v>
      </c>
      <c r="I121" s="30" t="str">
        <f>VLOOKUP(A:A,笔记匹配!A:N,2,FALSE)</f>
        <v>筋膜枪</v>
      </c>
      <c r="J121" s="30" t="str">
        <f>VLOOKUP(A:A,笔记匹配!A:N,4,FALSE)</f>
        <v>云麦筋膜枪pb2</v>
      </c>
      <c r="K121" s="30" t="str">
        <f>VLOOKUP(A:A,笔记匹配!A:N,14,FALSE)</f>
        <v>云麦筋膜枪pb2</v>
      </c>
      <c r="L121" s="3">
        <f>VLOOKUP(A:A,笔记匹配!A:N,10,FALSE)</f>
        <v>174</v>
      </c>
      <c r="M121" s="3">
        <f>VLOOKUP(A:A,笔记匹配!A:N,11,FALSE)</f>
        <v>120</v>
      </c>
      <c r="N121" s="69">
        <f>VLOOKUP(A:A,笔记匹配!A:N,12,FALSE)</f>
        <v>35</v>
      </c>
      <c r="O121" s="2">
        <f t="shared" si="7"/>
        <v>329</v>
      </c>
      <c r="P121" s="3">
        <f>IFERROR(VLOOKUP(A:A,信息流数据源!A:K,2,FALSE),0)</f>
        <v>0</v>
      </c>
      <c r="Q121" s="71">
        <f>IFERROR(VLOOKUP(A:A,信息流数据源!A:N,5,FALSE),0)</f>
        <v>0</v>
      </c>
      <c r="R121" s="72">
        <f>IFERROR(VLOOKUP(A:A,信息流数据源!A:N,6,FALSE),0)</f>
        <v>0</v>
      </c>
      <c r="S121" s="2">
        <f>IFERROR(VLOOKUP(A:A,信息流数据源!A:N,9,FALSE),0)</f>
        <v>0</v>
      </c>
      <c r="T121" s="3">
        <f>IFERROR(VLOOKUP(A:A,信息流数据源!A:N,13,FALSE),0)</f>
        <v>0</v>
      </c>
      <c r="U121" s="73">
        <f>IFERROR(VLOOKUP(A:A,信息流数据源!A:N,14,FALSE),0)</f>
        <v>0</v>
      </c>
      <c r="V121" s="74">
        <f>IFERROR(VLOOKUP(A:A,信息流数据源!A:O,15,FALSE),0)</f>
        <v>0</v>
      </c>
      <c r="W121" s="3">
        <f>IFERROR(VLOOKUP(A:A,搜索数据源!A:T,2,FALSE),0)</f>
        <v>0</v>
      </c>
      <c r="X121" s="71">
        <f>IFERROR(VLOOKUP(A:A,搜索数据源!A:T,5,FALSE),0)</f>
        <v>0</v>
      </c>
      <c r="Y121" s="73">
        <f>IFERROR(VLOOKUP(A:A,搜索数据源!A:T,6,FALSE),0)</f>
        <v>0</v>
      </c>
      <c r="Z121" s="3">
        <f>IFERROR(VLOOKUP(A:A,搜索数据源!A:T,9,FALSE),0)</f>
        <v>0</v>
      </c>
      <c r="AA121" s="3" t="e">
        <f>VLOOKUP(A:A,[1]搜索数据源!A:T,13,FALSE)</f>
        <v>#N/A</v>
      </c>
      <c r="AB121" s="72">
        <f>IFERROR(VLOOKUP(A:A,搜索数据源!A:T,14,FALSE),0)</f>
        <v>0</v>
      </c>
      <c r="AC121" s="69" t="str">
        <f>_xlfn.DISPIMG("ID_0EEE4393AD1D4B83B64953A401199BB2",1)</f>
        <v>=DISPIMG("ID_0EEE4393AD1D4B83B64953A401199BB2",1)</v>
      </c>
      <c r="AD121" s="4" t="s">
        <v>526</v>
      </c>
      <c r="AE121" s="75">
        <v>44803</v>
      </c>
      <c r="AF121" s="3">
        <v>2017.98</v>
      </c>
      <c r="AG121" s="2">
        <v>10080</v>
      </c>
      <c r="AH121" s="69" t="str">
        <f>_xlfn.DISPIMG("ID_E79523D653B9403C9AAA6EE145CCD015",1)</f>
        <v>=DISPIMG("ID_E79523D653B9403C9AAA6EE145CCD015",1)</v>
      </c>
      <c r="AI121" s="4" t="s">
        <v>546</v>
      </c>
      <c r="AJ121" s="4">
        <v>36</v>
      </c>
      <c r="AK121" s="4">
        <v>26</v>
      </c>
      <c r="AL121" s="4">
        <f t="shared" si="9"/>
        <v>-10</v>
      </c>
      <c r="AM121" s="81">
        <f t="shared" si="10"/>
        <v>-201.798</v>
      </c>
      <c r="AN121" s="5">
        <f>IFERROR(VLOOKUP(A:A,回搜数据源!B:N,4,FALSE),0)</f>
        <v>0</v>
      </c>
      <c r="AO121" s="5">
        <f>IFERROR(VLOOKUP(A:A,回搜数据源!B:N,5,FALSE),0)</f>
        <v>0</v>
      </c>
    </row>
    <row r="122" s="57" customFormat="1" ht="100" hidden="1" customHeight="1" spans="1:41">
      <c r="A122" s="30" t="s">
        <v>214</v>
      </c>
      <c r="B122" s="3" t="str">
        <f>VLOOKUP(A:A,笔记匹配!A:N,5,FALSE)</f>
        <v>=DISPIMG("ID_6D873BA1B362420E839531C3C63E29CE",1)</v>
      </c>
      <c r="C122" s="30" t="str">
        <f>VLOOKUP(A:A,笔记匹配!A:N,3,FALSE)</f>
        <v>Zora張張</v>
      </c>
      <c r="D122" s="30" t="str">
        <f>VLOOKUP(A:A,笔记匹配!A:N,6,FALSE)</f>
        <v>宿舍姐妹花人手一个！这筋膜枪有点东西🧐</v>
      </c>
      <c r="E122" s="30" t="str">
        <f>VLOOKUP(A:A,笔记匹配!A:N,7,FALSE)</f>
        <v>https://www.xiaohongshu.com/discovery/item/6347ce7d0000000007039781</v>
      </c>
      <c r="F122" s="65">
        <f>VLOOKUP(A:A,笔记匹配!A:N,8,FALSE)</f>
        <v>44848</v>
      </c>
      <c r="G122" s="66" t="str">
        <f>VLOOKUP(A:A,笔记匹配!A:P,15,FALSE)</f>
        <v>2022-11-01</v>
      </c>
      <c r="H122" s="30" t="str">
        <f>VLOOKUP(A:A,笔记匹配!A:N,9,FALSE)</f>
        <v>图文</v>
      </c>
      <c r="I122" s="30" t="str">
        <f>VLOOKUP(A:A,笔记匹配!A:N,2,FALSE)</f>
        <v>筋膜枪</v>
      </c>
      <c r="J122" s="30" t="str">
        <f>VLOOKUP(A:A,笔记匹配!A:N,4,FALSE)</f>
        <v>云麦筋膜枪cc</v>
      </c>
      <c r="K122" s="30" t="str">
        <f>VLOOKUP(A:A,笔记匹配!A:N,14,FALSE)</f>
        <v>云麦筋膜枪ccgo</v>
      </c>
      <c r="L122" s="3">
        <v>3704</v>
      </c>
      <c r="M122" s="3">
        <v>1200</v>
      </c>
      <c r="N122" s="69">
        <v>47</v>
      </c>
      <c r="O122" s="2">
        <f t="shared" si="7"/>
        <v>4951</v>
      </c>
      <c r="P122" s="3">
        <f>IFERROR(VLOOKUP(A:A,信息流数据源!A:K,2,FALSE),0)</f>
        <v>7385.95</v>
      </c>
      <c r="Q122" s="71">
        <f>IFERROR(VLOOKUP(A:A,信息流数据源!A:N,5,FALSE),0)</f>
        <v>0.0603863757154396</v>
      </c>
      <c r="R122" s="72">
        <f>IFERROR(VLOOKUP(A:A,信息流数据源!A:N,6,FALSE),0)</f>
        <v>0.170619556931322</v>
      </c>
      <c r="S122" s="2">
        <f>IFERROR(VLOOKUP(A:A,信息流数据源!A:N,9,FALSE),0)</f>
        <v>16</v>
      </c>
      <c r="T122" s="3">
        <f>IFERROR(VLOOKUP(A:A,信息流数据源!A:N,13,FALSE),0)</f>
        <v>2634</v>
      </c>
      <c r="U122" s="73">
        <f>IFERROR(VLOOKUP(A:A,信息流数据源!A:N,14,FALSE),0)</f>
        <v>2.80408124525437</v>
      </c>
      <c r="V122" s="74">
        <f>IFERROR(VLOOKUP(A:A,信息流数据源!A:O,15,FALSE),0)</f>
        <v>0.0608468664094805</v>
      </c>
      <c r="W122" s="3">
        <f>IFERROR(VLOOKUP(A:A,搜索数据源!A:T,2,FALSE),0)</f>
        <v>812.48</v>
      </c>
      <c r="X122" s="71">
        <f>IFERROR(VLOOKUP(A:A,搜索数据源!A:T,5,FALSE),0)</f>
        <v>0.0468819106590004</v>
      </c>
      <c r="Y122" s="73">
        <f>IFERROR(VLOOKUP(A:A,搜索数据源!A:T,6,FALSE),0)</f>
        <v>0.63874213836478</v>
      </c>
      <c r="Z122" s="3">
        <f>IFERROR(VLOOKUP(A:A,搜索数据源!A:T,9,FALSE),0)</f>
        <v>2</v>
      </c>
      <c r="AA122" s="3" t="e">
        <f>VLOOKUP(A:A,[1]搜索数据源!A:T,13,FALSE)</f>
        <v>#N/A</v>
      </c>
      <c r="AB122" s="72">
        <f>IFERROR(VLOOKUP(A:A,搜索数据源!A:T,14,FALSE),0)</f>
        <v>0.0243710691823899</v>
      </c>
      <c r="AC122" s="69" t="str">
        <f>_xlfn.DISPIMG("ID_E22AF520E67C43EEB5CED3857F725F84",1)</f>
        <v>=DISPIMG("ID_E22AF520E67C43EEB5CED3857F725F84",1)</v>
      </c>
      <c r="AD122" s="85" t="s">
        <v>547</v>
      </c>
      <c r="AE122" s="76">
        <v>44713</v>
      </c>
      <c r="AF122" s="3">
        <v>1014.98</v>
      </c>
      <c r="AG122" s="2">
        <v>2215</v>
      </c>
      <c r="AH122" s="78" t="str">
        <f>_xlfn.DISPIMG("ID_30F7D31188DA44D0B0B4B7D2AE8B06CC",1)</f>
        <v>=DISPIMG("ID_30F7D31188DA44D0B0B4B7D2AE8B06CC",1)</v>
      </c>
      <c r="AI122" s="4" t="s">
        <v>548</v>
      </c>
      <c r="AJ122" s="4">
        <v>102</v>
      </c>
      <c r="AK122" s="4">
        <v>99</v>
      </c>
      <c r="AL122" s="4">
        <f t="shared" si="9"/>
        <v>-3</v>
      </c>
      <c r="AM122" s="81">
        <f t="shared" si="10"/>
        <v>-338.326666666667</v>
      </c>
      <c r="AN122" s="5">
        <f>IFERROR(VLOOKUP(A:A,回搜数据源!B:N,4,FALSE),0)</f>
        <v>0.00150715900527505</v>
      </c>
      <c r="AO122" s="5">
        <f>IFERROR(VLOOKUP(A:A,回搜数据源!B:N,5,FALSE),0)</f>
        <v>0</v>
      </c>
    </row>
    <row r="123" s="57" customFormat="1" ht="100" hidden="1" customHeight="1" spans="1:41">
      <c r="A123" s="4" t="s">
        <v>549</v>
      </c>
      <c r="B123" s="3" t="str">
        <f>VLOOKUP(A:A,笔记匹配!A:N,5,FALSE)</f>
        <v>=DISPIMG("ID_DD1551EC38F842AB91DE55F0F15EE745",1)</v>
      </c>
      <c r="C123" s="30" t="str">
        <f>VLOOKUP(A:A,笔记匹配!A:N,3,FALSE)</f>
        <v>爽姐腿特长</v>
      </c>
      <c r="D123" s="30" t="str">
        <f>VLOOKUP(A:A,笔记匹配!A:N,6,FALSE)</f>
        <v>筋膜枪有效放松|顽固肌肉腿有救了🦵</v>
      </c>
      <c r="E123" s="30" t="str">
        <f>VLOOKUP(A:A,笔记匹配!A:N,7,FALSE)</f>
        <v>https://www.xiaohongshu.com/discovery/item/62a3362f000000002103b738</v>
      </c>
      <c r="F123" s="65">
        <f>VLOOKUP(A:A,笔记匹配!A:N,8,FALSE)</f>
        <v>44724</v>
      </c>
      <c r="G123" s="66" t="str">
        <f>VLOOKUP(A:A,笔记匹配!A:P,15,FALSE)</f>
        <v>2022-06-14</v>
      </c>
      <c r="H123" s="30" t="str">
        <f>VLOOKUP(A:A,笔记匹配!A:N,9,FALSE)</f>
        <v>视频</v>
      </c>
      <c r="I123" s="30" t="str">
        <f>VLOOKUP(A:A,笔记匹配!A:N,2,FALSE)</f>
        <v>筋膜枪</v>
      </c>
      <c r="J123" s="30" t="str">
        <f>VLOOKUP(A:A,笔记匹配!A:N,4,FALSE)</f>
        <v>云麦筋膜枪cc</v>
      </c>
      <c r="K123" s="30" t="str">
        <f>VLOOKUP(A:A,笔记匹配!A:N,14,FALSE)</f>
        <v>云麦筋膜枪cc</v>
      </c>
      <c r="L123" s="3">
        <f>VLOOKUP(A:A,笔记匹配!A:N,10,FALSE)</f>
        <v>1819</v>
      </c>
      <c r="M123" s="3">
        <f>VLOOKUP(A:A,笔记匹配!A:N,11,FALSE)</f>
        <v>887</v>
      </c>
      <c r="N123" s="69">
        <f>VLOOKUP(A:A,笔记匹配!A:N,12,FALSE)</f>
        <v>113</v>
      </c>
      <c r="O123" s="2">
        <f t="shared" ref="O122:O168" si="11">N123+M123+L123</f>
        <v>2819</v>
      </c>
      <c r="P123" s="3">
        <f>IFERROR(VLOOKUP(A:A,信息流数据源!A:K,2,FALSE),0)</f>
        <v>0</v>
      </c>
      <c r="Q123" s="71">
        <f>IFERROR(VLOOKUP(A:A,信息流数据源!A:N,5,FALSE),0)</f>
        <v>0</v>
      </c>
      <c r="R123" s="72">
        <f>IFERROR(VLOOKUP(A:A,信息流数据源!A:N,6,FALSE),0)</f>
        <v>0</v>
      </c>
      <c r="S123" s="2">
        <f>IFERROR(VLOOKUP(A:A,信息流数据源!A:N,9,FALSE),0)</f>
        <v>0</v>
      </c>
      <c r="T123" s="3">
        <f>IFERROR(VLOOKUP(A:A,信息流数据源!A:N,13,FALSE),0)</f>
        <v>0</v>
      </c>
      <c r="U123" s="73">
        <f>IFERROR(VLOOKUP(A:A,信息流数据源!A:N,14,FALSE),0)</f>
        <v>0</v>
      </c>
      <c r="V123" s="74">
        <f>IFERROR(VLOOKUP(A:A,信息流数据源!A:O,15,FALSE),0)</f>
        <v>0</v>
      </c>
      <c r="W123" s="3">
        <f>IFERROR(VLOOKUP(A:A,搜索数据源!A:T,2,FALSE),0)</f>
        <v>0</v>
      </c>
      <c r="X123" s="71">
        <f>IFERROR(VLOOKUP(A:A,搜索数据源!A:T,5,FALSE),0)</f>
        <v>0</v>
      </c>
      <c r="Y123" s="73">
        <f>IFERROR(VLOOKUP(A:A,搜索数据源!A:T,6,FALSE),0)</f>
        <v>0</v>
      </c>
      <c r="Z123" s="3">
        <f>IFERROR(VLOOKUP(A:A,搜索数据源!A:T,9,FALSE),0)</f>
        <v>0</v>
      </c>
      <c r="AA123" s="3" t="e">
        <f>VLOOKUP(A:A,[1]搜索数据源!A:T,13,FALSE)</f>
        <v>#N/A</v>
      </c>
      <c r="AB123" s="72">
        <f>IFERROR(VLOOKUP(A:A,搜索数据源!A:T,14,FALSE),0)</f>
        <v>0</v>
      </c>
      <c r="AC123" s="69" t="str">
        <f>_xlfn.DISPIMG("ID_4AB7CB19BEE440BBA25E310037DC5C41",1)</f>
        <v>=DISPIMG("ID_4AB7CB19BEE440BBA25E310037DC5C41",1)</v>
      </c>
      <c r="AD123" s="4" t="s">
        <v>550</v>
      </c>
      <c r="AE123" s="75">
        <v>44726</v>
      </c>
      <c r="AF123" s="3">
        <v>513.7</v>
      </c>
      <c r="AG123" s="2">
        <v>5068</v>
      </c>
      <c r="AH123" s="69" t="str">
        <f>_xlfn.DISPIMG("ID_CDB953249B1A4E3BAF5D60AB7FC2830A",1)</f>
        <v>=DISPIMG("ID_CDB953249B1A4E3BAF5D60AB7FC2830A",1)</v>
      </c>
      <c r="AI123" s="4" t="s">
        <v>551</v>
      </c>
      <c r="AJ123" s="4">
        <v>18</v>
      </c>
      <c r="AK123" s="4">
        <v>16</v>
      </c>
      <c r="AL123" s="4">
        <f t="shared" si="9"/>
        <v>-2</v>
      </c>
      <c r="AM123" s="81">
        <f t="shared" si="10"/>
        <v>-256.85</v>
      </c>
      <c r="AN123" s="5">
        <f>IFERROR(VLOOKUP(A:A,回搜数据源!B:N,4,FALSE),0)</f>
        <v>0</v>
      </c>
      <c r="AO123" s="5">
        <f>IFERROR(VLOOKUP(A:A,回搜数据源!B:N,5,FALSE),0)</f>
        <v>0</v>
      </c>
    </row>
    <row r="124" s="57" customFormat="1" ht="100" hidden="1" customHeight="1" spans="1:41">
      <c r="A124" s="4" t="s">
        <v>552</v>
      </c>
      <c r="B124" s="3" t="str">
        <f>VLOOKUP(A:A,笔记匹配!A:N,5,FALSE)</f>
        <v>=DISPIMG("ID_92B96F3F9BDB4D14AE01BA8A778F4AFD",1)</v>
      </c>
      <c r="C124" s="30" t="str">
        <f>VLOOKUP(A:A,笔记匹配!A:N,3,FALSE)</f>
        <v>thePans.</v>
      </c>
      <c r="D124" s="30" t="str">
        <f>VLOOKUP(A:A,笔记匹配!A:N,6,FALSE)</f>
        <v>送闺蜜diy礼物💕要被这筋膜枪可爱晕啦!!~✨</v>
      </c>
      <c r="E124" s="30" t="str">
        <f>VLOOKUP(A:A,笔记匹配!A:N,7,FALSE)</f>
        <v>https://www.xiaohongshu.com/discovery/item/6342abf4000000001c00c1fb</v>
      </c>
      <c r="F124" s="65">
        <f>VLOOKUP(A:A,笔记匹配!A:N,8,FALSE)</f>
        <v>44846</v>
      </c>
      <c r="G124" s="66" t="str">
        <f>VLOOKUP(A:A,笔记匹配!A:P,15,FALSE)</f>
        <v>2022-10-18</v>
      </c>
      <c r="H124" s="30" t="str">
        <f>VLOOKUP(A:A,笔记匹配!A:N,9,FALSE)</f>
        <v>图文</v>
      </c>
      <c r="I124" s="30" t="str">
        <f>VLOOKUP(A:A,笔记匹配!A:N,2,FALSE)</f>
        <v>筋膜枪</v>
      </c>
      <c r="J124" s="30" t="str">
        <f>VLOOKUP(A:A,笔记匹配!A:N,4,FALSE)</f>
        <v> 云麦筋膜枪cc</v>
      </c>
      <c r="K124" s="30" t="str">
        <f>VLOOKUP(A:A,笔记匹配!A:N,14,FALSE)</f>
        <v>云麦筋膜枪ccgo</v>
      </c>
      <c r="L124" s="3">
        <f>VLOOKUP(A:A,笔记匹配!A:N,10,FALSE)</f>
        <v>127</v>
      </c>
      <c r="M124" s="3">
        <f>VLOOKUP(A:A,笔记匹配!A:N,11,FALSE)</f>
        <v>28</v>
      </c>
      <c r="N124" s="69">
        <f>VLOOKUP(A:A,笔记匹配!A:N,12,FALSE)</f>
        <v>12</v>
      </c>
      <c r="O124" s="2">
        <f t="shared" si="11"/>
        <v>167</v>
      </c>
      <c r="P124" s="3">
        <f>IFERROR(VLOOKUP(A:A,信息流数据源!A:K,2,FALSE),0)</f>
        <v>0</v>
      </c>
      <c r="Q124" s="71">
        <f>IFERROR(VLOOKUP(A:A,信息流数据源!A:N,5,FALSE),0)</f>
        <v>0</v>
      </c>
      <c r="R124" s="72">
        <f>IFERROR(VLOOKUP(A:A,信息流数据源!A:N,6,FALSE),0)</f>
        <v>0</v>
      </c>
      <c r="S124" s="2">
        <f>IFERROR(VLOOKUP(A:A,信息流数据源!A:N,9,FALSE),0)</f>
        <v>0</v>
      </c>
      <c r="T124" s="3">
        <f>IFERROR(VLOOKUP(A:A,信息流数据源!A:N,13,FALSE),0)</f>
        <v>0</v>
      </c>
      <c r="U124" s="73">
        <f>IFERROR(VLOOKUP(A:A,信息流数据源!A:N,14,FALSE),0)</f>
        <v>0</v>
      </c>
      <c r="V124" s="74">
        <f>IFERROR(VLOOKUP(A:A,信息流数据源!A:O,15,FALSE),0)</f>
        <v>0</v>
      </c>
      <c r="W124" s="3">
        <f>IFERROR(VLOOKUP(A:A,搜索数据源!A:T,2,FALSE),0)</f>
        <v>0</v>
      </c>
      <c r="X124" s="71">
        <f>IFERROR(VLOOKUP(A:A,搜索数据源!A:T,5,FALSE),0)</f>
        <v>0</v>
      </c>
      <c r="Y124" s="73">
        <f>IFERROR(VLOOKUP(A:A,搜索数据源!A:T,6,FALSE),0)</f>
        <v>0</v>
      </c>
      <c r="Z124" s="3">
        <f>IFERROR(VLOOKUP(A:A,搜索数据源!A:T,9,FALSE),0)</f>
        <v>0</v>
      </c>
      <c r="AA124" s="3" t="e">
        <f>VLOOKUP(A:A,[1]搜索数据源!A:T,13,FALSE)</f>
        <v>#N/A</v>
      </c>
      <c r="AB124" s="72">
        <f>IFERROR(VLOOKUP(A:A,搜索数据源!A:T,14,FALSE),0)</f>
        <v>0</v>
      </c>
      <c r="AC124" s="69" t="str">
        <f>_xlfn.DISPIMG("ID_08DE97D9B97840998F2D3C03B9F9F6EE",1)</f>
        <v>=DISPIMG("ID_08DE97D9B97840998F2D3C03B9F9F6EE",1)</v>
      </c>
      <c r="AD124" s="4" t="s">
        <v>404</v>
      </c>
      <c r="AE124" s="78"/>
      <c r="AF124" s="78"/>
      <c r="AG124" s="2"/>
      <c r="AH124" s="78"/>
      <c r="AI124" s="78"/>
      <c r="AJ124" s="78"/>
      <c r="AK124" s="78"/>
      <c r="AL124" s="4">
        <f t="shared" si="9"/>
        <v>0</v>
      </c>
      <c r="AM124" s="81">
        <f t="shared" si="10"/>
        <v>0</v>
      </c>
      <c r="AN124" s="5">
        <f>IFERROR(VLOOKUP(A:A,回搜数据源!B:N,4,FALSE),0)</f>
        <v>0</v>
      </c>
      <c r="AO124" s="5">
        <f>IFERROR(VLOOKUP(A:A,回搜数据源!B:N,5,FALSE),0)</f>
        <v>0</v>
      </c>
    </row>
    <row r="125" s="57" customFormat="1" ht="100" hidden="1" customHeight="1" spans="1:41">
      <c r="A125" s="4" t="s">
        <v>553</v>
      </c>
      <c r="B125" s="3" t="str">
        <f>VLOOKUP(A:A,笔记匹配!A:N,5,FALSE)</f>
        <v>=DISPIMG("ID_CE2B8D0866824C01BDBC09897E33E6B3",1)</v>
      </c>
      <c r="C125" s="30" t="str">
        <f>VLOOKUP(A:A,笔记匹配!A:N,3,FALSE)</f>
        <v>圆又圆超爱笑</v>
      </c>
      <c r="D125" s="30" t="str">
        <f>VLOOKUP(A:A,笔记匹配!A:N,6,FALSE)</f>
        <v>大二女生梨形粗腿逆袭✨这3步带你优化腿型</v>
      </c>
      <c r="E125" s="30" t="str">
        <f>VLOOKUP(A:A,笔记匹配!A:N,7,FALSE)</f>
        <v>https://www.xiaohongshu.com/discovery/item/626acb02000000000102c35c</v>
      </c>
      <c r="F125" s="65">
        <f>VLOOKUP(A:A,笔记匹配!A:N,8,FALSE)</f>
        <v>44690</v>
      </c>
      <c r="G125" s="66" t="str">
        <f>VLOOKUP(A:A,笔记匹配!A:P,15,FALSE)</f>
        <v>2022-05-19</v>
      </c>
      <c r="H125" s="30" t="str">
        <f>VLOOKUP(A:A,笔记匹配!A:N,9,FALSE)</f>
        <v>图文</v>
      </c>
      <c r="I125" s="30" t="str">
        <f>VLOOKUP(A:A,笔记匹配!A:N,2,FALSE)</f>
        <v>筋膜枪</v>
      </c>
      <c r="J125" s="30" t="str">
        <f>VLOOKUP(A:A,笔记匹配!A:N,4,FALSE)</f>
        <v>云麦筋膜枪cc</v>
      </c>
      <c r="K125" s="30" t="str">
        <f>VLOOKUP(A:A,笔记匹配!A:N,14,FALSE)</f>
        <v>云麦筋膜枪cc</v>
      </c>
      <c r="L125" s="3">
        <f>VLOOKUP(A:A,笔记匹配!A:N,10,FALSE)</f>
        <v>2947</v>
      </c>
      <c r="M125" s="3">
        <f>VLOOKUP(A:A,笔记匹配!A:N,11,FALSE)</f>
        <v>1922</v>
      </c>
      <c r="N125" s="69">
        <f>VLOOKUP(A:A,笔记匹配!A:N,12,FALSE)</f>
        <v>48</v>
      </c>
      <c r="O125" s="2">
        <f t="shared" si="11"/>
        <v>4917</v>
      </c>
      <c r="P125" s="3">
        <f>IFERROR(VLOOKUP(A:A,信息流数据源!A:K,2,FALSE),0)</f>
        <v>0</v>
      </c>
      <c r="Q125" s="71">
        <f>IFERROR(VLOOKUP(A:A,信息流数据源!A:N,5,FALSE),0)</f>
        <v>0</v>
      </c>
      <c r="R125" s="72">
        <f>IFERROR(VLOOKUP(A:A,信息流数据源!A:N,6,FALSE),0)</f>
        <v>0</v>
      </c>
      <c r="S125" s="2">
        <f>IFERROR(VLOOKUP(A:A,信息流数据源!A:N,9,FALSE),0)</f>
        <v>0</v>
      </c>
      <c r="T125" s="3">
        <f>IFERROR(VLOOKUP(A:A,信息流数据源!A:N,13,FALSE),0)</f>
        <v>0</v>
      </c>
      <c r="U125" s="73">
        <f>IFERROR(VLOOKUP(A:A,信息流数据源!A:N,14,FALSE),0)</f>
        <v>0</v>
      </c>
      <c r="V125" s="74">
        <f>IFERROR(VLOOKUP(A:A,信息流数据源!A:O,15,FALSE),0)</f>
        <v>0</v>
      </c>
      <c r="W125" s="3">
        <f>IFERROR(VLOOKUP(A:A,搜索数据源!A:T,2,FALSE),0)</f>
        <v>0</v>
      </c>
      <c r="X125" s="71">
        <f>IFERROR(VLOOKUP(A:A,搜索数据源!A:T,5,FALSE),0)</f>
        <v>0</v>
      </c>
      <c r="Y125" s="73">
        <f>IFERROR(VLOOKUP(A:A,搜索数据源!A:T,6,FALSE),0)</f>
        <v>0</v>
      </c>
      <c r="Z125" s="3">
        <f>IFERROR(VLOOKUP(A:A,搜索数据源!A:T,9,FALSE),0)</f>
        <v>0</v>
      </c>
      <c r="AA125" s="3" t="e">
        <f>VLOOKUP(A:A,[1]搜索数据源!A:T,13,FALSE)</f>
        <v>#N/A</v>
      </c>
      <c r="AB125" s="72">
        <f>IFERROR(VLOOKUP(A:A,搜索数据源!A:T,14,FALSE),0)</f>
        <v>0</v>
      </c>
      <c r="AC125" s="69" t="str">
        <f>_xlfn.DISPIMG("ID_E22AF520E67C43EEB5CED3857F725F84",1)</f>
        <v>=DISPIMG("ID_E22AF520E67C43EEB5CED3857F725F84",1)</v>
      </c>
      <c r="AD125" s="85" t="s">
        <v>547</v>
      </c>
      <c r="AE125" s="76">
        <v>44713</v>
      </c>
      <c r="AF125" s="3">
        <v>1014.98</v>
      </c>
      <c r="AG125" s="2">
        <v>2215</v>
      </c>
      <c r="AH125" s="78" t="str">
        <f>_xlfn.DISPIMG("ID_30F7D31188DA44D0B0B4B7D2AE8B06CC",1)</f>
        <v>=DISPIMG("ID_30F7D31188DA44D0B0B4B7D2AE8B06CC",1)</v>
      </c>
      <c r="AI125" s="4" t="s">
        <v>548</v>
      </c>
      <c r="AJ125" s="4">
        <v>102</v>
      </c>
      <c r="AK125" s="4">
        <v>99</v>
      </c>
      <c r="AL125" s="4">
        <f t="shared" si="9"/>
        <v>-3</v>
      </c>
      <c r="AM125" s="81">
        <f t="shared" si="10"/>
        <v>-338.326666666667</v>
      </c>
      <c r="AN125" s="5">
        <f>IFERROR(VLOOKUP(A:A,回搜数据源!B:N,4,FALSE),0)</f>
        <v>0</v>
      </c>
      <c r="AO125" s="5">
        <f>IFERROR(VLOOKUP(A:A,回搜数据源!B:N,5,FALSE),0)</f>
        <v>0</v>
      </c>
    </row>
    <row r="126" s="57" customFormat="1" ht="100" hidden="1" customHeight="1" spans="1:41">
      <c r="A126" s="4" t="s">
        <v>554</v>
      </c>
      <c r="B126" s="3" t="str">
        <f>VLOOKUP(A:A,笔记匹配!A:N,5,FALSE)</f>
        <v>=DISPIMG("ID_D610DC2EBF9047E792DDA8E64C8A1427",1)</v>
      </c>
      <c r="C126" s="30" t="str">
        <f>VLOOKUP(A:A,笔记匹配!A:N,3,FALSE)</f>
        <v>咦同学</v>
      </c>
      <c r="D126" s="30" t="str">
        <f>VLOOKUP(A:A,笔记匹配!A:N,6,FALSE)</f>
        <v>塌屁股姐妹一定要练上臀！翘臀不粗腿拿捏了！</v>
      </c>
      <c r="E126" s="30" t="str">
        <f>VLOOKUP(A:A,笔记匹配!A:N,7,FALSE)</f>
        <v>https://www.xiaohongshu.com/discovery/item/6343c9ea000000001c02e342</v>
      </c>
      <c r="F126" s="65">
        <f>VLOOKUP(A:A,笔记匹配!A:N,8,FALSE)</f>
        <v>44844</v>
      </c>
      <c r="G126" s="66" t="str">
        <f>VLOOKUP(A:A,笔记匹配!A:P,15,FALSE)</f>
        <v>2022-10-19</v>
      </c>
      <c r="H126" s="30" t="str">
        <f>VLOOKUP(A:A,笔记匹配!A:N,9,FALSE)</f>
        <v>图文</v>
      </c>
      <c r="I126" s="30" t="str">
        <f>VLOOKUP(A:A,笔记匹配!A:N,2,FALSE)</f>
        <v>筋膜枪</v>
      </c>
      <c r="J126" s="30" t="str">
        <f>VLOOKUP(A:A,笔记匹配!A:N,4,FALSE)</f>
        <v>云麦筋膜枪cc</v>
      </c>
      <c r="K126" s="30" t="str">
        <f>VLOOKUP(A:A,笔记匹配!A:N,14,FALSE)</f>
        <v>云麦筋膜枪ccgo</v>
      </c>
      <c r="L126" s="3">
        <f>VLOOKUP(A:A,笔记匹配!A:N,10,FALSE)</f>
        <v>3258</v>
      </c>
      <c r="M126" s="3">
        <f>VLOOKUP(A:A,笔记匹配!A:N,11,FALSE)</f>
        <v>2488</v>
      </c>
      <c r="N126" s="69">
        <f>VLOOKUP(A:A,笔记匹配!A:N,12,FALSE)</f>
        <v>28</v>
      </c>
      <c r="O126" s="2">
        <f t="shared" si="11"/>
        <v>5774</v>
      </c>
      <c r="P126" s="3">
        <f>IFERROR(VLOOKUP(A:A,信息流数据源!A:K,2,FALSE),0)</f>
        <v>0</v>
      </c>
      <c r="Q126" s="71">
        <f>IFERROR(VLOOKUP(A:A,信息流数据源!A:N,5,FALSE),0)</f>
        <v>0</v>
      </c>
      <c r="R126" s="72">
        <f>IFERROR(VLOOKUP(A:A,信息流数据源!A:N,6,FALSE),0)</f>
        <v>0</v>
      </c>
      <c r="S126" s="2">
        <f>IFERROR(VLOOKUP(A:A,信息流数据源!A:N,9,FALSE),0)</f>
        <v>0</v>
      </c>
      <c r="T126" s="3">
        <f>IFERROR(VLOOKUP(A:A,信息流数据源!A:N,13,FALSE),0)</f>
        <v>0</v>
      </c>
      <c r="U126" s="73">
        <f>IFERROR(VLOOKUP(A:A,信息流数据源!A:N,14,FALSE),0)</f>
        <v>0</v>
      </c>
      <c r="V126" s="74">
        <f>IFERROR(VLOOKUP(A:A,信息流数据源!A:O,15,FALSE),0)</f>
        <v>0</v>
      </c>
      <c r="W126" s="3">
        <f>IFERROR(VLOOKUP(A:A,搜索数据源!A:T,2,FALSE),0)</f>
        <v>0</v>
      </c>
      <c r="X126" s="71">
        <f>IFERROR(VLOOKUP(A:A,搜索数据源!A:T,5,FALSE),0)</f>
        <v>0</v>
      </c>
      <c r="Y126" s="73">
        <f>IFERROR(VLOOKUP(A:A,搜索数据源!A:T,6,FALSE),0)</f>
        <v>0</v>
      </c>
      <c r="Z126" s="3">
        <f>IFERROR(VLOOKUP(A:A,搜索数据源!A:T,9,FALSE),0)</f>
        <v>0</v>
      </c>
      <c r="AA126" s="3" t="e">
        <f>VLOOKUP(A:A,[1]搜索数据源!A:T,13,FALSE)</f>
        <v>#N/A</v>
      </c>
      <c r="AB126" s="72">
        <f>IFERROR(VLOOKUP(A:A,搜索数据源!A:T,14,FALSE),0)</f>
        <v>0</v>
      </c>
      <c r="AC126" s="69" t="str">
        <f>_xlfn.DISPIMG("ID_1031AC8231F145429953938FDFF0CB77",1)</f>
        <v>=DISPIMG("ID_1031AC8231F145429953938FDFF0CB77",1)</v>
      </c>
      <c r="AD126" s="4" t="s">
        <v>433</v>
      </c>
      <c r="AE126" s="78"/>
      <c r="AF126" s="78"/>
      <c r="AG126" s="2"/>
      <c r="AH126" s="78"/>
      <c r="AI126" s="78"/>
      <c r="AJ126" s="78"/>
      <c r="AK126" s="78"/>
      <c r="AL126" s="4">
        <f t="shared" si="9"/>
        <v>0</v>
      </c>
      <c r="AM126" s="81">
        <f t="shared" si="10"/>
        <v>0</v>
      </c>
      <c r="AN126" s="5">
        <f>IFERROR(VLOOKUP(A:A,回搜数据源!B:N,4,FALSE),0)</f>
        <v>0.000374064837905236</v>
      </c>
      <c r="AO126" s="5">
        <f>IFERROR(VLOOKUP(A:A,回搜数据源!B:N,5,FALSE),0)</f>
        <v>0</v>
      </c>
    </row>
    <row r="127" s="57" customFormat="1" ht="100" hidden="1" customHeight="1" spans="1:41">
      <c r="A127" s="4" t="s">
        <v>555</v>
      </c>
      <c r="B127" s="3" t="str">
        <f>VLOOKUP(A:A,笔记匹配!A:N,5,FALSE)</f>
        <v>=DISPIMG("ID_A901CF4B7D214AF090BA9F8B6516500D",1)</v>
      </c>
      <c r="C127" s="30" t="str">
        <f>VLOOKUP(A:A,笔记匹配!A:N,3,FALSE)</f>
        <v>蜜桃少女宁小美</v>
      </c>
      <c r="D127" s="30" t="str">
        <f>VLOOKUP(A:A,笔记匹配!A:N,6,FALSE)</f>
        <v>全款拿下2022宅家按摩神器🔥奶呼呼的巨可爱</v>
      </c>
      <c r="E127" s="30" t="str">
        <f>VLOOKUP(A:A,笔记匹配!A:N,7,FALSE)</f>
        <v>https://www.xiaohongshu.com/discovery/item/6340ef66000000001d014fd0</v>
      </c>
      <c r="F127" s="65">
        <f>VLOOKUP(A:A,笔记匹配!A:N,8,FALSE)</f>
        <v>44843</v>
      </c>
      <c r="G127" s="66" t="str">
        <f>VLOOKUP(A:A,笔记匹配!A:P,15,FALSE)</f>
        <v>2022-10-18</v>
      </c>
      <c r="H127" s="30" t="str">
        <f>VLOOKUP(A:A,笔记匹配!A:N,9,FALSE)</f>
        <v>图文</v>
      </c>
      <c r="I127" s="30" t="str">
        <f>VLOOKUP(A:A,笔记匹配!A:N,2,FALSE)</f>
        <v>筋膜枪</v>
      </c>
      <c r="J127" s="30" t="str">
        <f>VLOOKUP(A:A,笔记匹配!A:N,4,FALSE)</f>
        <v>云麦筋膜枪cc</v>
      </c>
      <c r="K127" s="30" t="str">
        <f>VLOOKUP(A:A,笔记匹配!A:N,14,FALSE)</f>
        <v>云麦筋膜枪ccgo</v>
      </c>
      <c r="L127" s="3">
        <f>VLOOKUP(A:A,笔记匹配!A:N,10,FALSE)</f>
        <v>123</v>
      </c>
      <c r="M127" s="3">
        <f>VLOOKUP(A:A,笔记匹配!A:N,11,FALSE)</f>
        <v>48</v>
      </c>
      <c r="N127" s="69">
        <f>VLOOKUP(A:A,笔记匹配!A:N,12,FALSE)</f>
        <v>33</v>
      </c>
      <c r="O127" s="2">
        <f t="shared" si="11"/>
        <v>204</v>
      </c>
      <c r="P127" s="3">
        <f>IFERROR(VLOOKUP(A:A,信息流数据源!A:K,2,FALSE),0)</f>
        <v>0</v>
      </c>
      <c r="Q127" s="71">
        <f>IFERROR(VLOOKUP(A:A,信息流数据源!A:N,5,FALSE),0)</f>
        <v>0</v>
      </c>
      <c r="R127" s="72">
        <f>IFERROR(VLOOKUP(A:A,信息流数据源!A:N,6,FALSE),0)</f>
        <v>0</v>
      </c>
      <c r="S127" s="2">
        <f>IFERROR(VLOOKUP(A:A,信息流数据源!A:N,9,FALSE),0)</f>
        <v>0</v>
      </c>
      <c r="T127" s="3">
        <f>IFERROR(VLOOKUP(A:A,信息流数据源!A:N,13,FALSE),0)</f>
        <v>0</v>
      </c>
      <c r="U127" s="73">
        <f>IFERROR(VLOOKUP(A:A,信息流数据源!A:N,14,FALSE),0)</f>
        <v>0</v>
      </c>
      <c r="V127" s="74">
        <f>IFERROR(VLOOKUP(A:A,信息流数据源!A:O,15,FALSE),0)</f>
        <v>0</v>
      </c>
      <c r="W127" s="3">
        <f>IFERROR(VLOOKUP(A:A,搜索数据源!A:T,2,FALSE),0)</f>
        <v>0</v>
      </c>
      <c r="X127" s="71">
        <f>IFERROR(VLOOKUP(A:A,搜索数据源!A:T,5,FALSE),0)</f>
        <v>0</v>
      </c>
      <c r="Y127" s="73">
        <f>IFERROR(VLOOKUP(A:A,搜索数据源!A:T,6,FALSE),0)</f>
        <v>0</v>
      </c>
      <c r="Z127" s="3">
        <f>IFERROR(VLOOKUP(A:A,搜索数据源!A:T,9,FALSE),0)</f>
        <v>0</v>
      </c>
      <c r="AA127" s="3" t="e">
        <f>VLOOKUP(A:A,[1]搜索数据源!A:T,13,FALSE)</f>
        <v>#N/A</v>
      </c>
      <c r="AB127" s="72">
        <f>IFERROR(VLOOKUP(A:A,搜索数据源!A:T,14,FALSE),0)</f>
        <v>0</v>
      </c>
      <c r="AC127" s="69" t="str">
        <f>_xlfn.DISPIMG("ID_1CE6678D70474E48B74CB0FF11673357",1)</f>
        <v>=DISPIMG("ID_1CE6678D70474E48B74CB0FF11673357",1)</v>
      </c>
      <c r="AD127" s="4" t="s">
        <v>386</v>
      </c>
      <c r="AE127" s="78"/>
      <c r="AF127" s="78"/>
      <c r="AG127" s="2"/>
      <c r="AH127" s="78"/>
      <c r="AI127" s="78"/>
      <c r="AJ127" s="78"/>
      <c r="AK127" s="78"/>
      <c r="AL127" s="4">
        <f t="shared" si="9"/>
        <v>0</v>
      </c>
      <c r="AM127" s="81">
        <f t="shared" si="10"/>
        <v>0</v>
      </c>
      <c r="AN127" s="5">
        <f>IFERROR(VLOOKUP(A:A,回搜数据源!B:N,4,FALSE),0)</f>
        <v>0.0014367816091954</v>
      </c>
      <c r="AO127" s="5">
        <f>IFERROR(VLOOKUP(A:A,回搜数据源!B:N,5,FALSE),0)</f>
        <v>0</v>
      </c>
    </row>
    <row r="128" s="57" customFormat="1" ht="100" hidden="1" customHeight="1" spans="1:41">
      <c r="A128" s="4" t="s">
        <v>556</v>
      </c>
      <c r="B128" s="3" t="str">
        <f>VLOOKUP(A:A,笔记匹配!A:N,5,FALSE)</f>
        <v>=DISPIMG("ID_102363F35659483FA7758B12D8AFE57A",1)</v>
      </c>
      <c r="C128" s="30" t="str">
        <f>VLOOKUP(A:A,笔记匹配!A:N,3,FALSE)</f>
        <v>芋泥团团茶</v>
      </c>
      <c r="D128" s="30" t="str">
        <f>VLOOKUP(A:A,笔记匹配!A:N,6,FALSE)</f>
        <v>每天几分钟！可以和肌肉说拜拜！</v>
      </c>
      <c r="E128" s="30" t="str">
        <f>VLOOKUP(A:A,笔记匹配!A:N,7,FALSE)</f>
        <v>https://www.xiaohongshu.com/discovery/item/6333d83500000000170279af</v>
      </c>
      <c r="F128" s="65">
        <f>VLOOKUP(A:A,笔记匹配!A:N,8,FALSE)</f>
        <v>44833</v>
      </c>
      <c r="G128" s="66" t="str">
        <f>VLOOKUP(A:A,笔记匹配!A:P,15,FALSE)</f>
        <v>2022-10-11</v>
      </c>
      <c r="H128" s="30" t="str">
        <f>VLOOKUP(A:A,笔记匹配!A:N,9,FALSE)</f>
        <v>图文</v>
      </c>
      <c r="I128" s="30" t="str">
        <f>VLOOKUP(A:A,笔记匹配!A:N,2,FALSE)</f>
        <v>筋膜枪</v>
      </c>
      <c r="J128" s="30" t="str">
        <f>VLOOKUP(A:A,笔记匹配!A:N,4,FALSE)</f>
        <v>云麦筋膜枪PB2</v>
      </c>
      <c r="K128" s="30" t="str">
        <f>VLOOKUP(A:A,笔记匹配!A:N,14,FALSE)</f>
        <v>云麦筋膜枪pb2</v>
      </c>
      <c r="L128" s="3">
        <f>VLOOKUP(A:A,笔记匹配!A:N,10,FALSE)</f>
        <v>139</v>
      </c>
      <c r="M128" s="3">
        <f>VLOOKUP(A:A,笔记匹配!A:N,11,FALSE)</f>
        <v>51</v>
      </c>
      <c r="N128" s="69">
        <f>VLOOKUP(A:A,笔记匹配!A:N,12,FALSE)</f>
        <v>12</v>
      </c>
      <c r="O128" s="2">
        <f t="shared" si="11"/>
        <v>202</v>
      </c>
      <c r="P128" s="3">
        <f>IFERROR(VLOOKUP(A:A,信息流数据源!A:K,2,FALSE),0)</f>
        <v>0</v>
      </c>
      <c r="Q128" s="71">
        <f>IFERROR(VLOOKUP(A:A,信息流数据源!A:N,5,FALSE),0)</f>
        <v>0</v>
      </c>
      <c r="R128" s="72">
        <f>IFERROR(VLOOKUP(A:A,信息流数据源!A:N,6,FALSE),0)</f>
        <v>0</v>
      </c>
      <c r="S128" s="2">
        <f>IFERROR(VLOOKUP(A:A,信息流数据源!A:N,9,FALSE),0)</f>
        <v>0</v>
      </c>
      <c r="T128" s="3">
        <f>IFERROR(VLOOKUP(A:A,信息流数据源!A:N,13,FALSE),0)</f>
        <v>0</v>
      </c>
      <c r="U128" s="73">
        <f>IFERROR(VLOOKUP(A:A,信息流数据源!A:N,14,FALSE),0)</f>
        <v>0</v>
      </c>
      <c r="V128" s="74">
        <f>IFERROR(VLOOKUP(A:A,信息流数据源!A:O,15,FALSE),0)</f>
        <v>0</v>
      </c>
      <c r="W128" s="3">
        <f>IFERROR(VLOOKUP(A:A,搜索数据源!A:T,2,FALSE),0)</f>
        <v>0</v>
      </c>
      <c r="X128" s="71">
        <f>IFERROR(VLOOKUP(A:A,搜索数据源!A:T,5,FALSE),0)</f>
        <v>0</v>
      </c>
      <c r="Y128" s="73">
        <f>IFERROR(VLOOKUP(A:A,搜索数据源!A:T,6,FALSE),0)</f>
        <v>0</v>
      </c>
      <c r="Z128" s="3">
        <f>IFERROR(VLOOKUP(A:A,搜索数据源!A:T,9,FALSE),0)</f>
        <v>0</v>
      </c>
      <c r="AA128" s="3" t="e">
        <f>VLOOKUP(A:A,[1]搜索数据源!A:T,13,FALSE)</f>
        <v>#N/A</v>
      </c>
      <c r="AB128" s="72">
        <f>IFERROR(VLOOKUP(A:A,搜索数据源!A:T,14,FALSE),0)</f>
        <v>0</v>
      </c>
      <c r="AC128" s="69" t="str">
        <f>_xlfn.DISPIMG("ID_B20137FD1DFB49BA8F1C1413F87FEDD6",1)</f>
        <v>=DISPIMG("ID_B20137FD1DFB49BA8F1C1413F87FEDD6",1)</v>
      </c>
      <c r="AD128" s="4" t="s">
        <v>557</v>
      </c>
      <c r="AE128" s="78"/>
      <c r="AF128" s="78"/>
      <c r="AG128" s="2"/>
      <c r="AH128" s="78"/>
      <c r="AI128" s="78"/>
      <c r="AJ128" s="78"/>
      <c r="AK128" s="78"/>
      <c r="AL128" s="4">
        <f t="shared" si="9"/>
        <v>0</v>
      </c>
      <c r="AM128" s="81">
        <f t="shared" si="10"/>
        <v>0</v>
      </c>
      <c r="AN128" s="5">
        <f>IFERROR(VLOOKUP(A:A,回搜数据源!B:N,4,FALSE),0)</f>
        <v>0.00203252032520325</v>
      </c>
      <c r="AO128" s="5">
        <f>IFERROR(VLOOKUP(A:A,回搜数据源!B:N,5,FALSE),0)</f>
        <v>0</v>
      </c>
    </row>
    <row r="129" s="57" customFormat="1" ht="100" hidden="1" customHeight="1" spans="1:41">
      <c r="A129" s="4" t="s">
        <v>468</v>
      </c>
      <c r="B129" s="3" t="str">
        <f>VLOOKUP(A:A,笔记匹配!A:N,5,FALSE)</f>
        <v>=DISPIMG("ID_3656D33F2B914C5CB2C48C75073A4D5B",1)</v>
      </c>
      <c r="C129" s="30" t="str">
        <f>VLOOKUP(A:A,笔记匹配!A:N,3,FALSE)</f>
        <v>生椰黎子yoga</v>
      </c>
      <c r="D129" s="30" t="str">
        <f>VLOOKUP(A:A,笔记匹配!A:N,6,FALSE)</f>
        <v>超🔥极速瘦肚子！太有用了‼️6分钟紧致腰腹</v>
      </c>
      <c r="E129" s="30" t="str">
        <f>VLOOKUP(A:A,笔记匹配!A:N,7,FALSE)</f>
        <v>https://www.xiaohongshu.com/discovery/item/62a98321000000001401a556</v>
      </c>
      <c r="F129" s="65">
        <f>VLOOKUP(A:A,笔记匹配!A:N,8,FALSE)</f>
        <v>44727</v>
      </c>
      <c r="G129" s="66" t="str">
        <f>VLOOKUP(A:A,笔记匹配!A:P,15,FALSE)</f>
        <v>2022-06-17</v>
      </c>
      <c r="H129" s="30" t="str">
        <f>VLOOKUP(A:A,笔记匹配!A:N,9,FALSE)</f>
        <v>视频</v>
      </c>
      <c r="I129" s="30" t="str">
        <f>VLOOKUP(A:A,笔记匹配!A:N,2,FALSE)</f>
        <v>体脂秤</v>
      </c>
      <c r="J129" s="30" t="str">
        <f>VLOOKUP(A:A,笔记匹配!A:N,4,FALSE)</f>
        <v>云麦体脂秤3mini</v>
      </c>
      <c r="K129" s="30" t="str">
        <f>VLOOKUP(A:A,笔记匹配!A:N,14,FALSE)</f>
        <v>云麦体脂秤3mini</v>
      </c>
      <c r="L129" s="3">
        <f>VLOOKUP(A:A,笔记匹配!A:N,10,FALSE)</f>
        <v>6033</v>
      </c>
      <c r="M129" s="3">
        <f>VLOOKUP(A:A,笔记匹配!A:N,11,FALSE)</f>
        <v>8088</v>
      </c>
      <c r="N129" s="69">
        <f>VLOOKUP(A:A,笔记匹配!A:N,12,FALSE)</f>
        <v>111</v>
      </c>
      <c r="O129" s="2">
        <f t="shared" si="11"/>
        <v>14232</v>
      </c>
      <c r="P129" s="3">
        <f>IFERROR(VLOOKUP(A:A,信息流数据源!A:K,2,FALSE),0)</f>
        <v>0</v>
      </c>
      <c r="Q129" s="71">
        <f>IFERROR(VLOOKUP(A:A,信息流数据源!A:N,5,FALSE),0)</f>
        <v>0</v>
      </c>
      <c r="R129" s="72">
        <f>IFERROR(VLOOKUP(A:A,信息流数据源!A:N,6,FALSE),0)</f>
        <v>0</v>
      </c>
      <c r="S129" s="2">
        <f>IFERROR(VLOOKUP(A:A,信息流数据源!A:N,9,FALSE),0)</f>
        <v>0</v>
      </c>
      <c r="T129" s="3">
        <f>IFERROR(VLOOKUP(A:A,信息流数据源!A:N,13,FALSE),0)</f>
        <v>0</v>
      </c>
      <c r="U129" s="73">
        <f>IFERROR(VLOOKUP(A:A,信息流数据源!A:N,14,FALSE),0)</f>
        <v>0</v>
      </c>
      <c r="V129" s="74">
        <f>IFERROR(VLOOKUP(A:A,信息流数据源!A:O,15,FALSE),0)</f>
        <v>0</v>
      </c>
      <c r="W129" s="3">
        <f>IFERROR(VLOOKUP(A:A,搜索数据源!A:T,2,FALSE),0)</f>
        <v>0</v>
      </c>
      <c r="X129" s="71">
        <f>IFERROR(VLOOKUP(A:A,搜索数据源!A:T,5,FALSE),0)</f>
        <v>0</v>
      </c>
      <c r="Y129" s="73">
        <f>IFERROR(VLOOKUP(A:A,搜索数据源!A:T,6,FALSE),0)</f>
        <v>0</v>
      </c>
      <c r="Z129" s="3">
        <f>IFERROR(VLOOKUP(A:A,搜索数据源!A:T,9,FALSE),0)</f>
        <v>0</v>
      </c>
      <c r="AA129" s="3" t="e">
        <f>VLOOKUP(A:A,[1]搜索数据源!A:T,13,FALSE)</f>
        <v>#N/A</v>
      </c>
      <c r="AB129" s="72">
        <f>IFERROR(VLOOKUP(A:A,搜索数据源!A:T,14,FALSE),0)</f>
        <v>0</v>
      </c>
      <c r="AC129" s="69" t="str">
        <f>_xlfn.DISPIMG("ID_A26A79CAB86D4534B40654E9AE065CC8",1)</f>
        <v>=DISPIMG("ID_A26A79CAB86D4534B40654E9AE065CC8",1)</v>
      </c>
      <c r="AD129" s="4" t="s">
        <v>469</v>
      </c>
      <c r="AE129" s="75">
        <v>44732</v>
      </c>
      <c r="AF129" s="3">
        <v>791.01</v>
      </c>
      <c r="AG129" s="2">
        <v>3922</v>
      </c>
      <c r="AH129" s="69" t="str">
        <f>_xlfn.DISPIMG("ID_890065810A0341E38AFCA7E82BE49D6B",1)</f>
        <v>=DISPIMG("ID_890065810A0341E38AFCA7E82BE49D6B",1)</v>
      </c>
      <c r="AI129" s="4" t="s">
        <v>470</v>
      </c>
      <c r="AJ129" s="4">
        <v>62</v>
      </c>
      <c r="AK129" s="4">
        <v>51</v>
      </c>
      <c r="AL129" s="4">
        <f t="shared" si="9"/>
        <v>-11</v>
      </c>
      <c r="AM129" s="81">
        <f t="shared" si="10"/>
        <v>-71.91</v>
      </c>
      <c r="AN129" s="5">
        <f>IFERROR(VLOOKUP(A:A,回搜数据源!B:N,4,FALSE),0)</f>
        <v>0</v>
      </c>
      <c r="AO129" s="5">
        <f>IFERROR(VLOOKUP(A:A,回搜数据源!B:N,5,FALSE),0)</f>
        <v>0</v>
      </c>
    </row>
    <row r="130" s="57" customFormat="1" ht="100" hidden="1" customHeight="1" spans="1:41">
      <c r="A130" s="30" t="s">
        <v>558</v>
      </c>
      <c r="B130" s="3" t="str">
        <f>VLOOKUP(A:A,笔记匹配!A:N,5,FALSE)</f>
        <v>=DISPIMG("ID_7F63B151AC874B8BB812995A5D534DE7",1)</v>
      </c>
      <c r="C130" s="30" t="str">
        <f>VLOOKUP(A:A,笔记匹配!A:N,3,FALSE)</f>
        <v>臃肿大白鹅</v>
      </c>
      <c r="D130" s="30" t="str">
        <f>VLOOKUP(A:A,笔记匹配!A:N,6,FALSE)</f>
        <v>姐妹们都给我用这个筋膜枪！改善小粗腿绝了！</v>
      </c>
      <c r="E130" s="30" t="str">
        <f>VLOOKUP(A:A,笔记匹配!A:N,7,FALSE)</f>
        <v>https://www.xiaohongshu.com/discovery/item/6333db92000000001703f2f8</v>
      </c>
      <c r="F130" s="65">
        <f>VLOOKUP(A:A,笔记匹配!A:N,8,FALSE)</f>
        <v>44833</v>
      </c>
      <c r="G130" s="66" t="str">
        <f>VLOOKUP(A:A,笔记匹配!A:P,15,FALSE)</f>
        <v>2022-10-11</v>
      </c>
      <c r="H130" s="30" t="str">
        <f>VLOOKUP(A:A,笔记匹配!A:N,9,FALSE)</f>
        <v>图文</v>
      </c>
      <c r="I130" s="30" t="str">
        <f>VLOOKUP(A:A,笔记匹配!A:N,2,FALSE)</f>
        <v>筋膜枪</v>
      </c>
      <c r="J130" s="30" t="str">
        <f>VLOOKUP(A:A,笔记匹配!A:N,4,FALSE)</f>
        <v>云麦筋膜枪PB2</v>
      </c>
      <c r="K130" s="30" t="str">
        <f>VLOOKUP(A:A,笔记匹配!A:N,14,FALSE)</f>
        <v>云麦筋膜枪pb2</v>
      </c>
      <c r="L130" s="3">
        <v>289</v>
      </c>
      <c r="M130" s="3">
        <v>115</v>
      </c>
      <c r="N130" s="69">
        <v>53</v>
      </c>
      <c r="O130" s="2">
        <f t="shared" si="11"/>
        <v>457</v>
      </c>
      <c r="P130" s="3">
        <f>IFERROR(VLOOKUP(A:A,信息流数据源!A:K,2,FALSE),0)</f>
        <v>300.41</v>
      </c>
      <c r="Q130" s="71">
        <f>IFERROR(VLOOKUP(A:A,信息流数据源!A:N,5,FALSE),0)</f>
        <v>0.0624627132800382</v>
      </c>
      <c r="R130" s="72">
        <f>IFERROR(VLOOKUP(A:A,信息流数据源!A:N,6,FALSE),0)</f>
        <v>0.286924546322827</v>
      </c>
      <c r="S130" s="2">
        <f>IFERROR(VLOOKUP(A:A,信息流数据源!A:N,9,FALSE),0)</f>
        <v>0</v>
      </c>
      <c r="T130" s="3">
        <f>IFERROR(VLOOKUP(A:A,信息流数据源!A:N,13,FALSE),0)</f>
        <v>65</v>
      </c>
      <c r="U130" s="73">
        <f>IFERROR(VLOOKUP(A:A,信息流数据源!A:N,14,FALSE),0)</f>
        <v>4.62169230769231</v>
      </c>
      <c r="V130" s="74">
        <f>IFERROR(VLOOKUP(A:A,信息流数据源!A:O,15,FALSE),0)</f>
        <v>0.0620821394460363</v>
      </c>
      <c r="W130" s="3">
        <f>IFERROR(VLOOKUP(A:A,搜索数据源!A:T,2,FALSE),0)</f>
        <v>0</v>
      </c>
      <c r="X130" s="71">
        <f>IFERROR(VLOOKUP(A:A,搜索数据源!A:T,5,FALSE),0)</f>
        <v>0</v>
      </c>
      <c r="Y130" s="73">
        <f>IFERROR(VLOOKUP(A:A,搜索数据源!A:T,6,FALSE),0)</f>
        <v>0</v>
      </c>
      <c r="Z130" s="3">
        <f>IFERROR(VLOOKUP(A:A,搜索数据源!A:T,9,FALSE),0)</f>
        <v>0</v>
      </c>
      <c r="AA130" s="3" t="e">
        <f>VLOOKUP(A:A,[1]搜索数据源!A:T,13,FALSE)</f>
        <v>#N/A</v>
      </c>
      <c r="AB130" s="72">
        <f>IFERROR(VLOOKUP(A:A,搜索数据源!A:T,14,FALSE),0)</f>
        <v>0</v>
      </c>
      <c r="AC130" s="69" t="str">
        <f>_xlfn.DISPIMG("ID_DB67F596833947F2A46A94D4C86F278B",1)</f>
        <v>=DISPIMG("ID_DB67F596833947F2A46A94D4C86F278B",1)</v>
      </c>
      <c r="AD130" s="4" t="s">
        <v>436</v>
      </c>
      <c r="AE130" s="76">
        <v>44867</v>
      </c>
      <c r="AF130" s="72">
        <v>302.62</v>
      </c>
      <c r="AG130" s="2">
        <v>3799</v>
      </c>
      <c r="AH130" s="78" t="str">
        <f>_xlfn.DISPIMG("ID_C01B9EB74A81431D8F93B5ED1AA163D6",1)</f>
        <v>=DISPIMG("ID_C01B9EB74A81431D8F93B5ED1AA163D6",1)</v>
      </c>
      <c r="AI130" s="4" t="s">
        <v>437</v>
      </c>
      <c r="AJ130" s="4">
        <v>59</v>
      </c>
      <c r="AK130" s="4">
        <v>45</v>
      </c>
      <c r="AL130" s="4">
        <f t="shared" si="9"/>
        <v>-14</v>
      </c>
      <c r="AM130" s="81">
        <f t="shared" si="10"/>
        <v>-21.6157142857143</v>
      </c>
      <c r="AN130" s="5">
        <f>IFERROR(VLOOKUP(A:A,回搜数据源!B:N,4,FALSE),0)</f>
        <v>0.0038860103626943</v>
      </c>
      <c r="AO130" s="5">
        <f>IFERROR(VLOOKUP(A:A,回搜数据源!B:N,5,FALSE),0)</f>
        <v>0</v>
      </c>
    </row>
    <row r="131" s="57" customFormat="1" ht="100" hidden="1" customHeight="1" spans="1:41">
      <c r="A131" s="4" t="s">
        <v>559</v>
      </c>
      <c r="B131" s="3" t="str">
        <f>VLOOKUP(A:A,笔记匹配!A:N,5,FALSE)</f>
        <v>=DISPIMG("ID_0C7594A696F24856BBCFB6E1CBA68146",1)</v>
      </c>
      <c r="C131" s="30" t="str">
        <f>VLOOKUP(A:A,笔记匹配!A:N,3,FALSE)</f>
        <v>高凯元</v>
      </c>
      <c r="D131" s="30" t="str">
        <f>VLOOKUP(A:A,笔记匹配!A:N,6,FALSE)</f>
        <v>筋膜枪推荐｜明星都在用的健身好物</v>
      </c>
      <c r="E131" s="30" t="str">
        <f>VLOOKUP(A:A,笔记匹配!A:N,7,FALSE)</f>
        <v>https://www.xiaohongshu.com/discovery/item/6331a517000000001702438c</v>
      </c>
      <c r="F131" s="65">
        <f>VLOOKUP(A:A,笔记匹配!A:N,8,FALSE)</f>
        <v>44831</v>
      </c>
      <c r="G131" s="66" t="str">
        <f>VLOOKUP(A:A,笔记匹配!A:P,15,FALSE)</f>
        <v>2022-09-28</v>
      </c>
      <c r="H131" s="30" t="str">
        <f>VLOOKUP(A:A,笔记匹配!A:N,9,FALSE)</f>
        <v>视频</v>
      </c>
      <c r="I131" s="30" t="str">
        <f>VLOOKUP(A:A,笔记匹配!A:N,2,FALSE)</f>
        <v>筋膜枪</v>
      </c>
      <c r="J131" s="30" t="str">
        <f>VLOOKUP(A:A,笔记匹配!A:N,4,FALSE)</f>
        <v>云麦筋膜枪PB2</v>
      </c>
      <c r="K131" s="30" t="str">
        <f>VLOOKUP(A:A,笔记匹配!A:N,14,FALSE)</f>
        <v>云麦筋膜枪pb2</v>
      </c>
      <c r="L131" s="3">
        <f>VLOOKUP(A:A,笔记匹配!A:N,10,FALSE)</f>
        <v>211</v>
      </c>
      <c r="M131" s="3">
        <f>VLOOKUP(A:A,笔记匹配!A:N,11,FALSE)</f>
        <v>31</v>
      </c>
      <c r="N131" s="69">
        <f>VLOOKUP(A:A,笔记匹配!A:N,12,FALSE)</f>
        <v>18</v>
      </c>
      <c r="O131" s="2">
        <f t="shared" si="11"/>
        <v>260</v>
      </c>
      <c r="P131" s="3">
        <f>IFERROR(VLOOKUP(A:A,信息流数据源!A:K,2,FALSE),0)</f>
        <v>0</v>
      </c>
      <c r="Q131" s="71">
        <f>IFERROR(VLOOKUP(A:A,信息流数据源!A:N,5,FALSE),0)</f>
        <v>0</v>
      </c>
      <c r="R131" s="72">
        <f>IFERROR(VLOOKUP(A:A,信息流数据源!A:N,6,FALSE),0)</f>
        <v>0</v>
      </c>
      <c r="S131" s="2">
        <f>IFERROR(VLOOKUP(A:A,信息流数据源!A:N,9,FALSE),0)</f>
        <v>0</v>
      </c>
      <c r="T131" s="3">
        <f>IFERROR(VLOOKUP(A:A,信息流数据源!A:N,13,FALSE),0)</f>
        <v>0</v>
      </c>
      <c r="U131" s="73">
        <f>IFERROR(VLOOKUP(A:A,信息流数据源!A:N,14,FALSE),0)</f>
        <v>0</v>
      </c>
      <c r="V131" s="74">
        <f>IFERROR(VLOOKUP(A:A,信息流数据源!A:O,15,FALSE),0)</f>
        <v>0</v>
      </c>
      <c r="W131" s="3">
        <f>IFERROR(VLOOKUP(A:A,搜索数据源!A:T,2,FALSE),0)</f>
        <v>0</v>
      </c>
      <c r="X131" s="71">
        <f>IFERROR(VLOOKUP(A:A,搜索数据源!A:T,5,FALSE),0)</f>
        <v>0</v>
      </c>
      <c r="Y131" s="73">
        <f>IFERROR(VLOOKUP(A:A,搜索数据源!A:T,6,FALSE),0)</f>
        <v>0</v>
      </c>
      <c r="Z131" s="3">
        <f>IFERROR(VLOOKUP(A:A,搜索数据源!A:T,9,FALSE),0)</f>
        <v>0</v>
      </c>
      <c r="AA131" s="3" t="e">
        <f>VLOOKUP(A:A,[1]搜索数据源!A:T,13,FALSE)</f>
        <v>#N/A</v>
      </c>
      <c r="AB131" s="72">
        <f>IFERROR(VLOOKUP(A:A,搜索数据源!A:T,14,FALSE),0)</f>
        <v>0</v>
      </c>
      <c r="AC131" s="69" t="str">
        <f>_xlfn.DISPIMG("ID_4E73308C99454CBEADB7839CB86E52F6",1)</f>
        <v>=DISPIMG("ID_4E73308C99454CBEADB7839CB86E52F6",1)</v>
      </c>
      <c r="AD131" s="4" t="s">
        <v>560</v>
      </c>
      <c r="AE131" s="69"/>
      <c r="AF131" s="77"/>
      <c r="AG131" s="2"/>
      <c r="AH131" s="69"/>
      <c r="AI131" s="4"/>
      <c r="AJ131" s="4"/>
      <c r="AK131" s="4"/>
      <c r="AL131" s="4">
        <f t="shared" si="9"/>
        <v>0</v>
      </c>
      <c r="AM131" s="81">
        <f t="shared" si="10"/>
        <v>0</v>
      </c>
      <c r="AN131" s="5">
        <f>IFERROR(VLOOKUP(A:A,回搜数据源!B:N,4,FALSE),0)</f>
        <v>0.00214362272240085</v>
      </c>
      <c r="AO131" s="5">
        <f>IFERROR(VLOOKUP(A:A,回搜数据源!B:N,5,FALSE),0)</f>
        <v>0</v>
      </c>
    </row>
    <row r="132" s="57" customFormat="1" ht="100" hidden="1" customHeight="1" spans="1:41">
      <c r="A132" s="4" t="s">
        <v>473</v>
      </c>
      <c r="B132" s="3" t="str">
        <f>VLOOKUP(A:A,笔记匹配!A:N,5,FALSE)</f>
        <v>=DISPIMG("ID_8F251EF4E6F240DFA49083E4E405686D",1)</v>
      </c>
      <c r="C132" s="30" t="str">
        <f>VLOOKUP(A:A,笔记匹配!A:N,3,FALSE)</f>
        <v>茜茜子</v>
      </c>
      <c r="D132" s="30" t="str">
        <f>VLOOKUP(A:A,笔记匹配!A:N,6,FALSE)</f>
        <v>我真的很会瘦肚子❗️</v>
      </c>
      <c r="E132" s="30" t="str">
        <f>VLOOKUP(A:A,笔记匹配!A:N,7,FALSE)</f>
        <v>https://www.xiaohongshu.com/discovery/item/62a86da600000000210394c6</v>
      </c>
      <c r="F132" s="65">
        <f>VLOOKUP(A:A,笔记匹配!A:N,8,FALSE)</f>
        <v>44726</v>
      </c>
      <c r="G132" s="66" t="str">
        <f>VLOOKUP(A:A,笔记匹配!A:P,15,FALSE)</f>
        <v>2022-06-16</v>
      </c>
      <c r="H132" s="30" t="str">
        <f>VLOOKUP(A:A,笔记匹配!A:N,9,FALSE)</f>
        <v>视频</v>
      </c>
      <c r="I132" s="30" t="str">
        <f>VLOOKUP(A:A,笔记匹配!A:N,2,FALSE)</f>
        <v>体脂秤</v>
      </c>
      <c r="J132" s="30" t="str">
        <f>VLOOKUP(A:A,笔记匹配!A:N,4,FALSE)</f>
        <v>云麦3mini体脂秤</v>
      </c>
      <c r="K132" s="30" t="str">
        <f>VLOOKUP(A:A,笔记匹配!A:N,14,FALSE)</f>
        <v>云麦体脂秤3mini</v>
      </c>
      <c r="L132" s="3">
        <f>VLOOKUP(A:A,笔记匹配!A:N,10,FALSE)</f>
        <v>20000</v>
      </c>
      <c r="M132" s="3">
        <f>VLOOKUP(A:A,笔记匹配!A:N,11,FALSE)</f>
        <v>15000</v>
      </c>
      <c r="N132" s="69">
        <f>VLOOKUP(A:A,笔记匹配!A:N,12,FALSE)</f>
        <v>123</v>
      </c>
      <c r="O132" s="2">
        <f t="shared" si="11"/>
        <v>35123</v>
      </c>
      <c r="P132" s="3">
        <f>IFERROR(VLOOKUP(A:A,信息流数据源!A:K,2,FALSE),0)</f>
        <v>0</v>
      </c>
      <c r="Q132" s="71">
        <f>IFERROR(VLOOKUP(A:A,信息流数据源!A:N,5,FALSE),0)</f>
        <v>0</v>
      </c>
      <c r="R132" s="72">
        <f>IFERROR(VLOOKUP(A:A,信息流数据源!A:N,6,FALSE),0)</f>
        <v>0</v>
      </c>
      <c r="S132" s="2">
        <f>IFERROR(VLOOKUP(A:A,信息流数据源!A:N,9,FALSE),0)</f>
        <v>0</v>
      </c>
      <c r="T132" s="3">
        <f>IFERROR(VLOOKUP(A:A,信息流数据源!A:N,13,FALSE),0)</f>
        <v>0</v>
      </c>
      <c r="U132" s="73">
        <f>IFERROR(VLOOKUP(A:A,信息流数据源!A:N,14,FALSE),0)</f>
        <v>0</v>
      </c>
      <c r="V132" s="74">
        <f>IFERROR(VLOOKUP(A:A,信息流数据源!A:O,15,FALSE),0)</f>
        <v>0</v>
      </c>
      <c r="W132" s="3">
        <f>IFERROR(VLOOKUP(A:A,搜索数据源!A:T,2,FALSE),0)</f>
        <v>0</v>
      </c>
      <c r="X132" s="71">
        <f>IFERROR(VLOOKUP(A:A,搜索数据源!A:T,5,FALSE),0)</f>
        <v>0</v>
      </c>
      <c r="Y132" s="73">
        <f>IFERROR(VLOOKUP(A:A,搜索数据源!A:T,6,FALSE),0)</f>
        <v>0</v>
      </c>
      <c r="Z132" s="3">
        <f>IFERROR(VLOOKUP(A:A,搜索数据源!A:T,9,FALSE),0)</f>
        <v>0</v>
      </c>
      <c r="AA132" s="3" t="e">
        <f>VLOOKUP(A:A,[1]搜索数据源!A:T,13,FALSE)</f>
        <v>#N/A</v>
      </c>
      <c r="AB132" s="72">
        <f>IFERROR(VLOOKUP(A:A,搜索数据源!A:T,14,FALSE),0)</f>
        <v>0</v>
      </c>
      <c r="AC132" s="69" t="str">
        <f>_xlfn.DISPIMG("ID_958FC02C304346CE95BD9A166EF82A3B",1)</f>
        <v>=DISPIMG("ID_958FC02C304346CE95BD9A166EF82A3B",1)</v>
      </c>
      <c r="AD132" s="4" t="s">
        <v>474</v>
      </c>
      <c r="AE132" s="75">
        <v>44731</v>
      </c>
      <c r="AF132" s="3">
        <v>1016.02</v>
      </c>
      <c r="AG132" s="2">
        <v>25483</v>
      </c>
      <c r="AH132" s="69" t="str">
        <f>_xlfn.DISPIMG("ID_F0A83CB16C034BD39B93B5D2DA172A32",1)</f>
        <v>=DISPIMG("ID_F0A83CB16C034BD39B93B5D2DA172A32",1)</v>
      </c>
      <c r="AI132" s="4" t="s">
        <v>475</v>
      </c>
      <c r="AJ132" s="4">
        <v>6</v>
      </c>
      <c r="AK132" s="4">
        <v>0</v>
      </c>
      <c r="AL132" s="4">
        <f t="shared" si="9"/>
        <v>-6</v>
      </c>
      <c r="AM132" s="81">
        <f t="shared" si="10"/>
        <v>-169.336666666667</v>
      </c>
      <c r="AN132" s="5">
        <f>IFERROR(VLOOKUP(A:A,回搜数据源!B:N,4,FALSE),0)</f>
        <v>0</v>
      </c>
      <c r="AO132" s="5">
        <f>IFERROR(VLOOKUP(A:A,回搜数据源!B:N,5,FALSE),0)</f>
        <v>0</v>
      </c>
    </row>
    <row r="133" s="57" customFormat="1" ht="100" hidden="1" customHeight="1" spans="1:41">
      <c r="A133" s="4" t="s">
        <v>561</v>
      </c>
      <c r="B133" s="3" t="str">
        <f>VLOOKUP(A:A,笔记匹配!A:N,5,FALSE)</f>
        <v>=DISPIMG("ID_1626264759DA475FACBB7D4C8B7C28C3",1)</v>
      </c>
      <c r="C133" s="30" t="str">
        <f>VLOOKUP(A:A,笔记匹配!A:N,3,FALSE)</f>
        <v>小小柯尔鸭</v>
      </c>
      <c r="D133" s="30" t="str">
        <f>VLOOKUP(A:A,笔记匹配!A:N,6,FALSE)</f>
        <v>小腿粗的姐妹进！这筋膜枪真能改善肌肉腿啊</v>
      </c>
      <c r="E133" s="30" t="str">
        <f>VLOOKUP(A:A,笔记匹配!A:N,7,FALSE)</f>
        <v>https://www.xiaohongshu.com/discovery/item/632c461f000000000801c166</v>
      </c>
      <c r="F133" s="65">
        <f>VLOOKUP(A:A,笔记匹配!A:N,8,FALSE)</f>
        <v>44829</v>
      </c>
      <c r="G133" s="66" t="str">
        <f>VLOOKUP(A:A,笔记匹配!A:P,15,FALSE)</f>
        <v>2022-09-26</v>
      </c>
      <c r="H133" s="30" t="str">
        <f>VLOOKUP(A:A,笔记匹配!A:N,9,FALSE)</f>
        <v>图文</v>
      </c>
      <c r="I133" s="30" t="str">
        <f>VLOOKUP(A:A,笔记匹配!A:N,2,FALSE)</f>
        <v>筋膜枪</v>
      </c>
      <c r="J133" s="30" t="str">
        <f>VLOOKUP(A:A,笔记匹配!A:N,4,FALSE)</f>
        <v>云麦筋膜枪PB2</v>
      </c>
      <c r="K133" s="30" t="str">
        <f>VLOOKUP(A:A,笔记匹配!A:N,14,FALSE)</f>
        <v>云麦筋膜枪pb2</v>
      </c>
      <c r="L133" s="3">
        <f>VLOOKUP(A:A,笔记匹配!A:N,10,FALSE)</f>
        <v>171</v>
      </c>
      <c r="M133" s="3">
        <f>VLOOKUP(A:A,笔记匹配!A:N,11,FALSE)</f>
        <v>48</v>
      </c>
      <c r="N133" s="69">
        <f>VLOOKUP(A:A,笔记匹配!A:N,12,FALSE)</f>
        <v>28</v>
      </c>
      <c r="O133" s="2">
        <f t="shared" si="11"/>
        <v>247</v>
      </c>
      <c r="P133" s="3">
        <f>IFERROR(VLOOKUP(A:A,信息流数据源!A:K,2,FALSE),0)</f>
        <v>0</v>
      </c>
      <c r="Q133" s="71">
        <f>IFERROR(VLOOKUP(A:A,信息流数据源!A:N,5,FALSE),0)</f>
        <v>0</v>
      </c>
      <c r="R133" s="72">
        <f>IFERROR(VLOOKUP(A:A,信息流数据源!A:N,6,FALSE),0)</f>
        <v>0</v>
      </c>
      <c r="S133" s="2">
        <f>IFERROR(VLOOKUP(A:A,信息流数据源!A:N,9,FALSE),0)</f>
        <v>0</v>
      </c>
      <c r="T133" s="3">
        <f>IFERROR(VLOOKUP(A:A,信息流数据源!A:N,13,FALSE),0)</f>
        <v>0</v>
      </c>
      <c r="U133" s="73">
        <f>IFERROR(VLOOKUP(A:A,信息流数据源!A:N,14,FALSE),0)</f>
        <v>0</v>
      </c>
      <c r="V133" s="74">
        <f>IFERROR(VLOOKUP(A:A,信息流数据源!A:O,15,FALSE),0)</f>
        <v>0</v>
      </c>
      <c r="W133" s="3">
        <f>IFERROR(VLOOKUP(A:A,搜索数据源!A:T,2,FALSE),0)</f>
        <v>0</v>
      </c>
      <c r="X133" s="71">
        <f>IFERROR(VLOOKUP(A:A,搜索数据源!A:T,5,FALSE),0)</f>
        <v>0</v>
      </c>
      <c r="Y133" s="73">
        <f>IFERROR(VLOOKUP(A:A,搜索数据源!A:T,6,FALSE),0)</f>
        <v>0</v>
      </c>
      <c r="Z133" s="3">
        <f>IFERROR(VLOOKUP(A:A,搜索数据源!A:T,9,FALSE),0)</f>
        <v>0</v>
      </c>
      <c r="AA133" s="3" t="e">
        <f>VLOOKUP(A:A,[1]搜索数据源!A:T,13,FALSE)</f>
        <v>#N/A</v>
      </c>
      <c r="AB133" s="72">
        <f>IFERROR(VLOOKUP(A:A,搜索数据源!A:T,14,FALSE),0)</f>
        <v>0</v>
      </c>
      <c r="AC133" s="69" t="str">
        <f>_xlfn.DISPIMG("ID_7470AB9A35884490A7B6F8F69724A411",1)</f>
        <v>=DISPIMG("ID_7470AB9A35884490A7B6F8F69724A411",1)</v>
      </c>
      <c r="AD133" s="4" t="s">
        <v>562</v>
      </c>
      <c r="AE133" s="69"/>
      <c r="AF133" s="77"/>
      <c r="AG133" s="2"/>
      <c r="AH133" s="69"/>
      <c r="AI133" s="4"/>
      <c r="AJ133" s="4"/>
      <c r="AK133" s="4"/>
      <c r="AL133" s="4">
        <f t="shared" si="9"/>
        <v>0</v>
      </c>
      <c r="AM133" s="81">
        <f t="shared" si="10"/>
        <v>0</v>
      </c>
      <c r="AN133" s="5">
        <f>IFERROR(VLOOKUP(A:A,回搜数据源!B:N,4,FALSE),0)</f>
        <v>0.00361010830324909</v>
      </c>
      <c r="AO133" s="5">
        <f>IFERROR(VLOOKUP(A:A,回搜数据源!B:N,5,FALSE),0)</f>
        <v>0</v>
      </c>
    </row>
    <row r="134" s="57" customFormat="1" ht="100" hidden="1" customHeight="1" spans="1:41">
      <c r="A134" s="30" t="s">
        <v>208</v>
      </c>
      <c r="B134" s="3" t="str">
        <f>VLOOKUP(A:A,笔记匹配!A:N,5,FALSE)</f>
        <v>=DISPIMG("ID_8F76C66B703A4AECBD893E425A6872AC",1)</v>
      </c>
      <c r="C134" s="30" t="str">
        <f>VLOOKUP(A:A,笔记匹配!A:N,3,FALSE)</f>
        <v>小羊羔崽子</v>
      </c>
      <c r="D134" s="30" t="str">
        <f>VLOOKUP(A:A,笔记匹配!A:N,6,FALSE)</f>
        <v>用了多年泡沫轴，才知道筋膜枪是真的香！！！</v>
      </c>
      <c r="E134" s="30" t="str">
        <f>VLOOKUP(A:A,笔记匹配!A:N,7,FALSE)</f>
        <v>https://www.xiaohongshu.com/discovery/item/632acfbb000000000800a017</v>
      </c>
      <c r="F134" s="65">
        <f>VLOOKUP(A:A,笔记匹配!A:N,8,FALSE)</f>
        <v>44825</v>
      </c>
      <c r="G134" s="66" t="str">
        <f>VLOOKUP(A:A,笔记匹配!A:P,15,FALSE)</f>
        <v>2022-09-23</v>
      </c>
      <c r="H134" s="30" t="str">
        <f>VLOOKUP(A:A,笔记匹配!A:N,9,FALSE)</f>
        <v>图文</v>
      </c>
      <c r="I134" s="30" t="str">
        <f>VLOOKUP(A:A,笔记匹配!A:N,2,FALSE)</f>
        <v>筋膜枪</v>
      </c>
      <c r="J134" s="30" t="str">
        <f>VLOOKUP(A:A,笔记匹配!A:N,4,FALSE)</f>
        <v>云麦筋膜枪PB2</v>
      </c>
      <c r="K134" s="30" t="str">
        <f>VLOOKUP(A:A,笔记匹配!A:N,14,FALSE)</f>
        <v>云麦筋膜枪pb2</v>
      </c>
      <c r="L134" s="3">
        <v>3070</v>
      </c>
      <c r="M134" s="3">
        <v>1519</v>
      </c>
      <c r="N134" s="69">
        <v>93</v>
      </c>
      <c r="O134" s="2">
        <f t="shared" si="11"/>
        <v>4682</v>
      </c>
      <c r="P134" s="3">
        <f>IFERROR(VLOOKUP(A:A,信息流数据源!A:K,2,FALSE),0)</f>
        <v>3839.92</v>
      </c>
      <c r="Q134" s="71">
        <f>IFERROR(VLOOKUP(A:A,信息流数据源!A:N,5,FALSE),0)</f>
        <v>0.0687132753715668</v>
      </c>
      <c r="R134" s="72">
        <f>IFERROR(VLOOKUP(A:A,信息流数据源!A:N,6,FALSE),0)</f>
        <v>0.1857276904474</v>
      </c>
      <c r="S134" s="2">
        <f>IFERROR(VLOOKUP(A:A,信息流数据源!A:N,9,FALSE),0)</f>
        <v>2</v>
      </c>
      <c r="T134" s="3">
        <f>IFERROR(VLOOKUP(A:A,信息流数据源!A:N,13,FALSE),0)</f>
        <v>790</v>
      </c>
      <c r="U134" s="73">
        <f>IFERROR(VLOOKUP(A:A,信息流数据源!A:N,14,FALSE),0)</f>
        <v>4.8606582278481</v>
      </c>
      <c r="V134" s="74">
        <f>IFERROR(VLOOKUP(A:A,信息流数据源!A:O,15,FALSE),0)</f>
        <v>0.0382103990326481</v>
      </c>
      <c r="W134" s="3">
        <f>IFERROR(VLOOKUP(A:A,搜索数据源!A:T,2,FALSE),0)</f>
        <v>0</v>
      </c>
      <c r="X134" s="71">
        <f>IFERROR(VLOOKUP(A:A,搜索数据源!A:T,5,FALSE),0)</f>
        <v>0</v>
      </c>
      <c r="Y134" s="73">
        <f>IFERROR(VLOOKUP(A:A,搜索数据源!A:T,6,FALSE),0)</f>
        <v>0</v>
      </c>
      <c r="Z134" s="3">
        <f>IFERROR(VLOOKUP(A:A,搜索数据源!A:T,9,FALSE),0)</f>
        <v>0</v>
      </c>
      <c r="AA134" s="3">
        <f>VLOOKUP(A:A,[1]搜索数据源!A:T,13,FALSE)</f>
        <v>109</v>
      </c>
      <c r="AB134" s="72">
        <f>IFERROR(VLOOKUP(A:A,搜索数据源!A:T,14,FALSE),0)</f>
        <v>0</v>
      </c>
      <c r="AC134" s="69" t="str">
        <f>_xlfn.DISPIMG("ID_6B665FEA218C4E9CB36B6C6DF7F3F6C2",1)</f>
        <v>=DISPIMG("ID_6B665FEA218C4E9CB36B6C6DF7F3F6C2",1)</v>
      </c>
      <c r="AD134" s="4" t="s">
        <v>401</v>
      </c>
      <c r="AE134" s="76">
        <v>44804</v>
      </c>
      <c r="AF134" s="3">
        <v>2031.18</v>
      </c>
      <c r="AG134" s="2">
        <v>8292</v>
      </c>
      <c r="AH134" s="69" t="str">
        <f>_xlfn.DISPIMG("ID_317CBA07FC61490D95AD16FEA99B967A",1)</f>
        <v>=DISPIMG("ID_317CBA07FC61490D95AD16FEA99B967A",1)</v>
      </c>
      <c r="AI134" s="4" t="s">
        <v>402</v>
      </c>
      <c r="AJ134" s="4">
        <v>8</v>
      </c>
      <c r="AK134" s="4">
        <v>29</v>
      </c>
      <c r="AL134" s="4">
        <f t="shared" si="9"/>
        <v>21</v>
      </c>
      <c r="AM134" s="81">
        <f t="shared" si="10"/>
        <v>96.7228571428572</v>
      </c>
      <c r="AN134" s="5">
        <f>IFERROR(VLOOKUP(A:A,回搜数据源!B:N,4,FALSE),0)</f>
        <v>0</v>
      </c>
      <c r="AO134" s="5">
        <f>IFERROR(VLOOKUP(A:A,回搜数据源!B:N,5,FALSE),0)</f>
        <v>0</v>
      </c>
    </row>
    <row r="135" s="57" customFormat="1" ht="100" hidden="1" customHeight="1" spans="1:41">
      <c r="A135" s="30" t="s">
        <v>220</v>
      </c>
      <c r="B135" s="3" t="str">
        <f>VLOOKUP(A:A,笔记匹配!A:N,5,FALSE)</f>
        <v>=DISPIMG("ID_B6B525EE6F4643AAAD11A6B801A9A65E",1)</v>
      </c>
      <c r="C135" s="30" t="str">
        <f>VLOOKUP(A:A,笔记匹配!A:N,3,FALSE)</f>
        <v>一颗西兰花fa</v>
      </c>
      <c r="D135" s="30" t="str">
        <f>VLOOKUP(A:A,笔记匹配!A:N,6,FALSE)</f>
        <v>有没有姐妹跟我一样被肌肉腿困扰了好久！</v>
      </c>
      <c r="E135" s="30" t="str">
        <f>VLOOKUP(A:A,笔记匹配!A:N,7,FALSE)</f>
        <v>https://www.xiaohongshu.com/discovery/item/632a812e0000000011016f09</v>
      </c>
      <c r="F135" s="65">
        <f>VLOOKUP(A:A,笔记匹配!A:N,8,FALSE)</f>
        <v>44825</v>
      </c>
      <c r="G135" s="66" t="str">
        <f>VLOOKUP(A:A,笔记匹配!A:P,15,FALSE)</f>
        <v>2022-09-23</v>
      </c>
      <c r="H135" s="30" t="str">
        <f>VLOOKUP(A:A,笔记匹配!A:N,9,FALSE)</f>
        <v>图文</v>
      </c>
      <c r="I135" s="30" t="str">
        <f>VLOOKUP(A:A,笔记匹配!A:N,2,FALSE)</f>
        <v>筋膜枪</v>
      </c>
      <c r="J135" s="30" t="str">
        <f>VLOOKUP(A:A,笔记匹配!A:N,4,FALSE)</f>
        <v>云麦筋膜枪PB2</v>
      </c>
      <c r="K135" s="30" t="str">
        <f>VLOOKUP(A:A,笔记匹配!A:N,14,FALSE)</f>
        <v>云麦筋膜枪pb2</v>
      </c>
      <c r="L135" s="3">
        <v>5194</v>
      </c>
      <c r="M135" s="3">
        <v>2252</v>
      </c>
      <c r="N135" s="69">
        <v>75</v>
      </c>
      <c r="O135" s="2">
        <f t="shared" si="11"/>
        <v>7521</v>
      </c>
      <c r="P135" s="3">
        <f>IFERROR(VLOOKUP(A:A,信息流数据源!A:K,2,FALSE),0)</f>
        <v>9116.9</v>
      </c>
      <c r="Q135" s="71">
        <f>IFERROR(VLOOKUP(A:A,信息流数据源!A:N,5,FALSE),0)</f>
        <v>0.0512987035598999</v>
      </c>
      <c r="R135" s="72">
        <f>IFERROR(VLOOKUP(A:A,信息流数据源!A:N,6,FALSE),0)</f>
        <v>0.309435563248821</v>
      </c>
      <c r="S135" s="2">
        <f>IFERROR(VLOOKUP(A:A,信息流数据源!A:N,9,FALSE),0)</f>
        <v>11</v>
      </c>
      <c r="T135" s="3">
        <f>IFERROR(VLOOKUP(A:A,信息流数据源!A:N,13,FALSE),0)</f>
        <v>2593</v>
      </c>
      <c r="U135" s="73">
        <f>IFERROR(VLOOKUP(A:A,信息流数据源!A:N,14,FALSE),0)</f>
        <v>3.5159660624759</v>
      </c>
      <c r="V135" s="74">
        <f>IFERROR(VLOOKUP(A:A,信息流数据源!A:O,15,FALSE),0)</f>
        <v>0.0880086888639989</v>
      </c>
      <c r="W135" s="3">
        <f>IFERROR(VLOOKUP(A:A,搜索数据源!A:T,2,FALSE),0)</f>
        <v>0</v>
      </c>
      <c r="X135" s="71">
        <f>IFERROR(VLOOKUP(A:A,搜索数据源!A:T,5,FALSE),0)</f>
        <v>0</v>
      </c>
      <c r="Y135" s="73">
        <f>IFERROR(VLOOKUP(A:A,搜索数据源!A:T,6,FALSE),0)</f>
        <v>0</v>
      </c>
      <c r="Z135" s="3">
        <f>IFERROR(VLOOKUP(A:A,搜索数据源!A:T,9,FALSE),0)</f>
        <v>0</v>
      </c>
      <c r="AA135" s="3">
        <f>VLOOKUP(A:A,[1]搜索数据源!A:T,13,FALSE)</f>
        <v>74</v>
      </c>
      <c r="AB135" s="72">
        <f>IFERROR(VLOOKUP(A:A,搜索数据源!A:T,14,FALSE),0)</f>
        <v>0</v>
      </c>
      <c r="AC135" s="69" t="str">
        <f>_xlfn.DISPIMG("ID_726C2F549DEF4AF9AB7D9BB0873FD2E0",1)</f>
        <v>=DISPIMG("ID_726C2F549DEF4AF9AB7D9BB0873FD2E0",1)</v>
      </c>
      <c r="AD135" s="4" t="s">
        <v>435</v>
      </c>
      <c r="AE135" s="78"/>
      <c r="AF135" s="78"/>
      <c r="AG135" s="2"/>
      <c r="AH135" s="78"/>
      <c r="AI135" s="78"/>
      <c r="AJ135" s="78"/>
      <c r="AK135" s="78"/>
      <c r="AL135" s="4">
        <f t="shared" si="9"/>
        <v>0</v>
      </c>
      <c r="AM135" s="81">
        <f t="shared" si="10"/>
        <v>0</v>
      </c>
      <c r="AN135" s="5">
        <f>IFERROR(VLOOKUP(A:A,回搜数据源!B:N,4,FALSE),0)</f>
        <v>0.0106673960612691</v>
      </c>
      <c r="AO135" s="5">
        <f>IFERROR(VLOOKUP(A:A,回搜数据源!B:N,5,FALSE),0)</f>
        <v>0</v>
      </c>
    </row>
    <row r="136" s="57" customFormat="1" ht="100" hidden="1" customHeight="1" spans="1:41">
      <c r="A136" s="4" t="s">
        <v>274</v>
      </c>
      <c r="B136" s="3" t="str">
        <f>VLOOKUP(A:A,笔记匹配!A:N,5,FALSE)</f>
        <v>=DISPIMG("ID_370A21B38C4A4F2C9F65900E042A5126",1)</v>
      </c>
      <c r="C136" s="30" t="str">
        <f>VLOOKUP(A:A,笔记匹配!A:N,3,FALSE)</f>
        <v>西米是个小可爱</v>
      </c>
      <c r="D136" s="30" t="str">
        <f>VLOOKUP(A:A,笔记匹配!A:N,6,FALSE)</f>
        <v>筋膜枪千万不能乱用！正确肩颈使用方法</v>
      </c>
      <c r="E136" s="30" t="str">
        <f>VLOOKUP(A:A,笔记匹配!A:N,7,FALSE)</f>
        <v>https://www.xiaohongshu.com/discovery/item/632591a1000000001801796c</v>
      </c>
      <c r="F136" s="65">
        <f>VLOOKUP(A:A,笔记匹配!A:N,8,FALSE)</f>
        <v>44823</v>
      </c>
      <c r="G136" s="66" t="str">
        <f>VLOOKUP(A:A,笔记匹配!A:P,15,FALSE)</f>
        <v>2022-09-19</v>
      </c>
      <c r="H136" s="30" t="str">
        <f>VLOOKUP(A:A,笔记匹配!A:N,9,FALSE)</f>
        <v>图文</v>
      </c>
      <c r="I136" s="30" t="str">
        <f>VLOOKUP(A:A,笔记匹配!A:N,2,FALSE)</f>
        <v>筋膜枪</v>
      </c>
      <c r="J136" s="30" t="str">
        <f>VLOOKUP(A:A,笔记匹配!A:N,4,FALSE)</f>
        <v>云麦筋膜枪PB2</v>
      </c>
      <c r="K136" s="30" t="str">
        <f>VLOOKUP(A:A,笔记匹配!A:N,14,FALSE)</f>
        <v>云麦筋膜枪pb2</v>
      </c>
      <c r="L136" s="3">
        <f>VLOOKUP(A:A,笔记匹配!A:N,10,FALSE)</f>
        <v>3699</v>
      </c>
      <c r="M136" s="3">
        <f>VLOOKUP(A:A,笔记匹配!A:N,11,FALSE)</f>
        <v>951</v>
      </c>
      <c r="N136" s="69">
        <f>VLOOKUP(A:A,笔记匹配!A:N,12,FALSE)</f>
        <v>129</v>
      </c>
      <c r="O136" s="2">
        <f t="shared" si="11"/>
        <v>4779</v>
      </c>
      <c r="P136" s="3">
        <f>IFERROR(VLOOKUP(A:A,信息流数据源!A:K,2,FALSE),0)</f>
        <v>0</v>
      </c>
      <c r="Q136" s="71">
        <f>IFERROR(VLOOKUP(A:A,信息流数据源!A:N,5,FALSE),0)</f>
        <v>0</v>
      </c>
      <c r="R136" s="72">
        <f>IFERROR(VLOOKUP(A:A,信息流数据源!A:N,6,FALSE),0)</f>
        <v>0</v>
      </c>
      <c r="S136" s="2">
        <f>IFERROR(VLOOKUP(A:A,信息流数据源!A:N,9,FALSE),0)</f>
        <v>0</v>
      </c>
      <c r="T136" s="3">
        <f>IFERROR(VLOOKUP(A:A,信息流数据源!A:N,13,FALSE),0)</f>
        <v>0</v>
      </c>
      <c r="U136" s="73">
        <f>IFERROR(VLOOKUP(A:A,信息流数据源!A:N,14,FALSE),0)</f>
        <v>0</v>
      </c>
      <c r="V136" s="74">
        <f>IFERROR(VLOOKUP(A:A,信息流数据源!A:O,15,FALSE),0)</f>
        <v>0</v>
      </c>
      <c r="W136" s="3">
        <f>IFERROR(VLOOKUP(A:A,搜索数据源!A:T,2,FALSE),0)</f>
        <v>0</v>
      </c>
      <c r="X136" s="71">
        <f>IFERROR(VLOOKUP(A:A,搜索数据源!A:T,5,FALSE),0)</f>
        <v>0</v>
      </c>
      <c r="Y136" s="73">
        <f>IFERROR(VLOOKUP(A:A,搜索数据源!A:T,6,FALSE),0)</f>
        <v>0</v>
      </c>
      <c r="Z136" s="3">
        <f>IFERROR(VLOOKUP(A:A,搜索数据源!A:T,9,FALSE),0)</f>
        <v>0</v>
      </c>
      <c r="AA136" s="3" t="e">
        <f>VLOOKUP(A:A,[1]搜索数据源!A:T,13,FALSE)</f>
        <v>#N/A</v>
      </c>
      <c r="AB136" s="72">
        <f>IFERROR(VLOOKUP(A:A,搜索数据源!A:T,14,FALSE),0)</f>
        <v>0</v>
      </c>
      <c r="AC136" s="3" t="str">
        <f>_xlfn.DISPIMG("ID_84A614C91F204E468769D64CBD4EEAA4",1)</f>
        <v>=DISPIMG("ID_84A614C91F204E468769D64CBD4EEAA4",1)</v>
      </c>
      <c r="AD136" s="87" t="s">
        <v>563</v>
      </c>
      <c r="AE136" s="75">
        <v>44829</v>
      </c>
      <c r="AF136" s="3">
        <v>2007.9</v>
      </c>
      <c r="AG136" s="2">
        <v>5770</v>
      </c>
      <c r="AH136" s="69" t="str">
        <f>_xlfn.DISPIMG("ID_F363F2F5B2CC489288E1B085C067C46D",1)</f>
        <v>=DISPIMG("ID_F363F2F5B2CC489288E1B085C067C46D",1)</v>
      </c>
      <c r="AI136" s="4" t="s">
        <v>564</v>
      </c>
      <c r="AJ136" s="4">
        <v>58</v>
      </c>
      <c r="AK136" s="4">
        <v>101</v>
      </c>
      <c r="AL136" s="4">
        <f t="shared" si="9"/>
        <v>43</v>
      </c>
      <c r="AM136" s="81">
        <f t="shared" si="10"/>
        <v>46.6953488372093</v>
      </c>
      <c r="AN136" s="5">
        <f>IFERROR(VLOOKUP(A:A,回搜数据源!B:N,4,FALSE),0)</f>
        <v>0.000361061835763959</v>
      </c>
      <c r="AO136" s="5">
        <f>IFERROR(VLOOKUP(A:A,回搜数据源!B:N,5,FALSE),0)</f>
        <v>0</v>
      </c>
    </row>
    <row r="137" s="57" customFormat="1" ht="100" hidden="1" customHeight="1" spans="1:41">
      <c r="A137" s="4" t="s">
        <v>480</v>
      </c>
      <c r="B137" s="3" t="str">
        <f>VLOOKUP(A:A,笔记匹配!A:N,5,FALSE)</f>
        <v>=DISPIMG("ID_9FAA472BC68E475497717F7BF36F6FA3",1)</v>
      </c>
      <c r="C137" s="30" t="str">
        <f>VLOOKUP(A:A,笔记匹配!A:N,3,FALSE)</f>
        <v>马可乐cora</v>
      </c>
      <c r="D137" s="30" t="str">
        <f>VLOOKUP(A:A,笔记匹配!A:N,6,FALSE)</f>
        <v>‼️真心劝你们想成功瘦下来这6件事别再做了</v>
      </c>
      <c r="E137" s="30" t="str">
        <f>VLOOKUP(A:A,笔记匹配!A:N,7,FALSE)</f>
        <v>https://www.xiaohongshu.com/discovery/item/62a6fd32000000001d0141d2</v>
      </c>
      <c r="F137" s="65">
        <f>VLOOKUP(A:A,笔记匹配!A:N,8,FALSE)</f>
        <v>44725</v>
      </c>
      <c r="G137" s="66" t="str">
        <f>VLOOKUP(A:A,笔记匹配!A:P,15,FALSE)</f>
        <v>2022-06-15</v>
      </c>
      <c r="H137" s="30" t="str">
        <f>VLOOKUP(A:A,笔记匹配!A:N,9,FALSE)</f>
        <v>视频</v>
      </c>
      <c r="I137" s="30" t="str">
        <f>VLOOKUP(A:A,笔记匹配!A:N,2,FALSE)</f>
        <v>体脂秤</v>
      </c>
      <c r="J137" s="30" t="str">
        <f>VLOOKUP(A:A,笔记匹配!A:N,4,FALSE)</f>
        <v>云麦3mini（无埋词）</v>
      </c>
      <c r="K137" s="30" t="str">
        <f>VLOOKUP(A:A,笔记匹配!A:N,14,FALSE)</f>
        <v>云麦体脂秤3mini</v>
      </c>
      <c r="L137" s="3">
        <f>VLOOKUP(A:A,笔记匹配!A:N,10,FALSE)</f>
        <v>62000</v>
      </c>
      <c r="M137" s="3">
        <f>VLOOKUP(A:A,笔记匹配!A:N,11,FALSE)</f>
        <v>55000</v>
      </c>
      <c r="N137" s="69">
        <f>VLOOKUP(A:A,笔记匹配!A:N,12,FALSE)</f>
        <v>938</v>
      </c>
      <c r="O137" s="2">
        <f t="shared" si="11"/>
        <v>117938</v>
      </c>
      <c r="P137" s="3">
        <f>IFERROR(VLOOKUP(A:A,信息流数据源!A:K,2,FALSE),0)</f>
        <v>0</v>
      </c>
      <c r="Q137" s="71">
        <f>IFERROR(VLOOKUP(A:A,信息流数据源!A:N,5,FALSE),0)</f>
        <v>0</v>
      </c>
      <c r="R137" s="72">
        <f>IFERROR(VLOOKUP(A:A,信息流数据源!A:N,6,FALSE),0)</f>
        <v>0</v>
      </c>
      <c r="S137" s="2">
        <f>IFERROR(VLOOKUP(A:A,信息流数据源!A:N,9,FALSE),0)</f>
        <v>0</v>
      </c>
      <c r="T137" s="3">
        <f>IFERROR(VLOOKUP(A:A,信息流数据源!A:N,13,FALSE),0)</f>
        <v>0</v>
      </c>
      <c r="U137" s="73">
        <f>IFERROR(VLOOKUP(A:A,信息流数据源!A:N,14,FALSE),0)</f>
        <v>0</v>
      </c>
      <c r="V137" s="74">
        <f>IFERROR(VLOOKUP(A:A,信息流数据源!A:O,15,FALSE),0)</f>
        <v>0</v>
      </c>
      <c r="W137" s="3">
        <f>IFERROR(VLOOKUP(A:A,搜索数据源!A:T,2,FALSE),0)</f>
        <v>0</v>
      </c>
      <c r="X137" s="71">
        <f>IFERROR(VLOOKUP(A:A,搜索数据源!A:T,5,FALSE),0)</f>
        <v>0</v>
      </c>
      <c r="Y137" s="73">
        <f>IFERROR(VLOOKUP(A:A,搜索数据源!A:T,6,FALSE),0)</f>
        <v>0</v>
      </c>
      <c r="Z137" s="3">
        <f>IFERROR(VLOOKUP(A:A,搜索数据源!A:T,9,FALSE),0)</f>
        <v>0</v>
      </c>
      <c r="AA137" s="3" t="e">
        <f>VLOOKUP(A:A,[1]搜索数据源!A:T,13,FALSE)</f>
        <v>#N/A</v>
      </c>
      <c r="AB137" s="72">
        <f>IFERROR(VLOOKUP(A:A,搜索数据源!A:T,14,FALSE),0)</f>
        <v>0</v>
      </c>
      <c r="AC137" s="69" t="str">
        <f>_xlfn.DISPIMG("ID_F322428B6F9A4CE9BBD5F2A0262A9BF2",1)</f>
        <v>=DISPIMG("ID_F322428B6F9A4CE9BBD5F2A0262A9BF2",1)</v>
      </c>
      <c r="AD137" s="4" t="s">
        <v>481</v>
      </c>
      <c r="AE137" s="75">
        <v>44785</v>
      </c>
      <c r="AF137" s="69">
        <v>1011.77</v>
      </c>
      <c r="AG137" s="2">
        <v>7402</v>
      </c>
      <c r="AH137" s="69" t="str">
        <f>_xlfn.DISPIMG("ID_D88DEB9398FB464CA53EE735AE9209EC",1)</f>
        <v>=DISPIMG("ID_D88DEB9398FB464CA53EE735AE9209EC",1)</v>
      </c>
      <c r="AI137" s="4" t="s">
        <v>482</v>
      </c>
      <c r="AJ137" s="69">
        <v>41</v>
      </c>
      <c r="AK137" s="69">
        <v>38</v>
      </c>
      <c r="AL137" s="4">
        <f t="shared" si="9"/>
        <v>-3</v>
      </c>
      <c r="AM137" s="81">
        <f t="shared" si="10"/>
        <v>-337.256666666667</v>
      </c>
      <c r="AN137" s="5">
        <f>IFERROR(VLOOKUP(A:A,回搜数据源!B:N,4,FALSE),0)</f>
        <v>0</v>
      </c>
      <c r="AO137" s="5">
        <f>IFERROR(VLOOKUP(A:A,回搜数据源!B:N,5,FALSE),0)</f>
        <v>0</v>
      </c>
    </row>
    <row r="138" s="57" customFormat="1" ht="100" hidden="1" customHeight="1" spans="1:41">
      <c r="A138" s="4" t="s">
        <v>483</v>
      </c>
      <c r="B138" s="3" t="str">
        <f>VLOOKUP(A:A,笔记匹配!A:N,5,FALSE)</f>
        <v>=DISPIMG("ID_EB840292A2E2463E9661AF31428E7157",1)</v>
      </c>
      <c r="C138" s="30" t="str">
        <f>VLOOKUP(A:A,笔记匹配!A:N,3,FALSE)</f>
        <v>六月炎妍</v>
      </c>
      <c r="D138" s="30" t="str">
        <f>VLOOKUP(A:A,笔记匹配!A:N,6,FALSE)</f>
        <v>体脂秤监测|瘦了23斤的经验无保留分享</v>
      </c>
      <c r="E138" s="30" t="str">
        <f>VLOOKUP(A:A,笔记匹配!A:N,7,FALSE)</f>
        <v>https://www.xiaohongshu.com/discovery/item/62a045ea000000002103a321</v>
      </c>
      <c r="F138" s="65">
        <f>VLOOKUP(A:A,笔记匹配!A:N,8,FALSE)</f>
        <v>44720</v>
      </c>
      <c r="G138" s="66" t="str">
        <f>VLOOKUP(A:A,笔记匹配!A:P,15,FALSE)</f>
        <v>2022-06-14</v>
      </c>
      <c r="H138" s="30" t="str">
        <f>VLOOKUP(A:A,笔记匹配!A:N,9,FALSE)</f>
        <v>图文</v>
      </c>
      <c r="I138" s="30" t="str">
        <f>VLOOKUP(A:A,笔记匹配!A:N,2,FALSE)</f>
        <v>体脂秤</v>
      </c>
      <c r="J138" s="30" t="str">
        <f>VLOOKUP(A:A,笔记匹配!A:N,4,FALSE)</f>
        <v>云麦3mini</v>
      </c>
      <c r="K138" s="30" t="str">
        <f>VLOOKUP(A:A,笔记匹配!A:N,14,FALSE)</f>
        <v>云麦体脂秤3mini</v>
      </c>
      <c r="L138" s="3">
        <f>VLOOKUP(A:A,笔记匹配!A:N,10,FALSE)</f>
        <v>3319</v>
      </c>
      <c r="M138" s="3">
        <f>VLOOKUP(A:A,笔记匹配!A:N,11,FALSE)</f>
        <v>1941</v>
      </c>
      <c r="N138" s="69">
        <f>VLOOKUP(A:A,笔记匹配!A:N,12,FALSE)</f>
        <v>131</v>
      </c>
      <c r="O138" s="2">
        <f t="shared" si="11"/>
        <v>5391</v>
      </c>
      <c r="P138" s="3">
        <f>IFERROR(VLOOKUP(A:A,信息流数据源!A:K,2,FALSE),0)</f>
        <v>0</v>
      </c>
      <c r="Q138" s="71">
        <f>IFERROR(VLOOKUP(A:A,信息流数据源!A:N,5,FALSE),0)</f>
        <v>0</v>
      </c>
      <c r="R138" s="72">
        <f>IFERROR(VLOOKUP(A:A,信息流数据源!A:N,6,FALSE),0)</f>
        <v>0</v>
      </c>
      <c r="S138" s="2">
        <f>IFERROR(VLOOKUP(A:A,信息流数据源!A:N,9,FALSE),0)</f>
        <v>0</v>
      </c>
      <c r="T138" s="3">
        <f>IFERROR(VLOOKUP(A:A,信息流数据源!A:N,13,FALSE),0)</f>
        <v>0</v>
      </c>
      <c r="U138" s="73">
        <f>IFERROR(VLOOKUP(A:A,信息流数据源!A:N,14,FALSE),0)</f>
        <v>0</v>
      </c>
      <c r="V138" s="74">
        <f>IFERROR(VLOOKUP(A:A,信息流数据源!A:O,15,FALSE),0)</f>
        <v>0</v>
      </c>
      <c r="W138" s="3">
        <f>IFERROR(VLOOKUP(A:A,搜索数据源!A:T,2,FALSE),0)</f>
        <v>0</v>
      </c>
      <c r="X138" s="71">
        <f>IFERROR(VLOOKUP(A:A,搜索数据源!A:T,5,FALSE),0)</f>
        <v>0</v>
      </c>
      <c r="Y138" s="73">
        <f>IFERROR(VLOOKUP(A:A,搜索数据源!A:T,6,FALSE),0)</f>
        <v>0</v>
      </c>
      <c r="Z138" s="3">
        <f>IFERROR(VLOOKUP(A:A,搜索数据源!A:T,9,FALSE),0)</f>
        <v>0</v>
      </c>
      <c r="AA138" s="3" t="e">
        <f>VLOOKUP(A:A,[1]搜索数据源!A:T,13,FALSE)</f>
        <v>#N/A</v>
      </c>
      <c r="AB138" s="72">
        <f>IFERROR(VLOOKUP(A:A,搜索数据源!A:T,14,FALSE),0)</f>
        <v>0</v>
      </c>
      <c r="AC138" s="69" t="str">
        <f>_xlfn.DISPIMG("ID_1772A7EC4757442AB736240397668C62",1)</f>
        <v>=DISPIMG("ID_1772A7EC4757442AB736240397668C62",1)</v>
      </c>
      <c r="AD138" s="4" t="s">
        <v>484</v>
      </c>
      <c r="AE138" s="75">
        <v>44729</v>
      </c>
      <c r="AF138" s="69">
        <v>1681.13</v>
      </c>
      <c r="AG138" s="2">
        <v>10531</v>
      </c>
      <c r="AH138" s="69" t="str">
        <f>_xlfn.DISPIMG("ID_ABD59D84923D4DB788EF444DA940EF8D",1)</f>
        <v>=DISPIMG("ID_ABD59D84923D4DB788EF444DA940EF8D",1)</v>
      </c>
      <c r="AI138" s="4" t="s">
        <v>485</v>
      </c>
      <c r="AJ138" s="69">
        <v>63</v>
      </c>
      <c r="AK138" s="69">
        <v>41</v>
      </c>
      <c r="AL138" s="4">
        <f t="shared" si="9"/>
        <v>-22</v>
      </c>
      <c r="AM138" s="81">
        <f t="shared" si="10"/>
        <v>-76.415</v>
      </c>
      <c r="AN138" s="5">
        <f>IFERROR(VLOOKUP(A:A,回搜数据源!B:N,4,FALSE),0)</f>
        <v>0</v>
      </c>
      <c r="AO138" s="5">
        <f>IFERROR(VLOOKUP(A:A,回搜数据源!B:N,5,FALSE),0)</f>
        <v>0</v>
      </c>
    </row>
    <row r="139" s="57" customFormat="1" ht="100" hidden="1" customHeight="1" spans="1:41">
      <c r="A139" s="4" t="s">
        <v>486</v>
      </c>
      <c r="B139" s="3" t="str">
        <f>VLOOKUP(A:A,笔记匹配!A:N,5,FALSE)</f>
        <v>=DISPIMG("ID_912D918303A84192953F7ADE4A516B06",1)</v>
      </c>
      <c r="C139" s="30" t="str">
        <f>VLOOKUP(A:A,笔记匹配!A:N,3,FALSE)</f>
        <v>小月月</v>
      </c>
      <c r="D139" s="30" t="str">
        <f>VLOOKUP(A:A,笔记匹配!A:N,6,FALSE)</f>
        <v>体重秤上的数字告诉我：你是个失败者</v>
      </c>
      <c r="E139" s="30" t="str">
        <f>VLOOKUP(A:A,笔记匹配!A:N,7,FALSE)</f>
        <v>https://www.xiaohongshu.com/discovery/item/62a461080000000001029226</v>
      </c>
      <c r="F139" s="65">
        <f>VLOOKUP(A:A,笔记匹配!A:N,8,FALSE)</f>
        <v>44724</v>
      </c>
      <c r="G139" s="66" t="str">
        <f>VLOOKUP(A:A,笔记匹配!A:P,15,FALSE)</f>
        <v>2022-06-14</v>
      </c>
      <c r="H139" s="30" t="str">
        <f>VLOOKUP(A:A,笔记匹配!A:N,9,FALSE)</f>
        <v>视频</v>
      </c>
      <c r="I139" s="30" t="str">
        <f>VLOOKUP(A:A,笔记匹配!A:N,2,FALSE)</f>
        <v>体脂秤</v>
      </c>
      <c r="J139" s="30" t="str">
        <f>VLOOKUP(A:A,笔记匹配!A:N,4,FALSE)</f>
        <v>云麦体脂秤3</v>
      </c>
      <c r="K139" s="30" t="str">
        <f>VLOOKUP(A:A,笔记匹配!A:N,14,FALSE)</f>
        <v>云麦体脂秤3</v>
      </c>
      <c r="L139" s="3">
        <f>VLOOKUP(A:A,笔记匹配!A:N,10,FALSE)</f>
        <v>334</v>
      </c>
      <c r="M139" s="3">
        <f>VLOOKUP(A:A,笔记匹配!A:N,11,FALSE)</f>
        <v>33</v>
      </c>
      <c r="N139" s="69">
        <f>VLOOKUP(A:A,笔记匹配!A:N,12,FALSE)</f>
        <v>23</v>
      </c>
      <c r="O139" s="2">
        <f t="shared" si="11"/>
        <v>390</v>
      </c>
      <c r="P139" s="3">
        <f>IFERROR(VLOOKUP(A:A,信息流数据源!A:K,2,FALSE),0)</f>
        <v>0</v>
      </c>
      <c r="Q139" s="71">
        <f>IFERROR(VLOOKUP(A:A,信息流数据源!A:N,5,FALSE),0)</f>
        <v>0</v>
      </c>
      <c r="R139" s="72">
        <f>IFERROR(VLOOKUP(A:A,信息流数据源!A:N,6,FALSE),0)</f>
        <v>0</v>
      </c>
      <c r="S139" s="2">
        <f>IFERROR(VLOOKUP(A:A,信息流数据源!A:N,9,FALSE),0)</f>
        <v>0</v>
      </c>
      <c r="T139" s="3">
        <f>IFERROR(VLOOKUP(A:A,信息流数据源!A:N,13,FALSE),0)</f>
        <v>0</v>
      </c>
      <c r="U139" s="73">
        <f>IFERROR(VLOOKUP(A:A,信息流数据源!A:N,14,FALSE),0)</f>
        <v>0</v>
      </c>
      <c r="V139" s="74">
        <f>IFERROR(VLOOKUP(A:A,信息流数据源!A:O,15,FALSE),0)</f>
        <v>0</v>
      </c>
      <c r="W139" s="3">
        <f>IFERROR(VLOOKUP(A:A,搜索数据源!A:T,2,FALSE),0)</f>
        <v>0</v>
      </c>
      <c r="X139" s="71">
        <f>IFERROR(VLOOKUP(A:A,搜索数据源!A:T,5,FALSE),0)</f>
        <v>0</v>
      </c>
      <c r="Y139" s="73">
        <f>IFERROR(VLOOKUP(A:A,搜索数据源!A:T,6,FALSE),0)</f>
        <v>0</v>
      </c>
      <c r="Z139" s="3">
        <f>IFERROR(VLOOKUP(A:A,搜索数据源!A:T,9,FALSE),0)</f>
        <v>0</v>
      </c>
      <c r="AA139" s="3" t="e">
        <f>VLOOKUP(A:A,[1]搜索数据源!A:T,13,FALSE)</f>
        <v>#N/A</v>
      </c>
      <c r="AB139" s="72">
        <f>IFERROR(VLOOKUP(A:A,搜索数据源!A:T,14,FALSE),0)</f>
        <v>0</v>
      </c>
      <c r="AC139" s="78" t="str">
        <f>_xlfn.DISPIMG("ID_8399BC5D079D4ADD93E056260D4D67B6",1)</f>
        <v>=DISPIMG("ID_8399BC5D079D4ADD93E056260D4D67B6",1)</v>
      </c>
      <c r="AD139" s="4" t="s">
        <v>487</v>
      </c>
      <c r="AE139" s="79">
        <v>44729</v>
      </c>
      <c r="AF139" s="3">
        <v>2489.03</v>
      </c>
      <c r="AG139" s="2">
        <v>13028</v>
      </c>
      <c r="AH139" s="69" t="str">
        <f>_xlfn.DISPIMG("ID_E6EF8EA15A4143EA871A6103BD4DBBA4",1)</f>
        <v>=DISPIMG("ID_E6EF8EA15A4143EA871A6103BD4DBBA4",1)</v>
      </c>
      <c r="AI139" s="4" t="s">
        <v>485</v>
      </c>
      <c r="AJ139" s="4">
        <v>63</v>
      </c>
      <c r="AK139" s="4">
        <v>41</v>
      </c>
      <c r="AL139" s="4">
        <f t="shared" si="9"/>
        <v>-22</v>
      </c>
      <c r="AM139" s="81">
        <f t="shared" si="10"/>
        <v>-113.137727272727</v>
      </c>
      <c r="AN139" s="5">
        <f>IFERROR(VLOOKUP(A:A,回搜数据源!B:N,4,FALSE),0)</f>
        <v>0</v>
      </c>
      <c r="AO139" s="5">
        <f>IFERROR(VLOOKUP(A:A,回搜数据源!B:N,5,FALSE),0)</f>
        <v>0</v>
      </c>
    </row>
    <row r="140" s="57" customFormat="1" ht="100" hidden="1" customHeight="1" spans="1:41">
      <c r="A140" s="4" t="s">
        <v>565</v>
      </c>
      <c r="B140" s="3" t="str">
        <f>VLOOKUP(A:A,笔记匹配!A:N,5,FALSE)</f>
        <v>=DISPIMG("ID_D99C6198D5C74758A2AE3F74C958BBC4",1)</v>
      </c>
      <c r="C140" s="30" t="str">
        <f>VLOOKUP(A:A,笔记匹配!A:N,3,FALSE)</f>
        <v>林然Tolyn</v>
      </c>
      <c r="D140" s="30" t="str">
        <f>VLOOKUP(A:A,笔记匹配!A:N,6,FALSE)</f>
        <v>分享一下我健身后肌肉放松方法&amp;自用筋膜枪</v>
      </c>
      <c r="E140" s="30" t="str">
        <f>VLOOKUP(A:A,笔记匹配!A:N,7,FALSE)</f>
        <v>https://www.xiaohongshu.com/discovery/item/6322ec9800000000080096e6</v>
      </c>
      <c r="F140" s="65">
        <f>VLOOKUP(A:A,笔记匹配!A:N,8,FALSE)</f>
        <v>44820</v>
      </c>
      <c r="G140" s="66" t="str">
        <f>VLOOKUP(A:A,笔记匹配!A:P,15,FALSE)</f>
        <v>2022-09-19</v>
      </c>
      <c r="H140" s="30" t="str">
        <f>VLOOKUP(A:A,笔记匹配!A:N,9,FALSE)</f>
        <v>图文</v>
      </c>
      <c r="I140" s="30" t="str">
        <f>VLOOKUP(A:A,笔记匹配!A:N,2,FALSE)</f>
        <v>筋膜枪</v>
      </c>
      <c r="J140" s="30" t="str">
        <f>VLOOKUP(A:A,笔记匹配!A:N,4,FALSE)</f>
        <v>云麦筋膜枪</v>
      </c>
      <c r="K140" s="30" t="str">
        <f>VLOOKUP(A:A,笔记匹配!A:N,14,FALSE)</f>
        <v>云麦筋膜枪pb2</v>
      </c>
      <c r="L140" s="3">
        <f>VLOOKUP(A:A,笔记匹配!A:N,10,FALSE)</f>
        <v>148</v>
      </c>
      <c r="M140" s="3">
        <f>VLOOKUP(A:A,笔记匹配!A:N,11,FALSE)</f>
        <v>15</v>
      </c>
      <c r="N140" s="69">
        <f>VLOOKUP(A:A,笔记匹配!A:N,12,FALSE)</f>
        <v>16</v>
      </c>
      <c r="O140" s="2">
        <f t="shared" si="11"/>
        <v>179</v>
      </c>
      <c r="P140" s="3">
        <f>IFERROR(VLOOKUP(A:A,信息流数据源!A:K,2,FALSE),0)</f>
        <v>0</v>
      </c>
      <c r="Q140" s="71">
        <f>IFERROR(VLOOKUP(A:A,信息流数据源!A:N,5,FALSE),0)</f>
        <v>0</v>
      </c>
      <c r="R140" s="72">
        <f>IFERROR(VLOOKUP(A:A,信息流数据源!A:N,6,FALSE),0)</f>
        <v>0</v>
      </c>
      <c r="S140" s="2">
        <f>IFERROR(VLOOKUP(A:A,信息流数据源!A:N,9,FALSE),0)</f>
        <v>0</v>
      </c>
      <c r="T140" s="3">
        <f>IFERROR(VLOOKUP(A:A,信息流数据源!A:N,13,FALSE),0)</f>
        <v>0</v>
      </c>
      <c r="U140" s="73">
        <f>IFERROR(VLOOKUP(A:A,信息流数据源!A:N,14,FALSE),0)</f>
        <v>0</v>
      </c>
      <c r="V140" s="74">
        <f>IFERROR(VLOOKUP(A:A,信息流数据源!A:O,15,FALSE),0)</f>
        <v>0</v>
      </c>
      <c r="W140" s="3">
        <f>IFERROR(VLOOKUP(A:A,搜索数据源!A:T,2,FALSE),0)</f>
        <v>0</v>
      </c>
      <c r="X140" s="71">
        <f>IFERROR(VLOOKUP(A:A,搜索数据源!A:T,5,FALSE),0)</f>
        <v>0</v>
      </c>
      <c r="Y140" s="73">
        <f>IFERROR(VLOOKUP(A:A,搜索数据源!A:T,6,FALSE),0)</f>
        <v>0</v>
      </c>
      <c r="Z140" s="3">
        <f>IFERROR(VLOOKUP(A:A,搜索数据源!A:T,9,FALSE),0)</f>
        <v>0</v>
      </c>
      <c r="AA140" s="3" t="e">
        <f>VLOOKUP(A:A,[1]搜索数据源!A:T,13,FALSE)</f>
        <v>#N/A</v>
      </c>
      <c r="AB140" s="72">
        <f>IFERROR(VLOOKUP(A:A,搜索数据源!A:T,14,FALSE),0)</f>
        <v>0</v>
      </c>
      <c r="AC140" s="69" t="str">
        <f>_xlfn.DISPIMG("ID_3B0CF08AD2D1453BBDA16FB7F92D26A0",1)</f>
        <v>=DISPIMG("ID_3B0CF08AD2D1453BBDA16FB7F92D26A0",1)</v>
      </c>
      <c r="AD140" s="4" t="s">
        <v>566</v>
      </c>
      <c r="AE140" s="69"/>
      <c r="AF140" s="77"/>
      <c r="AG140" s="2"/>
      <c r="AH140" s="69"/>
      <c r="AI140" s="4"/>
      <c r="AJ140" s="4"/>
      <c r="AK140" s="4"/>
      <c r="AL140" s="4">
        <f t="shared" si="9"/>
        <v>0</v>
      </c>
      <c r="AM140" s="81">
        <f t="shared" si="10"/>
        <v>0</v>
      </c>
      <c r="AN140" s="5">
        <f>IFERROR(VLOOKUP(A:A,回搜数据源!B:N,4,FALSE),0)</f>
        <v>0.000144029958231312</v>
      </c>
      <c r="AO140" s="5">
        <f>IFERROR(VLOOKUP(A:A,回搜数据源!B:N,5,FALSE),0)</f>
        <v>0</v>
      </c>
    </row>
    <row r="141" s="57" customFormat="1" ht="100" hidden="1" customHeight="1" spans="1:41">
      <c r="A141" s="4" t="s">
        <v>317</v>
      </c>
      <c r="B141" s="3" t="str">
        <f>VLOOKUP(A:A,笔记匹配!A:N,5,FALSE)</f>
        <v>=DISPIMG("ID_A998E6330287486692FB53338417D55B",1)</v>
      </c>
      <c r="C141" s="30" t="str">
        <f>VLOOKUP(A:A,笔记匹配!A:N,3,FALSE)</f>
        <v>小乔您了</v>
      </c>
      <c r="D141" s="30" t="str">
        <f>VLOOKUP(A:A,笔记匹配!A:N,6,FALSE)</f>
        <v>🆘哭了！筋膜枪细【脂包肌】小腿被我悟明白了！</v>
      </c>
      <c r="E141" s="30" t="str">
        <f>VLOOKUP(A:A,笔记匹配!A:N,7,FALSE)</f>
        <v>https://www.xiaohongshu.com/discovery/item/6322ac1f000000001200fd50</v>
      </c>
      <c r="F141" s="65">
        <f>VLOOKUP(A:A,笔记匹配!A:N,8,FALSE)</f>
        <v>44819</v>
      </c>
      <c r="G141" s="66" t="str">
        <f>VLOOKUP(A:A,笔记匹配!A:P,15,FALSE)</f>
        <v>2022-09-18</v>
      </c>
      <c r="H141" s="30" t="str">
        <f>VLOOKUP(A:A,笔记匹配!A:N,9,FALSE)</f>
        <v>图文</v>
      </c>
      <c r="I141" s="30" t="str">
        <f>VLOOKUP(A:A,笔记匹配!A:N,2,FALSE)</f>
        <v>筋膜枪</v>
      </c>
      <c r="J141" s="30" t="str">
        <f>VLOOKUP(A:A,笔记匹配!A:N,4,FALSE)</f>
        <v>云麦筋膜枪pb2</v>
      </c>
      <c r="K141" s="30" t="str">
        <f>VLOOKUP(A:A,笔记匹配!A:N,14,FALSE)</f>
        <v>云麦筋膜枪pb2</v>
      </c>
      <c r="L141" s="3">
        <f>VLOOKUP(A:A,笔记匹配!A:N,10,FALSE)</f>
        <v>1367</v>
      </c>
      <c r="M141" s="3">
        <f>VLOOKUP(A:A,笔记匹配!A:N,11,FALSE)</f>
        <v>474</v>
      </c>
      <c r="N141" s="69">
        <f>VLOOKUP(A:A,笔记匹配!A:N,12,FALSE)</f>
        <v>42</v>
      </c>
      <c r="O141" s="2">
        <f t="shared" si="11"/>
        <v>1883</v>
      </c>
      <c r="P141" s="3">
        <f>IFERROR(VLOOKUP(A:A,信息流数据源!A:K,2,FALSE),0)</f>
        <v>0</v>
      </c>
      <c r="Q141" s="71">
        <f>IFERROR(VLOOKUP(A:A,信息流数据源!A:N,5,FALSE),0)</f>
        <v>0</v>
      </c>
      <c r="R141" s="72">
        <f>IFERROR(VLOOKUP(A:A,信息流数据源!A:N,6,FALSE),0)</f>
        <v>0</v>
      </c>
      <c r="S141" s="2">
        <f>IFERROR(VLOOKUP(A:A,信息流数据源!A:N,9,FALSE),0)</f>
        <v>0</v>
      </c>
      <c r="T141" s="3">
        <f>IFERROR(VLOOKUP(A:A,信息流数据源!A:N,13,FALSE),0)</f>
        <v>0</v>
      </c>
      <c r="U141" s="73">
        <f>IFERROR(VLOOKUP(A:A,信息流数据源!A:N,14,FALSE),0)</f>
        <v>0</v>
      </c>
      <c r="V141" s="74">
        <f>IFERROR(VLOOKUP(A:A,信息流数据源!A:O,15,FALSE),0)</f>
        <v>0</v>
      </c>
      <c r="W141" s="3">
        <f>IFERROR(VLOOKUP(A:A,搜索数据源!A:T,2,FALSE),0)</f>
        <v>0</v>
      </c>
      <c r="X141" s="71">
        <f>IFERROR(VLOOKUP(A:A,搜索数据源!A:T,5,FALSE),0)</f>
        <v>0</v>
      </c>
      <c r="Y141" s="73">
        <f>IFERROR(VLOOKUP(A:A,搜索数据源!A:T,6,FALSE),0)</f>
        <v>0</v>
      </c>
      <c r="Z141" s="3">
        <f>IFERROR(VLOOKUP(A:A,搜索数据源!A:T,9,FALSE),0)</f>
        <v>0</v>
      </c>
      <c r="AA141" s="3" t="e">
        <f>VLOOKUP(A:A,[1]搜索数据源!A:T,13,FALSE)</f>
        <v>#N/A</v>
      </c>
      <c r="AB141" s="72">
        <f>IFERROR(VLOOKUP(A:A,搜索数据源!A:T,14,FALSE),0)</f>
        <v>0</v>
      </c>
      <c r="AC141" s="69" t="str">
        <f>_xlfn.DISPIMG("ID_A92D5EC19C2146D5B4F858EC4D95DC9F",1)</f>
        <v>=DISPIMG("ID_A92D5EC19C2146D5B4F858EC4D95DC9F",1)</v>
      </c>
      <c r="AD141" s="4" t="s">
        <v>567</v>
      </c>
      <c r="AE141" s="69"/>
      <c r="AF141" s="77"/>
      <c r="AG141" s="2"/>
      <c r="AH141" s="69"/>
      <c r="AI141" s="4"/>
      <c r="AJ141" s="4"/>
      <c r="AK141" s="4"/>
      <c r="AL141" s="4">
        <f t="shared" si="9"/>
        <v>0</v>
      </c>
      <c r="AM141" s="81">
        <f t="shared" si="10"/>
        <v>0</v>
      </c>
      <c r="AN141" s="5">
        <f>IFERROR(VLOOKUP(A:A,回搜数据源!B:N,4,FALSE),0)</f>
        <v>0.00372803124445233</v>
      </c>
      <c r="AO141" s="5">
        <f>IFERROR(VLOOKUP(A:A,回搜数据源!B:N,5,FALSE),0)</f>
        <v>0</v>
      </c>
    </row>
    <row r="142" s="57" customFormat="1" ht="100" hidden="1" customHeight="1" spans="1:41">
      <c r="A142" s="4" t="s">
        <v>490</v>
      </c>
      <c r="B142" s="3" t="str">
        <f>VLOOKUP(A:A,笔记匹配!A:N,5,FALSE)</f>
        <v>=DISPIMG("ID_BC91049A639C4F8082BFF5D9BAEB73FC",1)</v>
      </c>
      <c r="C142" s="30" t="str">
        <f>VLOOKUP(A:A,笔记匹配!A:N,3,FALSE)</f>
        <v>丫丫小姐姐</v>
      </c>
      <c r="D142" s="30" t="str">
        <f>VLOOKUP(A:A,笔记匹配!A:N,6,FALSE)</f>
        <v>产后辣妈恢复秘诀 | 学会这样跳不瘦都不行</v>
      </c>
      <c r="E142" s="30" t="str">
        <f>VLOOKUP(A:A,笔记匹配!A:N,7,FALSE)</f>
        <v>https://www.xiaohongshu.com/discovery/item/629434dd0000000021038af3</v>
      </c>
      <c r="F142" s="65">
        <f>VLOOKUP(A:A,笔记匹配!A:N,8,FALSE)</f>
        <v>44711</v>
      </c>
      <c r="G142" s="66" t="str">
        <f>VLOOKUP(A:A,笔记匹配!A:P,15,FALSE)</f>
        <v>2022-06-08</v>
      </c>
      <c r="H142" s="30" t="str">
        <f>VLOOKUP(A:A,笔记匹配!A:N,9,FALSE)</f>
        <v>视频</v>
      </c>
      <c r="I142" s="30" t="str">
        <f>VLOOKUP(A:A,笔记匹配!A:N,2,FALSE)</f>
        <v>跳绳</v>
      </c>
      <c r="J142" s="30" t="str">
        <f>VLOOKUP(A:A,笔记匹配!A:N,4,FALSE)</f>
        <v>云麦心率跳绳</v>
      </c>
      <c r="K142" s="30" t="str">
        <f>VLOOKUP(A:A,笔记匹配!A:N,14,FALSE)</f>
        <v>云麦心率跳绳</v>
      </c>
      <c r="L142" s="3">
        <f>VLOOKUP(A:A,笔记匹配!A:N,10,FALSE)</f>
        <v>613</v>
      </c>
      <c r="M142" s="3">
        <f>VLOOKUP(A:A,笔记匹配!A:N,11,FALSE)</f>
        <v>287</v>
      </c>
      <c r="N142" s="69">
        <f>VLOOKUP(A:A,笔记匹配!A:N,12,FALSE)</f>
        <v>53</v>
      </c>
      <c r="O142" s="2">
        <f t="shared" si="11"/>
        <v>953</v>
      </c>
      <c r="P142" s="3">
        <f>IFERROR(VLOOKUP(A:A,信息流数据源!A:K,2,FALSE),0)</f>
        <v>0</v>
      </c>
      <c r="Q142" s="71">
        <f>IFERROR(VLOOKUP(A:A,信息流数据源!A:N,5,FALSE),0)</f>
        <v>0</v>
      </c>
      <c r="R142" s="72">
        <f>IFERROR(VLOOKUP(A:A,信息流数据源!A:N,6,FALSE),0)</f>
        <v>0</v>
      </c>
      <c r="S142" s="2">
        <f>IFERROR(VLOOKUP(A:A,信息流数据源!A:N,9,FALSE),0)</f>
        <v>0</v>
      </c>
      <c r="T142" s="3">
        <f>IFERROR(VLOOKUP(A:A,信息流数据源!A:N,13,FALSE),0)</f>
        <v>0</v>
      </c>
      <c r="U142" s="73">
        <f>IFERROR(VLOOKUP(A:A,信息流数据源!A:N,14,FALSE),0)</f>
        <v>0</v>
      </c>
      <c r="V142" s="74">
        <f>IFERROR(VLOOKUP(A:A,信息流数据源!A:O,15,FALSE),0)</f>
        <v>0</v>
      </c>
      <c r="W142" s="3">
        <f>IFERROR(VLOOKUP(A:A,搜索数据源!A:T,2,FALSE),0)</f>
        <v>0</v>
      </c>
      <c r="X142" s="71">
        <f>IFERROR(VLOOKUP(A:A,搜索数据源!A:T,5,FALSE),0)</f>
        <v>0</v>
      </c>
      <c r="Y142" s="73">
        <f>IFERROR(VLOOKUP(A:A,搜索数据源!A:T,6,FALSE),0)</f>
        <v>0</v>
      </c>
      <c r="Z142" s="3">
        <f>IFERROR(VLOOKUP(A:A,搜索数据源!A:T,9,FALSE),0)</f>
        <v>0</v>
      </c>
      <c r="AA142" s="3" t="e">
        <f>VLOOKUP(A:A,[1]搜索数据源!A:T,13,FALSE)</f>
        <v>#N/A</v>
      </c>
      <c r="AB142" s="72">
        <f>IFERROR(VLOOKUP(A:A,搜索数据源!A:T,14,FALSE),0)</f>
        <v>0</v>
      </c>
      <c r="AC142" s="69"/>
      <c r="AD142" s="69"/>
      <c r="AE142" s="69"/>
      <c r="AF142" s="69"/>
      <c r="AG142" s="2"/>
      <c r="AH142" s="69"/>
      <c r="AI142" s="69"/>
      <c r="AJ142" s="69"/>
      <c r="AK142" s="69"/>
      <c r="AL142" s="4">
        <f t="shared" si="9"/>
        <v>0</v>
      </c>
      <c r="AM142" s="81">
        <f t="shared" si="10"/>
        <v>0</v>
      </c>
      <c r="AN142" s="5">
        <f>IFERROR(VLOOKUP(A:A,回搜数据源!B:N,4,FALSE),0)</f>
        <v>0</v>
      </c>
      <c r="AO142" s="5">
        <f>IFERROR(VLOOKUP(A:A,回搜数据源!B:N,5,FALSE),0)</f>
        <v>0</v>
      </c>
    </row>
    <row r="143" s="57" customFormat="1" ht="100" hidden="1" customHeight="1" spans="1:41">
      <c r="A143" s="4" t="s">
        <v>491</v>
      </c>
      <c r="B143" s="3" t="str">
        <f>VLOOKUP(A:A,笔记匹配!A:N,5,FALSE)</f>
        <v>=DISPIMG("ID_BFCE16E47C0240E7920BE3C01EDCFA38",1)</v>
      </c>
      <c r="C143" s="30" t="str">
        <f>VLOOKUP(A:A,笔记匹配!A:N,3,FALSE)</f>
        <v>辣妈含含</v>
      </c>
      <c r="D143" s="30" t="str">
        <f>VLOOKUP(A:A,笔记匹配!A:N,6,FALSE)</f>
        <v>辣妈养成|产后重回少女身材～</v>
      </c>
      <c r="E143" s="30" t="str">
        <f>VLOOKUP(A:A,笔记匹配!A:N,7,FALSE)</f>
        <v>https://www.xiaohongshu.com/discovery/item/6299f16c000000000102ddd2</v>
      </c>
      <c r="F143" s="65">
        <f>VLOOKUP(A:A,笔记匹配!A:N,8,FALSE)</f>
        <v>44715</v>
      </c>
      <c r="G143" s="66" t="str">
        <f>VLOOKUP(A:A,笔记匹配!A:P,15,FALSE)</f>
        <v>2022-06-07</v>
      </c>
      <c r="H143" s="30" t="str">
        <f>VLOOKUP(A:A,笔记匹配!A:N,9,FALSE)</f>
        <v>图文</v>
      </c>
      <c r="I143" s="30" t="str">
        <f>VLOOKUP(A:A,笔记匹配!A:N,2,FALSE)</f>
        <v>体脂秤</v>
      </c>
      <c r="J143" s="30" t="str">
        <f>VLOOKUP(A:A,笔记匹配!A:N,4,FALSE)</f>
        <v>云麦体脂秤3</v>
      </c>
      <c r="K143" s="30" t="str">
        <f>VLOOKUP(A:A,笔记匹配!A:N,14,FALSE)</f>
        <v>云麦体脂秤3</v>
      </c>
      <c r="L143" s="3">
        <f>VLOOKUP(A:A,笔记匹配!A:N,10,FALSE)</f>
        <v>208</v>
      </c>
      <c r="M143" s="3">
        <f>VLOOKUP(A:A,笔记匹配!A:N,11,FALSE)</f>
        <v>48</v>
      </c>
      <c r="N143" s="69">
        <f>VLOOKUP(A:A,笔记匹配!A:N,12,FALSE)</f>
        <v>50</v>
      </c>
      <c r="O143" s="2">
        <f t="shared" si="11"/>
        <v>306</v>
      </c>
      <c r="P143" s="3">
        <f>IFERROR(VLOOKUP(A:A,信息流数据源!A:K,2,FALSE),0)</f>
        <v>0</v>
      </c>
      <c r="Q143" s="71">
        <f>IFERROR(VLOOKUP(A:A,信息流数据源!A:N,5,FALSE),0)</f>
        <v>0</v>
      </c>
      <c r="R143" s="72">
        <f>IFERROR(VLOOKUP(A:A,信息流数据源!A:N,6,FALSE),0)</f>
        <v>0</v>
      </c>
      <c r="S143" s="2">
        <f>IFERROR(VLOOKUP(A:A,信息流数据源!A:N,9,FALSE),0)</f>
        <v>0</v>
      </c>
      <c r="T143" s="3">
        <f>IFERROR(VLOOKUP(A:A,信息流数据源!A:N,13,FALSE),0)</f>
        <v>0</v>
      </c>
      <c r="U143" s="73">
        <f>IFERROR(VLOOKUP(A:A,信息流数据源!A:N,14,FALSE),0)</f>
        <v>0</v>
      </c>
      <c r="V143" s="74">
        <f>IFERROR(VLOOKUP(A:A,信息流数据源!A:O,15,FALSE),0)</f>
        <v>0</v>
      </c>
      <c r="W143" s="3">
        <f>IFERROR(VLOOKUP(A:A,搜索数据源!A:T,2,FALSE),0)</f>
        <v>0</v>
      </c>
      <c r="X143" s="71">
        <f>IFERROR(VLOOKUP(A:A,搜索数据源!A:T,5,FALSE),0)</f>
        <v>0</v>
      </c>
      <c r="Y143" s="73">
        <f>IFERROR(VLOOKUP(A:A,搜索数据源!A:T,6,FALSE),0)</f>
        <v>0</v>
      </c>
      <c r="Z143" s="3">
        <f>IFERROR(VLOOKUP(A:A,搜索数据源!A:T,9,FALSE),0)</f>
        <v>0</v>
      </c>
      <c r="AA143" s="3" t="e">
        <f>VLOOKUP(A:A,[1]搜索数据源!A:T,13,FALSE)</f>
        <v>#N/A</v>
      </c>
      <c r="AB143" s="72">
        <f>IFERROR(VLOOKUP(A:A,搜索数据源!A:T,14,FALSE),0)</f>
        <v>0</v>
      </c>
      <c r="AC143" s="69" t="str">
        <f>_xlfn.DISPIMG("ID_31EAA9283F004F138FC7C62691F571A2",1)</f>
        <v>=DISPIMG("ID_31EAA9283F004F138FC7C62691F571A2",1)</v>
      </c>
      <c r="AD143" s="4" t="s">
        <v>492</v>
      </c>
      <c r="AE143" s="75">
        <v>44720</v>
      </c>
      <c r="AF143" s="3">
        <v>740.76</v>
      </c>
      <c r="AG143" s="2">
        <v>9020</v>
      </c>
      <c r="AH143" s="69" t="str">
        <f>_xlfn.DISPIMG("ID_F0EC91AE9CB947018B020B2C5D585439",1)</f>
        <v>=DISPIMG("ID_F0EC91AE9CB947018B020B2C5D585439",1)</v>
      </c>
      <c r="AI143" s="4" t="s">
        <v>493</v>
      </c>
      <c r="AJ143" s="4">
        <v>17</v>
      </c>
      <c r="AK143" s="4">
        <v>16</v>
      </c>
      <c r="AL143" s="4">
        <f t="shared" si="9"/>
        <v>-1</v>
      </c>
      <c r="AM143" s="81">
        <f t="shared" si="10"/>
        <v>-740.76</v>
      </c>
      <c r="AN143" s="5">
        <f>IFERROR(VLOOKUP(A:A,回搜数据源!B:N,4,FALSE),0)</f>
        <v>0</v>
      </c>
      <c r="AO143" s="5">
        <f>IFERROR(VLOOKUP(A:A,回搜数据源!B:N,5,FALSE),0)</f>
        <v>0</v>
      </c>
    </row>
    <row r="144" s="57" customFormat="1" ht="100" hidden="1" customHeight="1" spans="1:41">
      <c r="A144" s="4" t="s">
        <v>494</v>
      </c>
      <c r="B144" s="3" t="str">
        <f>VLOOKUP(A:A,笔记匹配!A:N,5,FALSE)</f>
        <v>=DISPIMG("ID_DBC9865B846140CE9AC57F3C931BA171",1)</v>
      </c>
      <c r="C144" s="30" t="str">
        <f>VLOOKUP(A:A,笔记匹配!A:N,3,FALSE)</f>
        <v>凯琳KatherineW</v>
      </c>
      <c r="D144" s="30" t="str">
        <f>VLOOKUP(A:A,笔记匹配!A:N,6,FALSE)</f>
        <v>无绳卡点暴汗230卡跟练 ｜小基数瘦腿瘦全身</v>
      </c>
      <c r="E144" s="30" t="str">
        <f>VLOOKUP(A:A,笔记匹配!A:N,7,FALSE)</f>
        <v>https://www.xiaohongshu.com/discovery/item/6290b2bb0000000021036eee</v>
      </c>
      <c r="F144" s="65">
        <f>VLOOKUP(A:A,笔记匹配!A:N,8,FALSE)</f>
        <v>44709</v>
      </c>
      <c r="G144" s="66" t="str">
        <f>VLOOKUP(A:A,笔记匹配!A:P,15,FALSE)</f>
        <v>2022-06-07</v>
      </c>
      <c r="H144" s="30" t="str">
        <f>VLOOKUP(A:A,笔记匹配!A:N,9,FALSE)</f>
        <v>视频</v>
      </c>
      <c r="I144" s="30" t="str">
        <f>VLOOKUP(A:A,笔记匹配!A:N,2,FALSE)</f>
        <v>跳绳</v>
      </c>
      <c r="J144" s="30" t="str">
        <f>VLOOKUP(A:A,笔记匹配!A:N,4,FALSE)</f>
        <v>云麦心率跳绳</v>
      </c>
      <c r="K144" s="30" t="str">
        <f>VLOOKUP(A:A,笔记匹配!A:N,14,FALSE)</f>
        <v>云麦心率跳绳</v>
      </c>
      <c r="L144" s="3">
        <f>VLOOKUP(A:A,笔记匹配!A:N,10,FALSE)</f>
        <v>846</v>
      </c>
      <c r="M144" s="3">
        <f>VLOOKUP(A:A,笔记匹配!A:N,11,FALSE)</f>
        <v>786</v>
      </c>
      <c r="N144" s="69">
        <f>VLOOKUP(A:A,笔记匹配!A:N,12,FALSE)</f>
        <v>105</v>
      </c>
      <c r="O144" s="2">
        <f t="shared" si="11"/>
        <v>1737</v>
      </c>
      <c r="P144" s="3">
        <f>IFERROR(VLOOKUP(A:A,信息流数据源!A:K,2,FALSE),0)</f>
        <v>0</v>
      </c>
      <c r="Q144" s="71">
        <f>IFERROR(VLOOKUP(A:A,信息流数据源!A:N,5,FALSE),0)</f>
        <v>0</v>
      </c>
      <c r="R144" s="72">
        <f>IFERROR(VLOOKUP(A:A,信息流数据源!A:N,6,FALSE),0)</f>
        <v>0</v>
      </c>
      <c r="S144" s="2">
        <f>IFERROR(VLOOKUP(A:A,信息流数据源!A:N,9,FALSE),0)</f>
        <v>0</v>
      </c>
      <c r="T144" s="3">
        <f>IFERROR(VLOOKUP(A:A,信息流数据源!A:N,13,FALSE),0)</f>
        <v>0</v>
      </c>
      <c r="U144" s="73">
        <f>IFERROR(VLOOKUP(A:A,信息流数据源!A:N,14,FALSE),0)</f>
        <v>0</v>
      </c>
      <c r="V144" s="74">
        <f>IFERROR(VLOOKUP(A:A,信息流数据源!A:O,15,FALSE),0)</f>
        <v>0</v>
      </c>
      <c r="W144" s="3">
        <f>IFERROR(VLOOKUP(A:A,搜索数据源!A:T,2,FALSE),0)</f>
        <v>0</v>
      </c>
      <c r="X144" s="71">
        <f>IFERROR(VLOOKUP(A:A,搜索数据源!A:T,5,FALSE),0)</f>
        <v>0</v>
      </c>
      <c r="Y144" s="73">
        <f>IFERROR(VLOOKUP(A:A,搜索数据源!A:T,6,FALSE),0)</f>
        <v>0</v>
      </c>
      <c r="Z144" s="3">
        <f>IFERROR(VLOOKUP(A:A,搜索数据源!A:T,9,FALSE),0)</f>
        <v>0</v>
      </c>
      <c r="AA144" s="3" t="e">
        <f>VLOOKUP(A:A,[1]搜索数据源!A:T,13,FALSE)</f>
        <v>#N/A</v>
      </c>
      <c r="AB144" s="72">
        <f>IFERROR(VLOOKUP(A:A,搜索数据源!A:T,14,FALSE),0)</f>
        <v>0</v>
      </c>
      <c r="AC144" s="69"/>
      <c r="AD144" s="69"/>
      <c r="AE144" s="69"/>
      <c r="AF144" s="69"/>
      <c r="AG144" s="2"/>
      <c r="AH144" s="69"/>
      <c r="AI144" s="69"/>
      <c r="AJ144" s="69"/>
      <c r="AK144" s="69"/>
      <c r="AL144" s="4">
        <f t="shared" si="9"/>
        <v>0</v>
      </c>
      <c r="AM144" s="81">
        <f t="shared" si="10"/>
        <v>0</v>
      </c>
      <c r="AN144" s="5">
        <f>IFERROR(VLOOKUP(A:A,回搜数据源!B:N,4,FALSE),0)</f>
        <v>0</v>
      </c>
      <c r="AO144" s="5">
        <f>IFERROR(VLOOKUP(A:A,回搜数据源!B:N,5,FALSE),0)</f>
        <v>0</v>
      </c>
    </row>
    <row r="145" s="57" customFormat="1" ht="100" hidden="1" customHeight="1" spans="1:41">
      <c r="A145" s="4" t="s">
        <v>568</v>
      </c>
      <c r="B145" s="3" t="str">
        <f>VLOOKUP(A:A,笔记匹配!A:N,5,FALSE)</f>
        <v>=DISPIMG("ID_ED8BBB70FF11457E8A3E0A34E2226CC8",1)</v>
      </c>
      <c r="C145" s="30" t="str">
        <f>VLOOKUP(A:A,笔记匹配!A:N,3,FALSE)</f>
        <v>小刘爱游泳</v>
      </c>
      <c r="D145" s="30" t="str">
        <f>VLOOKUP(A:A,笔记匹配!A:N,6,FALSE)</f>
        <v>游泳后全身酸痛怎么办？拉伸&amp;筋膜枪按摩</v>
      </c>
      <c r="E145" s="30" t="str">
        <f>VLOOKUP(A:A,笔记匹配!A:N,7,FALSE)</f>
        <v>https://www.xiaohongshu.com/discovery/item/631e1af0000000001801b519</v>
      </c>
      <c r="F145" s="65">
        <f>VLOOKUP(A:A,笔记匹配!A:N,8,FALSE)</f>
        <v>44819</v>
      </c>
      <c r="G145" s="66" t="str">
        <f>VLOOKUP(A:A,笔记匹配!A:P,15,FALSE)</f>
        <v>2022-09-16</v>
      </c>
      <c r="H145" s="30" t="str">
        <f>VLOOKUP(A:A,笔记匹配!A:N,9,FALSE)</f>
        <v>视频</v>
      </c>
      <c r="I145" s="30" t="str">
        <f>VLOOKUP(A:A,笔记匹配!A:N,2,FALSE)</f>
        <v>筋膜枪</v>
      </c>
      <c r="J145" s="30" t="str">
        <f>VLOOKUP(A:A,笔记匹配!A:N,4,FALSE)</f>
        <v>云麦筋膜枪pb2</v>
      </c>
      <c r="K145" s="30" t="str">
        <f>VLOOKUP(A:A,笔记匹配!A:N,14,FALSE)</f>
        <v>云麦筋膜枪pb2</v>
      </c>
      <c r="L145" s="3">
        <f>VLOOKUP(A:A,笔记匹配!A:N,10,FALSE)</f>
        <v>92</v>
      </c>
      <c r="M145" s="3">
        <f>VLOOKUP(A:A,笔记匹配!A:N,11,FALSE)</f>
        <v>29</v>
      </c>
      <c r="N145" s="69">
        <f>VLOOKUP(A:A,笔记匹配!A:N,12,FALSE)</f>
        <v>25</v>
      </c>
      <c r="O145" s="2">
        <f t="shared" si="11"/>
        <v>146</v>
      </c>
      <c r="P145" s="3">
        <f>IFERROR(VLOOKUP(A:A,信息流数据源!A:K,2,FALSE),0)</f>
        <v>0</v>
      </c>
      <c r="Q145" s="71">
        <f>IFERROR(VLOOKUP(A:A,信息流数据源!A:N,5,FALSE),0)</f>
        <v>0</v>
      </c>
      <c r="R145" s="72">
        <f>IFERROR(VLOOKUP(A:A,信息流数据源!A:N,6,FALSE),0)</f>
        <v>0</v>
      </c>
      <c r="S145" s="2">
        <f>IFERROR(VLOOKUP(A:A,信息流数据源!A:N,9,FALSE),0)</f>
        <v>0</v>
      </c>
      <c r="T145" s="3">
        <f>IFERROR(VLOOKUP(A:A,信息流数据源!A:N,13,FALSE),0)</f>
        <v>0</v>
      </c>
      <c r="U145" s="73">
        <f>IFERROR(VLOOKUP(A:A,信息流数据源!A:N,14,FALSE),0)</f>
        <v>0</v>
      </c>
      <c r="V145" s="74">
        <f>IFERROR(VLOOKUP(A:A,信息流数据源!A:O,15,FALSE),0)</f>
        <v>0</v>
      </c>
      <c r="W145" s="3">
        <f>IFERROR(VLOOKUP(A:A,搜索数据源!A:T,2,FALSE),0)</f>
        <v>0</v>
      </c>
      <c r="X145" s="71">
        <f>IFERROR(VLOOKUP(A:A,搜索数据源!A:T,5,FALSE),0)</f>
        <v>0</v>
      </c>
      <c r="Y145" s="73">
        <f>IFERROR(VLOOKUP(A:A,搜索数据源!A:T,6,FALSE),0)</f>
        <v>0</v>
      </c>
      <c r="Z145" s="3">
        <f>IFERROR(VLOOKUP(A:A,搜索数据源!A:T,9,FALSE),0)</f>
        <v>0</v>
      </c>
      <c r="AA145" s="3" t="e">
        <f>VLOOKUP(A:A,[1]搜索数据源!A:T,13,FALSE)</f>
        <v>#N/A</v>
      </c>
      <c r="AB145" s="72">
        <f>IFERROR(VLOOKUP(A:A,搜索数据源!A:T,14,FALSE),0)</f>
        <v>0</v>
      </c>
      <c r="AC145" s="69" t="str">
        <f>_xlfn.DISPIMG("ID_A92D5EC19C2146D5B4F858EC4D95DC9F",1)</f>
        <v>=DISPIMG("ID_A92D5EC19C2146D5B4F858EC4D95DC9F",1)</v>
      </c>
      <c r="AD145" s="4" t="s">
        <v>567</v>
      </c>
      <c r="AE145" s="75">
        <v>44823</v>
      </c>
      <c r="AF145" s="3">
        <v>1441.34</v>
      </c>
      <c r="AG145" s="2">
        <v>2801</v>
      </c>
      <c r="AH145" s="69" t="str">
        <f>_xlfn.DISPIMG("ID_BC44B5DC4B1A44779E5E7D556EBE0804",1)</f>
        <v>=DISPIMG("ID_BC44B5DC4B1A44779E5E7D556EBE0804",1)</v>
      </c>
      <c r="AI145" s="4" t="s">
        <v>569</v>
      </c>
      <c r="AJ145" s="4">
        <v>51</v>
      </c>
      <c r="AK145" s="4">
        <v>44</v>
      </c>
      <c r="AL145" s="4">
        <f t="shared" si="9"/>
        <v>-7</v>
      </c>
      <c r="AM145" s="81">
        <f t="shared" si="10"/>
        <v>-205.905714285714</v>
      </c>
      <c r="AN145" s="5">
        <f>IFERROR(VLOOKUP(A:A,回搜数据源!B:N,4,FALSE),0)</f>
        <v>0.00119617224880382</v>
      </c>
      <c r="AO145" s="5">
        <f>IFERROR(VLOOKUP(A:A,回搜数据源!B:N,5,FALSE),0)</f>
        <v>0</v>
      </c>
    </row>
    <row r="146" s="57" customFormat="1" ht="100" hidden="1" customHeight="1" spans="1:41">
      <c r="A146" s="4" t="s">
        <v>496</v>
      </c>
      <c r="B146" s="3" t="str">
        <f>VLOOKUP(A:A,笔记匹配!A:N,5,FALSE)</f>
        <v>=DISPIMG("ID_0863F6F3D76E4126964EA98D320D31FE",1)</v>
      </c>
      <c r="C146" s="30" t="str">
        <f>VLOOKUP(A:A,笔记匹配!A:N,3,FALSE)</f>
        <v>杨大大的预备辣妹日记</v>
      </c>
      <c r="D146" s="30" t="str">
        <f>VLOOKUP(A:A,笔记匹配!A:N,6,FALSE)</f>
        <v>130-110斤跳绳不复胖‼️间歇性跳绳减脂快</v>
      </c>
      <c r="E146" s="30" t="str">
        <f>VLOOKUP(A:A,笔记匹配!A:N,7,FALSE)</f>
        <v>https://www.xiaohongshu.com/discovery/item/629700ce000000002103529c</v>
      </c>
      <c r="F146" s="65">
        <f>VLOOKUP(A:A,笔记匹配!A:N,8,FALSE)</f>
        <v>44713</v>
      </c>
      <c r="G146" s="66" t="str">
        <f>VLOOKUP(A:A,笔记匹配!A:P,15,FALSE)</f>
        <v>2022-06-07</v>
      </c>
      <c r="H146" s="30" t="str">
        <f>VLOOKUP(A:A,笔记匹配!A:N,9,FALSE)</f>
        <v>图文</v>
      </c>
      <c r="I146" s="30" t="str">
        <f>VLOOKUP(A:A,笔记匹配!A:N,2,FALSE)</f>
        <v>跳绳</v>
      </c>
      <c r="J146" s="30" t="str">
        <f>VLOOKUP(A:A,笔记匹配!A:N,4,FALSE)</f>
        <v>云麦心率跳绳</v>
      </c>
      <c r="K146" s="30" t="str">
        <f>VLOOKUP(A:A,笔记匹配!A:N,14,FALSE)</f>
        <v>云麦心率跳绳</v>
      </c>
      <c r="L146" s="3">
        <f>VLOOKUP(A:A,笔记匹配!A:N,10,FALSE)</f>
        <v>505</v>
      </c>
      <c r="M146" s="3">
        <f>VLOOKUP(A:A,笔记匹配!A:N,11,FALSE)</f>
        <v>127</v>
      </c>
      <c r="N146" s="69">
        <f>VLOOKUP(A:A,笔记匹配!A:N,12,FALSE)</f>
        <v>55</v>
      </c>
      <c r="O146" s="2">
        <f t="shared" si="11"/>
        <v>687</v>
      </c>
      <c r="P146" s="3">
        <f>IFERROR(VLOOKUP(A:A,信息流数据源!A:K,2,FALSE),0)</f>
        <v>0</v>
      </c>
      <c r="Q146" s="71">
        <f>IFERROR(VLOOKUP(A:A,信息流数据源!A:N,5,FALSE),0)</f>
        <v>0</v>
      </c>
      <c r="R146" s="72">
        <f>IFERROR(VLOOKUP(A:A,信息流数据源!A:N,6,FALSE),0)</f>
        <v>0</v>
      </c>
      <c r="S146" s="2">
        <f>IFERROR(VLOOKUP(A:A,信息流数据源!A:N,9,FALSE),0)</f>
        <v>0</v>
      </c>
      <c r="T146" s="3">
        <f>IFERROR(VLOOKUP(A:A,信息流数据源!A:N,13,FALSE),0)</f>
        <v>0</v>
      </c>
      <c r="U146" s="73">
        <f>IFERROR(VLOOKUP(A:A,信息流数据源!A:N,14,FALSE),0)</f>
        <v>0</v>
      </c>
      <c r="V146" s="74">
        <f>IFERROR(VLOOKUP(A:A,信息流数据源!A:O,15,FALSE),0)</f>
        <v>0</v>
      </c>
      <c r="W146" s="3">
        <f>IFERROR(VLOOKUP(A:A,搜索数据源!A:T,2,FALSE),0)</f>
        <v>0</v>
      </c>
      <c r="X146" s="71">
        <f>IFERROR(VLOOKUP(A:A,搜索数据源!A:T,5,FALSE),0)</f>
        <v>0</v>
      </c>
      <c r="Y146" s="73">
        <f>IFERROR(VLOOKUP(A:A,搜索数据源!A:T,6,FALSE),0)</f>
        <v>0</v>
      </c>
      <c r="Z146" s="3">
        <f>IFERROR(VLOOKUP(A:A,搜索数据源!A:T,9,FALSE),0)</f>
        <v>0</v>
      </c>
      <c r="AA146" s="3" t="e">
        <f>VLOOKUP(A:A,[1]搜索数据源!A:T,13,FALSE)</f>
        <v>#N/A</v>
      </c>
      <c r="AB146" s="72">
        <f>IFERROR(VLOOKUP(A:A,搜索数据源!A:T,14,FALSE),0)</f>
        <v>0</v>
      </c>
      <c r="AC146" s="69"/>
      <c r="AD146" s="69"/>
      <c r="AE146" s="69"/>
      <c r="AF146" s="69"/>
      <c r="AG146" s="2"/>
      <c r="AH146" s="69"/>
      <c r="AI146" s="69"/>
      <c r="AJ146" s="69"/>
      <c r="AK146" s="69"/>
      <c r="AL146" s="4">
        <f t="shared" si="9"/>
        <v>0</v>
      </c>
      <c r="AM146" s="81">
        <f t="shared" si="10"/>
        <v>0</v>
      </c>
      <c r="AN146" s="5">
        <f>IFERROR(VLOOKUP(A:A,回搜数据源!B:N,4,FALSE),0)</f>
        <v>0</v>
      </c>
      <c r="AO146" s="5">
        <f>IFERROR(VLOOKUP(A:A,回搜数据源!B:N,5,FALSE),0)</f>
        <v>0</v>
      </c>
    </row>
    <row r="147" s="57" customFormat="1" ht="100" hidden="1" customHeight="1" spans="1:41">
      <c r="A147" s="4" t="s">
        <v>497</v>
      </c>
      <c r="B147" s="3" t="str">
        <f>VLOOKUP(A:A,笔记匹配!A:N,5,FALSE)</f>
        <v>=DISPIMG("ID_A4D8C9FA751B4AE19BB35B45CBE37910",1)</v>
      </c>
      <c r="C147" s="30" t="str">
        <f>VLOOKUP(A:A,笔记匹配!A:N,3,FALSE)</f>
        <v>小方今天瘦了吗</v>
      </c>
      <c r="D147" s="30" t="str">
        <f>VLOOKUP(A:A,笔记匹配!A:N,6,FALSE)</f>
        <v>大基数无运动节食减45斤 （饮食习惯/食谱‼️）</v>
      </c>
      <c r="E147" s="30" t="str">
        <f>VLOOKUP(A:A,笔记匹配!A:N,7,FALSE)</f>
        <v>https://www.xiaohongshu.com/discovery/item/629714e6000000000102d6c7</v>
      </c>
      <c r="F147" s="65">
        <f>VLOOKUP(A:A,笔记匹配!A:N,8,FALSE)</f>
        <v>44715</v>
      </c>
      <c r="G147" s="66" t="str">
        <f>VLOOKUP(A:A,笔记匹配!A:P,15,FALSE)</f>
        <v>2022-06-06</v>
      </c>
      <c r="H147" s="30" t="str">
        <f>VLOOKUP(A:A,笔记匹配!A:N,9,FALSE)</f>
        <v>图文</v>
      </c>
      <c r="I147" s="30" t="str">
        <f>VLOOKUP(A:A,笔记匹配!A:N,2,FALSE)</f>
        <v>体脂秤</v>
      </c>
      <c r="J147" s="30" t="str">
        <f>VLOOKUP(A:A,笔记匹配!A:N,4,FALSE)</f>
        <v>云麦3mini</v>
      </c>
      <c r="K147" s="30" t="str">
        <f>VLOOKUP(A:A,笔记匹配!A:N,14,FALSE)</f>
        <v>云麦体脂秤3mini</v>
      </c>
      <c r="L147" s="3">
        <f>VLOOKUP(A:A,笔记匹配!A:N,10,FALSE)</f>
        <v>8147</v>
      </c>
      <c r="M147" s="3">
        <f>VLOOKUP(A:A,笔记匹配!A:N,11,FALSE)</f>
        <v>2997</v>
      </c>
      <c r="N147" s="69">
        <f>VLOOKUP(A:A,笔记匹配!A:N,12,FALSE)</f>
        <v>128</v>
      </c>
      <c r="O147" s="2">
        <f t="shared" si="11"/>
        <v>11272</v>
      </c>
      <c r="P147" s="3">
        <f>IFERROR(VLOOKUP(A:A,信息流数据源!A:K,2,FALSE),0)</f>
        <v>0</v>
      </c>
      <c r="Q147" s="71">
        <f>IFERROR(VLOOKUP(A:A,信息流数据源!A:N,5,FALSE),0)</f>
        <v>0</v>
      </c>
      <c r="R147" s="72">
        <f>IFERROR(VLOOKUP(A:A,信息流数据源!A:N,6,FALSE),0)</f>
        <v>0</v>
      </c>
      <c r="S147" s="2">
        <f>IFERROR(VLOOKUP(A:A,信息流数据源!A:N,9,FALSE),0)</f>
        <v>0</v>
      </c>
      <c r="T147" s="3">
        <f>IFERROR(VLOOKUP(A:A,信息流数据源!A:N,13,FALSE),0)</f>
        <v>0</v>
      </c>
      <c r="U147" s="73">
        <f>IFERROR(VLOOKUP(A:A,信息流数据源!A:N,14,FALSE),0)</f>
        <v>0</v>
      </c>
      <c r="V147" s="74">
        <f>IFERROR(VLOOKUP(A:A,信息流数据源!A:O,15,FALSE),0)</f>
        <v>0</v>
      </c>
      <c r="W147" s="3">
        <f>IFERROR(VLOOKUP(A:A,搜索数据源!A:T,2,FALSE),0)</f>
        <v>0</v>
      </c>
      <c r="X147" s="71">
        <f>IFERROR(VLOOKUP(A:A,搜索数据源!A:T,5,FALSE),0)</f>
        <v>0</v>
      </c>
      <c r="Y147" s="73">
        <f>IFERROR(VLOOKUP(A:A,搜索数据源!A:T,6,FALSE),0)</f>
        <v>0</v>
      </c>
      <c r="Z147" s="3">
        <f>IFERROR(VLOOKUP(A:A,搜索数据源!A:T,9,FALSE),0)</f>
        <v>0</v>
      </c>
      <c r="AA147" s="3" t="e">
        <f>VLOOKUP(A:A,[1]搜索数据源!A:T,13,FALSE)</f>
        <v>#N/A</v>
      </c>
      <c r="AB147" s="72">
        <f>IFERROR(VLOOKUP(A:A,搜索数据源!A:T,14,FALSE),0)</f>
        <v>0</v>
      </c>
      <c r="AC147" s="69" t="str">
        <f>_xlfn.DISPIMG("ID_1034192FF6D24A35BA2AB63042529B33",1)</f>
        <v>=DISPIMG("ID_1034192FF6D24A35BA2AB63042529B33",1)</v>
      </c>
      <c r="AD147" s="4" t="s">
        <v>484</v>
      </c>
      <c r="AE147" s="75">
        <v>44718</v>
      </c>
      <c r="AF147" s="69">
        <v>1008.88</v>
      </c>
      <c r="AG147" s="2">
        <v>6237</v>
      </c>
      <c r="AH147" s="69" t="str">
        <f>_xlfn.DISPIMG("ID_0A784B5CA28D4622AC9E0F791A57A2B7",1)</f>
        <v>=DISPIMG("ID_0A784B5CA28D4622AC9E0F791A57A2B7",1)</v>
      </c>
      <c r="AI147" s="4" t="s">
        <v>498</v>
      </c>
      <c r="AJ147" s="69">
        <v>3</v>
      </c>
      <c r="AK147" s="69">
        <v>2</v>
      </c>
      <c r="AL147" s="4">
        <f t="shared" si="9"/>
        <v>-1</v>
      </c>
      <c r="AM147" s="81">
        <f t="shared" si="10"/>
        <v>-1008.88</v>
      </c>
      <c r="AN147" s="5">
        <f>IFERROR(VLOOKUP(A:A,回搜数据源!B:N,4,FALSE),0)</f>
        <v>0</v>
      </c>
      <c r="AO147" s="5">
        <f>IFERROR(VLOOKUP(A:A,回搜数据源!B:N,5,FALSE),0)</f>
        <v>0</v>
      </c>
    </row>
    <row r="148" s="57" customFormat="1" ht="100" hidden="1" customHeight="1" spans="1:41">
      <c r="A148" s="4" t="s">
        <v>499</v>
      </c>
      <c r="B148" s="3" t="str">
        <f>VLOOKUP(A:A,笔记匹配!A:N,5,FALSE)</f>
        <v>=DISPIMG("ID_68AB6A29AFB4448CBDDD3EC7968307FA",1)</v>
      </c>
      <c r="C148" s="30" t="str">
        <f>VLOOKUP(A:A,笔记匹配!A:N,3,FALSE)</f>
        <v>威风凛凛小队长</v>
      </c>
      <c r="D148" s="30" t="str">
        <f>VLOOKUP(A:A,笔记匹配!A:N,6,FALSE)</f>
        <v>被你们形容的“肥美多脂”气哭了</v>
      </c>
      <c r="E148" s="30" t="str">
        <f>VLOOKUP(A:A,笔记匹配!A:N,7,FALSE)</f>
        <v>https://www.xiaohongshu.com/discovery/item/62903659000000000102fa9a</v>
      </c>
      <c r="F148" s="65">
        <f>VLOOKUP(A:A,笔记匹配!A:N,8,FALSE)</f>
        <v>44708</v>
      </c>
      <c r="G148" s="66" t="str">
        <f>VLOOKUP(A:A,笔记匹配!A:P,15,FALSE)</f>
        <v>2022-06-02</v>
      </c>
      <c r="H148" s="30" t="str">
        <f>VLOOKUP(A:A,笔记匹配!A:N,9,FALSE)</f>
        <v>图文</v>
      </c>
      <c r="I148" s="30" t="str">
        <f>VLOOKUP(A:A,笔记匹配!A:N,2,FALSE)</f>
        <v>体脂秤</v>
      </c>
      <c r="J148" s="30" t="str">
        <f>VLOOKUP(A:A,笔记匹配!A:N,4,FALSE)</f>
        <v>云麦体脂秤3</v>
      </c>
      <c r="K148" s="30" t="str">
        <f>VLOOKUP(A:A,笔记匹配!A:N,14,FALSE)</f>
        <v>云麦体脂秤3</v>
      </c>
      <c r="L148" s="3">
        <f>VLOOKUP(A:A,笔记匹配!A:N,10,FALSE)</f>
        <v>229</v>
      </c>
      <c r="M148" s="3">
        <f>VLOOKUP(A:A,笔记匹配!A:N,11,FALSE)</f>
        <v>24</v>
      </c>
      <c r="N148" s="69">
        <f>VLOOKUP(A:A,笔记匹配!A:N,12,FALSE)</f>
        <v>38</v>
      </c>
      <c r="O148" s="2">
        <f t="shared" si="11"/>
        <v>291</v>
      </c>
      <c r="P148" s="3">
        <f>IFERROR(VLOOKUP(A:A,信息流数据源!A:K,2,FALSE),0)</f>
        <v>0</v>
      </c>
      <c r="Q148" s="71">
        <f>IFERROR(VLOOKUP(A:A,信息流数据源!A:N,5,FALSE),0)</f>
        <v>0</v>
      </c>
      <c r="R148" s="72">
        <f>IFERROR(VLOOKUP(A:A,信息流数据源!A:N,6,FALSE),0)</f>
        <v>0</v>
      </c>
      <c r="S148" s="2">
        <f>IFERROR(VLOOKUP(A:A,信息流数据源!A:N,9,FALSE),0)</f>
        <v>0</v>
      </c>
      <c r="T148" s="3">
        <f>IFERROR(VLOOKUP(A:A,信息流数据源!A:N,13,FALSE),0)</f>
        <v>0</v>
      </c>
      <c r="U148" s="73">
        <f>IFERROR(VLOOKUP(A:A,信息流数据源!A:N,14,FALSE),0)</f>
        <v>0</v>
      </c>
      <c r="V148" s="74">
        <f>IFERROR(VLOOKUP(A:A,信息流数据源!A:O,15,FALSE),0)</f>
        <v>0</v>
      </c>
      <c r="W148" s="3">
        <f>IFERROR(VLOOKUP(A:A,搜索数据源!A:T,2,FALSE),0)</f>
        <v>0</v>
      </c>
      <c r="X148" s="71">
        <f>IFERROR(VLOOKUP(A:A,搜索数据源!A:T,5,FALSE),0)</f>
        <v>0</v>
      </c>
      <c r="Y148" s="73">
        <f>IFERROR(VLOOKUP(A:A,搜索数据源!A:T,6,FALSE),0)</f>
        <v>0</v>
      </c>
      <c r="Z148" s="3">
        <f>IFERROR(VLOOKUP(A:A,搜索数据源!A:T,9,FALSE),0)</f>
        <v>0</v>
      </c>
      <c r="AA148" s="3" t="e">
        <f>VLOOKUP(A:A,[1]搜索数据源!A:T,13,FALSE)</f>
        <v>#N/A</v>
      </c>
      <c r="AB148" s="72">
        <f>IFERROR(VLOOKUP(A:A,搜索数据源!A:T,14,FALSE),0)</f>
        <v>0</v>
      </c>
      <c r="AC148" s="69" t="str">
        <f>_xlfn.DISPIMG("ID_DE3C1B4D698547C1B43CF76158F26370",1)</f>
        <v>=DISPIMG("ID_DE3C1B4D698547C1B43CF76158F26370",1)</v>
      </c>
      <c r="AD148" s="4" t="s">
        <v>500</v>
      </c>
      <c r="AE148" s="69"/>
      <c r="AF148" s="69"/>
      <c r="AG148" s="2"/>
      <c r="AH148" s="69"/>
      <c r="AI148" s="69"/>
      <c r="AJ148" s="69"/>
      <c r="AK148" s="69"/>
      <c r="AL148" s="4">
        <f t="shared" si="9"/>
        <v>0</v>
      </c>
      <c r="AM148" s="81">
        <f t="shared" si="10"/>
        <v>0</v>
      </c>
      <c r="AN148" s="5">
        <f>IFERROR(VLOOKUP(A:A,回搜数据源!B:N,4,FALSE),0)</f>
        <v>0</v>
      </c>
      <c r="AO148" s="5">
        <f>IFERROR(VLOOKUP(A:A,回搜数据源!B:N,5,FALSE),0)</f>
        <v>0</v>
      </c>
    </row>
    <row r="149" s="57" customFormat="1" ht="100" hidden="1" customHeight="1" spans="1:41">
      <c r="A149" s="4" t="s">
        <v>501</v>
      </c>
      <c r="B149" s="3" t="str">
        <f>VLOOKUP(A:A,笔记匹配!A:N,5,FALSE)</f>
        <v>=DISPIMG("ID_07852D61A3D64963B2C2DFFE5AB3FCF1",1)</v>
      </c>
      <c r="C149" s="30" t="str">
        <f>VLOOKUP(A:A,笔记匹配!A:N,3,FALSE)</f>
        <v>咕咕猪小短腿</v>
      </c>
      <c r="D149" s="30" t="str">
        <f>VLOOKUP(A:A,笔记匹配!A:N,6,FALSE)</f>
        <v>笑死！一到称重就心虚到没耳朵</v>
      </c>
      <c r="E149" s="30" t="str">
        <f>VLOOKUP(A:A,笔记匹配!A:N,7,FALSE)</f>
        <v>https://www.xiaohongshu.com/discovery/item/6290c4360000000021036385</v>
      </c>
      <c r="F149" s="65">
        <f>VLOOKUP(A:A,笔记匹配!A:N,8,FALSE)</f>
        <v>44709</v>
      </c>
      <c r="G149" s="66" t="str">
        <f>VLOOKUP(A:A,笔记匹配!A:P,15,FALSE)</f>
        <v>2022-06-02</v>
      </c>
      <c r="H149" s="30" t="str">
        <f>VLOOKUP(A:A,笔记匹配!A:N,9,FALSE)</f>
        <v>图文</v>
      </c>
      <c r="I149" s="30" t="str">
        <f>VLOOKUP(A:A,笔记匹配!A:N,2,FALSE)</f>
        <v>体脂秤</v>
      </c>
      <c r="J149" s="30" t="str">
        <f>VLOOKUP(A:A,笔记匹配!A:N,4,FALSE)</f>
        <v>云麦体脂秤3</v>
      </c>
      <c r="K149" s="30" t="str">
        <f>VLOOKUP(A:A,笔记匹配!A:N,14,FALSE)</f>
        <v>云麦体脂秤3</v>
      </c>
      <c r="L149" s="3">
        <f>VLOOKUP(A:A,笔记匹配!A:N,10,FALSE)</f>
        <v>309</v>
      </c>
      <c r="M149" s="3">
        <f>VLOOKUP(A:A,笔记匹配!A:N,11,FALSE)</f>
        <v>27</v>
      </c>
      <c r="N149" s="69">
        <f>VLOOKUP(A:A,笔记匹配!A:N,12,FALSE)</f>
        <v>40</v>
      </c>
      <c r="O149" s="2">
        <f t="shared" si="11"/>
        <v>376</v>
      </c>
      <c r="P149" s="3">
        <f>IFERROR(VLOOKUP(A:A,信息流数据源!A:K,2,FALSE),0)</f>
        <v>0</v>
      </c>
      <c r="Q149" s="71">
        <f>IFERROR(VLOOKUP(A:A,信息流数据源!A:N,5,FALSE),0)</f>
        <v>0</v>
      </c>
      <c r="R149" s="72">
        <f>IFERROR(VLOOKUP(A:A,信息流数据源!A:N,6,FALSE),0)</f>
        <v>0</v>
      </c>
      <c r="S149" s="2">
        <f>IFERROR(VLOOKUP(A:A,信息流数据源!A:N,9,FALSE),0)</f>
        <v>0</v>
      </c>
      <c r="T149" s="3">
        <f>IFERROR(VLOOKUP(A:A,信息流数据源!A:N,13,FALSE),0)</f>
        <v>0</v>
      </c>
      <c r="U149" s="73">
        <f>IFERROR(VLOOKUP(A:A,信息流数据源!A:N,14,FALSE),0)</f>
        <v>0</v>
      </c>
      <c r="V149" s="74">
        <f>IFERROR(VLOOKUP(A:A,信息流数据源!A:O,15,FALSE),0)</f>
        <v>0</v>
      </c>
      <c r="W149" s="3">
        <f>IFERROR(VLOOKUP(A:A,搜索数据源!A:T,2,FALSE),0)</f>
        <v>0</v>
      </c>
      <c r="X149" s="71">
        <f>IFERROR(VLOOKUP(A:A,搜索数据源!A:T,5,FALSE),0)</f>
        <v>0</v>
      </c>
      <c r="Y149" s="73">
        <f>IFERROR(VLOOKUP(A:A,搜索数据源!A:T,6,FALSE),0)</f>
        <v>0</v>
      </c>
      <c r="Z149" s="3">
        <f>IFERROR(VLOOKUP(A:A,搜索数据源!A:T,9,FALSE),0)</f>
        <v>0</v>
      </c>
      <c r="AA149" s="3" t="e">
        <f>VLOOKUP(A:A,[1]搜索数据源!A:T,13,FALSE)</f>
        <v>#N/A</v>
      </c>
      <c r="AB149" s="72">
        <f>IFERROR(VLOOKUP(A:A,搜索数据源!A:T,14,FALSE),0)</f>
        <v>0</v>
      </c>
      <c r="AC149" s="69" t="str">
        <f>_xlfn.DISPIMG("ID_80798C44F1A641339EDD644D16DAF1F6",1)</f>
        <v>=DISPIMG("ID_80798C44F1A641339EDD644D16DAF1F6",1)</v>
      </c>
      <c r="AD149" s="4" t="s">
        <v>502</v>
      </c>
      <c r="AE149" s="75">
        <v>44717</v>
      </c>
      <c r="AF149" s="3">
        <v>960.65</v>
      </c>
      <c r="AG149" s="2">
        <v>18650</v>
      </c>
      <c r="AH149" s="69" t="str">
        <f>_xlfn.DISPIMG("ID_7291C0B4AB3E491AA828C926A2586E31",1)</f>
        <v>=DISPIMG("ID_7291C0B4AB3E491AA828C926A2586E31",1)</v>
      </c>
      <c r="AI149" s="4" t="s">
        <v>503</v>
      </c>
      <c r="AJ149" s="4">
        <v>9</v>
      </c>
      <c r="AK149" s="4">
        <v>8</v>
      </c>
      <c r="AL149" s="4">
        <f t="shared" si="9"/>
        <v>-1</v>
      </c>
      <c r="AM149" s="81">
        <f t="shared" si="10"/>
        <v>-960.65</v>
      </c>
      <c r="AN149" s="5">
        <f>IFERROR(VLOOKUP(A:A,回搜数据源!B:N,4,FALSE),0)</f>
        <v>0</v>
      </c>
      <c r="AO149" s="5">
        <f>IFERROR(VLOOKUP(A:A,回搜数据源!B:N,5,FALSE),0)</f>
        <v>0</v>
      </c>
    </row>
    <row r="150" s="57" customFormat="1" ht="100" hidden="1" customHeight="1" spans="1:41">
      <c r="A150" s="4" t="s">
        <v>570</v>
      </c>
      <c r="B150" s="3" t="str">
        <f>VLOOKUP(A:A,笔记匹配!A:N,5,FALSE)</f>
        <v>=DISPIMG("ID_7773324A659B44D1906950590FF95F70",1)</v>
      </c>
      <c r="C150" s="30" t="str">
        <f>VLOOKUP(A:A,笔记匹配!A:N,3,FALSE)</f>
        <v>国产收音机X</v>
      </c>
      <c r="D150" s="30" t="str">
        <f>VLOOKUP(A:A,笔记匹配!A:N,6,FALSE)</f>
        <v>别再怕爬山 / 徒步后放松教程</v>
      </c>
      <c r="E150" s="30" t="str">
        <f>VLOOKUP(A:A,笔记匹配!A:N,7,FALSE)</f>
        <v>https://www.xiaohongshu.com/discovery/item/631ff1f10000000009033b64</v>
      </c>
      <c r="F150" s="65">
        <f>VLOOKUP(A:A,笔记匹配!A:N,8,FALSE)</f>
        <v>44817</v>
      </c>
      <c r="G150" s="66" t="str">
        <f>VLOOKUP(A:A,笔记匹配!A:P,15,FALSE)</f>
        <v>2022-09-14</v>
      </c>
      <c r="H150" s="30" t="str">
        <f>VLOOKUP(A:A,笔记匹配!A:N,9,FALSE)</f>
        <v>视频</v>
      </c>
      <c r="I150" s="30" t="str">
        <f>VLOOKUP(A:A,笔记匹配!A:N,2,FALSE)</f>
        <v>筋膜枪</v>
      </c>
      <c r="J150" s="30" t="str">
        <f>VLOOKUP(A:A,笔记匹配!A:N,4,FALSE)</f>
        <v>云麦筋膜枪PB2</v>
      </c>
      <c r="K150" s="30" t="str">
        <f>VLOOKUP(A:A,笔记匹配!A:N,14,FALSE)</f>
        <v>云麦筋膜枪pb2</v>
      </c>
      <c r="L150" s="3">
        <f>VLOOKUP(A:A,笔记匹配!A:N,10,FALSE)</f>
        <v>1411</v>
      </c>
      <c r="M150" s="3">
        <f>VLOOKUP(A:A,笔记匹配!A:N,11,FALSE)</f>
        <v>367</v>
      </c>
      <c r="N150" s="69">
        <f>VLOOKUP(A:A,笔记匹配!A:N,12,FALSE)</f>
        <v>132</v>
      </c>
      <c r="O150" s="2">
        <f t="shared" si="11"/>
        <v>1910</v>
      </c>
      <c r="P150" s="3">
        <f>IFERROR(VLOOKUP(A:A,信息流数据源!A:K,2,FALSE),0)</f>
        <v>0</v>
      </c>
      <c r="Q150" s="71">
        <f>IFERROR(VLOOKUP(A:A,信息流数据源!A:N,5,FALSE),0)</f>
        <v>0</v>
      </c>
      <c r="R150" s="72">
        <f>IFERROR(VLOOKUP(A:A,信息流数据源!A:N,6,FALSE),0)</f>
        <v>0</v>
      </c>
      <c r="S150" s="2">
        <f>IFERROR(VLOOKUP(A:A,信息流数据源!A:N,9,FALSE),0)</f>
        <v>0</v>
      </c>
      <c r="T150" s="3">
        <f>IFERROR(VLOOKUP(A:A,信息流数据源!A:N,13,FALSE),0)</f>
        <v>0</v>
      </c>
      <c r="U150" s="73">
        <f>IFERROR(VLOOKUP(A:A,信息流数据源!A:N,14,FALSE),0)</f>
        <v>0</v>
      </c>
      <c r="V150" s="74">
        <f>IFERROR(VLOOKUP(A:A,信息流数据源!A:O,15,FALSE),0)</f>
        <v>0</v>
      </c>
      <c r="W150" s="3">
        <f>IFERROR(VLOOKUP(A:A,搜索数据源!A:T,2,FALSE),0)</f>
        <v>0</v>
      </c>
      <c r="X150" s="71">
        <f>IFERROR(VLOOKUP(A:A,搜索数据源!A:T,5,FALSE),0)</f>
        <v>0</v>
      </c>
      <c r="Y150" s="73">
        <f>IFERROR(VLOOKUP(A:A,搜索数据源!A:T,6,FALSE),0)</f>
        <v>0</v>
      </c>
      <c r="Z150" s="3">
        <f>IFERROR(VLOOKUP(A:A,搜索数据源!A:T,9,FALSE),0)</f>
        <v>0</v>
      </c>
      <c r="AA150" s="3" t="e">
        <f>VLOOKUP(A:A,[1]搜索数据源!A:T,13,FALSE)</f>
        <v>#N/A</v>
      </c>
      <c r="AB150" s="72">
        <f>IFERROR(VLOOKUP(A:A,搜索数据源!A:T,14,FALSE),0)</f>
        <v>0</v>
      </c>
      <c r="AC150" s="69" t="str">
        <f>_xlfn.DISPIMG("ID_D630167F3B4A4F32B9648EB7D31A75BA",1)</f>
        <v>=DISPIMG("ID_D630167F3B4A4F32B9648EB7D31A75BA",1)</v>
      </c>
      <c r="AD150" s="4" t="s">
        <v>571</v>
      </c>
      <c r="AE150" s="75">
        <v>44818</v>
      </c>
      <c r="AF150" s="3">
        <v>511.87</v>
      </c>
      <c r="AG150" s="2">
        <v>3159</v>
      </c>
      <c r="AH150" s="69" t="str">
        <f>_xlfn.DISPIMG("ID_04E2EB955D014746A0156916D2B62893",1)</f>
        <v>=DISPIMG("ID_04E2EB955D014746A0156916D2B62893",1)</v>
      </c>
      <c r="AI150" s="4" t="s">
        <v>572</v>
      </c>
      <c r="AJ150" s="4">
        <v>45</v>
      </c>
      <c r="AK150" s="4">
        <v>40</v>
      </c>
      <c r="AL150" s="4">
        <f t="shared" si="9"/>
        <v>-5</v>
      </c>
      <c r="AM150" s="81">
        <f t="shared" si="10"/>
        <v>-102.374</v>
      </c>
      <c r="AN150" s="5">
        <f>IFERROR(VLOOKUP(A:A,回搜数据源!B:N,4,FALSE),0)</f>
        <v>0.000871991628880362</v>
      </c>
      <c r="AO150" s="5">
        <f>IFERROR(VLOOKUP(A:A,回搜数据源!B:N,5,FALSE),0)</f>
        <v>0</v>
      </c>
    </row>
    <row r="151" s="57" customFormat="1" ht="100" hidden="1" customHeight="1" spans="1:41">
      <c r="A151" s="4" t="s">
        <v>504</v>
      </c>
      <c r="B151" s="3" t="str">
        <f>VLOOKUP(A:A,笔记匹配!A:N,5,FALSE)</f>
        <v>=DISPIMG("ID_26346FF0222C49A4B885C88934DD5F88",1)</v>
      </c>
      <c r="C151" s="30" t="str">
        <f>VLOOKUP(A:A,笔记匹配!A:N,3,FALSE)</f>
        <v>小菜包超幸运</v>
      </c>
      <c r="D151" s="30" t="str">
        <f>VLOOKUP(A:A,笔记匹配!A:N,6,FALSE)</f>
        <v>超全产后修复攻略✅三个阶段恢复少女身材</v>
      </c>
      <c r="E151" s="30" t="str">
        <f>VLOOKUP(A:A,笔记匹配!A:N,7,FALSE)</f>
        <v>https://www.xiaohongshu.com/discovery/item/628da6fb000000000102646e</v>
      </c>
      <c r="F151" s="65">
        <f>VLOOKUP(A:A,笔记匹配!A:N,8,FALSE)</f>
        <v>44707</v>
      </c>
      <c r="G151" s="66" t="str">
        <f>VLOOKUP(A:A,笔记匹配!A:P,15,FALSE)</f>
        <v>2022-05-31</v>
      </c>
      <c r="H151" s="30" t="str">
        <f>VLOOKUP(A:A,笔记匹配!A:N,9,FALSE)</f>
        <v>视频</v>
      </c>
      <c r="I151" s="30" t="str">
        <f>VLOOKUP(A:A,笔记匹配!A:N,2,FALSE)</f>
        <v>体脂秤</v>
      </c>
      <c r="J151" s="30" t="str">
        <f>VLOOKUP(A:A,笔记匹配!A:N,4,FALSE)</f>
        <v>云麦体脂秤3</v>
      </c>
      <c r="K151" s="30" t="str">
        <f>VLOOKUP(A:A,笔记匹配!A:N,14,FALSE)</f>
        <v>云麦体脂秤3</v>
      </c>
      <c r="L151" s="3">
        <f>VLOOKUP(A:A,笔记匹配!A:N,10,FALSE)</f>
        <v>1918</v>
      </c>
      <c r="M151" s="3">
        <f>VLOOKUP(A:A,笔记匹配!A:N,11,FALSE)</f>
        <v>2913</v>
      </c>
      <c r="N151" s="69">
        <f>VLOOKUP(A:A,笔记匹配!A:N,12,FALSE)</f>
        <v>47</v>
      </c>
      <c r="O151" s="2">
        <f t="shared" si="11"/>
        <v>4878</v>
      </c>
      <c r="P151" s="3">
        <f>IFERROR(VLOOKUP(A:A,信息流数据源!A:K,2,FALSE),0)</f>
        <v>0</v>
      </c>
      <c r="Q151" s="71">
        <f>IFERROR(VLOOKUP(A:A,信息流数据源!A:N,5,FALSE),0)</f>
        <v>0</v>
      </c>
      <c r="R151" s="72">
        <f>IFERROR(VLOOKUP(A:A,信息流数据源!A:N,6,FALSE),0)</f>
        <v>0</v>
      </c>
      <c r="S151" s="2">
        <f>IFERROR(VLOOKUP(A:A,信息流数据源!A:N,9,FALSE),0)</f>
        <v>0</v>
      </c>
      <c r="T151" s="3">
        <f>IFERROR(VLOOKUP(A:A,信息流数据源!A:N,13,FALSE),0)</f>
        <v>0</v>
      </c>
      <c r="U151" s="73">
        <f>IFERROR(VLOOKUP(A:A,信息流数据源!A:N,14,FALSE),0)</f>
        <v>0</v>
      </c>
      <c r="V151" s="74">
        <f>IFERROR(VLOOKUP(A:A,信息流数据源!A:O,15,FALSE),0)</f>
        <v>0</v>
      </c>
      <c r="W151" s="3">
        <f>IFERROR(VLOOKUP(A:A,搜索数据源!A:T,2,FALSE),0)</f>
        <v>0</v>
      </c>
      <c r="X151" s="71">
        <f>IFERROR(VLOOKUP(A:A,搜索数据源!A:T,5,FALSE),0)</f>
        <v>0</v>
      </c>
      <c r="Y151" s="73">
        <f>IFERROR(VLOOKUP(A:A,搜索数据源!A:T,6,FALSE),0)</f>
        <v>0</v>
      </c>
      <c r="Z151" s="3">
        <f>IFERROR(VLOOKUP(A:A,搜索数据源!A:T,9,FALSE),0)</f>
        <v>0</v>
      </c>
      <c r="AA151" s="3" t="e">
        <f>VLOOKUP(A:A,[1]搜索数据源!A:T,13,FALSE)</f>
        <v>#N/A</v>
      </c>
      <c r="AB151" s="72">
        <f>IFERROR(VLOOKUP(A:A,搜索数据源!A:T,14,FALSE),0)</f>
        <v>0</v>
      </c>
      <c r="AC151" s="69" t="str">
        <f>_xlfn.DISPIMG("ID_3D3B2CD87069478F9E49591B053FA8A4",1)</f>
        <v>=DISPIMG("ID_3D3B2CD87069478F9E49591B053FA8A4",1)</v>
      </c>
      <c r="AD151" s="4" t="s">
        <v>505</v>
      </c>
      <c r="AE151" s="75">
        <v>44714</v>
      </c>
      <c r="AF151" s="3">
        <v>1514.56</v>
      </c>
      <c r="AG151" s="2">
        <v>3853</v>
      </c>
      <c r="AH151" s="69" t="str">
        <f>_xlfn.DISPIMG("ID_C9FC57E2C9E340CBAAABC67AC3C5A924",1)</f>
        <v>=DISPIMG("ID_C9FC57E2C9E340CBAAABC67AC3C5A924",1)</v>
      </c>
      <c r="AI151" s="4" t="s">
        <v>506</v>
      </c>
      <c r="AJ151" s="4">
        <v>11</v>
      </c>
      <c r="AK151" s="4">
        <v>12</v>
      </c>
      <c r="AL151" s="4">
        <f t="shared" ref="AL151:AL168" si="12">AK151-AJ151</f>
        <v>1</v>
      </c>
      <c r="AM151" s="81">
        <f t="shared" ref="AM151:AM168" si="13">IFERROR(AF151/AL151,0)</f>
        <v>1514.56</v>
      </c>
      <c r="AN151" s="5">
        <f>IFERROR(VLOOKUP(A:A,回搜数据源!B:N,4,FALSE),0)</f>
        <v>0</v>
      </c>
      <c r="AO151" s="5">
        <f>IFERROR(VLOOKUP(A:A,回搜数据源!B:N,5,FALSE),0)</f>
        <v>0</v>
      </c>
    </row>
    <row r="152" s="57" customFormat="1" ht="100" hidden="1" customHeight="1" spans="1:41">
      <c r="A152" s="4" t="s">
        <v>507</v>
      </c>
      <c r="B152" s="3" t="str">
        <f>VLOOKUP(A:A,笔记匹配!A:N,5,FALSE)</f>
        <v>=DISPIMG("ID_7E9CF1BB3AF24824AE24AFFB22C45CAB",1)</v>
      </c>
      <c r="C152" s="30" t="str">
        <f>VLOOKUP(A:A,笔记匹配!A:N,3,FALSE)</f>
        <v>Candy yoga</v>
      </c>
      <c r="D152" s="30" t="str">
        <f>VLOOKUP(A:A,笔记匹配!A:N,6,FALSE)</f>
        <v>根源性告别妈妈臀‼️/12种臀部训练解析</v>
      </c>
      <c r="E152" s="30" t="str">
        <f>VLOOKUP(A:A,笔记匹配!A:N,7,FALSE)</f>
        <v>https://www.xiaohongshu.com/discovery/item/62879826000000000102800f</v>
      </c>
      <c r="F152" s="65">
        <f>VLOOKUP(A:A,笔记匹配!A:N,8,FALSE)</f>
        <v>44703</v>
      </c>
      <c r="G152" s="66" t="str">
        <f>VLOOKUP(A:A,笔记匹配!A:P,15,FALSE)</f>
        <v>2022-05-31</v>
      </c>
      <c r="H152" s="30" t="str">
        <f>VLOOKUP(A:A,笔记匹配!A:N,9,FALSE)</f>
        <v>视频</v>
      </c>
      <c r="I152" s="30" t="str">
        <f>VLOOKUP(A:A,笔记匹配!A:N,2,FALSE)</f>
        <v>体脂秤</v>
      </c>
      <c r="J152" s="30" t="str">
        <f>VLOOKUP(A:A,笔记匹配!A:N,4,FALSE)</f>
        <v>云麦体脂秤3</v>
      </c>
      <c r="K152" s="30" t="str">
        <f>VLOOKUP(A:A,笔记匹配!A:N,14,FALSE)</f>
        <v>云麦体脂秤3</v>
      </c>
      <c r="L152" s="3">
        <f>VLOOKUP(A:A,笔记匹配!A:N,10,FALSE)</f>
        <v>1981</v>
      </c>
      <c r="M152" s="3">
        <f>VLOOKUP(A:A,笔记匹配!A:N,11,FALSE)</f>
        <v>2256</v>
      </c>
      <c r="N152" s="69">
        <f>VLOOKUP(A:A,笔记匹配!A:N,12,FALSE)</f>
        <v>44</v>
      </c>
      <c r="O152" s="2">
        <f t="shared" si="11"/>
        <v>4281</v>
      </c>
      <c r="P152" s="3">
        <f>IFERROR(VLOOKUP(A:A,信息流数据源!A:K,2,FALSE),0)</f>
        <v>0</v>
      </c>
      <c r="Q152" s="71">
        <f>IFERROR(VLOOKUP(A:A,信息流数据源!A:N,5,FALSE),0)</f>
        <v>0</v>
      </c>
      <c r="R152" s="72">
        <f>IFERROR(VLOOKUP(A:A,信息流数据源!A:N,6,FALSE),0)</f>
        <v>0</v>
      </c>
      <c r="S152" s="2">
        <f>IFERROR(VLOOKUP(A:A,信息流数据源!A:N,9,FALSE),0)</f>
        <v>0</v>
      </c>
      <c r="T152" s="3">
        <f>IFERROR(VLOOKUP(A:A,信息流数据源!A:N,13,FALSE),0)</f>
        <v>0</v>
      </c>
      <c r="U152" s="73">
        <f>IFERROR(VLOOKUP(A:A,信息流数据源!A:N,14,FALSE),0)</f>
        <v>0</v>
      </c>
      <c r="V152" s="74">
        <f>IFERROR(VLOOKUP(A:A,信息流数据源!A:O,15,FALSE),0)</f>
        <v>0</v>
      </c>
      <c r="W152" s="3">
        <f>IFERROR(VLOOKUP(A:A,搜索数据源!A:T,2,FALSE),0)</f>
        <v>0</v>
      </c>
      <c r="X152" s="71">
        <f>IFERROR(VLOOKUP(A:A,搜索数据源!A:T,5,FALSE),0)</f>
        <v>0</v>
      </c>
      <c r="Y152" s="73">
        <f>IFERROR(VLOOKUP(A:A,搜索数据源!A:T,6,FALSE),0)</f>
        <v>0</v>
      </c>
      <c r="Z152" s="3">
        <f>IFERROR(VLOOKUP(A:A,搜索数据源!A:T,9,FALSE),0)</f>
        <v>0</v>
      </c>
      <c r="AA152" s="3" t="e">
        <f>VLOOKUP(A:A,[1]搜索数据源!A:T,13,FALSE)</f>
        <v>#N/A</v>
      </c>
      <c r="AB152" s="72">
        <f>IFERROR(VLOOKUP(A:A,搜索数据源!A:T,14,FALSE),0)</f>
        <v>0</v>
      </c>
      <c r="AC152" s="69" t="str">
        <f>_xlfn.DISPIMG("ID_1D969AB2A654443188EF1A55C538BB59",1)</f>
        <v>=DISPIMG("ID_1D969AB2A654443188EF1A55C538BB59",1)</v>
      </c>
      <c r="AD152" s="4" t="s">
        <v>508</v>
      </c>
      <c r="AE152" s="69"/>
      <c r="AF152" s="69"/>
      <c r="AG152" s="2"/>
      <c r="AH152" s="69"/>
      <c r="AI152" s="69"/>
      <c r="AJ152" s="69"/>
      <c r="AK152" s="69"/>
      <c r="AL152" s="4">
        <f t="shared" si="12"/>
        <v>0</v>
      </c>
      <c r="AM152" s="81">
        <f t="shared" si="13"/>
        <v>0</v>
      </c>
      <c r="AN152" s="5">
        <f>IFERROR(VLOOKUP(A:A,回搜数据源!B:N,4,FALSE),0)</f>
        <v>0</v>
      </c>
      <c r="AO152" s="5">
        <f>IFERROR(VLOOKUP(A:A,回搜数据源!B:N,5,FALSE),0)</f>
        <v>0</v>
      </c>
    </row>
    <row r="153" s="57" customFormat="1" ht="100" hidden="1" customHeight="1" spans="1:41">
      <c r="A153" s="4" t="s">
        <v>509</v>
      </c>
      <c r="B153" s="3" t="str">
        <f>VLOOKUP(A:A,笔记匹配!A:N,5,FALSE)</f>
        <v>=DISPIMG("ID_E84951BDB7E74E6291C5FA4C8A88DC80",1)</v>
      </c>
      <c r="C153" s="30" t="str">
        <f>VLOOKUP(A:A,笔记匹配!A:N,3,FALSE)</f>
        <v>小小李</v>
      </c>
      <c r="D153" s="30" t="str">
        <f>VLOOKUP(A:A,笔记匹配!A:N,6,FALSE)</f>
        <v>4分钟跳绳TABATA | 居家高效燃脂瘦全身</v>
      </c>
      <c r="E153" s="30" t="str">
        <f>VLOOKUP(A:A,笔记匹配!A:N,7,FALSE)</f>
        <v>https://www.xiaohongshu.com/discovery/item/6290482100000000210356f2</v>
      </c>
      <c r="F153" s="65">
        <f>VLOOKUP(A:A,笔记匹配!A:N,8,FALSE)</f>
        <v>44708</v>
      </c>
      <c r="G153" s="66" t="str">
        <f>VLOOKUP(A:A,笔记匹配!A:P,15,FALSE)</f>
        <v>2022-05-31</v>
      </c>
      <c r="H153" s="30" t="str">
        <f>VLOOKUP(A:A,笔记匹配!A:N,9,FALSE)</f>
        <v>视频</v>
      </c>
      <c r="I153" s="30" t="str">
        <f>VLOOKUP(A:A,笔记匹配!A:N,2,FALSE)</f>
        <v>跳绳</v>
      </c>
      <c r="J153" s="30" t="str">
        <f>VLOOKUP(A:A,笔记匹配!A:N,4,FALSE)</f>
        <v>云麦心率跳绳</v>
      </c>
      <c r="K153" s="30" t="str">
        <f>VLOOKUP(A:A,笔记匹配!A:N,14,FALSE)</f>
        <v>云麦心率跳绳</v>
      </c>
      <c r="L153" s="3">
        <f>VLOOKUP(A:A,笔记匹配!A:N,10,FALSE)</f>
        <v>3671</v>
      </c>
      <c r="M153" s="3">
        <f>VLOOKUP(A:A,笔记匹配!A:N,11,FALSE)</f>
        <v>3397</v>
      </c>
      <c r="N153" s="69">
        <f>VLOOKUP(A:A,笔记匹配!A:N,12,FALSE)</f>
        <v>118</v>
      </c>
      <c r="O153" s="2">
        <f t="shared" si="11"/>
        <v>7186</v>
      </c>
      <c r="P153" s="3">
        <f>IFERROR(VLOOKUP(A:A,信息流数据源!A:K,2,FALSE),0)</f>
        <v>0</v>
      </c>
      <c r="Q153" s="71">
        <f>IFERROR(VLOOKUP(A:A,信息流数据源!A:N,5,FALSE),0)</f>
        <v>0</v>
      </c>
      <c r="R153" s="72">
        <f>IFERROR(VLOOKUP(A:A,信息流数据源!A:N,6,FALSE),0)</f>
        <v>0</v>
      </c>
      <c r="S153" s="2">
        <f>IFERROR(VLOOKUP(A:A,信息流数据源!A:N,9,FALSE),0)</f>
        <v>0</v>
      </c>
      <c r="T153" s="3">
        <f>IFERROR(VLOOKUP(A:A,信息流数据源!A:N,13,FALSE),0)</f>
        <v>0</v>
      </c>
      <c r="U153" s="73">
        <f>IFERROR(VLOOKUP(A:A,信息流数据源!A:N,14,FALSE),0)</f>
        <v>0</v>
      </c>
      <c r="V153" s="74">
        <f>IFERROR(VLOOKUP(A:A,信息流数据源!A:O,15,FALSE),0)</f>
        <v>0</v>
      </c>
      <c r="W153" s="3">
        <f>IFERROR(VLOOKUP(A:A,搜索数据源!A:T,2,FALSE),0)</f>
        <v>0</v>
      </c>
      <c r="X153" s="71">
        <f>IFERROR(VLOOKUP(A:A,搜索数据源!A:T,5,FALSE),0)</f>
        <v>0</v>
      </c>
      <c r="Y153" s="73">
        <f>IFERROR(VLOOKUP(A:A,搜索数据源!A:T,6,FALSE),0)</f>
        <v>0</v>
      </c>
      <c r="Z153" s="3">
        <f>IFERROR(VLOOKUP(A:A,搜索数据源!A:T,9,FALSE),0)</f>
        <v>0</v>
      </c>
      <c r="AA153" s="3" t="e">
        <f>VLOOKUP(A:A,[1]搜索数据源!A:T,13,FALSE)</f>
        <v>#N/A</v>
      </c>
      <c r="AB153" s="72">
        <f>IFERROR(VLOOKUP(A:A,搜索数据源!A:T,14,FALSE),0)</f>
        <v>0</v>
      </c>
      <c r="AC153" s="69"/>
      <c r="AD153" s="69"/>
      <c r="AE153" s="69"/>
      <c r="AF153" s="69"/>
      <c r="AG153" s="2"/>
      <c r="AH153" s="69"/>
      <c r="AI153" s="69"/>
      <c r="AJ153" s="69"/>
      <c r="AK153" s="69"/>
      <c r="AL153" s="4">
        <f t="shared" si="12"/>
        <v>0</v>
      </c>
      <c r="AM153" s="81">
        <f t="shared" si="13"/>
        <v>0</v>
      </c>
      <c r="AN153" s="5">
        <f>IFERROR(VLOOKUP(A:A,回搜数据源!B:N,4,FALSE),0)</f>
        <v>0</v>
      </c>
      <c r="AO153" s="5">
        <f>IFERROR(VLOOKUP(A:A,回搜数据源!B:N,5,FALSE),0)</f>
        <v>0</v>
      </c>
    </row>
    <row r="154" s="57" customFormat="1" ht="100" hidden="1" customHeight="1" spans="1:41">
      <c r="A154" s="4" t="s">
        <v>510</v>
      </c>
      <c r="B154" s="3" t="str">
        <f>VLOOKUP(A:A,笔记匹配!A:N,5,FALSE)</f>
        <v>=DISPIMG("ID_C56FAD1C30124E73A3F9418FFA60B44B",1)</v>
      </c>
      <c r="C154" s="30" t="str">
        <f>VLOOKUP(A:A,笔记匹配!A:N,3,FALSE)</f>
        <v>白白</v>
      </c>
      <c r="D154" s="30" t="str">
        <f>VLOOKUP(A:A,笔记匹配!A:N,6,FALSE)</f>
        <v>大腿围42 | 瘦腿还得要跳绳！</v>
      </c>
      <c r="E154" s="30" t="str">
        <f>VLOOKUP(A:A,笔记匹配!A:N,7,FALSE)</f>
        <v>https://www.xiaohongshu.com/discovery/item/628f4e490000000001027a43</v>
      </c>
      <c r="F154" s="65">
        <f>VLOOKUP(A:A,笔记匹配!A:N,8,FALSE)</f>
        <v>44708</v>
      </c>
      <c r="G154" s="66" t="str">
        <f>VLOOKUP(A:A,笔记匹配!A:P,15,FALSE)</f>
        <v>2022-05-31</v>
      </c>
      <c r="H154" s="30" t="str">
        <f>VLOOKUP(A:A,笔记匹配!A:N,9,FALSE)</f>
        <v>图文</v>
      </c>
      <c r="I154" s="30" t="str">
        <f>VLOOKUP(A:A,笔记匹配!A:N,2,FALSE)</f>
        <v>跳绳</v>
      </c>
      <c r="J154" s="30" t="str">
        <f>VLOOKUP(A:A,笔记匹配!A:N,4,FALSE)</f>
        <v>云麦心率跳绳</v>
      </c>
      <c r="K154" s="30" t="str">
        <f>VLOOKUP(A:A,笔记匹配!A:N,14,FALSE)</f>
        <v>云麦心率跳绳</v>
      </c>
      <c r="L154" s="3">
        <f>VLOOKUP(A:A,笔记匹配!A:N,10,FALSE)</f>
        <v>306</v>
      </c>
      <c r="M154" s="3">
        <f>VLOOKUP(A:A,笔记匹配!A:N,11,FALSE)</f>
        <v>139</v>
      </c>
      <c r="N154" s="69">
        <f>VLOOKUP(A:A,笔记匹配!A:N,12,FALSE)</f>
        <v>47</v>
      </c>
      <c r="O154" s="2">
        <f t="shared" si="11"/>
        <v>492</v>
      </c>
      <c r="P154" s="3">
        <f>IFERROR(VLOOKUP(A:A,信息流数据源!A:K,2,FALSE),0)</f>
        <v>0</v>
      </c>
      <c r="Q154" s="71">
        <f>IFERROR(VLOOKUP(A:A,信息流数据源!A:N,5,FALSE),0)</f>
        <v>0</v>
      </c>
      <c r="R154" s="72">
        <f>IFERROR(VLOOKUP(A:A,信息流数据源!A:N,6,FALSE),0)</f>
        <v>0</v>
      </c>
      <c r="S154" s="2">
        <f>IFERROR(VLOOKUP(A:A,信息流数据源!A:N,9,FALSE),0)</f>
        <v>0</v>
      </c>
      <c r="T154" s="3">
        <f>IFERROR(VLOOKUP(A:A,信息流数据源!A:N,13,FALSE),0)</f>
        <v>0</v>
      </c>
      <c r="U154" s="73">
        <f>IFERROR(VLOOKUP(A:A,信息流数据源!A:N,14,FALSE),0)</f>
        <v>0</v>
      </c>
      <c r="V154" s="74">
        <f>IFERROR(VLOOKUP(A:A,信息流数据源!A:O,15,FALSE),0)</f>
        <v>0</v>
      </c>
      <c r="W154" s="3">
        <f>IFERROR(VLOOKUP(A:A,搜索数据源!A:T,2,FALSE),0)</f>
        <v>0</v>
      </c>
      <c r="X154" s="71">
        <f>IFERROR(VLOOKUP(A:A,搜索数据源!A:T,5,FALSE),0)</f>
        <v>0</v>
      </c>
      <c r="Y154" s="73">
        <f>IFERROR(VLOOKUP(A:A,搜索数据源!A:T,6,FALSE),0)</f>
        <v>0</v>
      </c>
      <c r="Z154" s="3">
        <f>IFERROR(VLOOKUP(A:A,搜索数据源!A:T,9,FALSE),0)</f>
        <v>0</v>
      </c>
      <c r="AA154" s="3" t="e">
        <f>VLOOKUP(A:A,[1]搜索数据源!A:T,13,FALSE)</f>
        <v>#N/A</v>
      </c>
      <c r="AB154" s="72">
        <f>IFERROR(VLOOKUP(A:A,搜索数据源!A:T,14,FALSE),0)</f>
        <v>0</v>
      </c>
      <c r="AC154" s="69" t="str">
        <f>_xlfn.DISPIMG("ID_F53097BD070C4DC7B8BA4E7543A407A8",1)</f>
        <v>=DISPIMG("ID_F53097BD070C4DC7B8BA4E7543A407A8",1)</v>
      </c>
      <c r="AD154" s="4" t="s">
        <v>511</v>
      </c>
      <c r="AE154" s="69"/>
      <c r="AF154" s="69"/>
      <c r="AG154" s="2"/>
      <c r="AH154" s="69"/>
      <c r="AI154" s="69"/>
      <c r="AJ154" s="69"/>
      <c r="AK154" s="69"/>
      <c r="AL154" s="4">
        <f t="shared" si="12"/>
        <v>0</v>
      </c>
      <c r="AM154" s="81">
        <f t="shared" si="13"/>
        <v>0</v>
      </c>
      <c r="AN154" s="5">
        <f>IFERROR(VLOOKUP(A:A,回搜数据源!B:N,4,FALSE),0)</f>
        <v>0</v>
      </c>
      <c r="AO154" s="5">
        <f>IFERROR(VLOOKUP(A:A,回搜数据源!B:N,5,FALSE),0)</f>
        <v>0</v>
      </c>
    </row>
    <row r="155" s="57" customFormat="1" ht="100" hidden="1" customHeight="1" spans="1:41">
      <c r="A155" s="4" t="s">
        <v>512</v>
      </c>
      <c r="B155" s="3" t="str">
        <f>VLOOKUP(A:A,笔记匹配!A:N,5,FALSE)</f>
        <v>=DISPIMG("ID_6D31ADD2ABA04A7F9EEDF159CF92F014",1)</v>
      </c>
      <c r="C155" s="30" t="str">
        <f>VLOOKUP(A:A,笔记匹配!A:N,3,FALSE)</f>
        <v>爱上健身的Amy</v>
      </c>
      <c r="D155" s="30" t="str">
        <f>VLOOKUP(A:A,笔记匹配!A:N,6,FALSE)</f>
        <v>玛丽姐6分钟快速瘦肚子🔥腰围已瘦8cm</v>
      </c>
      <c r="E155" s="30" t="str">
        <f>VLOOKUP(A:A,笔记匹配!A:N,7,FALSE)</f>
        <v>https://www.xiaohongshu.com/discovery/item/6290703f000000002103d411</v>
      </c>
      <c r="F155" s="65">
        <f>VLOOKUP(A:A,笔记匹配!A:N,8,FALSE)</f>
        <v>44708</v>
      </c>
      <c r="G155" s="66" t="str">
        <f>VLOOKUP(A:A,笔记匹配!A:P,15,FALSE)</f>
        <v>2022-05-30</v>
      </c>
      <c r="H155" s="30" t="str">
        <f>VLOOKUP(A:A,笔记匹配!A:N,9,FALSE)</f>
        <v>视频</v>
      </c>
      <c r="I155" s="30" t="str">
        <f>VLOOKUP(A:A,笔记匹配!A:N,2,FALSE)</f>
        <v>体脂秤</v>
      </c>
      <c r="J155" s="30" t="str">
        <f>VLOOKUP(A:A,笔记匹配!A:N,4,FALSE)</f>
        <v>云麦体脂秤3mini</v>
      </c>
      <c r="K155" s="30" t="str">
        <f>VLOOKUP(A:A,笔记匹配!A:N,14,FALSE)</f>
        <v>云麦体脂秤3mini</v>
      </c>
      <c r="L155" s="3">
        <f>VLOOKUP(A:A,笔记匹配!A:N,10,FALSE)</f>
        <v>659</v>
      </c>
      <c r="M155" s="3">
        <f>VLOOKUP(A:A,笔记匹配!A:N,11,FALSE)</f>
        <v>727</v>
      </c>
      <c r="N155" s="69">
        <f>VLOOKUP(A:A,笔记匹配!A:N,12,FALSE)</f>
        <v>42</v>
      </c>
      <c r="O155" s="2">
        <f t="shared" si="11"/>
        <v>1428</v>
      </c>
      <c r="P155" s="3">
        <f>IFERROR(VLOOKUP(A:A,信息流数据源!A:K,2,FALSE),0)</f>
        <v>0</v>
      </c>
      <c r="Q155" s="71">
        <f>IFERROR(VLOOKUP(A:A,信息流数据源!A:N,5,FALSE),0)</f>
        <v>0</v>
      </c>
      <c r="R155" s="72">
        <f>IFERROR(VLOOKUP(A:A,信息流数据源!A:N,6,FALSE),0)</f>
        <v>0</v>
      </c>
      <c r="S155" s="2">
        <f>IFERROR(VLOOKUP(A:A,信息流数据源!A:N,9,FALSE),0)</f>
        <v>0</v>
      </c>
      <c r="T155" s="3">
        <f>IFERROR(VLOOKUP(A:A,信息流数据源!A:N,13,FALSE),0)</f>
        <v>0</v>
      </c>
      <c r="U155" s="73">
        <f>IFERROR(VLOOKUP(A:A,信息流数据源!A:N,14,FALSE),0)</f>
        <v>0</v>
      </c>
      <c r="V155" s="74">
        <f>IFERROR(VLOOKUP(A:A,信息流数据源!A:O,15,FALSE),0)</f>
        <v>0</v>
      </c>
      <c r="W155" s="3">
        <f>IFERROR(VLOOKUP(A:A,搜索数据源!A:T,2,FALSE),0)</f>
        <v>0</v>
      </c>
      <c r="X155" s="71">
        <f>IFERROR(VLOOKUP(A:A,搜索数据源!A:T,5,FALSE),0)</f>
        <v>0</v>
      </c>
      <c r="Y155" s="73">
        <f>IFERROR(VLOOKUP(A:A,搜索数据源!A:T,6,FALSE),0)</f>
        <v>0</v>
      </c>
      <c r="Z155" s="3">
        <f>IFERROR(VLOOKUP(A:A,搜索数据源!A:T,9,FALSE),0)</f>
        <v>0</v>
      </c>
      <c r="AA155" s="3" t="e">
        <f>VLOOKUP(A:A,[1]搜索数据源!A:T,13,FALSE)</f>
        <v>#N/A</v>
      </c>
      <c r="AB155" s="72">
        <f>IFERROR(VLOOKUP(A:A,搜索数据源!A:T,14,FALSE),0)</f>
        <v>0</v>
      </c>
      <c r="AC155" s="69"/>
      <c r="AD155" s="69"/>
      <c r="AE155" s="69"/>
      <c r="AF155" s="69"/>
      <c r="AG155" s="2"/>
      <c r="AH155" s="69"/>
      <c r="AI155" s="69"/>
      <c r="AJ155" s="69"/>
      <c r="AK155" s="69"/>
      <c r="AL155" s="4">
        <f t="shared" si="12"/>
        <v>0</v>
      </c>
      <c r="AM155" s="81">
        <f t="shared" si="13"/>
        <v>0</v>
      </c>
      <c r="AN155" s="5">
        <f>IFERROR(VLOOKUP(A:A,回搜数据源!B:N,4,FALSE),0)</f>
        <v>0</v>
      </c>
      <c r="AO155" s="5">
        <f>IFERROR(VLOOKUP(A:A,回搜数据源!B:N,5,FALSE),0)</f>
        <v>0</v>
      </c>
    </row>
    <row r="156" s="57" customFormat="1" ht="100" hidden="1" customHeight="1" spans="1:41">
      <c r="A156" s="4" t="s">
        <v>513</v>
      </c>
      <c r="B156" s="3" t="str">
        <f>VLOOKUP(A:A,笔记匹配!A:N,5,FALSE)</f>
        <v>=DISPIMG("ID_861F1200E18B419989945F61BD4CA04C",1)</v>
      </c>
      <c r="C156" s="30" t="str">
        <f>VLOOKUP(A:A,笔记匹配!A:N,3,FALSE)</f>
        <v>大桐yoto</v>
      </c>
      <c r="D156" s="30" t="str">
        <f>VLOOKUP(A:A,笔记匹配!A:N,6,FALSE)</f>
        <v>减肥就是要饿｜饮食和运动的完整计划在这里</v>
      </c>
      <c r="E156" s="30" t="str">
        <f>VLOOKUP(A:A,笔记匹配!A:N,7,FALSE)</f>
        <v>https://www.xiaohongshu.com/discovery/item/628c7af500000000010254ad</v>
      </c>
      <c r="F156" s="65">
        <f>VLOOKUP(A:A,笔记匹配!A:N,8,FALSE)</f>
        <v>44706</v>
      </c>
      <c r="G156" s="66" t="str">
        <f>VLOOKUP(A:A,笔记匹配!A:P,15,FALSE)</f>
        <v>2022-05-30</v>
      </c>
      <c r="H156" s="30" t="str">
        <f>VLOOKUP(A:A,笔记匹配!A:N,9,FALSE)</f>
        <v>图文</v>
      </c>
      <c r="I156" s="30" t="str">
        <f>VLOOKUP(A:A,笔记匹配!A:N,2,FALSE)</f>
        <v>跳绳</v>
      </c>
      <c r="J156" s="30" t="str">
        <f>VLOOKUP(A:A,笔记匹配!A:N,4,FALSE)</f>
        <v>云麦3mini</v>
      </c>
      <c r="K156" s="30" t="str">
        <f>VLOOKUP(A:A,笔记匹配!A:N,14,FALSE)</f>
        <v>云麦体脂秤3mini</v>
      </c>
      <c r="L156" s="3">
        <f>VLOOKUP(A:A,笔记匹配!A:N,10,FALSE)</f>
        <v>2381</v>
      </c>
      <c r="M156" s="3">
        <f>VLOOKUP(A:A,笔记匹配!A:N,11,FALSE)</f>
        <v>367</v>
      </c>
      <c r="N156" s="69">
        <f>VLOOKUP(A:A,笔记匹配!A:N,12,FALSE)</f>
        <v>284</v>
      </c>
      <c r="O156" s="2">
        <f t="shared" si="11"/>
        <v>3032</v>
      </c>
      <c r="P156" s="3">
        <f>IFERROR(VLOOKUP(A:A,信息流数据源!A:K,2,FALSE),0)</f>
        <v>0</v>
      </c>
      <c r="Q156" s="71">
        <f>IFERROR(VLOOKUP(A:A,信息流数据源!A:N,5,FALSE),0)</f>
        <v>0</v>
      </c>
      <c r="R156" s="72">
        <f>IFERROR(VLOOKUP(A:A,信息流数据源!A:N,6,FALSE),0)</f>
        <v>0</v>
      </c>
      <c r="S156" s="2">
        <f>IFERROR(VLOOKUP(A:A,信息流数据源!A:N,9,FALSE),0)</f>
        <v>0</v>
      </c>
      <c r="T156" s="3">
        <f>IFERROR(VLOOKUP(A:A,信息流数据源!A:N,13,FALSE),0)</f>
        <v>0</v>
      </c>
      <c r="U156" s="73">
        <f>IFERROR(VLOOKUP(A:A,信息流数据源!A:N,14,FALSE),0)</f>
        <v>0</v>
      </c>
      <c r="V156" s="74">
        <f>IFERROR(VLOOKUP(A:A,信息流数据源!A:O,15,FALSE),0)</f>
        <v>0</v>
      </c>
      <c r="W156" s="3">
        <f>IFERROR(VLOOKUP(A:A,搜索数据源!A:T,2,FALSE),0)</f>
        <v>0</v>
      </c>
      <c r="X156" s="71">
        <f>IFERROR(VLOOKUP(A:A,搜索数据源!A:T,5,FALSE),0)</f>
        <v>0</v>
      </c>
      <c r="Y156" s="73">
        <f>IFERROR(VLOOKUP(A:A,搜索数据源!A:T,6,FALSE),0)</f>
        <v>0</v>
      </c>
      <c r="Z156" s="3">
        <f>IFERROR(VLOOKUP(A:A,搜索数据源!A:T,9,FALSE),0)</f>
        <v>0</v>
      </c>
      <c r="AA156" s="3" t="e">
        <f>VLOOKUP(A:A,[1]搜索数据源!A:T,13,FALSE)</f>
        <v>#N/A</v>
      </c>
      <c r="AB156" s="72">
        <f>IFERROR(VLOOKUP(A:A,搜索数据源!A:T,14,FALSE),0)</f>
        <v>0</v>
      </c>
      <c r="AC156" s="69" t="str">
        <f>_xlfn.DISPIMG("ID_4EB1B77A08D64D2D9D3913736CF51A9B",1)</f>
        <v>=DISPIMG("ID_4EB1B77A08D64D2D9D3913736CF51A9B",1)</v>
      </c>
      <c r="AD156" s="4" t="s">
        <v>484</v>
      </c>
      <c r="AE156" s="75"/>
      <c r="AF156" s="75"/>
      <c r="AG156" s="2"/>
      <c r="AH156" s="69"/>
      <c r="AI156" s="69"/>
      <c r="AJ156" s="69"/>
      <c r="AK156" s="69"/>
      <c r="AL156" s="4">
        <f t="shared" si="12"/>
        <v>0</v>
      </c>
      <c r="AM156" s="81">
        <f t="shared" si="13"/>
        <v>0</v>
      </c>
      <c r="AN156" s="5">
        <f>IFERROR(VLOOKUP(A:A,回搜数据源!B:N,4,FALSE),0)</f>
        <v>0</v>
      </c>
      <c r="AO156" s="5">
        <f>IFERROR(VLOOKUP(A:A,回搜数据源!B:N,5,FALSE),0)</f>
        <v>0</v>
      </c>
    </row>
    <row r="157" s="57" customFormat="1" ht="100" hidden="1" customHeight="1" spans="1:41">
      <c r="A157" s="4" t="s">
        <v>514</v>
      </c>
      <c r="B157" s="3" t="str">
        <f>VLOOKUP(A:A,笔记匹配!A:N,5,FALSE)</f>
        <v>=DISPIMG("ID_30EC5F7C7EBF4543847F4503B6E1579B",1)</v>
      </c>
      <c r="C157" s="30">
        <f>VLOOKUP(A:A,笔记匹配!A:N,3,FALSE)</f>
        <v>-77</v>
      </c>
      <c r="D157" s="30" t="str">
        <f>VLOOKUP(A:A,笔记匹配!A:N,6,FALSE)</f>
        <v>睡前8min瘦大腿内外侧</v>
      </c>
      <c r="E157" s="30" t="str">
        <f>VLOOKUP(A:A,笔记匹配!A:N,7,FALSE)</f>
        <v>https://www.xiaohongshu.com/discovery/item/6284a6120000000021036c2e</v>
      </c>
      <c r="F157" s="65">
        <f>VLOOKUP(A:A,笔记匹配!A:N,8,FALSE)</f>
        <v>44699</v>
      </c>
      <c r="G157" s="66" t="str">
        <f>VLOOKUP(A:A,笔记匹配!A:P,15,FALSE)</f>
        <v>2022-05-26</v>
      </c>
      <c r="H157" s="30" t="str">
        <f>VLOOKUP(A:A,笔记匹配!A:N,9,FALSE)</f>
        <v>视频</v>
      </c>
      <c r="I157" s="30" t="str">
        <f>VLOOKUP(A:A,笔记匹配!A:N,2,FALSE)</f>
        <v>体脂秤</v>
      </c>
      <c r="J157" s="30" t="str">
        <f>VLOOKUP(A:A,笔记匹配!A:N,4,FALSE)</f>
        <v>云麦3mini</v>
      </c>
      <c r="K157" s="30" t="str">
        <f>VLOOKUP(A:A,笔记匹配!A:N,14,FALSE)</f>
        <v>云麦体脂秤3mini</v>
      </c>
      <c r="L157" s="3">
        <f>VLOOKUP(A:A,笔记匹配!A:N,10,FALSE)</f>
        <v>1746</v>
      </c>
      <c r="M157" s="3">
        <f>VLOOKUP(A:A,笔记匹配!A:N,11,FALSE)</f>
        <v>885</v>
      </c>
      <c r="N157" s="69">
        <f>VLOOKUP(A:A,笔记匹配!A:N,12,FALSE)</f>
        <v>25</v>
      </c>
      <c r="O157" s="2">
        <f t="shared" si="11"/>
        <v>2656</v>
      </c>
      <c r="P157" s="3">
        <f>IFERROR(VLOOKUP(A:A,信息流数据源!A:K,2,FALSE),0)</f>
        <v>0</v>
      </c>
      <c r="Q157" s="71">
        <f>IFERROR(VLOOKUP(A:A,信息流数据源!A:N,5,FALSE),0)</f>
        <v>0</v>
      </c>
      <c r="R157" s="72">
        <f>IFERROR(VLOOKUP(A:A,信息流数据源!A:N,6,FALSE),0)</f>
        <v>0</v>
      </c>
      <c r="S157" s="2">
        <f>IFERROR(VLOOKUP(A:A,信息流数据源!A:N,9,FALSE),0)</f>
        <v>0</v>
      </c>
      <c r="T157" s="3">
        <f>IFERROR(VLOOKUP(A:A,信息流数据源!A:N,13,FALSE),0)</f>
        <v>0</v>
      </c>
      <c r="U157" s="73">
        <f>IFERROR(VLOOKUP(A:A,信息流数据源!A:N,14,FALSE),0)</f>
        <v>0</v>
      </c>
      <c r="V157" s="74">
        <f>IFERROR(VLOOKUP(A:A,信息流数据源!A:O,15,FALSE),0)</f>
        <v>0</v>
      </c>
      <c r="W157" s="3">
        <f>IFERROR(VLOOKUP(A:A,搜索数据源!A:T,2,FALSE),0)</f>
        <v>0</v>
      </c>
      <c r="X157" s="71">
        <f>IFERROR(VLOOKUP(A:A,搜索数据源!A:T,5,FALSE),0)</f>
        <v>0</v>
      </c>
      <c r="Y157" s="73">
        <f>IFERROR(VLOOKUP(A:A,搜索数据源!A:T,6,FALSE),0)</f>
        <v>0</v>
      </c>
      <c r="Z157" s="3">
        <f>IFERROR(VLOOKUP(A:A,搜索数据源!A:T,9,FALSE),0)</f>
        <v>0</v>
      </c>
      <c r="AA157" s="3" t="e">
        <f>VLOOKUP(A:A,[1]搜索数据源!A:T,13,FALSE)</f>
        <v>#N/A</v>
      </c>
      <c r="AB157" s="72">
        <f>IFERROR(VLOOKUP(A:A,搜索数据源!A:T,14,FALSE),0)</f>
        <v>0</v>
      </c>
      <c r="AC157" s="69" t="str">
        <f>_xlfn.DISPIMG("ID_B3DBED6FEAB041648ED2ADCF1C0E1AA3",1)</f>
        <v>=DISPIMG("ID_B3DBED6FEAB041648ED2ADCF1C0E1AA3",1)</v>
      </c>
      <c r="AD157" s="4" t="s">
        <v>515</v>
      </c>
      <c r="AE157" s="69"/>
      <c r="AF157" s="69"/>
      <c r="AG157" s="2"/>
      <c r="AH157" s="69"/>
      <c r="AI157" s="69"/>
      <c r="AJ157" s="69"/>
      <c r="AK157" s="69"/>
      <c r="AL157" s="4">
        <f t="shared" si="12"/>
        <v>0</v>
      </c>
      <c r="AM157" s="81">
        <f t="shared" si="13"/>
        <v>0</v>
      </c>
      <c r="AN157" s="5">
        <f>IFERROR(VLOOKUP(A:A,回搜数据源!B:N,4,FALSE),0)</f>
        <v>0</v>
      </c>
      <c r="AO157" s="5">
        <f>IFERROR(VLOOKUP(A:A,回搜数据源!B:N,5,FALSE),0)</f>
        <v>0</v>
      </c>
    </row>
    <row r="158" s="57" customFormat="1" ht="100" hidden="1" customHeight="1" spans="1:41">
      <c r="A158" s="4" t="s">
        <v>516</v>
      </c>
      <c r="B158" s="3" t="str">
        <f>VLOOKUP(A:A,笔记匹配!A:N,5,FALSE)</f>
        <v>=DISPIMG("ID_9113B1655B9F4B45ADB000543D2E9035",1)</v>
      </c>
      <c r="C158" s="30" t="str">
        <f>VLOOKUP(A:A,笔记匹配!A:N,3,FALSE)</f>
        <v>爱跳绳的粥粥</v>
      </c>
      <c r="D158" s="30" t="str">
        <f>VLOOKUP(A:A,笔记匹配!A:N,6,FALSE)</f>
        <v>坚持跳绳瘦24斤这个高效跳绳组合你一定要跳</v>
      </c>
      <c r="E158" s="30" t="str">
        <f>VLOOKUP(A:A,笔记匹配!A:N,7,FALSE)</f>
        <v>https://www.xiaohongshu.com/discovery/item/6286eeb6000000002103d135</v>
      </c>
      <c r="F158" s="65">
        <f>VLOOKUP(A:A,笔记匹配!A:N,8,FALSE)</f>
        <v>44701</v>
      </c>
      <c r="G158" s="66" t="str">
        <f>VLOOKUP(A:A,笔记匹配!A:P,15,FALSE)</f>
        <v>2022-05-26</v>
      </c>
      <c r="H158" s="30" t="str">
        <f>VLOOKUP(A:A,笔记匹配!A:N,9,FALSE)</f>
        <v>视频</v>
      </c>
      <c r="I158" s="30" t="str">
        <f>VLOOKUP(A:A,笔记匹配!A:N,2,FALSE)</f>
        <v>跳绳</v>
      </c>
      <c r="J158" s="30" t="str">
        <f>VLOOKUP(A:A,笔记匹配!A:N,4,FALSE)</f>
        <v>云麦跳绳心率款</v>
      </c>
      <c r="K158" s="30" t="str">
        <f>VLOOKUP(A:A,笔记匹配!A:N,14,FALSE)</f>
        <v>云麦心率跳绳</v>
      </c>
      <c r="L158" s="3">
        <f>VLOOKUP(A:A,笔记匹配!A:N,10,FALSE)</f>
        <v>13000</v>
      </c>
      <c r="M158" s="3">
        <f>VLOOKUP(A:A,笔记匹配!A:N,11,FALSE)</f>
        <v>7890</v>
      </c>
      <c r="N158" s="69">
        <f>VLOOKUP(A:A,笔记匹配!A:N,12,FALSE)</f>
        <v>193</v>
      </c>
      <c r="O158" s="2">
        <f t="shared" si="11"/>
        <v>21083</v>
      </c>
      <c r="P158" s="3">
        <f>IFERROR(VLOOKUP(A:A,信息流数据源!A:K,2,FALSE),0)</f>
        <v>0</v>
      </c>
      <c r="Q158" s="71">
        <f>IFERROR(VLOOKUP(A:A,信息流数据源!A:N,5,FALSE),0)</f>
        <v>0</v>
      </c>
      <c r="R158" s="72">
        <f>IFERROR(VLOOKUP(A:A,信息流数据源!A:N,6,FALSE),0)</f>
        <v>0</v>
      </c>
      <c r="S158" s="2">
        <f>IFERROR(VLOOKUP(A:A,信息流数据源!A:N,9,FALSE),0)</f>
        <v>0</v>
      </c>
      <c r="T158" s="3">
        <f>IFERROR(VLOOKUP(A:A,信息流数据源!A:N,13,FALSE),0)</f>
        <v>0</v>
      </c>
      <c r="U158" s="73">
        <f>IFERROR(VLOOKUP(A:A,信息流数据源!A:N,14,FALSE),0)</f>
        <v>0</v>
      </c>
      <c r="V158" s="74">
        <f>IFERROR(VLOOKUP(A:A,信息流数据源!A:O,15,FALSE),0)</f>
        <v>0</v>
      </c>
      <c r="W158" s="3">
        <f>IFERROR(VLOOKUP(A:A,搜索数据源!A:T,2,FALSE),0)</f>
        <v>0</v>
      </c>
      <c r="X158" s="71">
        <f>IFERROR(VLOOKUP(A:A,搜索数据源!A:T,5,FALSE),0)</f>
        <v>0</v>
      </c>
      <c r="Y158" s="73">
        <f>IFERROR(VLOOKUP(A:A,搜索数据源!A:T,6,FALSE),0)</f>
        <v>0</v>
      </c>
      <c r="Z158" s="3">
        <f>IFERROR(VLOOKUP(A:A,搜索数据源!A:T,9,FALSE),0)</f>
        <v>0</v>
      </c>
      <c r="AA158" s="3" t="e">
        <f>VLOOKUP(A:A,[1]搜索数据源!A:T,13,FALSE)</f>
        <v>#N/A</v>
      </c>
      <c r="AB158" s="72">
        <f>IFERROR(VLOOKUP(A:A,搜索数据源!A:T,14,FALSE),0)</f>
        <v>0</v>
      </c>
      <c r="AC158" s="69"/>
      <c r="AD158" s="69"/>
      <c r="AE158" s="69"/>
      <c r="AF158" s="69"/>
      <c r="AG158" s="2"/>
      <c r="AH158" s="69"/>
      <c r="AI158" s="69"/>
      <c r="AJ158" s="69"/>
      <c r="AK158" s="69"/>
      <c r="AL158" s="4">
        <f t="shared" si="12"/>
        <v>0</v>
      </c>
      <c r="AM158" s="81">
        <f t="shared" si="13"/>
        <v>0</v>
      </c>
      <c r="AN158" s="5">
        <f>IFERROR(VLOOKUP(A:A,回搜数据源!B:N,4,FALSE),0)</f>
        <v>0</v>
      </c>
      <c r="AO158" s="5">
        <f>IFERROR(VLOOKUP(A:A,回搜数据源!B:N,5,FALSE),0)</f>
        <v>0</v>
      </c>
    </row>
    <row r="159" s="57" customFormat="1" ht="100" hidden="1" customHeight="1" spans="1:41">
      <c r="A159" s="4" t="s">
        <v>573</v>
      </c>
      <c r="B159" s="3" t="str">
        <f>VLOOKUP(A:A,笔记匹配!A:N,5,FALSE)</f>
        <v>=DISPIMG("ID_A4DAC46169CA4C86888F0D1C9A1D2F49",1)</v>
      </c>
      <c r="C159" s="30" t="str">
        <f>VLOOKUP(A:A,笔记匹配!A:N,3,FALSE)</f>
        <v>JJJJackson</v>
      </c>
      <c r="D159" s="30" t="str">
        <f>VLOOKUP(A:A,笔记匹配!A:N,6,FALSE)</f>
        <v>健身好物｜筋膜枪真的是放松神器！</v>
      </c>
      <c r="E159" s="30" t="str">
        <f>VLOOKUP(A:A,笔记匹配!A:N,7,FALSE)</f>
        <v>https://www.xiaohongshu.com/discovery/item/6319c330000000000900f191</v>
      </c>
      <c r="F159" s="65">
        <f>VLOOKUP(A:A,笔记匹配!A:N,8,FALSE)</f>
        <v>44813</v>
      </c>
      <c r="G159" s="66" t="str">
        <f>VLOOKUP(A:A,笔记匹配!A:P,15,FALSE)</f>
        <v>2022-09-09</v>
      </c>
      <c r="H159" s="30" t="str">
        <f>VLOOKUP(A:A,笔记匹配!A:N,9,FALSE)</f>
        <v>图文</v>
      </c>
      <c r="I159" s="30" t="str">
        <f>VLOOKUP(A:A,笔记匹配!A:N,2,FALSE)</f>
        <v>筋膜枪</v>
      </c>
      <c r="J159" s="30" t="str">
        <f>VLOOKUP(A:A,笔记匹配!A:N,4,FALSE)</f>
        <v>云麦筋膜枪PB2</v>
      </c>
      <c r="K159" s="30" t="str">
        <f>VLOOKUP(A:A,笔记匹配!A:N,14,FALSE)</f>
        <v>云麦筋膜枪pb2</v>
      </c>
      <c r="L159" s="3">
        <f>VLOOKUP(A:A,笔记匹配!A:N,10,FALSE)</f>
        <v>310</v>
      </c>
      <c r="M159" s="3">
        <f>VLOOKUP(A:A,笔记匹配!A:N,11,FALSE)</f>
        <v>19</v>
      </c>
      <c r="N159" s="69">
        <f>VLOOKUP(A:A,笔记匹配!A:N,12,FALSE)</f>
        <v>27</v>
      </c>
      <c r="O159" s="2">
        <f t="shared" si="11"/>
        <v>356</v>
      </c>
      <c r="P159" s="3">
        <f>IFERROR(VLOOKUP(A:A,信息流数据源!A:K,2,FALSE),0)</f>
        <v>0</v>
      </c>
      <c r="Q159" s="71">
        <f>IFERROR(VLOOKUP(A:A,信息流数据源!A:N,5,FALSE),0)</f>
        <v>0</v>
      </c>
      <c r="R159" s="72">
        <f>IFERROR(VLOOKUP(A:A,信息流数据源!A:N,6,FALSE),0)</f>
        <v>0</v>
      </c>
      <c r="S159" s="2">
        <f>IFERROR(VLOOKUP(A:A,信息流数据源!A:N,9,FALSE),0)</f>
        <v>0</v>
      </c>
      <c r="T159" s="3">
        <f>IFERROR(VLOOKUP(A:A,信息流数据源!A:N,13,FALSE),0)</f>
        <v>0</v>
      </c>
      <c r="U159" s="73">
        <f>IFERROR(VLOOKUP(A:A,信息流数据源!A:N,14,FALSE),0)</f>
        <v>0</v>
      </c>
      <c r="V159" s="74">
        <f>IFERROR(VLOOKUP(A:A,信息流数据源!A:O,15,FALSE),0)</f>
        <v>0</v>
      </c>
      <c r="W159" s="3">
        <f>IFERROR(VLOOKUP(A:A,搜索数据源!A:T,2,FALSE),0)</f>
        <v>0</v>
      </c>
      <c r="X159" s="71">
        <f>IFERROR(VLOOKUP(A:A,搜索数据源!A:T,5,FALSE),0)</f>
        <v>0</v>
      </c>
      <c r="Y159" s="73">
        <f>IFERROR(VLOOKUP(A:A,搜索数据源!A:T,6,FALSE),0)</f>
        <v>0</v>
      </c>
      <c r="Z159" s="3">
        <f>IFERROR(VLOOKUP(A:A,搜索数据源!A:T,9,FALSE),0)</f>
        <v>0</v>
      </c>
      <c r="AA159" s="3" t="e">
        <f>VLOOKUP(A:A,[1]搜索数据源!A:T,13,FALSE)</f>
        <v>#N/A</v>
      </c>
      <c r="AB159" s="72">
        <f>IFERROR(VLOOKUP(A:A,搜索数据源!A:T,14,FALSE),0)</f>
        <v>0</v>
      </c>
      <c r="AC159" s="69" t="str">
        <f>_xlfn.DISPIMG("ID_F698824B89DD40178B24A46FF564C02E",1)</f>
        <v>=DISPIMG("ID_F698824B89DD40178B24A46FF564C02E",1)</v>
      </c>
      <c r="AD159" s="4" t="s">
        <v>574</v>
      </c>
      <c r="AE159" s="69"/>
      <c r="AF159" s="77"/>
      <c r="AG159" s="2"/>
      <c r="AH159" s="69"/>
      <c r="AI159" s="4"/>
      <c r="AJ159" s="4"/>
      <c r="AK159" s="4"/>
      <c r="AL159" s="4">
        <f t="shared" si="12"/>
        <v>0</v>
      </c>
      <c r="AM159" s="81">
        <f t="shared" si="13"/>
        <v>0</v>
      </c>
      <c r="AN159" s="5">
        <f>IFERROR(VLOOKUP(A:A,回搜数据源!B:N,4,FALSE),0)</f>
        <v>0.000485790624240952</v>
      </c>
      <c r="AO159" s="5">
        <f>IFERROR(VLOOKUP(A:A,回搜数据源!B:N,5,FALSE),0)</f>
        <v>0</v>
      </c>
    </row>
    <row r="160" s="57" customFormat="1" ht="100" hidden="1" customHeight="1" spans="1:41">
      <c r="A160" s="4" t="s">
        <v>518</v>
      </c>
      <c r="B160" s="3" t="str">
        <f>VLOOKUP(A:A,笔记匹配!A:N,5,FALSE)</f>
        <v>=DISPIMG("ID_620976F31BEF4727B2AC86C7B6ED2B08",1)</v>
      </c>
      <c r="C160" s="30" t="str">
        <f>VLOOKUP(A:A,笔记匹配!A:N,3,FALSE)</f>
        <v>我是铁核桃也是小百合</v>
      </c>
      <c r="D160" s="30" t="str">
        <f>VLOOKUP(A:A,笔记匹配!A:N,6,FALSE)</f>
        <v>产后5大阶段恢复必做事‼️错过多花3年补‼️</v>
      </c>
      <c r="E160" s="30" t="str">
        <f>VLOOKUP(A:A,笔记匹配!A:N,7,FALSE)</f>
        <v>https://www.xiaohongshu.com/discovery/item/627bb815000000000102a1d9</v>
      </c>
      <c r="F160" s="65">
        <f>VLOOKUP(A:A,笔记匹配!A:N,8,FALSE)</f>
        <v>44693</v>
      </c>
      <c r="G160" s="66" t="str">
        <f>VLOOKUP(A:A,笔记匹配!A:P,15,FALSE)</f>
        <v>2022-05-19</v>
      </c>
      <c r="H160" s="30" t="str">
        <f>VLOOKUP(A:A,笔记匹配!A:N,9,FALSE)</f>
        <v>视频</v>
      </c>
      <c r="I160" s="30" t="str">
        <f>VLOOKUP(A:A,笔记匹配!A:N,2,FALSE)</f>
        <v>体脂秤</v>
      </c>
      <c r="J160" s="30" t="str">
        <f>VLOOKUP(A:A,笔记匹配!A:N,4,FALSE)</f>
        <v>云麦体脂秤3</v>
      </c>
      <c r="K160" s="30" t="str">
        <f>VLOOKUP(A:A,笔记匹配!A:N,14,FALSE)</f>
        <v>云麦体脂秤3</v>
      </c>
      <c r="L160" s="3">
        <f>VLOOKUP(A:A,笔记匹配!A:N,10,FALSE)</f>
        <v>795</v>
      </c>
      <c r="M160" s="3">
        <f>VLOOKUP(A:A,笔记匹配!A:N,11,FALSE)</f>
        <v>825</v>
      </c>
      <c r="N160" s="69">
        <f>VLOOKUP(A:A,笔记匹配!A:N,12,FALSE)</f>
        <v>60</v>
      </c>
      <c r="O160" s="2">
        <f t="shared" si="11"/>
        <v>1680</v>
      </c>
      <c r="P160" s="3">
        <f>IFERROR(VLOOKUP(A:A,信息流数据源!A:K,2,FALSE),0)</f>
        <v>0</v>
      </c>
      <c r="Q160" s="71">
        <f>IFERROR(VLOOKUP(A:A,信息流数据源!A:N,5,FALSE),0)</f>
        <v>0</v>
      </c>
      <c r="R160" s="72">
        <f>IFERROR(VLOOKUP(A:A,信息流数据源!A:N,6,FALSE),0)</f>
        <v>0</v>
      </c>
      <c r="S160" s="2">
        <f>IFERROR(VLOOKUP(A:A,信息流数据源!A:N,9,FALSE),0)</f>
        <v>0</v>
      </c>
      <c r="T160" s="3">
        <f>IFERROR(VLOOKUP(A:A,信息流数据源!A:N,13,FALSE),0)</f>
        <v>0</v>
      </c>
      <c r="U160" s="73">
        <f>IFERROR(VLOOKUP(A:A,信息流数据源!A:N,14,FALSE),0)</f>
        <v>0</v>
      </c>
      <c r="V160" s="74">
        <f>IFERROR(VLOOKUP(A:A,信息流数据源!A:O,15,FALSE),0)</f>
        <v>0</v>
      </c>
      <c r="W160" s="3">
        <f>IFERROR(VLOOKUP(A:A,搜索数据源!A:T,2,FALSE),0)</f>
        <v>0</v>
      </c>
      <c r="X160" s="71">
        <f>IFERROR(VLOOKUP(A:A,搜索数据源!A:T,5,FALSE),0)</f>
        <v>0</v>
      </c>
      <c r="Y160" s="73">
        <f>IFERROR(VLOOKUP(A:A,搜索数据源!A:T,6,FALSE),0)</f>
        <v>0</v>
      </c>
      <c r="Z160" s="3">
        <f>IFERROR(VLOOKUP(A:A,搜索数据源!A:T,9,FALSE),0)</f>
        <v>0</v>
      </c>
      <c r="AA160" s="3" t="e">
        <f>VLOOKUP(A:A,[1]搜索数据源!A:T,13,FALSE)</f>
        <v>#N/A</v>
      </c>
      <c r="AB160" s="72">
        <f>IFERROR(VLOOKUP(A:A,搜索数据源!A:T,14,FALSE),0)</f>
        <v>0</v>
      </c>
      <c r="AC160" s="78" t="str">
        <f>_xlfn.DISPIMG("ID_2255809C12FF4D6FBA67206C539BE540",1)</f>
        <v>=DISPIMG("ID_2255809C12FF4D6FBA67206C539BE540",1)</v>
      </c>
      <c r="AD160" s="85" t="s">
        <v>472</v>
      </c>
      <c r="AE160" s="76"/>
      <c r="AF160" s="76"/>
      <c r="AG160" s="2"/>
      <c r="AH160" s="78"/>
      <c r="AI160" s="78"/>
      <c r="AJ160" s="78"/>
      <c r="AK160" s="78"/>
      <c r="AL160" s="4">
        <f t="shared" si="12"/>
        <v>0</v>
      </c>
      <c r="AM160" s="81">
        <f t="shared" si="13"/>
        <v>0</v>
      </c>
      <c r="AN160" s="5">
        <f>IFERROR(VLOOKUP(A:A,回搜数据源!B:N,4,FALSE),0)</f>
        <v>0</v>
      </c>
      <c r="AO160" s="5">
        <f>IFERROR(VLOOKUP(A:A,回搜数据源!B:N,5,FALSE),0)</f>
        <v>0</v>
      </c>
    </row>
    <row r="161" s="57" customFormat="1" ht="100" hidden="1" customHeight="1" spans="1:41">
      <c r="A161" s="4" t="s">
        <v>519</v>
      </c>
      <c r="B161" s="3" t="str">
        <f>VLOOKUP(A:A,笔记匹配!A:N,5,FALSE)</f>
        <v>=DISPIMG("ID_4A8E9B38CBB14B759398045063C9B54F",1)</v>
      </c>
      <c r="C161" s="30" t="str">
        <f>VLOOKUP(A:A,笔记匹配!A:N,3,FALSE)</f>
        <v>大敏敏的蜕变日记</v>
      </c>
      <c r="D161" s="30" t="str">
        <f>VLOOKUP(A:A,笔记匹配!A:N,6,FALSE)</f>
        <v>刘畊宏女孩的21天虐腹计划‼谁练谁瘦💪</v>
      </c>
      <c r="E161" s="30" t="str">
        <f>VLOOKUP(A:A,笔记匹配!A:N,7,FALSE)</f>
        <v>https://www.xiaohongshu.com/discovery/item/627e157b000000000102d2c9</v>
      </c>
      <c r="F161" s="65">
        <f>VLOOKUP(A:A,笔记匹配!A:N,8,FALSE)</f>
        <v>44695</v>
      </c>
      <c r="G161" s="66" t="str">
        <f>VLOOKUP(A:A,笔记匹配!A:P,15,FALSE)</f>
        <v>2022-05-19</v>
      </c>
      <c r="H161" s="30" t="str">
        <f>VLOOKUP(A:A,笔记匹配!A:N,9,FALSE)</f>
        <v>视频</v>
      </c>
      <c r="I161" s="30" t="str">
        <f>VLOOKUP(A:A,笔记匹配!A:N,2,FALSE)</f>
        <v>体脂秤</v>
      </c>
      <c r="J161" s="30" t="str">
        <f>VLOOKUP(A:A,笔记匹配!A:N,4,FALSE)</f>
        <v>云麦3mini</v>
      </c>
      <c r="K161" s="30" t="str">
        <f>VLOOKUP(A:A,笔记匹配!A:N,14,FALSE)</f>
        <v>云麦体脂秤3mini</v>
      </c>
      <c r="L161" s="3">
        <f>VLOOKUP(A:A,笔记匹配!A:N,10,FALSE)</f>
        <v>714</v>
      </c>
      <c r="M161" s="3">
        <f>VLOOKUP(A:A,笔记匹配!A:N,11,FALSE)</f>
        <v>624</v>
      </c>
      <c r="N161" s="69">
        <f>VLOOKUP(A:A,笔记匹配!A:N,12,FALSE)</f>
        <v>34</v>
      </c>
      <c r="O161" s="2">
        <f t="shared" si="11"/>
        <v>1372</v>
      </c>
      <c r="P161" s="3">
        <f>IFERROR(VLOOKUP(A:A,信息流数据源!A:K,2,FALSE),0)</f>
        <v>0</v>
      </c>
      <c r="Q161" s="71">
        <f>IFERROR(VLOOKUP(A:A,信息流数据源!A:N,5,FALSE),0)</f>
        <v>0</v>
      </c>
      <c r="R161" s="72">
        <f>IFERROR(VLOOKUP(A:A,信息流数据源!A:N,6,FALSE),0)</f>
        <v>0</v>
      </c>
      <c r="S161" s="2">
        <f>IFERROR(VLOOKUP(A:A,信息流数据源!A:N,9,FALSE),0)</f>
        <v>0</v>
      </c>
      <c r="T161" s="3">
        <f>IFERROR(VLOOKUP(A:A,信息流数据源!A:N,13,FALSE),0)</f>
        <v>0</v>
      </c>
      <c r="U161" s="73">
        <f>IFERROR(VLOOKUP(A:A,信息流数据源!A:N,14,FALSE),0)</f>
        <v>0</v>
      </c>
      <c r="V161" s="74">
        <f>IFERROR(VLOOKUP(A:A,信息流数据源!A:O,15,FALSE),0)</f>
        <v>0</v>
      </c>
      <c r="W161" s="3">
        <f>IFERROR(VLOOKUP(A:A,搜索数据源!A:T,2,FALSE),0)</f>
        <v>0</v>
      </c>
      <c r="X161" s="71">
        <f>IFERROR(VLOOKUP(A:A,搜索数据源!A:T,5,FALSE),0)</f>
        <v>0</v>
      </c>
      <c r="Y161" s="73">
        <f>IFERROR(VLOOKUP(A:A,搜索数据源!A:T,6,FALSE),0)</f>
        <v>0</v>
      </c>
      <c r="Z161" s="3">
        <f>IFERROR(VLOOKUP(A:A,搜索数据源!A:T,9,FALSE),0)</f>
        <v>0</v>
      </c>
      <c r="AA161" s="3" t="e">
        <f>VLOOKUP(A:A,[1]搜索数据源!A:T,13,FALSE)</f>
        <v>#N/A</v>
      </c>
      <c r="AB161" s="72">
        <f>IFERROR(VLOOKUP(A:A,搜索数据源!A:T,14,FALSE),0)</f>
        <v>0</v>
      </c>
      <c r="AC161" s="69" t="str">
        <f>_xlfn.DISPIMG("ID_D5FBBD5DA8B1497486FC0FCE7C36161D",1)</f>
        <v>=DISPIMG("ID_D5FBBD5DA8B1497486FC0FCE7C36161D",1)</v>
      </c>
      <c r="AD161" s="4" t="s">
        <v>515</v>
      </c>
      <c r="AE161" s="69"/>
      <c r="AF161" s="69"/>
      <c r="AG161" s="2"/>
      <c r="AH161" s="69"/>
      <c r="AI161" s="69"/>
      <c r="AJ161" s="69"/>
      <c r="AK161" s="69"/>
      <c r="AL161" s="4">
        <f t="shared" si="12"/>
        <v>0</v>
      </c>
      <c r="AM161" s="81">
        <f t="shared" si="13"/>
        <v>0</v>
      </c>
      <c r="AN161" s="5">
        <f>IFERROR(VLOOKUP(A:A,回搜数据源!B:N,4,FALSE),0)</f>
        <v>0</v>
      </c>
      <c r="AO161" s="5">
        <f>IFERROR(VLOOKUP(A:A,回搜数据源!B:N,5,FALSE),0)</f>
        <v>0</v>
      </c>
    </row>
    <row r="162" s="57" customFormat="1" ht="100" hidden="1" customHeight="1" spans="1:41">
      <c r="A162" s="4" t="s">
        <v>520</v>
      </c>
      <c r="B162" s="3" t="str">
        <f>VLOOKUP(A:A,笔记匹配!A:N,5,FALSE)</f>
        <v>=DISPIMG("ID_B3EF46834C03430989D864C7049896FC",1)</v>
      </c>
      <c r="C162" s="30" t="str">
        <f>VLOOKUP(A:A,笔记匹配!A:N,3,FALSE)</f>
        <v>沁儿你好哇</v>
      </c>
      <c r="D162" s="30" t="str">
        <f>VLOOKUP(A:A,笔记匹配!A:N,6,FALSE)</f>
        <v>居家瘦肚子｜燃烧腹部脂肪紧致腰线get马甲线</v>
      </c>
      <c r="E162" s="30" t="str">
        <f>VLOOKUP(A:A,笔记匹配!A:N,7,FALSE)</f>
        <v>https://www.xiaohongshu.com/discovery/item/62737915000000002103f16c</v>
      </c>
      <c r="F162" s="65">
        <f>VLOOKUP(A:A,笔记匹配!A:N,8,FALSE)</f>
        <v>44686</v>
      </c>
      <c r="G162" s="66" t="str">
        <f>VLOOKUP(A:A,笔记匹配!A:P,15,FALSE)</f>
        <v>2022-05-19</v>
      </c>
      <c r="H162" s="30" t="str">
        <f>VLOOKUP(A:A,笔记匹配!A:N,9,FALSE)</f>
        <v>图文</v>
      </c>
      <c r="I162" s="30" t="str">
        <f>VLOOKUP(A:A,笔记匹配!A:N,2,FALSE)</f>
        <v>体脂秤</v>
      </c>
      <c r="J162" s="30" t="str">
        <f>VLOOKUP(A:A,笔记匹配!A:N,4,FALSE)</f>
        <v>云麦体脂秤3mini</v>
      </c>
      <c r="K162" s="30" t="str">
        <f>VLOOKUP(A:A,笔记匹配!A:N,14,FALSE)</f>
        <v>云麦体脂秤3mini</v>
      </c>
      <c r="L162" s="3">
        <f>VLOOKUP(A:A,笔记匹配!A:N,10,FALSE)</f>
        <v>213</v>
      </c>
      <c r="M162" s="3">
        <f>VLOOKUP(A:A,笔记匹配!A:N,11,FALSE)</f>
        <v>176</v>
      </c>
      <c r="N162" s="69">
        <f>VLOOKUP(A:A,笔记匹配!A:N,12,FALSE)</f>
        <v>32</v>
      </c>
      <c r="O162" s="2">
        <f t="shared" si="11"/>
        <v>421</v>
      </c>
      <c r="P162" s="3">
        <f>IFERROR(VLOOKUP(A:A,信息流数据源!A:K,2,FALSE),0)</f>
        <v>0</v>
      </c>
      <c r="Q162" s="71">
        <f>IFERROR(VLOOKUP(A:A,信息流数据源!A:N,5,FALSE),0)</f>
        <v>0</v>
      </c>
      <c r="R162" s="72">
        <f>IFERROR(VLOOKUP(A:A,信息流数据源!A:N,6,FALSE),0)</f>
        <v>0</v>
      </c>
      <c r="S162" s="2">
        <f>IFERROR(VLOOKUP(A:A,信息流数据源!A:N,9,FALSE),0)</f>
        <v>0</v>
      </c>
      <c r="T162" s="3">
        <f>IFERROR(VLOOKUP(A:A,信息流数据源!A:N,13,FALSE),0)</f>
        <v>0</v>
      </c>
      <c r="U162" s="73">
        <f>IFERROR(VLOOKUP(A:A,信息流数据源!A:N,14,FALSE),0)</f>
        <v>0</v>
      </c>
      <c r="V162" s="74">
        <f>IFERROR(VLOOKUP(A:A,信息流数据源!A:O,15,FALSE),0)</f>
        <v>0</v>
      </c>
      <c r="W162" s="3">
        <f>IFERROR(VLOOKUP(A:A,搜索数据源!A:T,2,FALSE),0)</f>
        <v>0</v>
      </c>
      <c r="X162" s="71">
        <f>IFERROR(VLOOKUP(A:A,搜索数据源!A:T,5,FALSE),0)</f>
        <v>0</v>
      </c>
      <c r="Y162" s="73">
        <f>IFERROR(VLOOKUP(A:A,搜索数据源!A:T,6,FALSE),0)</f>
        <v>0</v>
      </c>
      <c r="Z162" s="3">
        <f>IFERROR(VLOOKUP(A:A,搜索数据源!A:T,9,FALSE),0)</f>
        <v>0</v>
      </c>
      <c r="AA162" s="3" t="e">
        <f>VLOOKUP(A:A,[1]搜索数据源!A:T,13,FALSE)</f>
        <v>#N/A</v>
      </c>
      <c r="AB162" s="72">
        <f>IFERROR(VLOOKUP(A:A,搜索数据源!A:T,14,FALSE),0)</f>
        <v>0</v>
      </c>
      <c r="AC162" s="69" t="str">
        <f>_xlfn.DISPIMG("ID_C7CC56F52AE84891A7A4B88FD49DB467",1)</f>
        <v>=DISPIMG("ID_C7CC56F52AE84891A7A4B88FD49DB467",1)</v>
      </c>
      <c r="AD162" s="4" t="s">
        <v>521</v>
      </c>
      <c r="AE162" s="69"/>
      <c r="AF162" s="69"/>
      <c r="AG162" s="2"/>
      <c r="AH162" s="69"/>
      <c r="AI162" s="69"/>
      <c r="AJ162" s="69"/>
      <c r="AK162" s="69"/>
      <c r="AL162" s="4">
        <f t="shared" si="12"/>
        <v>0</v>
      </c>
      <c r="AM162" s="81">
        <f t="shared" si="13"/>
        <v>0</v>
      </c>
      <c r="AN162" s="5">
        <f>IFERROR(VLOOKUP(A:A,回搜数据源!B:N,4,FALSE),0)</f>
        <v>0</v>
      </c>
      <c r="AO162" s="5">
        <f>IFERROR(VLOOKUP(A:A,回搜数据源!B:N,5,FALSE),0)</f>
        <v>0</v>
      </c>
    </row>
    <row r="163" s="57" customFormat="1" ht="100" hidden="1" customHeight="1" spans="1:41">
      <c r="A163" s="4" t="s">
        <v>575</v>
      </c>
      <c r="B163" s="3" t="str">
        <f>VLOOKUP(A:A,笔记匹配!A:N,5,FALSE)</f>
        <v>=DISPIMG("ID_2959B4A40B8249738466A0660613EBD7",1)</v>
      </c>
      <c r="C163" s="30" t="str">
        <f>VLOOKUP(A:A,笔记匹配!A:N,3,FALSE)</f>
        <v>跑酷莫承烽</v>
      </c>
      <c r="D163" s="30" t="str">
        <f>VLOOKUP(A:A,笔记匹配!A:N,6,FALSE)</f>
        <v>职业跑酷运动员|自用筋膜枪推荐</v>
      </c>
      <c r="E163" s="30" t="str">
        <f>VLOOKUP(A:A,笔记匹配!A:N,7,FALSE)</f>
        <v>https://www.xiaohongshu.com/discovery/item/63195acb0000000011011cb5</v>
      </c>
      <c r="F163" s="65">
        <f>VLOOKUP(A:A,笔记匹配!A:N,8,FALSE)</f>
        <v>44812</v>
      </c>
      <c r="G163" s="66" t="str">
        <f>VLOOKUP(A:A,笔记匹配!A:P,15,FALSE)</f>
        <v>2022-09-14</v>
      </c>
      <c r="H163" s="30" t="str">
        <f>VLOOKUP(A:A,笔记匹配!A:N,9,FALSE)</f>
        <v>视频</v>
      </c>
      <c r="I163" s="30" t="str">
        <f>VLOOKUP(A:A,笔记匹配!A:N,2,FALSE)</f>
        <v>筋膜枪</v>
      </c>
      <c r="J163" s="30" t="str">
        <f>VLOOKUP(A:A,笔记匹配!A:N,4,FALSE)</f>
        <v>云麦筋膜枪pb2</v>
      </c>
      <c r="K163" s="30" t="str">
        <f>VLOOKUP(A:A,笔记匹配!A:N,14,FALSE)</f>
        <v>云麦筋膜枪pb2</v>
      </c>
      <c r="L163" s="3">
        <f>VLOOKUP(A:A,笔记匹配!A:N,10,FALSE)</f>
        <v>66</v>
      </c>
      <c r="M163" s="3">
        <f>VLOOKUP(A:A,笔记匹配!A:N,11,FALSE)</f>
        <v>24</v>
      </c>
      <c r="N163" s="69">
        <f>VLOOKUP(A:A,笔记匹配!A:N,12,FALSE)</f>
        <v>11</v>
      </c>
      <c r="O163" s="2">
        <f t="shared" si="11"/>
        <v>101</v>
      </c>
      <c r="P163" s="3">
        <f>IFERROR(VLOOKUP(A:A,信息流数据源!A:K,2,FALSE),0)</f>
        <v>0</v>
      </c>
      <c r="Q163" s="71">
        <f>IFERROR(VLOOKUP(A:A,信息流数据源!A:N,5,FALSE),0)</f>
        <v>0</v>
      </c>
      <c r="R163" s="72">
        <f>IFERROR(VLOOKUP(A:A,信息流数据源!A:N,6,FALSE),0)</f>
        <v>0</v>
      </c>
      <c r="S163" s="2">
        <f>IFERROR(VLOOKUP(A:A,信息流数据源!A:N,9,FALSE),0)</f>
        <v>0</v>
      </c>
      <c r="T163" s="3">
        <f>IFERROR(VLOOKUP(A:A,信息流数据源!A:N,13,FALSE),0)</f>
        <v>0</v>
      </c>
      <c r="U163" s="73">
        <f>IFERROR(VLOOKUP(A:A,信息流数据源!A:N,14,FALSE),0)</f>
        <v>0</v>
      </c>
      <c r="V163" s="74">
        <f>IFERROR(VLOOKUP(A:A,信息流数据源!A:O,15,FALSE),0)</f>
        <v>0</v>
      </c>
      <c r="W163" s="3">
        <f>IFERROR(VLOOKUP(A:A,搜索数据源!A:T,2,FALSE),0)</f>
        <v>0</v>
      </c>
      <c r="X163" s="71">
        <f>IFERROR(VLOOKUP(A:A,搜索数据源!A:T,5,FALSE),0)</f>
        <v>0</v>
      </c>
      <c r="Y163" s="73">
        <f>IFERROR(VLOOKUP(A:A,搜索数据源!A:T,6,FALSE),0)</f>
        <v>0</v>
      </c>
      <c r="Z163" s="3">
        <f>IFERROR(VLOOKUP(A:A,搜索数据源!A:T,9,FALSE),0)</f>
        <v>0</v>
      </c>
      <c r="AA163" s="3" t="e">
        <f>VLOOKUP(A:A,[1]搜索数据源!A:T,13,FALSE)</f>
        <v>#N/A</v>
      </c>
      <c r="AB163" s="72">
        <f>IFERROR(VLOOKUP(A:A,搜索数据源!A:T,14,FALSE),0)</f>
        <v>0</v>
      </c>
      <c r="AC163" s="69" t="str">
        <f>_xlfn.DISPIMG("ID_B046D5B1F9794293956698DE41EEADDC",1)</f>
        <v>=DISPIMG("ID_B046D5B1F9794293956698DE41EEADDC",1)</v>
      </c>
      <c r="AD163" s="4" t="s">
        <v>576</v>
      </c>
      <c r="AE163" s="69"/>
      <c r="AF163" s="77"/>
      <c r="AG163" s="2"/>
      <c r="AH163" s="69"/>
      <c r="AI163" s="4"/>
      <c r="AJ163" s="4"/>
      <c r="AK163" s="4"/>
      <c r="AL163" s="4">
        <f t="shared" si="12"/>
        <v>0</v>
      </c>
      <c r="AM163" s="81">
        <f t="shared" si="13"/>
        <v>0</v>
      </c>
      <c r="AN163" s="5">
        <f>IFERROR(VLOOKUP(A:A,回搜数据源!B:N,4,FALSE),0)</f>
        <v>0.000298418382572366</v>
      </c>
      <c r="AO163" s="5">
        <f>IFERROR(VLOOKUP(A:A,回搜数据源!B:N,5,FALSE),0)</f>
        <v>0</v>
      </c>
    </row>
    <row r="164" s="57" customFormat="1" ht="100" hidden="1" customHeight="1" spans="1:41">
      <c r="A164" s="4" t="s">
        <v>577</v>
      </c>
      <c r="B164" s="3" t="str">
        <f>VLOOKUP(A:A,笔记匹配!A:N,5,FALSE)</f>
        <v>=DISPIMG("ID_82F9628424BC4F6CA9BF94A0C15344B2",1)</v>
      </c>
      <c r="C164" s="30" t="str">
        <f>VLOOKUP(A:A,笔记匹配!A:N,3,FALSE)</f>
        <v>阿三啊</v>
      </c>
      <c r="D164" s="30" t="str">
        <f>VLOOKUP(A:A,笔记匹配!A:N,6,FALSE)</f>
        <v>筋膜枪我的新装备|运动酷盖就该这样</v>
      </c>
      <c r="E164" s="30" t="str">
        <f>VLOOKUP(A:A,笔记匹配!A:N,7,FALSE)</f>
        <v>https://www.xiaohongshu.com/discovery/item/63182f720000000008023b9f</v>
      </c>
      <c r="F164" s="65">
        <f>VLOOKUP(A:A,笔记匹配!A:N,8,FALSE)</f>
        <v>44811</v>
      </c>
      <c r="G164" s="66" t="str">
        <f>VLOOKUP(A:A,笔记匹配!A:P,15,FALSE)</f>
        <v>2022-09-08</v>
      </c>
      <c r="H164" s="30" t="str">
        <f>VLOOKUP(A:A,笔记匹配!A:N,9,FALSE)</f>
        <v>图文</v>
      </c>
      <c r="I164" s="30" t="str">
        <f>VLOOKUP(A:A,笔记匹配!A:N,2,FALSE)</f>
        <v>筋膜枪</v>
      </c>
      <c r="J164" s="30" t="str">
        <f>VLOOKUP(A:A,笔记匹配!A:N,4,FALSE)</f>
        <v>云麦筋膜枪pb2</v>
      </c>
      <c r="K164" s="30" t="str">
        <f>VLOOKUP(A:A,笔记匹配!A:N,14,FALSE)</f>
        <v>云麦筋膜枪pb2</v>
      </c>
      <c r="L164" s="3">
        <f>VLOOKUP(A:A,笔记匹配!A:N,10,FALSE)</f>
        <v>211</v>
      </c>
      <c r="M164" s="3">
        <f>VLOOKUP(A:A,笔记匹配!A:N,11,FALSE)</f>
        <v>28</v>
      </c>
      <c r="N164" s="69">
        <f>VLOOKUP(A:A,笔记匹配!A:N,12,FALSE)</f>
        <v>33</v>
      </c>
      <c r="O164" s="2">
        <f t="shared" si="11"/>
        <v>272</v>
      </c>
      <c r="P164" s="3">
        <f>IFERROR(VLOOKUP(A:A,信息流数据源!A:K,2,FALSE),0)</f>
        <v>0</v>
      </c>
      <c r="Q164" s="71">
        <f>IFERROR(VLOOKUP(A:A,信息流数据源!A:N,5,FALSE),0)</f>
        <v>0</v>
      </c>
      <c r="R164" s="72">
        <f>IFERROR(VLOOKUP(A:A,信息流数据源!A:N,6,FALSE),0)</f>
        <v>0</v>
      </c>
      <c r="S164" s="2">
        <f>IFERROR(VLOOKUP(A:A,信息流数据源!A:N,9,FALSE),0)</f>
        <v>0</v>
      </c>
      <c r="T164" s="3">
        <f>IFERROR(VLOOKUP(A:A,信息流数据源!A:N,13,FALSE),0)</f>
        <v>0</v>
      </c>
      <c r="U164" s="73">
        <f>IFERROR(VLOOKUP(A:A,信息流数据源!A:N,14,FALSE),0)</f>
        <v>0</v>
      </c>
      <c r="V164" s="74">
        <f>IFERROR(VLOOKUP(A:A,信息流数据源!A:O,15,FALSE),0)</f>
        <v>0</v>
      </c>
      <c r="W164" s="3">
        <f>IFERROR(VLOOKUP(A:A,搜索数据源!A:T,2,FALSE),0)</f>
        <v>0</v>
      </c>
      <c r="X164" s="71">
        <f>IFERROR(VLOOKUP(A:A,搜索数据源!A:T,5,FALSE),0)</f>
        <v>0</v>
      </c>
      <c r="Y164" s="73">
        <f>IFERROR(VLOOKUP(A:A,搜索数据源!A:T,6,FALSE),0)</f>
        <v>0</v>
      </c>
      <c r="Z164" s="3">
        <f>IFERROR(VLOOKUP(A:A,搜索数据源!A:T,9,FALSE),0)</f>
        <v>0</v>
      </c>
      <c r="AA164" s="3" t="e">
        <f>VLOOKUP(A:A,[1]搜索数据源!A:T,13,FALSE)</f>
        <v>#N/A</v>
      </c>
      <c r="AB164" s="72">
        <f>IFERROR(VLOOKUP(A:A,搜索数据源!A:T,14,FALSE),0)</f>
        <v>0</v>
      </c>
      <c r="AC164" s="69" t="str">
        <f>_xlfn.DISPIMG("ID_4BBB850293724E7D88FE49188218A958",1)</f>
        <v>=DISPIMG("ID_4BBB850293724E7D88FE49188218A958",1)</v>
      </c>
      <c r="AD164" s="4" t="s">
        <v>578</v>
      </c>
      <c r="AE164" s="69"/>
      <c r="AF164" s="77"/>
      <c r="AG164" s="2"/>
      <c r="AH164" s="69"/>
      <c r="AI164" s="4"/>
      <c r="AJ164" s="4"/>
      <c r="AK164" s="4"/>
      <c r="AL164" s="4">
        <f t="shared" si="12"/>
        <v>0</v>
      </c>
      <c r="AM164" s="81">
        <f t="shared" si="13"/>
        <v>0</v>
      </c>
      <c r="AN164" s="5">
        <f>IFERROR(VLOOKUP(A:A,回搜数据源!B:N,4,FALSE),0)</f>
        <v>0.000723589001447178</v>
      </c>
      <c r="AO164" s="5">
        <f>IFERROR(VLOOKUP(A:A,回搜数据源!B:N,5,FALSE),0)</f>
        <v>0</v>
      </c>
    </row>
    <row r="165" s="57" customFormat="1" ht="100" hidden="1" customHeight="1" spans="1:41">
      <c r="A165" s="8" t="s">
        <v>579</v>
      </c>
      <c r="B165" s="3" t="str">
        <f>VLOOKUP(A:A,笔记匹配!A:N,5,FALSE)</f>
        <v>=DISPIMG("ID_8346ED79F70A4F1AAC369692D17E2A41",1)</v>
      </c>
      <c r="C165" s="30" t="str">
        <f>VLOOKUP(A:A,笔记匹配!A:N,3,FALSE)</f>
        <v>Lucas雨田</v>
      </c>
      <c r="D165" s="30" t="str">
        <f>VLOOKUP(A:A,笔记匹配!A:N,6,FALSE)</f>
        <v>2个游泳后的放松技巧⭐️自主拉伸、筋膜枪按摩</v>
      </c>
      <c r="E165" s="30" t="str">
        <f>VLOOKUP(A:A,笔记匹配!A:N,7,FALSE)</f>
        <v>https://www.xiaohongshu.com/discovery/item/6315edad00000000110364bd</v>
      </c>
      <c r="F165" s="65">
        <f>VLOOKUP(A:A,笔记匹配!A:N,8,FALSE)</f>
        <v>44809</v>
      </c>
      <c r="G165" s="66" t="str">
        <f>VLOOKUP(A:A,笔记匹配!A:P,15,FALSE)</f>
        <v>2022-09-06</v>
      </c>
      <c r="H165" s="30" t="str">
        <f>VLOOKUP(A:A,笔记匹配!A:N,9,FALSE)</f>
        <v>视频</v>
      </c>
      <c r="I165" s="30" t="str">
        <f>VLOOKUP(A:A,笔记匹配!A:N,2,FALSE)</f>
        <v>筋膜枪</v>
      </c>
      <c r="J165" s="30" t="str">
        <f>VLOOKUP(A:A,笔记匹配!A:N,4,FALSE)</f>
        <v>云麦筋膜枪PB2</v>
      </c>
      <c r="K165" s="30" t="str">
        <f>VLOOKUP(A:A,笔记匹配!A:N,14,FALSE)</f>
        <v>云麦筋膜枪pb2</v>
      </c>
      <c r="L165" s="3">
        <f>VLOOKUP(A:A,笔记匹配!A:N,10,FALSE)</f>
        <v>1036</v>
      </c>
      <c r="M165" s="3">
        <f>VLOOKUP(A:A,笔记匹配!A:N,11,FALSE)</f>
        <v>348</v>
      </c>
      <c r="N165" s="69">
        <f>VLOOKUP(A:A,笔记匹配!A:N,12,FALSE)</f>
        <v>44</v>
      </c>
      <c r="O165" s="2">
        <f t="shared" si="11"/>
        <v>1428</v>
      </c>
      <c r="P165" s="3">
        <f>IFERROR(VLOOKUP(A:A,信息流数据源!A:K,2,FALSE),0)</f>
        <v>0</v>
      </c>
      <c r="Q165" s="71">
        <f>IFERROR(VLOOKUP(A:A,信息流数据源!A:N,5,FALSE),0)</f>
        <v>0</v>
      </c>
      <c r="R165" s="72">
        <f>IFERROR(VLOOKUP(A:A,信息流数据源!A:N,6,FALSE),0)</f>
        <v>0</v>
      </c>
      <c r="S165" s="2">
        <f>IFERROR(VLOOKUP(A:A,信息流数据源!A:N,9,FALSE),0)</f>
        <v>0</v>
      </c>
      <c r="T165" s="3">
        <f>IFERROR(VLOOKUP(A:A,信息流数据源!A:N,13,FALSE),0)</f>
        <v>0</v>
      </c>
      <c r="U165" s="73">
        <f>IFERROR(VLOOKUP(A:A,信息流数据源!A:N,14,FALSE),0)</f>
        <v>0</v>
      </c>
      <c r="V165" s="74">
        <f>IFERROR(VLOOKUP(A:A,信息流数据源!A:O,15,FALSE),0)</f>
        <v>0</v>
      </c>
      <c r="W165" s="3">
        <f>IFERROR(VLOOKUP(A:A,搜索数据源!A:T,2,FALSE),0)</f>
        <v>0</v>
      </c>
      <c r="X165" s="71">
        <f>IFERROR(VLOOKUP(A:A,搜索数据源!A:T,5,FALSE),0)</f>
        <v>0</v>
      </c>
      <c r="Y165" s="73">
        <f>IFERROR(VLOOKUP(A:A,搜索数据源!A:T,6,FALSE),0)</f>
        <v>0</v>
      </c>
      <c r="Z165" s="3">
        <f>IFERROR(VLOOKUP(A:A,搜索数据源!A:T,9,FALSE),0)</f>
        <v>0</v>
      </c>
      <c r="AA165" s="3" t="e">
        <f>VLOOKUP(A:A,[1]搜索数据源!A:T,13,FALSE)</f>
        <v>#N/A</v>
      </c>
      <c r="AB165" s="72">
        <f>IFERROR(VLOOKUP(A:A,搜索数据源!A:T,14,FALSE),0)</f>
        <v>0</v>
      </c>
      <c r="AC165" s="69" t="str">
        <f>_xlfn.DISPIMG("ID_93C508AF3A5540C1A00B465404AE2D98",1)</f>
        <v>=DISPIMG("ID_93C508AF3A5540C1A00B465404AE2D98",1)</v>
      </c>
      <c r="AD165" s="4" t="s">
        <v>580</v>
      </c>
      <c r="AE165" s="75">
        <v>44814</v>
      </c>
      <c r="AF165" s="3">
        <v>1007.29</v>
      </c>
      <c r="AG165" s="2">
        <v>7249</v>
      </c>
      <c r="AH165" s="69" t="str">
        <f>_xlfn.DISPIMG("ID_7E30329A9EBC44798CF6372AE5F9BBBA",1)</f>
        <v>=DISPIMG("ID_7E30329A9EBC44798CF6372AE5F9BBBA",1)</v>
      </c>
      <c r="AI165" s="4" t="s">
        <v>384</v>
      </c>
      <c r="AJ165" s="4">
        <v>35</v>
      </c>
      <c r="AK165" s="4">
        <v>36</v>
      </c>
      <c r="AL165" s="4">
        <f t="shared" si="12"/>
        <v>1</v>
      </c>
      <c r="AM165" s="81">
        <f t="shared" si="13"/>
        <v>1007.29</v>
      </c>
      <c r="AN165" s="5">
        <f>IFERROR(VLOOKUP(A:A,回搜数据源!B:N,4,FALSE),0)</f>
        <v>2.90115756186718e-5</v>
      </c>
      <c r="AO165" s="5">
        <f>IFERROR(VLOOKUP(A:A,回搜数据源!B:N,5,FALSE),0)</f>
        <v>0</v>
      </c>
    </row>
    <row r="166" s="57" customFormat="1" ht="100" hidden="1" customHeight="1" spans="1:41">
      <c r="A166" s="8" t="s">
        <v>234</v>
      </c>
      <c r="B166" s="3" t="str">
        <f>VLOOKUP(A:A,笔记匹配!A:N,5,FALSE)</f>
        <v>=DISPIMG("ID_FD1E5446828640A698ED9A15562EB3B3",1)</v>
      </c>
      <c r="C166" s="30" t="str">
        <f>VLOOKUP(A:A,笔记匹配!A:N,3,FALSE)</f>
        <v>pp</v>
      </c>
      <c r="D166" s="30" t="str">
        <f>VLOOKUP(A:A,笔记匹配!A:N,6,FALSE)</f>
        <v>110到88 一些减肥小建议｜如何正确运动</v>
      </c>
      <c r="E166" s="30" t="str">
        <f>VLOOKUP(A:A,笔记匹配!A:N,7,FALSE)</f>
        <v>https://www.xiaohongshu.com/discovery/item/6255518c000000002103cbe1</v>
      </c>
      <c r="F166" s="65">
        <f>VLOOKUP(A:A,笔记匹配!A:N,8,FALSE)</f>
        <v>44666</v>
      </c>
      <c r="G166" s="66" t="str">
        <f>VLOOKUP(A:A,笔记匹配!A:P,15,FALSE)</f>
        <v>2022-03-10~2022-05-10</v>
      </c>
      <c r="H166" s="30" t="str">
        <f>VLOOKUP(A:A,笔记匹配!A:N,9,FALSE)</f>
        <v>图文</v>
      </c>
      <c r="I166" s="30" t="str">
        <f>VLOOKUP(A:A,笔记匹配!A:N,2,FALSE)</f>
        <v>体脂秤</v>
      </c>
      <c r="J166" s="30" t="str">
        <f>VLOOKUP(A:A,笔记匹配!A:N,4,FALSE)</f>
        <v>云麦体脂秤3mini</v>
      </c>
      <c r="K166" s="30" t="str">
        <f>VLOOKUP(A:A,笔记匹配!A:N,14,FALSE)</f>
        <v>云麦体脂秤3mini</v>
      </c>
      <c r="L166" s="3">
        <f>VLOOKUP(A:A,笔记匹配!A:N,10,FALSE)</f>
        <v>2869</v>
      </c>
      <c r="M166" s="3">
        <f>VLOOKUP(A:A,笔记匹配!A:N,11,FALSE)</f>
        <v>877</v>
      </c>
      <c r="N166" s="69">
        <f>VLOOKUP(A:A,笔记匹配!A:N,12,FALSE)</f>
        <v>130</v>
      </c>
      <c r="O166" s="2">
        <f t="shared" si="11"/>
        <v>3876</v>
      </c>
      <c r="P166" s="3">
        <f>IFERROR(VLOOKUP(A:A,信息流数据源!A:K,2,FALSE),0)</f>
        <v>0</v>
      </c>
      <c r="Q166" s="71">
        <f>IFERROR(VLOOKUP(A:A,信息流数据源!A:N,5,FALSE),0)</f>
        <v>0</v>
      </c>
      <c r="R166" s="72">
        <f>IFERROR(VLOOKUP(A:A,信息流数据源!A:N,6,FALSE),0)</f>
        <v>0</v>
      </c>
      <c r="S166" s="2">
        <f>IFERROR(VLOOKUP(A:A,信息流数据源!A:N,9,FALSE),0)</f>
        <v>0</v>
      </c>
      <c r="T166" s="3">
        <f>IFERROR(VLOOKUP(A:A,信息流数据源!A:N,13,FALSE),0)</f>
        <v>0</v>
      </c>
      <c r="U166" s="73">
        <f>IFERROR(VLOOKUP(A:A,信息流数据源!A:N,14,FALSE),0)</f>
        <v>0</v>
      </c>
      <c r="V166" s="74">
        <f>IFERROR(VLOOKUP(A:A,信息流数据源!A:O,15,FALSE),0)</f>
        <v>0</v>
      </c>
      <c r="W166" s="3">
        <f>IFERROR(VLOOKUP(A:A,搜索数据源!A:T,2,FALSE),0)</f>
        <v>0</v>
      </c>
      <c r="X166" s="71">
        <f>IFERROR(VLOOKUP(A:A,搜索数据源!A:T,5,FALSE),0)</f>
        <v>0</v>
      </c>
      <c r="Y166" s="73">
        <f>IFERROR(VLOOKUP(A:A,搜索数据源!A:T,6,FALSE),0)</f>
        <v>0</v>
      </c>
      <c r="Z166" s="3">
        <f>IFERROR(VLOOKUP(A:A,搜索数据源!A:T,9,FALSE),0)</f>
        <v>0</v>
      </c>
      <c r="AA166" s="3">
        <f>VLOOKUP(A:A,[1]搜索数据源!A:T,13,FALSE)</f>
        <v>60</v>
      </c>
      <c r="AB166" s="72">
        <f>IFERROR(VLOOKUP(A:A,搜索数据源!A:T,14,FALSE),0)</f>
        <v>0</v>
      </c>
      <c r="AC166" s="69" t="str">
        <f>_xlfn.DISPIMG("ID_59F4E7A50B1F4EEE9D495CFCDB944A47",1)</f>
        <v>=DISPIMG("ID_59F4E7A50B1F4EEE9D495CFCDB944A47",1)</v>
      </c>
      <c r="AD166" s="4" t="s">
        <v>523</v>
      </c>
      <c r="AE166" s="75">
        <v>44718</v>
      </c>
      <c r="AF166" s="3">
        <v>1981.74</v>
      </c>
      <c r="AG166" s="2">
        <v>14026</v>
      </c>
      <c r="AH166" s="69" t="str">
        <f>_xlfn.DISPIMG("ID_02E1F52AE3834AFCBC6E4267A8535C8B",1)</f>
        <v>=DISPIMG("ID_02E1F52AE3834AFCBC6E4267A8535C8B",1)</v>
      </c>
      <c r="AI166" s="4" t="s">
        <v>524</v>
      </c>
      <c r="AJ166" s="4">
        <v>37</v>
      </c>
      <c r="AK166" s="4">
        <v>74</v>
      </c>
      <c r="AL166" s="4">
        <f t="shared" si="12"/>
        <v>37</v>
      </c>
      <c r="AM166" s="81">
        <f t="shared" si="13"/>
        <v>53.5605405405405</v>
      </c>
      <c r="AN166" s="5">
        <f>IFERROR(VLOOKUP(A:A,回搜数据源!B:N,4,FALSE),0)</f>
        <v>0.0043</v>
      </c>
      <c r="AO166" s="5">
        <f>IFERROR(VLOOKUP(A:A,回搜数据源!B:N,5,FALSE),0)</f>
        <v>0</v>
      </c>
    </row>
    <row r="167" s="57" customFormat="1" ht="100" hidden="1" customHeight="1" spans="1:41">
      <c r="A167" s="86" t="s">
        <v>201</v>
      </c>
      <c r="B167" s="3" t="str">
        <f>VLOOKUP(A:A,笔记匹配!A:N,5,FALSE)</f>
        <v>=DISPIMG("ID_F721CFCC7E0942A88733D811E56A4A11",1)</v>
      </c>
      <c r="C167" s="30" t="str">
        <f>VLOOKUP(A:A,笔记匹配!A:N,3,FALSE)</f>
        <v>包子熟了</v>
      </c>
      <c r="D167" s="30" t="str">
        <f>VLOOKUP(A:A,笔记匹配!A:N,6,FALSE)</f>
        <v>筋膜枪测评|健身小白如何挑选筋膜枪？</v>
      </c>
      <c r="E167" s="30" t="str">
        <f>VLOOKUP(A:A,笔记匹配!A:N,7,FALSE)</f>
        <v>https://www.xiaohongshu.com/discovery/item/63104c390000000011035a33</v>
      </c>
      <c r="F167" s="65">
        <f>VLOOKUP(A:A,笔记匹配!A:N,8,FALSE)</f>
        <v>44805</v>
      </c>
      <c r="G167" s="66" t="str">
        <f>VLOOKUP(A:A,笔记匹配!A:P,15,FALSE)</f>
        <v>2022-09-02</v>
      </c>
      <c r="H167" s="30" t="str">
        <f>VLOOKUP(A:A,笔记匹配!A:N,9,FALSE)</f>
        <v>图文</v>
      </c>
      <c r="I167" s="30" t="str">
        <f>VLOOKUP(A:A,笔记匹配!A:N,2,FALSE)</f>
        <v>筋膜枪</v>
      </c>
      <c r="J167" s="30" t="str">
        <f>VLOOKUP(A:A,笔记匹配!A:N,4,FALSE)</f>
        <v>云麦筋膜枪</v>
      </c>
      <c r="K167" s="30" t="str">
        <f>VLOOKUP(A:A,笔记匹配!A:N,14,FALSE)</f>
        <v>云麦筋膜枪pb2</v>
      </c>
      <c r="L167" s="3">
        <v>1273</v>
      </c>
      <c r="M167" s="3">
        <v>476</v>
      </c>
      <c r="N167" s="69">
        <v>100</v>
      </c>
      <c r="O167" s="2">
        <f t="shared" si="11"/>
        <v>1849</v>
      </c>
      <c r="P167" s="3">
        <f>IFERROR(VLOOKUP(A:A,信息流数据源!A:K,2,FALSE),0)</f>
        <v>2141.38</v>
      </c>
      <c r="Q167" s="71">
        <f>IFERROR(VLOOKUP(A:A,信息流数据源!A:N,5,FALSE),0)</f>
        <v>0.0455959243050441</v>
      </c>
      <c r="R167" s="72">
        <f>IFERROR(VLOOKUP(A:A,信息流数据源!A:N,6,FALSE),0)</f>
        <v>0.28586036577226</v>
      </c>
      <c r="S167" s="2">
        <f>IFERROR(VLOOKUP(A:A,信息流数据源!A:N,9,FALSE),0)</f>
        <v>4</v>
      </c>
      <c r="T167" s="3">
        <f>IFERROR(VLOOKUP(A:A,信息流数据源!A:N,13,FALSE),0)</f>
        <v>375</v>
      </c>
      <c r="U167" s="73">
        <f>IFERROR(VLOOKUP(A:A,信息流数据源!A:N,14,FALSE),0)</f>
        <v>5.71034666666667</v>
      </c>
      <c r="V167" s="74">
        <f>IFERROR(VLOOKUP(A:A,信息流数据源!A:O,15,FALSE),0)</f>
        <v>0.0500600720865038</v>
      </c>
      <c r="W167" s="3">
        <f>IFERROR(VLOOKUP(A:A,搜索数据源!A:T,2,FALSE),0)</f>
        <v>1873.22</v>
      </c>
      <c r="X167" s="71">
        <f>IFERROR(VLOOKUP(A:A,搜索数据源!A:T,5,FALSE),0)</f>
        <v>0.10727247919225</v>
      </c>
      <c r="Y167" s="73">
        <f>IFERROR(VLOOKUP(A:A,搜索数据源!A:T,6,FALSE),0)</f>
        <v>0.476525057237344</v>
      </c>
      <c r="Z167" s="3">
        <f>IFERROR(VLOOKUP(A:A,搜索数据源!A:T,9,FALSE),0)</f>
        <v>0</v>
      </c>
      <c r="AA167" s="3">
        <f>VLOOKUP(A:A,[1]搜索数据源!A:T,13,FALSE)</f>
        <v>111</v>
      </c>
      <c r="AB167" s="72">
        <f>IFERROR(VLOOKUP(A:A,搜索数据源!A:T,14,FALSE),0)</f>
        <v>0.00686848130246757</v>
      </c>
      <c r="AC167" s="69" t="str">
        <f>_xlfn.DISPIMG("ID_59F4E7A50B1F4EEE9D495CFCDB944A47",1)</f>
        <v>=DISPIMG("ID_59F4E7A50B1F4EEE9D495CFCDB944A47",1)</v>
      </c>
      <c r="AD167" s="4" t="s">
        <v>523</v>
      </c>
      <c r="AE167" s="75">
        <v>44718</v>
      </c>
      <c r="AF167" s="3">
        <v>1981.74</v>
      </c>
      <c r="AG167" s="2">
        <v>14026</v>
      </c>
      <c r="AH167" s="69" t="str">
        <f>_xlfn.DISPIMG("ID_02E1F52AE3834AFCBC6E4267A8535C8B",1)</f>
        <v>=DISPIMG("ID_02E1F52AE3834AFCBC6E4267A8535C8B",1)</v>
      </c>
      <c r="AI167" s="4" t="s">
        <v>524</v>
      </c>
      <c r="AJ167" s="4">
        <v>37</v>
      </c>
      <c r="AK167" s="4">
        <v>74</v>
      </c>
      <c r="AL167" s="4">
        <f t="shared" si="12"/>
        <v>37</v>
      </c>
      <c r="AM167" s="81">
        <f t="shared" si="13"/>
        <v>53.5605405405405</v>
      </c>
      <c r="AN167" s="5">
        <f>IFERROR(VLOOKUP(A:A,回搜数据源!B:N,4,FALSE),0)</f>
        <v>0.00787594168868016</v>
      </c>
      <c r="AO167" s="5">
        <f>IFERROR(VLOOKUP(A:A,回搜数据源!B:N,5,FALSE),0)</f>
        <v>0</v>
      </c>
    </row>
    <row r="168" s="57" customFormat="1" ht="100" hidden="1" customHeight="1" spans="1:41">
      <c r="A168" s="8" t="s">
        <v>581</v>
      </c>
      <c r="B168" s="3" t="str">
        <f>VLOOKUP(A:A,笔记匹配!A:N,5,FALSE)</f>
        <v>=DISPIMG("ID_123F96FFA011446499C03B9FA091D391",1)</v>
      </c>
      <c r="C168" s="30" t="str">
        <f>VLOOKUP(A:A,笔记匹配!A:N,3,FALSE)</f>
        <v>木子棋Kiki</v>
      </c>
      <c r="D168" s="30" t="str">
        <f>VLOOKUP(A:A,笔记匹配!A:N,6,FALSE)</f>
        <v>筋膜枪要怎么选❓3款不同类型筋膜枪测评‼️</v>
      </c>
      <c r="E168" s="30" t="str">
        <f>VLOOKUP(A:A,笔记匹配!A:N,7,FALSE)</f>
        <v>https://www.xiaohongshu.com/discovery/item/63108c530000000012038e6f</v>
      </c>
      <c r="F168" s="65">
        <f>VLOOKUP(A:A,笔记匹配!A:N,8,FALSE)</f>
        <v>44805</v>
      </c>
      <c r="G168" s="66" t="str">
        <f>VLOOKUP(A:A,笔记匹配!A:P,15,FALSE)</f>
        <v>2022-09-02</v>
      </c>
      <c r="H168" s="30" t="str">
        <f>VLOOKUP(A:A,笔记匹配!A:N,9,FALSE)</f>
        <v>图文</v>
      </c>
      <c r="I168" s="30" t="str">
        <f>VLOOKUP(A:A,笔记匹配!A:N,2,FALSE)</f>
        <v>筋膜枪</v>
      </c>
      <c r="J168" s="30" t="str">
        <f>VLOOKUP(A:A,笔记匹配!A:N,4,FALSE)</f>
        <v>云麦筋膜枪PB2</v>
      </c>
      <c r="K168" s="30" t="str">
        <f>VLOOKUP(A:A,笔记匹配!A:N,14,FALSE)</f>
        <v>云麦筋膜枪pb2</v>
      </c>
      <c r="L168" s="3">
        <f>VLOOKUP(A:A,笔记匹配!A:N,10,FALSE)</f>
        <v>170</v>
      </c>
      <c r="M168" s="3">
        <f>VLOOKUP(A:A,笔记匹配!A:N,11,FALSE)</f>
        <v>69</v>
      </c>
      <c r="N168" s="69">
        <f>VLOOKUP(A:A,笔记匹配!A:N,12,FALSE)</f>
        <v>35</v>
      </c>
      <c r="O168" s="2">
        <f t="shared" si="11"/>
        <v>274</v>
      </c>
      <c r="P168" s="3">
        <f>IFERROR(VLOOKUP(A:A,信息流数据源!A:K,2,FALSE),0)</f>
        <v>0</v>
      </c>
      <c r="Q168" s="71">
        <f>IFERROR(VLOOKUP(A:A,信息流数据源!A:N,5,FALSE),0)</f>
        <v>0</v>
      </c>
      <c r="R168" s="72">
        <f>IFERROR(VLOOKUP(A:A,信息流数据源!A:N,6,FALSE),0)</f>
        <v>0</v>
      </c>
      <c r="S168" s="2">
        <f>IFERROR(VLOOKUP(A:A,信息流数据源!A:N,9,FALSE),0)</f>
        <v>0</v>
      </c>
      <c r="T168" s="3">
        <f>IFERROR(VLOOKUP(A:A,信息流数据源!A:N,13,FALSE),0)</f>
        <v>0</v>
      </c>
      <c r="U168" s="73">
        <f>IFERROR(VLOOKUP(A:A,信息流数据源!A:N,14,FALSE),0)</f>
        <v>0</v>
      </c>
      <c r="V168" s="74">
        <f>IFERROR(VLOOKUP(A:A,信息流数据源!A:O,15,FALSE),0)</f>
        <v>0</v>
      </c>
      <c r="W168" s="3">
        <f>IFERROR(VLOOKUP(A:A,搜索数据源!A:T,2,FALSE),0)</f>
        <v>0</v>
      </c>
      <c r="X168" s="71">
        <f>IFERROR(VLOOKUP(A:A,搜索数据源!A:T,5,FALSE),0)</f>
        <v>0</v>
      </c>
      <c r="Y168" s="73">
        <f>IFERROR(VLOOKUP(A:A,搜索数据源!A:T,6,FALSE),0)</f>
        <v>0</v>
      </c>
      <c r="Z168" s="3">
        <f>IFERROR(VLOOKUP(A:A,搜索数据源!A:T,9,FALSE),0)</f>
        <v>0</v>
      </c>
      <c r="AA168" s="3" t="e">
        <f>VLOOKUP(A:A,[1]搜索数据源!A:T,13,FALSE)</f>
        <v>#N/A</v>
      </c>
      <c r="AB168" s="72">
        <f>IFERROR(VLOOKUP(A:A,搜索数据源!A:T,14,FALSE),0)</f>
        <v>0</v>
      </c>
      <c r="AC168" s="69" t="str">
        <f>_xlfn.DISPIMG("ID_E6B86B8EF69541DA9F613E82A3DB8B06",1)</f>
        <v>=DISPIMG("ID_E6B86B8EF69541DA9F613E82A3DB8B06",1)</v>
      </c>
      <c r="AD168" s="4" t="s">
        <v>582</v>
      </c>
      <c r="AE168" s="69"/>
      <c r="AF168" s="77"/>
      <c r="AG168" s="2"/>
      <c r="AH168" s="69"/>
      <c r="AI168" s="4"/>
      <c r="AJ168" s="4"/>
      <c r="AK168" s="4"/>
      <c r="AL168" s="4">
        <f t="shared" si="12"/>
        <v>0</v>
      </c>
      <c r="AM168" s="81">
        <f t="shared" si="13"/>
        <v>0</v>
      </c>
      <c r="AN168" s="5">
        <f>IFERROR(VLOOKUP(A:A,回搜数据源!B:N,4,FALSE),0)</f>
        <v>0.015370284117373</v>
      </c>
      <c r="AO168" s="5">
        <f>IFERROR(VLOOKUP(A:A,回搜数据源!B:N,5,FALSE),0)</f>
        <v>0</v>
      </c>
    </row>
  </sheetData>
  <autoFilter ref="A2:AO168">
    <filterColumn colId="5">
      <filters>
        <dateGroupItem year="2022" month="10" dateTimeGrouping="month"/>
        <dateGroupItem year="2022" month="11" dateTimeGrouping="month"/>
      </filters>
    </filterColumn>
    <filterColumn colId="8">
      <customFilters>
        <customFilter operator="equal" val="跳绳"/>
      </customFilters>
    </filterColumn>
    <sortState ref="A2:AO168">
      <sortCondition ref="F2" descending="1"/>
    </sortState>
    <extLst/>
  </autoFilter>
  <mergeCells count="16">
    <mergeCell ref="L1:O1"/>
    <mergeCell ref="P1:U1"/>
    <mergeCell ref="W1:AB1"/>
    <mergeCell ref="AC1:AM1"/>
    <mergeCell ref="AN1:AO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</mergeCells>
  <conditionalFormatting sqref="A3:A168">
    <cfRule type="duplicateValues" dxfId="571" priority="62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455"/>
  <sheetViews>
    <sheetView tabSelected="1" zoomScale="85" zoomScaleNormal="85" workbookViewId="0">
      <pane ySplit="4" topLeftCell="A5" activePane="bottomLeft" state="frozen"/>
      <selection/>
      <selection pane="bottomLeft" activeCell="J9" sqref="J9"/>
    </sheetView>
  </sheetViews>
  <sheetFormatPr defaultColWidth="9" defaultRowHeight="20" customHeight="1"/>
  <cols>
    <col min="1" max="2" width="28" customWidth="1"/>
    <col min="3" max="3" width="18.037037037037" customWidth="1"/>
    <col min="4" max="4" width="14.6296296296296" customWidth="1"/>
    <col min="5" max="6" width="10.3796296296296" customWidth="1"/>
    <col min="7" max="11" width="8.62962962962963" customWidth="1"/>
    <col min="12" max="12" width="5.87962962962963" customWidth="1"/>
    <col min="13" max="13" width="7" customWidth="1"/>
    <col min="14" max="14" width="8.12962962962963" customWidth="1"/>
    <col min="15" max="17" width="8.62962962962963" customWidth="1"/>
    <col min="18" max="18" width="8.25" customWidth="1"/>
    <col min="19" max="19" width="9.12962962962963"/>
    <col min="20" max="20" width="6.87962962962963" style="1" customWidth="1"/>
  </cols>
  <sheetData>
    <row r="1" customHeight="1" spans="3:20">
      <c r="C1" s="40" t="s">
        <v>583</v>
      </c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T1"/>
    </row>
    <row r="2" customHeight="1" spans="3:20">
      <c r="C2" s="40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T2"/>
    </row>
    <row r="3" ht="3" customHeight="1" spans="20:20">
      <c r="T3"/>
    </row>
    <row r="4" customHeight="1" spans="1:20">
      <c r="A4" s="42" t="s">
        <v>1</v>
      </c>
      <c r="B4" s="42" t="s">
        <v>188</v>
      </c>
      <c r="C4" s="42" t="s">
        <v>191</v>
      </c>
      <c r="D4" s="43" t="s">
        <v>2</v>
      </c>
      <c r="E4" s="43" t="s">
        <v>3</v>
      </c>
      <c r="F4" s="43" t="s">
        <v>4</v>
      </c>
      <c r="G4" s="43" t="s">
        <v>5</v>
      </c>
      <c r="H4" s="43" t="s">
        <v>6</v>
      </c>
      <c r="I4" s="43" t="s">
        <v>7</v>
      </c>
      <c r="J4" s="43" t="s">
        <v>8</v>
      </c>
      <c r="K4" s="43" t="s">
        <v>9</v>
      </c>
      <c r="L4" s="43" t="s">
        <v>10</v>
      </c>
      <c r="M4" s="43" t="s">
        <v>11</v>
      </c>
      <c r="N4" s="43" t="s">
        <v>12</v>
      </c>
      <c r="O4" s="43" t="s">
        <v>13</v>
      </c>
      <c r="P4" s="53" t="s">
        <v>14</v>
      </c>
      <c r="Q4" s="53" t="s">
        <v>584</v>
      </c>
      <c r="T4"/>
    </row>
    <row r="5" customHeight="1" spans="1:20">
      <c r="A5" s="44" t="s">
        <v>171</v>
      </c>
      <c r="B5" s="45" t="s">
        <v>195</v>
      </c>
      <c r="C5" s="45" t="s">
        <v>198</v>
      </c>
      <c r="D5" s="46">
        <v>7222.14</v>
      </c>
      <c r="E5" s="46">
        <v>255185</v>
      </c>
      <c r="F5" s="46">
        <v>12972</v>
      </c>
      <c r="G5" s="47">
        <v>0.0508337088778729</v>
      </c>
      <c r="H5" s="48">
        <v>0.556748381128585</v>
      </c>
      <c r="I5" s="48">
        <v>28.3015851245175</v>
      </c>
      <c r="J5" s="46">
        <v>394</v>
      </c>
      <c r="K5" s="54">
        <v>3</v>
      </c>
      <c r="L5" s="46">
        <v>165</v>
      </c>
      <c r="M5" s="46">
        <v>5</v>
      </c>
      <c r="N5" s="46">
        <v>9</v>
      </c>
      <c r="O5" s="46">
        <v>576</v>
      </c>
      <c r="P5" s="55">
        <v>12.5384375</v>
      </c>
      <c r="Q5" s="56">
        <v>0.0444033302497687</v>
      </c>
      <c r="T5"/>
    </row>
    <row r="6" customHeight="1" spans="1:20">
      <c r="A6" s="49"/>
      <c r="B6" s="50"/>
      <c r="C6" s="45" t="s">
        <v>211</v>
      </c>
      <c r="D6" s="46">
        <v>2422.59</v>
      </c>
      <c r="E6" s="46">
        <v>173535</v>
      </c>
      <c r="F6" s="46">
        <v>8867</v>
      </c>
      <c r="G6" s="47">
        <v>0.0510963206269629</v>
      </c>
      <c r="H6" s="48">
        <v>0.27321416488102</v>
      </c>
      <c r="I6" s="48">
        <v>13.9602385685885</v>
      </c>
      <c r="J6" s="46">
        <v>481</v>
      </c>
      <c r="K6" s="54">
        <v>2</v>
      </c>
      <c r="L6" s="46">
        <v>162</v>
      </c>
      <c r="M6" s="46">
        <v>0</v>
      </c>
      <c r="N6" s="46">
        <v>10</v>
      </c>
      <c r="O6" s="46">
        <v>655</v>
      </c>
      <c r="P6" s="55">
        <v>3.6986106870229</v>
      </c>
      <c r="Q6" s="56">
        <v>0.073869403405887</v>
      </c>
      <c r="T6"/>
    </row>
    <row r="7" customHeight="1" spans="1:20">
      <c r="A7" s="49"/>
      <c r="B7" s="50"/>
      <c r="C7" s="45" t="s">
        <v>212</v>
      </c>
      <c r="D7" s="46">
        <v>0</v>
      </c>
      <c r="E7" s="46">
        <v>0</v>
      </c>
      <c r="F7" s="46">
        <v>0</v>
      </c>
      <c r="G7" s="47" t="e">
        <v>#DIV/0!</v>
      </c>
      <c r="H7" s="48" t="e">
        <v>#DIV/0!</v>
      </c>
      <c r="I7" s="48" t="e">
        <v>#DIV/0!</v>
      </c>
      <c r="J7" s="46">
        <v>0</v>
      </c>
      <c r="K7" s="54">
        <v>0</v>
      </c>
      <c r="L7" s="46">
        <v>0</v>
      </c>
      <c r="M7" s="46">
        <v>0</v>
      </c>
      <c r="N7" s="46">
        <v>0</v>
      </c>
      <c r="O7" s="46">
        <v>0</v>
      </c>
      <c r="P7" s="55" t="e">
        <v>#DIV/0!</v>
      </c>
      <c r="Q7" s="56" t="e">
        <v>#DIV/0!</v>
      </c>
      <c r="T7"/>
    </row>
    <row r="8" customHeight="1" spans="1:20">
      <c r="A8" s="49"/>
      <c r="B8" s="45" t="s">
        <v>230</v>
      </c>
      <c r="C8" s="45" t="s">
        <v>232</v>
      </c>
      <c r="D8" s="46">
        <v>2376.92</v>
      </c>
      <c r="E8" s="46">
        <v>80240</v>
      </c>
      <c r="F8" s="46">
        <v>5950</v>
      </c>
      <c r="G8" s="47">
        <v>0.0741525423728814</v>
      </c>
      <c r="H8" s="48">
        <v>0.399482352941176</v>
      </c>
      <c r="I8" s="48">
        <v>29.6226321036889</v>
      </c>
      <c r="J8" s="46">
        <v>180</v>
      </c>
      <c r="K8" s="54">
        <v>4</v>
      </c>
      <c r="L8" s="46">
        <v>71</v>
      </c>
      <c r="M8" s="46">
        <v>19</v>
      </c>
      <c r="N8" s="46">
        <v>4</v>
      </c>
      <c r="O8" s="46">
        <v>278</v>
      </c>
      <c r="P8" s="55">
        <v>8.55007194244604</v>
      </c>
      <c r="Q8" s="56">
        <v>0.0467226890756303</v>
      </c>
      <c r="T8"/>
    </row>
    <row r="9" customHeight="1" spans="1:20">
      <c r="A9" s="49"/>
      <c r="B9" s="45" t="s">
        <v>243</v>
      </c>
      <c r="C9" s="45" t="s">
        <v>245</v>
      </c>
      <c r="D9" s="46">
        <v>523.47</v>
      </c>
      <c r="E9" s="46">
        <v>30346</v>
      </c>
      <c r="F9" s="46">
        <v>976</v>
      </c>
      <c r="G9" s="47">
        <v>0.032162393725697</v>
      </c>
      <c r="H9" s="48">
        <v>0.536342213114754</v>
      </c>
      <c r="I9" s="48">
        <v>17.2500494299084</v>
      </c>
      <c r="J9" s="46">
        <v>62</v>
      </c>
      <c r="K9" s="54">
        <v>0</v>
      </c>
      <c r="L9" s="46">
        <v>39</v>
      </c>
      <c r="M9" s="46">
        <v>5</v>
      </c>
      <c r="N9" s="46">
        <v>0</v>
      </c>
      <c r="O9" s="46">
        <v>106</v>
      </c>
      <c r="P9" s="55">
        <v>4.93839622641509</v>
      </c>
      <c r="Q9" s="56">
        <v>0.108606557377049</v>
      </c>
      <c r="T9"/>
    </row>
    <row r="10" customHeight="1" spans="1:20">
      <c r="A10" s="44" t="s">
        <v>172</v>
      </c>
      <c r="B10" s="45" t="s">
        <v>195</v>
      </c>
      <c r="C10" s="45" t="s">
        <v>198</v>
      </c>
      <c r="D10" s="46">
        <v>11.59</v>
      </c>
      <c r="E10" s="46">
        <v>448</v>
      </c>
      <c r="F10" s="46">
        <v>25</v>
      </c>
      <c r="G10" s="47">
        <v>0.0558035714285714</v>
      </c>
      <c r="H10" s="48">
        <v>0.4636</v>
      </c>
      <c r="I10" s="48">
        <v>25.8705357142857</v>
      </c>
      <c r="J10" s="46">
        <v>-1</v>
      </c>
      <c r="K10" s="54">
        <v>0</v>
      </c>
      <c r="L10" s="46">
        <v>0</v>
      </c>
      <c r="M10" s="46">
        <v>0</v>
      </c>
      <c r="N10" s="46">
        <v>0</v>
      </c>
      <c r="O10" s="46">
        <v>-1</v>
      </c>
      <c r="P10" s="55">
        <v>-11.59</v>
      </c>
      <c r="Q10" s="56">
        <v>-0.04</v>
      </c>
      <c r="T10"/>
    </row>
    <row r="11" customHeight="1" spans="1:20">
      <c r="A11" s="49"/>
      <c r="B11" s="50"/>
      <c r="C11" s="45" t="s">
        <v>211</v>
      </c>
      <c r="D11" s="46">
        <v>13.58</v>
      </c>
      <c r="E11" s="46">
        <v>984</v>
      </c>
      <c r="F11" s="46">
        <v>57</v>
      </c>
      <c r="G11" s="47">
        <v>0.0579268292682927</v>
      </c>
      <c r="H11" s="48">
        <v>0.238245614035088</v>
      </c>
      <c r="I11" s="48">
        <v>13.8008130081301</v>
      </c>
      <c r="J11" s="46">
        <v>4</v>
      </c>
      <c r="K11" s="54">
        <v>0</v>
      </c>
      <c r="L11" s="46">
        <v>0</v>
      </c>
      <c r="M11" s="46">
        <v>0</v>
      </c>
      <c r="N11" s="46">
        <v>0</v>
      </c>
      <c r="O11" s="46">
        <v>4</v>
      </c>
      <c r="P11" s="55">
        <v>3.395</v>
      </c>
      <c r="Q11" s="56">
        <v>0.0701754385964912</v>
      </c>
      <c r="T11"/>
    </row>
    <row r="12" customHeight="1" spans="1:20">
      <c r="A12" s="49"/>
      <c r="B12" s="45" t="s">
        <v>230</v>
      </c>
      <c r="C12" s="45" t="s">
        <v>232</v>
      </c>
      <c r="D12" s="46">
        <v>0.21</v>
      </c>
      <c r="E12" s="46">
        <v>21</v>
      </c>
      <c r="F12" s="46">
        <v>1</v>
      </c>
      <c r="G12" s="47">
        <v>0.0476190476190476</v>
      </c>
      <c r="H12" s="48">
        <v>0.21</v>
      </c>
      <c r="I12" s="48">
        <v>10</v>
      </c>
      <c r="J12" s="46">
        <v>0</v>
      </c>
      <c r="K12" s="54">
        <v>0</v>
      </c>
      <c r="L12" s="46">
        <v>0</v>
      </c>
      <c r="M12" s="46">
        <v>0</v>
      </c>
      <c r="N12" s="46">
        <v>0</v>
      </c>
      <c r="O12" s="46">
        <v>0</v>
      </c>
      <c r="P12" s="55" t="e">
        <v>#DIV/0!</v>
      </c>
      <c r="Q12" s="56">
        <v>0</v>
      </c>
      <c r="T12"/>
    </row>
    <row r="13" customHeight="1" spans="1:20">
      <c r="A13" s="44" t="s">
        <v>173</v>
      </c>
      <c r="B13" s="45" t="s">
        <v>195</v>
      </c>
      <c r="C13" s="45" t="s">
        <v>198</v>
      </c>
      <c r="D13" s="46">
        <v>506.89</v>
      </c>
      <c r="E13" s="46">
        <v>52077</v>
      </c>
      <c r="F13" s="46">
        <v>3273</v>
      </c>
      <c r="G13" s="47">
        <v>0.0628492424678841</v>
      </c>
      <c r="H13" s="48">
        <v>0.154870149709746</v>
      </c>
      <c r="I13" s="48">
        <v>9.73347159014536</v>
      </c>
      <c r="J13" s="46">
        <v>135</v>
      </c>
      <c r="K13" s="54">
        <v>1</v>
      </c>
      <c r="L13" s="46">
        <v>64</v>
      </c>
      <c r="M13" s="46">
        <v>4</v>
      </c>
      <c r="N13" s="46">
        <v>3</v>
      </c>
      <c r="O13" s="46">
        <v>207</v>
      </c>
      <c r="P13" s="55">
        <v>2.44874396135266</v>
      </c>
      <c r="Q13" s="56">
        <v>0.0632447296058662</v>
      </c>
      <c r="T13"/>
    </row>
    <row r="14" customHeight="1" spans="1:20">
      <c r="A14" s="49"/>
      <c r="B14" s="45" t="s">
        <v>243</v>
      </c>
      <c r="C14" s="45" t="s">
        <v>245</v>
      </c>
      <c r="D14" s="46">
        <v>505.57</v>
      </c>
      <c r="E14" s="46">
        <v>29805</v>
      </c>
      <c r="F14" s="46">
        <v>2053</v>
      </c>
      <c r="G14" s="47">
        <v>0.0688810602247945</v>
      </c>
      <c r="H14" s="48">
        <v>0.246259132976132</v>
      </c>
      <c r="I14" s="48">
        <v>16.9625901694347</v>
      </c>
      <c r="J14" s="46">
        <v>126</v>
      </c>
      <c r="K14" s="54">
        <v>0</v>
      </c>
      <c r="L14" s="46">
        <v>71</v>
      </c>
      <c r="M14" s="46">
        <v>6</v>
      </c>
      <c r="N14" s="46">
        <v>1</v>
      </c>
      <c r="O14" s="46">
        <v>204</v>
      </c>
      <c r="P14" s="55">
        <v>2.47828431372549</v>
      </c>
      <c r="Q14" s="56">
        <v>0.0993667803214808</v>
      </c>
      <c r="T14"/>
    </row>
    <row r="15" customHeight="1" spans="1:20">
      <c r="A15" s="44" t="s">
        <v>174</v>
      </c>
      <c r="B15" s="45" t="s">
        <v>195</v>
      </c>
      <c r="C15" s="45" t="s">
        <v>198</v>
      </c>
      <c r="D15" s="46">
        <v>1311.03</v>
      </c>
      <c r="E15" s="46">
        <v>145972</v>
      </c>
      <c r="F15" s="46">
        <v>16112</v>
      </c>
      <c r="G15" s="47">
        <v>0.110377332639136</v>
      </c>
      <c r="H15" s="48">
        <v>0.0813697864945382</v>
      </c>
      <c r="I15" s="48">
        <v>8.98137999068315</v>
      </c>
      <c r="J15" s="46">
        <v>198</v>
      </c>
      <c r="K15" s="54">
        <v>17</v>
      </c>
      <c r="L15" s="46">
        <v>66</v>
      </c>
      <c r="M15" s="46">
        <v>73</v>
      </c>
      <c r="N15" s="46">
        <v>14</v>
      </c>
      <c r="O15" s="46">
        <v>368</v>
      </c>
      <c r="P15" s="55">
        <v>3.56258152173913</v>
      </c>
      <c r="Q15" s="56">
        <v>0.0228401191658391</v>
      </c>
      <c r="T15"/>
    </row>
    <row r="16" customHeight="1" spans="1:20">
      <c r="A16" s="49"/>
      <c r="B16" s="45" t="s">
        <v>243</v>
      </c>
      <c r="C16" s="45" t="s">
        <v>245</v>
      </c>
      <c r="D16" s="46">
        <v>506.13</v>
      </c>
      <c r="E16" s="46">
        <v>40063</v>
      </c>
      <c r="F16" s="46">
        <v>6087</v>
      </c>
      <c r="G16" s="47">
        <v>0.151935701270499</v>
      </c>
      <c r="H16" s="48">
        <v>0.0831493346476097</v>
      </c>
      <c r="I16" s="48">
        <v>12.63335246986</v>
      </c>
      <c r="J16" s="46">
        <v>189</v>
      </c>
      <c r="K16" s="54">
        <v>6</v>
      </c>
      <c r="L16" s="46">
        <v>13</v>
      </c>
      <c r="M16" s="46">
        <v>22</v>
      </c>
      <c r="N16" s="46">
        <v>1</v>
      </c>
      <c r="O16" s="46">
        <v>231</v>
      </c>
      <c r="P16" s="55">
        <v>2.19103896103896</v>
      </c>
      <c r="Q16" s="56">
        <v>0.0379497289305076</v>
      </c>
      <c r="T16"/>
    </row>
    <row r="17" customHeight="1" spans="1:20">
      <c r="A17" s="44" t="s">
        <v>175</v>
      </c>
      <c r="B17" s="45" t="s">
        <v>195</v>
      </c>
      <c r="C17" s="45" t="s">
        <v>198</v>
      </c>
      <c r="D17" s="46">
        <v>504.76</v>
      </c>
      <c r="E17" s="46">
        <v>52242</v>
      </c>
      <c r="F17" s="46">
        <v>2327</v>
      </c>
      <c r="G17" s="47">
        <v>0.0445427051031737</v>
      </c>
      <c r="H17" s="48">
        <v>0.216914482165879</v>
      </c>
      <c r="I17" s="48">
        <v>9.66195781172237</v>
      </c>
      <c r="J17" s="46">
        <v>79</v>
      </c>
      <c r="K17" s="54">
        <v>0</v>
      </c>
      <c r="L17" s="46">
        <v>18</v>
      </c>
      <c r="M17" s="46">
        <v>0</v>
      </c>
      <c r="N17" s="46">
        <v>3</v>
      </c>
      <c r="O17" s="46">
        <v>100</v>
      </c>
      <c r="P17" s="55">
        <v>5.0476</v>
      </c>
      <c r="Q17" s="56">
        <v>0.0429737859905458</v>
      </c>
      <c r="T17"/>
    </row>
    <row r="18" customHeight="1" spans="1:20">
      <c r="A18" s="49"/>
      <c r="B18" s="50"/>
      <c r="C18" s="45" t="s">
        <v>211</v>
      </c>
      <c r="D18" s="46">
        <v>505.56</v>
      </c>
      <c r="E18" s="46">
        <v>51875</v>
      </c>
      <c r="F18" s="46">
        <v>5612</v>
      </c>
      <c r="G18" s="47">
        <v>0.10818313253012</v>
      </c>
      <c r="H18" s="48">
        <v>0.0900855310049893</v>
      </c>
      <c r="I18" s="48">
        <v>9.74573493975904</v>
      </c>
      <c r="J18" s="46">
        <v>90</v>
      </c>
      <c r="K18" s="54">
        <v>1</v>
      </c>
      <c r="L18" s="46">
        <v>31</v>
      </c>
      <c r="M18" s="46">
        <v>5</v>
      </c>
      <c r="N18" s="46">
        <v>1</v>
      </c>
      <c r="O18" s="46">
        <v>128</v>
      </c>
      <c r="P18" s="55">
        <v>3.9496875</v>
      </c>
      <c r="Q18" s="56">
        <v>0.022808267997149</v>
      </c>
      <c r="T18"/>
    </row>
    <row r="19" customHeight="1" spans="1:20">
      <c r="A19" s="49"/>
      <c r="B19" s="45" t="s">
        <v>243</v>
      </c>
      <c r="C19" s="45" t="s">
        <v>245</v>
      </c>
      <c r="D19" s="46">
        <v>508.35</v>
      </c>
      <c r="E19" s="46">
        <v>69445</v>
      </c>
      <c r="F19" s="46">
        <v>5697</v>
      </c>
      <c r="G19" s="47">
        <v>0.0820361437108503</v>
      </c>
      <c r="H19" s="48">
        <v>0.0892311743022644</v>
      </c>
      <c r="I19" s="48">
        <v>7.32018143854849</v>
      </c>
      <c r="J19" s="46">
        <v>111</v>
      </c>
      <c r="K19" s="54">
        <v>5</v>
      </c>
      <c r="L19" s="46">
        <v>50</v>
      </c>
      <c r="M19" s="46">
        <v>4</v>
      </c>
      <c r="N19" s="46">
        <v>2</v>
      </c>
      <c r="O19" s="46">
        <v>172</v>
      </c>
      <c r="P19" s="55">
        <v>2.95552325581395</v>
      </c>
      <c r="Q19" s="56">
        <v>0.0301913287695278</v>
      </c>
      <c r="T19"/>
    </row>
    <row r="20" customHeight="1" spans="1:20">
      <c r="A20" s="44" t="s">
        <v>176</v>
      </c>
      <c r="B20" s="45" t="s">
        <v>195</v>
      </c>
      <c r="C20" s="45" t="s">
        <v>198</v>
      </c>
      <c r="D20" s="46">
        <v>986.12</v>
      </c>
      <c r="E20" s="46">
        <v>63862</v>
      </c>
      <c r="F20" s="46">
        <v>4072</v>
      </c>
      <c r="G20" s="47">
        <v>0.0637624878644577</v>
      </c>
      <c r="H20" s="48">
        <v>0.242170923379175</v>
      </c>
      <c r="I20" s="48">
        <v>15.4414205630892</v>
      </c>
      <c r="J20" s="46">
        <v>244</v>
      </c>
      <c r="K20" s="54">
        <v>1</v>
      </c>
      <c r="L20" s="46">
        <v>120</v>
      </c>
      <c r="M20" s="46">
        <v>1</v>
      </c>
      <c r="N20" s="46">
        <v>4</v>
      </c>
      <c r="O20" s="46">
        <v>370</v>
      </c>
      <c r="P20" s="55">
        <v>2.66518918918919</v>
      </c>
      <c r="Q20" s="56">
        <v>0.0908644400785855</v>
      </c>
      <c r="T20"/>
    </row>
    <row r="21" customHeight="1" spans="1:20">
      <c r="A21" s="49"/>
      <c r="B21" s="50"/>
      <c r="C21" s="45" t="s">
        <v>211</v>
      </c>
      <c r="D21" s="46">
        <v>505.02</v>
      </c>
      <c r="E21" s="46">
        <v>64069</v>
      </c>
      <c r="F21" s="46">
        <v>4071</v>
      </c>
      <c r="G21" s="47">
        <v>0.0635408699995318</v>
      </c>
      <c r="H21" s="48">
        <v>0.124053058216654</v>
      </c>
      <c r="I21" s="48">
        <v>7.88243924518878</v>
      </c>
      <c r="J21" s="46">
        <v>148</v>
      </c>
      <c r="K21" s="54">
        <v>0</v>
      </c>
      <c r="L21" s="46">
        <v>52</v>
      </c>
      <c r="M21" s="46">
        <v>2</v>
      </c>
      <c r="N21" s="46">
        <v>1</v>
      </c>
      <c r="O21" s="46">
        <v>203</v>
      </c>
      <c r="P21" s="55">
        <v>2.48778325123153</v>
      </c>
      <c r="Q21" s="56">
        <v>0.0498648980594449</v>
      </c>
      <c r="T21"/>
    </row>
    <row r="22" customHeight="1" spans="1:20">
      <c r="A22" s="49"/>
      <c r="B22" s="45" t="s">
        <v>243</v>
      </c>
      <c r="C22" s="45" t="s">
        <v>245</v>
      </c>
      <c r="D22" s="46">
        <v>515.7</v>
      </c>
      <c r="E22" s="46">
        <v>31791</v>
      </c>
      <c r="F22" s="46">
        <v>4517</v>
      </c>
      <c r="G22" s="47">
        <v>0.14208423767733</v>
      </c>
      <c r="H22" s="48">
        <v>0.114168696037193</v>
      </c>
      <c r="I22" s="48">
        <v>16.2215721430594</v>
      </c>
      <c r="J22" s="46">
        <v>226</v>
      </c>
      <c r="K22" s="54">
        <v>3</v>
      </c>
      <c r="L22" s="46">
        <v>123</v>
      </c>
      <c r="M22" s="46">
        <v>6</v>
      </c>
      <c r="N22" s="46">
        <v>9</v>
      </c>
      <c r="O22" s="46">
        <v>367</v>
      </c>
      <c r="P22" s="55">
        <v>1.40517711171662</v>
      </c>
      <c r="Q22" s="56">
        <v>0.0812486163382776</v>
      </c>
      <c r="T22"/>
    </row>
    <row r="23" customHeight="1" spans="1:20">
      <c r="A23" s="44" t="s">
        <v>177</v>
      </c>
      <c r="B23" s="45" t="s">
        <v>195</v>
      </c>
      <c r="C23" s="45" t="s">
        <v>198</v>
      </c>
      <c r="D23" s="46">
        <v>2518.86</v>
      </c>
      <c r="E23" s="46">
        <v>199255</v>
      </c>
      <c r="F23" s="46">
        <v>11515</v>
      </c>
      <c r="G23" s="47">
        <v>0.0577902687510978</v>
      </c>
      <c r="H23" s="48">
        <v>0.218745983499783</v>
      </c>
      <c r="I23" s="48">
        <v>12.6413891746757</v>
      </c>
      <c r="J23" s="46">
        <v>513</v>
      </c>
      <c r="K23" s="54">
        <v>2</v>
      </c>
      <c r="L23" s="46">
        <v>233</v>
      </c>
      <c r="M23" s="46">
        <v>2</v>
      </c>
      <c r="N23" s="46">
        <v>10</v>
      </c>
      <c r="O23" s="46">
        <v>760</v>
      </c>
      <c r="P23" s="55">
        <v>3.31428947368421</v>
      </c>
      <c r="Q23" s="56">
        <v>0.0660008684324794</v>
      </c>
      <c r="T23"/>
    </row>
    <row r="24" customHeight="1" spans="1:20">
      <c r="A24" s="49"/>
      <c r="B24" s="50"/>
      <c r="C24" s="45" t="s">
        <v>211</v>
      </c>
      <c r="D24" s="46">
        <v>1017.2</v>
      </c>
      <c r="E24" s="46">
        <v>121159</v>
      </c>
      <c r="F24" s="46">
        <v>7380</v>
      </c>
      <c r="G24" s="47">
        <v>0.0609116945501366</v>
      </c>
      <c r="H24" s="48">
        <v>0.137831978319783</v>
      </c>
      <c r="I24" s="48">
        <v>8.39557936265568</v>
      </c>
      <c r="J24" s="46">
        <v>343</v>
      </c>
      <c r="K24" s="54">
        <v>3</v>
      </c>
      <c r="L24" s="46">
        <v>108</v>
      </c>
      <c r="M24" s="46">
        <v>1</v>
      </c>
      <c r="N24" s="46">
        <v>4</v>
      </c>
      <c r="O24" s="46">
        <v>459</v>
      </c>
      <c r="P24" s="55">
        <v>2.2161220043573</v>
      </c>
      <c r="Q24" s="56">
        <v>0.0621951219512195</v>
      </c>
      <c r="T24"/>
    </row>
    <row r="25" customHeight="1" spans="1:20">
      <c r="A25" s="49"/>
      <c r="B25" s="50"/>
      <c r="C25" s="45" t="s">
        <v>212</v>
      </c>
      <c r="D25" s="46">
        <v>400.22</v>
      </c>
      <c r="E25" s="46">
        <v>22613</v>
      </c>
      <c r="F25" s="46">
        <v>1748</v>
      </c>
      <c r="G25" s="47">
        <v>0.0773006677574846</v>
      </c>
      <c r="H25" s="48">
        <v>0.22895881006865</v>
      </c>
      <c r="I25" s="48">
        <v>17.6986689072657</v>
      </c>
      <c r="J25" s="46">
        <v>46</v>
      </c>
      <c r="K25" s="54">
        <v>4</v>
      </c>
      <c r="L25" s="46">
        <v>21</v>
      </c>
      <c r="M25" s="46">
        <v>1</v>
      </c>
      <c r="N25" s="46">
        <v>10</v>
      </c>
      <c r="O25" s="46">
        <v>82</v>
      </c>
      <c r="P25" s="55">
        <v>4.88073170731707</v>
      </c>
      <c r="Q25" s="56">
        <v>0.0469107551487414</v>
      </c>
      <c r="T25"/>
    </row>
    <row r="26" customHeight="1" spans="1:20">
      <c r="A26" s="49"/>
      <c r="B26" s="45" t="s">
        <v>243</v>
      </c>
      <c r="C26" s="45" t="s">
        <v>245</v>
      </c>
      <c r="D26" s="46">
        <v>1055.85</v>
      </c>
      <c r="E26" s="46">
        <v>118143</v>
      </c>
      <c r="F26" s="46">
        <v>12871</v>
      </c>
      <c r="G26" s="47">
        <v>0.108944245532956</v>
      </c>
      <c r="H26" s="48">
        <v>0.0820332530494911</v>
      </c>
      <c r="I26" s="48">
        <v>8.93705086209086</v>
      </c>
      <c r="J26" s="46">
        <v>295</v>
      </c>
      <c r="K26" s="54">
        <v>7</v>
      </c>
      <c r="L26" s="46">
        <v>169</v>
      </c>
      <c r="M26" s="46">
        <v>11</v>
      </c>
      <c r="N26" s="46">
        <v>10</v>
      </c>
      <c r="O26" s="46">
        <v>492</v>
      </c>
      <c r="P26" s="55">
        <v>2.14603658536585</v>
      </c>
      <c r="Q26" s="56">
        <v>0.0382254681065962</v>
      </c>
      <c r="T26"/>
    </row>
    <row r="27" customHeight="1" spans="1:20">
      <c r="A27" s="44" t="s">
        <v>178</v>
      </c>
      <c r="B27" s="45" t="s">
        <v>195</v>
      </c>
      <c r="C27" s="45" t="s">
        <v>198</v>
      </c>
      <c r="D27" s="46">
        <v>2477.02</v>
      </c>
      <c r="E27" s="46">
        <v>200335</v>
      </c>
      <c r="F27" s="46">
        <v>12564</v>
      </c>
      <c r="G27" s="47">
        <v>0.0627149524546385</v>
      </c>
      <c r="H27" s="48">
        <v>0.197152180834129</v>
      </c>
      <c r="I27" s="48">
        <v>12.3643896473407</v>
      </c>
      <c r="J27" s="46">
        <v>389</v>
      </c>
      <c r="K27" s="54">
        <v>1</v>
      </c>
      <c r="L27" s="46">
        <v>210</v>
      </c>
      <c r="M27" s="46">
        <v>3</v>
      </c>
      <c r="N27" s="46">
        <v>11</v>
      </c>
      <c r="O27" s="46">
        <v>614</v>
      </c>
      <c r="P27" s="55">
        <v>4.0342345276873</v>
      </c>
      <c r="Q27" s="56">
        <v>0.0488697866921363</v>
      </c>
      <c r="T27"/>
    </row>
    <row r="28" customHeight="1" spans="1:20">
      <c r="A28" s="49"/>
      <c r="B28" s="50"/>
      <c r="C28" s="45" t="s">
        <v>211</v>
      </c>
      <c r="D28" s="46">
        <v>1519.14</v>
      </c>
      <c r="E28" s="46">
        <v>144785</v>
      </c>
      <c r="F28" s="46">
        <v>8921</v>
      </c>
      <c r="G28" s="47">
        <v>0.0616154988431122</v>
      </c>
      <c r="H28" s="48">
        <v>0.170288084295483</v>
      </c>
      <c r="I28" s="48">
        <v>10.4923852609041</v>
      </c>
      <c r="J28" s="46">
        <v>373</v>
      </c>
      <c r="K28" s="54">
        <v>4</v>
      </c>
      <c r="L28" s="46">
        <v>137</v>
      </c>
      <c r="M28" s="46">
        <v>1</v>
      </c>
      <c r="N28" s="46">
        <v>13</v>
      </c>
      <c r="O28" s="46">
        <v>528</v>
      </c>
      <c r="P28" s="55">
        <v>2.87715909090909</v>
      </c>
      <c r="Q28" s="56">
        <v>0.0591861898890259</v>
      </c>
      <c r="T28"/>
    </row>
    <row r="29" customHeight="1" spans="1:20">
      <c r="A29" s="49"/>
      <c r="B29" s="50"/>
      <c r="C29" s="45" t="s">
        <v>212</v>
      </c>
      <c r="D29" s="46">
        <v>9.18</v>
      </c>
      <c r="E29" s="46">
        <v>445</v>
      </c>
      <c r="F29" s="46">
        <v>51</v>
      </c>
      <c r="G29" s="47">
        <v>0.114606741573034</v>
      </c>
      <c r="H29" s="48">
        <v>0.18</v>
      </c>
      <c r="I29" s="48">
        <v>20.6292134831461</v>
      </c>
      <c r="J29" s="46">
        <v>0</v>
      </c>
      <c r="K29" s="54">
        <v>0</v>
      </c>
      <c r="L29" s="46">
        <v>1</v>
      </c>
      <c r="M29" s="46">
        <v>0</v>
      </c>
      <c r="N29" s="46">
        <v>0</v>
      </c>
      <c r="O29" s="46">
        <v>1</v>
      </c>
      <c r="P29" s="55">
        <v>9.18</v>
      </c>
      <c r="Q29" s="56">
        <v>0.0196078431372549</v>
      </c>
      <c r="T29"/>
    </row>
    <row r="30" customHeight="1" spans="1:20">
      <c r="A30" s="49"/>
      <c r="B30" s="45" t="s">
        <v>243</v>
      </c>
      <c r="C30" s="45" t="s">
        <v>245</v>
      </c>
      <c r="D30" s="46">
        <v>1081.54</v>
      </c>
      <c r="E30" s="46">
        <v>127579</v>
      </c>
      <c r="F30" s="46">
        <v>13235</v>
      </c>
      <c r="G30" s="47">
        <v>0.103739643671764</v>
      </c>
      <c r="H30" s="48">
        <v>0.0817181715149226</v>
      </c>
      <c r="I30" s="48">
        <v>8.47741399446617</v>
      </c>
      <c r="J30" s="46">
        <v>384</v>
      </c>
      <c r="K30" s="54">
        <v>8</v>
      </c>
      <c r="L30" s="46">
        <v>256</v>
      </c>
      <c r="M30" s="46">
        <v>7</v>
      </c>
      <c r="N30" s="46">
        <v>25</v>
      </c>
      <c r="O30" s="46">
        <v>680</v>
      </c>
      <c r="P30" s="55">
        <v>1.5905</v>
      </c>
      <c r="Q30" s="56">
        <v>0.0513789195315451</v>
      </c>
      <c r="T30"/>
    </row>
    <row r="31" customHeight="1" spans="1:20">
      <c r="A31" s="44" t="s">
        <v>179</v>
      </c>
      <c r="B31" s="45" t="s">
        <v>195</v>
      </c>
      <c r="C31" s="45" t="s">
        <v>198</v>
      </c>
      <c r="D31" s="46">
        <v>1717.72</v>
      </c>
      <c r="E31" s="46">
        <v>126789</v>
      </c>
      <c r="F31" s="46">
        <v>6808</v>
      </c>
      <c r="G31" s="47">
        <v>0.053695509862843</v>
      </c>
      <c r="H31" s="48">
        <v>0.252309048178613</v>
      </c>
      <c r="I31" s="48">
        <v>13.5478629849593</v>
      </c>
      <c r="J31" s="46">
        <v>229</v>
      </c>
      <c r="K31" s="54">
        <v>1</v>
      </c>
      <c r="L31" s="46">
        <v>118</v>
      </c>
      <c r="M31" s="46">
        <v>1</v>
      </c>
      <c r="N31" s="46">
        <v>3</v>
      </c>
      <c r="O31" s="46">
        <v>352</v>
      </c>
      <c r="P31" s="55">
        <v>4.87988636363636</v>
      </c>
      <c r="Q31" s="56">
        <v>0.0517038777908343</v>
      </c>
      <c r="T31"/>
    </row>
    <row r="32" customHeight="1" spans="1:20">
      <c r="A32" s="49"/>
      <c r="B32" s="50"/>
      <c r="C32" s="45" t="s">
        <v>211</v>
      </c>
      <c r="D32" s="46">
        <v>1841.43</v>
      </c>
      <c r="E32" s="46">
        <v>137296</v>
      </c>
      <c r="F32" s="46">
        <v>6967</v>
      </c>
      <c r="G32" s="47">
        <v>0.0507443771122247</v>
      </c>
      <c r="H32" s="48">
        <v>0.264307449404335</v>
      </c>
      <c r="I32" s="48">
        <v>13.4121168861438</v>
      </c>
      <c r="J32" s="46">
        <v>277</v>
      </c>
      <c r="K32" s="54">
        <v>3</v>
      </c>
      <c r="L32" s="46">
        <v>107</v>
      </c>
      <c r="M32" s="46">
        <v>1</v>
      </c>
      <c r="N32" s="46">
        <v>4</v>
      </c>
      <c r="O32" s="46">
        <v>392</v>
      </c>
      <c r="P32" s="55">
        <v>4.69752551020408</v>
      </c>
      <c r="Q32" s="56">
        <v>0.0562652504664849</v>
      </c>
      <c r="T32"/>
    </row>
    <row r="33" customHeight="1" spans="1:20">
      <c r="A33" s="49"/>
      <c r="B33" s="45" t="s">
        <v>243</v>
      </c>
      <c r="C33" s="45" t="s">
        <v>245</v>
      </c>
      <c r="D33" s="46">
        <v>1053.59</v>
      </c>
      <c r="E33" s="46">
        <v>121363</v>
      </c>
      <c r="F33" s="46">
        <v>11751</v>
      </c>
      <c r="G33" s="47">
        <v>0.096825226798942</v>
      </c>
      <c r="H33" s="48">
        <v>0.0896596034380053</v>
      </c>
      <c r="I33" s="48">
        <v>8.68131143758806</v>
      </c>
      <c r="J33" s="46">
        <v>238</v>
      </c>
      <c r="K33" s="54">
        <v>8</v>
      </c>
      <c r="L33" s="46">
        <v>140</v>
      </c>
      <c r="M33" s="46">
        <v>7</v>
      </c>
      <c r="N33" s="46">
        <v>9</v>
      </c>
      <c r="O33" s="46">
        <v>402</v>
      </c>
      <c r="P33" s="55">
        <v>2.62087064676617</v>
      </c>
      <c r="Q33" s="56">
        <v>0.0342098544804697</v>
      </c>
      <c r="T33"/>
    </row>
    <row r="34" customHeight="1" spans="1:20">
      <c r="A34" s="44" t="s">
        <v>180</v>
      </c>
      <c r="B34" s="45" t="s">
        <v>195</v>
      </c>
      <c r="C34" s="45" t="s">
        <v>198</v>
      </c>
      <c r="D34" s="46">
        <v>1441.02</v>
      </c>
      <c r="E34" s="46">
        <v>83217</v>
      </c>
      <c r="F34" s="46">
        <v>4127</v>
      </c>
      <c r="G34" s="47">
        <v>0.0495932321520843</v>
      </c>
      <c r="H34" s="48">
        <v>0.34916888781197</v>
      </c>
      <c r="I34" s="48">
        <v>17.3164137135441</v>
      </c>
      <c r="J34" s="46">
        <v>199</v>
      </c>
      <c r="K34" s="54">
        <v>6</v>
      </c>
      <c r="L34" s="46">
        <v>88</v>
      </c>
      <c r="M34" s="46">
        <v>2</v>
      </c>
      <c r="N34" s="46">
        <v>7</v>
      </c>
      <c r="O34" s="46">
        <v>302</v>
      </c>
      <c r="P34" s="55">
        <v>4.77158940397351</v>
      </c>
      <c r="Q34" s="56">
        <v>0.0731766416283014</v>
      </c>
      <c r="T34"/>
    </row>
    <row r="35" customHeight="1" spans="1:20">
      <c r="A35" s="49"/>
      <c r="B35" s="50"/>
      <c r="C35" s="45" t="s">
        <v>211</v>
      </c>
      <c r="D35" s="46">
        <v>1385.81</v>
      </c>
      <c r="E35" s="46">
        <v>95373</v>
      </c>
      <c r="F35" s="46">
        <v>4920</v>
      </c>
      <c r="G35" s="47">
        <v>0.0515869271177377</v>
      </c>
      <c r="H35" s="48">
        <v>0.281668699186992</v>
      </c>
      <c r="I35" s="48">
        <v>14.5304226563073</v>
      </c>
      <c r="J35" s="46">
        <v>223</v>
      </c>
      <c r="K35" s="54">
        <v>5</v>
      </c>
      <c r="L35" s="46">
        <v>80</v>
      </c>
      <c r="M35" s="46">
        <v>2</v>
      </c>
      <c r="N35" s="46">
        <v>5</v>
      </c>
      <c r="O35" s="46">
        <v>315</v>
      </c>
      <c r="P35" s="55">
        <v>4.39939682539683</v>
      </c>
      <c r="Q35" s="56">
        <v>0.0640243902439024</v>
      </c>
      <c r="T35"/>
    </row>
    <row r="36" customHeight="1" spans="1:20">
      <c r="A36" s="49"/>
      <c r="B36" s="45" t="s">
        <v>243</v>
      </c>
      <c r="C36" s="45" t="s">
        <v>245</v>
      </c>
      <c r="D36" s="46">
        <v>526.45</v>
      </c>
      <c r="E36" s="46">
        <v>73564</v>
      </c>
      <c r="F36" s="46">
        <v>6559</v>
      </c>
      <c r="G36" s="47">
        <v>0.089160458920124</v>
      </c>
      <c r="H36" s="48">
        <v>0.0802637597194694</v>
      </c>
      <c r="I36" s="48">
        <v>7.15635365124246</v>
      </c>
      <c r="J36" s="46">
        <v>138</v>
      </c>
      <c r="K36" s="54">
        <v>3</v>
      </c>
      <c r="L36" s="46">
        <v>99</v>
      </c>
      <c r="M36" s="46">
        <v>3</v>
      </c>
      <c r="N36" s="46">
        <v>8</v>
      </c>
      <c r="O36" s="46">
        <v>251</v>
      </c>
      <c r="P36" s="55">
        <v>2.09741035856574</v>
      </c>
      <c r="Q36" s="56">
        <v>0.0382680286629059</v>
      </c>
      <c r="T36"/>
    </row>
    <row r="37" customHeight="1" spans="1:20">
      <c r="A37" s="44" t="s">
        <v>181</v>
      </c>
      <c r="B37" s="45" t="s">
        <v>195</v>
      </c>
      <c r="C37" s="45" t="s">
        <v>198</v>
      </c>
      <c r="D37" s="46">
        <v>1373.38</v>
      </c>
      <c r="E37" s="46">
        <v>63628</v>
      </c>
      <c r="F37" s="46">
        <v>4090</v>
      </c>
      <c r="G37" s="47">
        <v>0.0642798767838059</v>
      </c>
      <c r="H37" s="48">
        <v>0.335789731051345</v>
      </c>
      <c r="I37" s="48">
        <v>21.5845225372478</v>
      </c>
      <c r="J37" s="46">
        <v>217</v>
      </c>
      <c r="K37" s="54">
        <v>0</v>
      </c>
      <c r="L37" s="46">
        <v>153</v>
      </c>
      <c r="M37" s="46">
        <v>5</v>
      </c>
      <c r="N37" s="46">
        <v>8</v>
      </c>
      <c r="O37" s="46">
        <v>383</v>
      </c>
      <c r="P37" s="55">
        <v>3.58584856396867</v>
      </c>
      <c r="Q37" s="56">
        <v>0.0936430317848411</v>
      </c>
      <c r="T37"/>
    </row>
    <row r="38" customHeight="1" spans="1:20">
      <c r="A38" s="49"/>
      <c r="B38" s="50"/>
      <c r="C38" s="45" t="s">
        <v>211</v>
      </c>
      <c r="D38" s="46">
        <v>1015.26</v>
      </c>
      <c r="E38" s="46">
        <v>73445</v>
      </c>
      <c r="F38" s="46">
        <v>4713</v>
      </c>
      <c r="G38" s="47">
        <v>0.0641704676969161</v>
      </c>
      <c r="H38" s="48">
        <v>0.215416931890516</v>
      </c>
      <c r="I38" s="48">
        <v>13.8234052692491</v>
      </c>
      <c r="J38" s="46">
        <v>249</v>
      </c>
      <c r="K38" s="54">
        <v>1</v>
      </c>
      <c r="L38" s="46">
        <v>85</v>
      </c>
      <c r="M38" s="46">
        <v>0</v>
      </c>
      <c r="N38" s="46">
        <v>3</v>
      </c>
      <c r="O38" s="46">
        <v>338</v>
      </c>
      <c r="P38" s="55">
        <v>3.00372781065089</v>
      </c>
      <c r="Q38" s="56">
        <v>0.0717165287502652</v>
      </c>
      <c r="T38"/>
    </row>
    <row r="39" customHeight="1" spans="1:20">
      <c r="A39" s="49"/>
      <c r="B39" s="50"/>
      <c r="C39" s="45" t="s">
        <v>212</v>
      </c>
      <c r="D39" s="46">
        <v>0</v>
      </c>
      <c r="E39" s="46">
        <v>0</v>
      </c>
      <c r="F39" s="46">
        <v>0</v>
      </c>
      <c r="G39" s="47" t="e">
        <v>#DIV/0!</v>
      </c>
      <c r="H39" s="48" t="e">
        <v>#DIV/0!</v>
      </c>
      <c r="I39" s="48" t="e">
        <v>#DIV/0!</v>
      </c>
      <c r="J39" s="46">
        <v>0</v>
      </c>
      <c r="K39" s="54">
        <v>0</v>
      </c>
      <c r="L39" s="46">
        <v>0</v>
      </c>
      <c r="M39" s="46">
        <v>0</v>
      </c>
      <c r="N39" s="46">
        <v>0</v>
      </c>
      <c r="O39" s="46">
        <v>0</v>
      </c>
      <c r="P39" s="55" t="e">
        <v>#DIV/0!</v>
      </c>
      <c r="Q39" s="56" t="e">
        <v>#DIV/0!</v>
      </c>
      <c r="T39"/>
    </row>
    <row r="40" customHeight="1" spans="1:20">
      <c r="A40" s="49"/>
      <c r="B40" s="45" t="s">
        <v>243</v>
      </c>
      <c r="C40" s="45" t="s">
        <v>245</v>
      </c>
      <c r="D40" s="46">
        <v>316.93</v>
      </c>
      <c r="E40" s="46">
        <v>42095</v>
      </c>
      <c r="F40" s="46">
        <v>4345</v>
      </c>
      <c r="G40" s="47">
        <v>0.103218909609217</v>
      </c>
      <c r="H40" s="48">
        <v>0.0729413118527043</v>
      </c>
      <c r="I40" s="48">
        <v>7.52892267490201</v>
      </c>
      <c r="J40" s="46">
        <v>57</v>
      </c>
      <c r="K40" s="54">
        <v>2</v>
      </c>
      <c r="L40" s="46">
        <v>62</v>
      </c>
      <c r="M40" s="46">
        <v>1</v>
      </c>
      <c r="N40" s="46">
        <v>6</v>
      </c>
      <c r="O40" s="46">
        <v>128</v>
      </c>
      <c r="P40" s="55">
        <v>2.476015625</v>
      </c>
      <c r="Q40" s="56">
        <v>0.0294591484464902</v>
      </c>
      <c r="T40"/>
    </row>
    <row r="41" customHeight="1" spans="1:20">
      <c r="A41" s="44" t="s">
        <v>182</v>
      </c>
      <c r="B41" s="45" t="s">
        <v>195</v>
      </c>
      <c r="C41" s="45" t="s">
        <v>198</v>
      </c>
      <c r="D41" s="46">
        <v>2015.92</v>
      </c>
      <c r="E41" s="46">
        <v>84317</v>
      </c>
      <c r="F41" s="46">
        <v>4933</v>
      </c>
      <c r="G41" s="47">
        <v>0.0585054022320529</v>
      </c>
      <c r="H41" s="48">
        <v>0.408660044597608</v>
      </c>
      <c r="I41" s="48">
        <v>23.9088202853517</v>
      </c>
      <c r="J41" s="46">
        <v>266</v>
      </c>
      <c r="K41" s="54">
        <v>1</v>
      </c>
      <c r="L41" s="46">
        <v>107</v>
      </c>
      <c r="M41" s="46">
        <v>1</v>
      </c>
      <c r="N41" s="46">
        <v>7</v>
      </c>
      <c r="O41" s="46">
        <v>382</v>
      </c>
      <c r="P41" s="55">
        <v>5.277277486911</v>
      </c>
      <c r="Q41" s="56">
        <v>0.0774376647070748</v>
      </c>
      <c r="T41"/>
    </row>
    <row r="42" customHeight="1" spans="1:20">
      <c r="A42" s="49"/>
      <c r="B42" s="50"/>
      <c r="C42" s="45" t="s">
        <v>211</v>
      </c>
      <c r="D42" s="46">
        <v>1008.62</v>
      </c>
      <c r="E42" s="46">
        <v>85983</v>
      </c>
      <c r="F42" s="46">
        <v>5563</v>
      </c>
      <c r="G42" s="47">
        <v>0.0646988358163823</v>
      </c>
      <c r="H42" s="48">
        <v>0.181308646413806</v>
      </c>
      <c r="I42" s="48">
        <v>11.7304583464173</v>
      </c>
      <c r="J42" s="46">
        <v>223</v>
      </c>
      <c r="K42" s="54">
        <v>2</v>
      </c>
      <c r="L42" s="46">
        <v>58</v>
      </c>
      <c r="M42" s="46">
        <v>2</v>
      </c>
      <c r="N42" s="46">
        <v>1</v>
      </c>
      <c r="O42" s="46">
        <v>286</v>
      </c>
      <c r="P42" s="55">
        <v>3.52664335664336</v>
      </c>
      <c r="Q42" s="56">
        <v>0.0514111091137875</v>
      </c>
      <c r="T42"/>
    </row>
    <row r="43" customHeight="1" spans="1:20">
      <c r="A43" s="49"/>
      <c r="B43" s="45" t="s">
        <v>243</v>
      </c>
      <c r="C43" s="45" t="s">
        <v>245</v>
      </c>
      <c r="D43" s="46">
        <v>306.27</v>
      </c>
      <c r="E43" s="46">
        <v>43646</v>
      </c>
      <c r="F43" s="46">
        <v>4246</v>
      </c>
      <c r="G43" s="47">
        <v>0.0972826834074142</v>
      </c>
      <c r="H43" s="48">
        <v>0.0721314178049929</v>
      </c>
      <c r="I43" s="48">
        <v>7.01713788205105</v>
      </c>
      <c r="J43" s="46">
        <v>58</v>
      </c>
      <c r="K43" s="54">
        <v>2</v>
      </c>
      <c r="L43" s="46">
        <v>40</v>
      </c>
      <c r="M43" s="46">
        <v>0</v>
      </c>
      <c r="N43" s="46">
        <v>7</v>
      </c>
      <c r="O43" s="46">
        <v>107</v>
      </c>
      <c r="P43" s="55">
        <v>2.86233644859813</v>
      </c>
      <c r="Q43" s="56">
        <v>0.0252001884126236</v>
      </c>
      <c r="T43"/>
    </row>
    <row r="44" customHeight="1" spans="1:20">
      <c r="A44" s="44" t="s">
        <v>183</v>
      </c>
      <c r="B44" s="45" t="s">
        <v>195</v>
      </c>
      <c r="C44" s="45" t="s">
        <v>198</v>
      </c>
      <c r="D44" s="46">
        <v>2549.52</v>
      </c>
      <c r="E44" s="46">
        <v>140288</v>
      </c>
      <c r="F44" s="46">
        <v>7862</v>
      </c>
      <c r="G44" s="47">
        <v>0.0560418567518248</v>
      </c>
      <c r="H44" s="48">
        <v>0.324283897227169</v>
      </c>
      <c r="I44" s="48">
        <v>18.1734717153285</v>
      </c>
      <c r="J44" s="46">
        <v>340</v>
      </c>
      <c r="K44" s="54">
        <v>2</v>
      </c>
      <c r="L44" s="46">
        <v>131</v>
      </c>
      <c r="M44" s="46">
        <v>2</v>
      </c>
      <c r="N44" s="46">
        <v>10</v>
      </c>
      <c r="O44" s="46">
        <v>485</v>
      </c>
      <c r="P44" s="55">
        <v>5.25674226804124</v>
      </c>
      <c r="Q44" s="56">
        <v>0.0616891376240143</v>
      </c>
      <c r="T44"/>
    </row>
    <row r="45" customHeight="1" spans="1:20">
      <c r="A45" s="49"/>
      <c r="B45" s="50"/>
      <c r="C45" s="45" t="s">
        <v>211</v>
      </c>
      <c r="D45" s="46">
        <v>1217.46</v>
      </c>
      <c r="E45" s="46">
        <v>116806</v>
      </c>
      <c r="F45" s="46">
        <v>6858</v>
      </c>
      <c r="G45" s="47">
        <v>0.0587127373593822</v>
      </c>
      <c r="H45" s="48">
        <v>0.177524059492563</v>
      </c>
      <c r="I45" s="48">
        <v>10.4229234799582</v>
      </c>
      <c r="J45" s="46">
        <v>240</v>
      </c>
      <c r="K45" s="54">
        <v>3</v>
      </c>
      <c r="L45" s="46">
        <v>65</v>
      </c>
      <c r="M45" s="46">
        <v>1</v>
      </c>
      <c r="N45" s="46">
        <v>3</v>
      </c>
      <c r="O45" s="46">
        <v>312</v>
      </c>
      <c r="P45" s="55">
        <v>3.90211538461538</v>
      </c>
      <c r="Q45" s="56">
        <v>0.0454943132108486</v>
      </c>
      <c r="T45"/>
    </row>
    <row r="46" customHeight="1" spans="1:20">
      <c r="A46" s="49"/>
      <c r="B46" s="45" t="s">
        <v>230</v>
      </c>
      <c r="C46" s="45" t="s">
        <v>232</v>
      </c>
      <c r="D46" s="46">
        <v>0</v>
      </c>
      <c r="E46" s="46">
        <v>0</v>
      </c>
      <c r="F46" s="46">
        <v>0</v>
      </c>
      <c r="G46" s="47" t="e">
        <v>#DIV/0!</v>
      </c>
      <c r="H46" s="48" t="e">
        <v>#DIV/0!</v>
      </c>
      <c r="I46" s="48" t="e">
        <v>#DIV/0!</v>
      </c>
      <c r="J46" s="46">
        <v>0</v>
      </c>
      <c r="K46" s="54">
        <v>0</v>
      </c>
      <c r="L46" s="46">
        <v>0</v>
      </c>
      <c r="M46" s="46">
        <v>0</v>
      </c>
      <c r="N46" s="46">
        <v>0</v>
      </c>
      <c r="O46" s="46">
        <v>0</v>
      </c>
      <c r="P46" s="55" t="e">
        <v>#DIV/0!</v>
      </c>
      <c r="Q46" s="56" t="e">
        <v>#DIV/0!</v>
      </c>
      <c r="T46"/>
    </row>
    <row r="47" customHeight="1" spans="1:20">
      <c r="A47" s="49"/>
      <c r="B47" s="45" t="s">
        <v>243</v>
      </c>
      <c r="C47" s="45" t="s">
        <v>245</v>
      </c>
      <c r="D47" s="46">
        <v>324.24</v>
      </c>
      <c r="E47" s="46">
        <v>45212</v>
      </c>
      <c r="F47" s="46">
        <v>4331</v>
      </c>
      <c r="G47" s="47">
        <v>0.0957931522604618</v>
      </c>
      <c r="H47" s="48">
        <v>0.0748649272685292</v>
      </c>
      <c r="I47" s="48">
        <v>7.17154737680262</v>
      </c>
      <c r="J47" s="46">
        <v>67</v>
      </c>
      <c r="K47" s="54">
        <v>2</v>
      </c>
      <c r="L47" s="46">
        <v>45</v>
      </c>
      <c r="M47" s="46">
        <v>2</v>
      </c>
      <c r="N47" s="46">
        <v>3</v>
      </c>
      <c r="O47" s="46">
        <v>119</v>
      </c>
      <c r="P47" s="55">
        <v>2.72470588235294</v>
      </c>
      <c r="Q47" s="56">
        <v>0.0274763334102979</v>
      </c>
      <c r="T47"/>
    </row>
    <row r="48" customHeight="1" spans="1:20">
      <c r="A48" s="44" t="s">
        <v>184</v>
      </c>
      <c r="B48" s="45" t="s">
        <v>195</v>
      </c>
      <c r="C48" s="45" t="s">
        <v>198</v>
      </c>
      <c r="D48" s="46">
        <v>2499.66</v>
      </c>
      <c r="E48" s="46">
        <v>111221</v>
      </c>
      <c r="F48" s="46">
        <v>6545</v>
      </c>
      <c r="G48" s="47">
        <v>0.0588468005142914</v>
      </c>
      <c r="H48" s="48">
        <v>0.381919022154316</v>
      </c>
      <c r="I48" s="48">
        <v>22.4747125093283</v>
      </c>
      <c r="J48" s="46">
        <v>227</v>
      </c>
      <c r="K48" s="54">
        <v>3</v>
      </c>
      <c r="L48" s="46">
        <v>106</v>
      </c>
      <c r="M48" s="46">
        <v>5</v>
      </c>
      <c r="N48" s="46">
        <v>8</v>
      </c>
      <c r="O48" s="46">
        <v>349</v>
      </c>
      <c r="P48" s="55">
        <v>7.16234957020057</v>
      </c>
      <c r="Q48" s="56">
        <v>0.0533231474407945</v>
      </c>
      <c r="T48"/>
    </row>
    <row r="49" customHeight="1" spans="1:20">
      <c r="A49" s="49"/>
      <c r="B49" s="50"/>
      <c r="C49" s="45" t="s">
        <v>211</v>
      </c>
      <c r="D49" s="46">
        <v>0.3</v>
      </c>
      <c r="E49" s="46">
        <v>87</v>
      </c>
      <c r="F49" s="46">
        <v>2</v>
      </c>
      <c r="G49" s="47">
        <v>0.0229885057471264</v>
      </c>
      <c r="H49" s="48">
        <v>0.15</v>
      </c>
      <c r="I49" s="48">
        <v>3.44827586206897</v>
      </c>
      <c r="J49" s="46">
        <v>0</v>
      </c>
      <c r="K49" s="54">
        <v>0</v>
      </c>
      <c r="L49" s="46">
        <v>0</v>
      </c>
      <c r="M49" s="46">
        <v>0</v>
      </c>
      <c r="N49" s="46">
        <v>0</v>
      </c>
      <c r="O49" s="46">
        <v>0</v>
      </c>
      <c r="P49" s="55" t="e">
        <v>#DIV/0!</v>
      </c>
      <c r="Q49" s="56">
        <v>0</v>
      </c>
      <c r="T49"/>
    </row>
    <row r="50" customHeight="1" spans="1:20">
      <c r="A50" s="49"/>
      <c r="B50" s="45" t="s">
        <v>243</v>
      </c>
      <c r="C50" s="45" t="s">
        <v>245</v>
      </c>
      <c r="D50" s="46">
        <v>0</v>
      </c>
      <c r="E50" s="46">
        <v>0</v>
      </c>
      <c r="F50" s="46">
        <v>0</v>
      </c>
      <c r="G50" s="47" t="e">
        <v>#DIV/0!</v>
      </c>
      <c r="H50" s="48" t="e">
        <v>#DIV/0!</v>
      </c>
      <c r="I50" s="48" t="e">
        <v>#DIV/0!</v>
      </c>
      <c r="J50" s="46">
        <v>0</v>
      </c>
      <c r="K50" s="54">
        <v>0</v>
      </c>
      <c r="L50" s="46">
        <v>0</v>
      </c>
      <c r="M50" s="46">
        <v>0</v>
      </c>
      <c r="N50" s="46">
        <v>0</v>
      </c>
      <c r="O50" s="46">
        <v>0</v>
      </c>
      <c r="P50" s="55" t="e">
        <v>#DIV/0!</v>
      </c>
      <c r="Q50" s="56" t="e">
        <v>#DIV/0!</v>
      </c>
      <c r="T50"/>
    </row>
    <row r="51" customHeight="1" spans="1:20">
      <c r="A51" s="51" t="s">
        <v>186</v>
      </c>
      <c r="B51" s="52"/>
      <c r="C51" s="52"/>
      <c r="D51" s="46">
        <v>49598.22</v>
      </c>
      <c r="E51" s="46">
        <v>3520604</v>
      </c>
      <c r="F51" s="46">
        <v>245574</v>
      </c>
      <c r="G51" s="47">
        <v>0.0697533718646005</v>
      </c>
      <c r="H51" s="48">
        <v>0.201968530870532</v>
      </c>
      <c r="I51" s="48">
        <v>14.0879860387593</v>
      </c>
      <c r="J51" s="46">
        <v>8257</v>
      </c>
      <c r="K51" s="54">
        <v>116</v>
      </c>
      <c r="L51" s="46">
        <v>3664</v>
      </c>
      <c r="M51" s="46">
        <v>213</v>
      </c>
      <c r="N51" s="46">
        <v>237</v>
      </c>
      <c r="O51" s="46">
        <v>12487</v>
      </c>
      <c r="P51" s="55">
        <v>3.97198846800673</v>
      </c>
      <c r="Q51" s="56">
        <v>0.050848216830772</v>
      </c>
      <c r="T51"/>
    </row>
    <row r="52" customHeight="1" spans="20:20">
      <c r="T52"/>
    </row>
    <row r="53" customHeight="1" spans="20:20">
      <c r="T53"/>
    </row>
    <row r="54" customHeight="1" spans="20:20">
      <c r="T54"/>
    </row>
    <row r="55" customHeight="1" spans="20:20">
      <c r="T55"/>
    </row>
    <row r="56" customHeight="1" spans="20:20">
      <c r="T56"/>
    </row>
    <row r="57" customHeight="1" spans="20:20">
      <c r="T57"/>
    </row>
    <row r="58" customHeight="1" spans="20:20">
      <c r="T58"/>
    </row>
    <row r="59" customHeight="1" spans="20:20">
      <c r="T59"/>
    </row>
    <row r="60" customHeight="1" spans="20:20">
      <c r="T60"/>
    </row>
    <row r="61" customHeight="1" spans="20:20">
      <c r="T61"/>
    </row>
    <row r="62" customHeight="1" spans="20:20">
      <c r="T62"/>
    </row>
    <row r="63" customHeight="1" spans="20:20">
      <c r="T63"/>
    </row>
    <row r="64" customHeight="1" spans="20:20">
      <c r="T64"/>
    </row>
    <row r="65" customHeight="1" spans="20:20">
      <c r="T65"/>
    </row>
    <row r="66" customHeight="1" spans="20:20">
      <c r="T66"/>
    </row>
    <row r="67" customHeight="1" spans="20:20">
      <c r="T67"/>
    </row>
    <row r="68" customHeight="1" spans="20:20">
      <c r="T68"/>
    </row>
    <row r="69" customHeight="1" spans="20:20">
      <c r="T69"/>
    </row>
    <row r="70" customHeight="1" spans="20:20">
      <c r="T70"/>
    </row>
    <row r="71" customHeight="1" spans="20:20">
      <c r="T71"/>
    </row>
    <row r="72" customHeight="1" spans="20:20">
      <c r="T72"/>
    </row>
    <row r="73" customHeight="1" spans="20:20">
      <c r="T73"/>
    </row>
    <row r="74" customHeight="1" spans="20:20">
      <c r="T74"/>
    </row>
    <row r="75" customHeight="1" spans="20:20">
      <c r="T75"/>
    </row>
    <row r="76" customHeight="1" spans="20:20">
      <c r="T76"/>
    </row>
    <row r="77" customHeight="1" spans="20:20">
      <c r="T77"/>
    </row>
    <row r="78" customHeight="1" spans="20:20">
      <c r="T78"/>
    </row>
    <row r="79" customHeight="1" spans="20:20">
      <c r="T79"/>
    </row>
    <row r="80" customHeight="1" spans="20:20">
      <c r="T80"/>
    </row>
    <row r="81" customHeight="1" spans="20:20">
      <c r="T81"/>
    </row>
    <row r="82" customHeight="1" spans="20:20">
      <c r="T82"/>
    </row>
    <row r="83" customHeight="1" spans="20:20">
      <c r="T83"/>
    </row>
    <row r="84" customHeight="1" spans="20:20">
      <c r="T84"/>
    </row>
    <row r="85" customHeight="1" spans="20:20">
      <c r="T85"/>
    </row>
    <row r="86" customHeight="1" spans="20:20">
      <c r="T86"/>
    </row>
    <row r="87" customHeight="1" spans="20:20">
      <c r="T87"/>
    </row>
    <row r="88" customHeight="1" spans="20:20">
      <c r="T88"/>
    </row>
    <row r="89" customHeight="1" spans="20:20">
      <c r="T89"/>
    </row>
    <row r="90" customHeight="1" spans="20:20">
      <c r="T90"/>
    </row>
    <row r="91" customHeight="1" spans="20:20">
      <c r="T91"/>
    </row>
    <row r="92" customHeight="1" spans="20:20">
      <c r="T92"/>
    </row>
    <row r="93" customHeight="1" spans="20:20">
      <c r="T93"/>
    </row>
    <row r="94" customHeight="1" spans="20:20">
      <c r="T94"/>
    </row>
    <row r="95" customHeight="1" spans="20:20">
      <c r="T95"/>
    </row>
    <row r="96" customHeight="1" spans="20:20">
      <c r="T96"/>
    </row>
    <row r="97" customHeight="1" spans="20:20">
      <c r="T97"/>
    </row>
    <row r="98" customHeight="1" spans="20:20">
      <c r="T98"/>
    </row>
    <row r="99" customHeight="1" spans="20:20">
      <c r="T99"/>
    </row>
    <row r="100" customHeight="1" spans="20:20">
      <c r="T100"/>
    </row>
    <row r="101" customHeight="1" spans="20:20">
      <c r="T101"/>
    </row>
    <row r="102" customHeight="1" spans="20:20">
      <c r="T102"/>
    </row>
    <row r="103" customHeight="1" spans="20:20">
      <c r="T103"/>
    </row>
    <row r="104" customHeight="1" spans="20:20">
      <c r="T104"/>
    </row>
    <row r="105" customHeight="1" spans="20:20">
      <c r="T105"/>
    </row>
    <row r="106" customHeight="1" spans="20:20">
      <c r="T106"/>
    </row>
    <row r="107" customHeight="1" spans="20:20">
      <c r="T107"/>
    </row>
    <row r="108" customHeight="1" spans="20:20">
      <c r="T108"/>
    </row>
    <row r="109" customHeight="1" spans="20:20">
      <c r="T109"/>
    </row>
    <row r="110" customHeight="1" spans="20:20">
      <c r="T110"/>
    </row>
    <row r="111" customHeight="1" spans="20:20">
      <c r="T111"/>
    </row>
    <row r="112" customHeight="1" spans="20:20">
      <c r="T112"/>
    </row>
    <row r="113" customHeight="1" spans="20:20">
      <c r="T113"/>
    </row>
    <row r="114" customHeight="1" spans="20:20">
      <c r="T114"/>
    </row>
    <row r="115" customHeight="1" spans="20:20">
      <c r="T115"/>
    </row>
    <row r="116" customHeight="1" spans="20:20">
      <c r="T116"/>
    </row>
    <row r="117" customHeight="1" spans="20:20">
      <c r="T117"/>
    </row>
    <row r="118" customHeight="1" spans="20:20">
      <c r="T118"/>
    </row>
    <row r="119" customHeight="1" spans="20:20">
      <c r="T119"/>
    </row>
    <row r="120" customHeight="1" spans="20:20">
      <c r="T120"/>
    </row>
    <row r="121" customHeight="1" spans="20:20">
      <c r="T121"/>
    </row>
    <row r="122" customHeight="1" spans="20:20">
      <c r="T122"/>
    </row>
    <row r="123" customHeight="1" spans="20:20">
      <c r="T123"/>
    </row>
    <row r="124" customHeight="1" spans="20:20">
      <c r="T124"/>
    </row>
    <row r="125" customHeight="1" spans="20:20">
      <c r="T125"/>
    </row>
    <row r="126" customHeight="1" spans="20:20">
      <c r="T126"/>
    </row>
    <row r="127" customHeight="1" spans="20:20">
      <c r="T127"/>
    </row>
    <row r="128" customHeight="1" spans="20:20">
      <c r="T128"/>
    </row>
    <row r="129" customHeight="1" spans="20:20">
      <c r="T129"/>
    </row>
    <row r="130" customHeight="1" spans="20:20">
      <c r="T130"/>
    </row>
    <row r="131" customHeight="1" spans="20:20">
      <c r="T131"/>
    </row>
    <row r="132" customHeight="1" spans="20:20">
      <c r="T132"/>
    </row>
    <row r="133" customHeight="1" spans="20:20">
      <c r="T133"/>
    </row>
    <row r="134" customHeight="1" spans="20:20">
      <c r="T134"/>
    </row>
    <row r="135" customHeight="1" spans="20:20">
      <c r="T135"/>
    </row>
    <row r="136" customHeight="1" spans="20:20">
      <c r="T136"/>
    </row>
    <row r="137" customHeight="1" spans="20:20">
      <c r="T137"/>
    </row>
    <row r="138" customHeight="1" spans="20:20">
      <c r="T138"/>
    </row>
    <row r="139" customHeight="1" spans="20:20">
      <c r="T139"/>
    </row>
    <row r="140" customHeight="1" spans="20:20">
      <c r="T140"/>
    </row>
    <row r="141" customHeight="1" spans="20:20">
      <c r="T141"/>
    </row>
    <row r="142" customHeight="1" spans="20:20">
      <c r="T142"/>
    </row>
    <row r="143" customHeight="1" spans="20:20">
      <c r="T143"/>
    </row>
    <row r="144" customHeight="1" spans="20:20">
      <c r="T144"/>
    </row>
    <row r="145" customHeight="1" spans="20:20">
      <c r="T145"/>
    </row>
    <row r="146" customHeight="1" spans="20:20">
      <c r="T146"/>
    </row>
    <row r="147" customHeight="1" spans="20:20">
      <c r="T147"/>
    </row>
    <row r="148" customHeight="1" spans="20:20">
      <c r="T148"/>
    </row>
    <row r="149" customHeight="1" spans="20:20">
      <c r="T149"/>
    </row>
    <row r="150" customHeight="1" spans="20:20">
      <c r="T150"/>
    </row>
    <row r="151" customHeight="1" spans="20:20">
      <c r="T151"/>
    </row>
    <row r="152" customHeight="1" spans="20:20">
      <c r="T152"/>
    </row>
    <row r="153" customHeight="1" spans="20:20">
      <c r="T153"/>
    </row>
    <row r="154" customHeight="1" spans="20:20">
      <c r="T154"/>
    </row>
    <row r="155" customHeight="1" spans="20:20">
      <c r="T155"/>
    </row>
    <row r="156" customHeight="1" spans="20:20">
      <c r="T156"/>
    </row>
    <row r="157" customHeight="1" spans="20:20">
      <c r="T157"/>
    </row>
    <row r="158" customHeight="1" spans="20:20">
      <c r="T158"/>
    </row>
    <row r="159" customHeight="1" spans="20:20">
      <c r="T159"/>
    </row>
    <row r="160" customHeight="1" spans="20:20">
      <c r="T160"/>
    </row>
    <row r="161" customHeight="1" spans="20:20">
      <c r="T161"/>
    </row>
    <row r="162" customHeight="1" spans="20:20">
      <c r="T162"/>
    </row>
    <row r="163" customHeight="1" spans="20:20">
      <c r="T163"/>
    </row>
    <row r="164" customHeight="1" spans="20:20">
      <c r="T164"/>
    </row>
    <row r="165" customHeight="1" spans="20:20">
      <c r="T165"/>
    </row>
    <row r="166" customHeight="1" spans="20:20">
      <c r="T166"/>
    </row>
    <row r="167" customHeight="1" spans="20:20">
      <c r="T167"/>
    </row>
    <row r="168" customHeight="1" spans="20:20">
      <c r="T168"/>
    </row>
    <row r="169" customHeight="1" spans="20:20">
      <c r="T169"/>
    </row>
    <row r="170" customHeight="1" spans="20:20">
      <c r="T170"/>
    </row>
    <row r="171" customHeight="1" spans="20:20">
      <c r="T171"/>
    </row>
    <row r="172" customHeight="1" spans="20:20">
      <c r="T172"/>
    </row>
    <row r="173" customHeight="1" spans="20:20">
      <c r="T173"/>
    </row>
    <row r="174" customHeight="1" spans="20:20">
      <c r="T174"/>
    </row>
    <row r="175" customHeight="1" spans="20:20">
      <c r="T175"/>
    </row>
    <row r="176" customHeight="1" spans="20:20">
      <c r="T176"/>
    </row>
    <row r="177" customHeight="1" spans="20:20">
      <c r="T177"/>
    </row>
    <row r="178" customHeight="1" spans="20:20">
      <c r="T178"/>
    </row>
    <row r="179" customHeight="1" spans="20:20">
      <c r="T179"/>
    </row>
    <row r="180" customHeight="1" spans="20:20">
      <c r="T180"/>
    </row>
    <row r="181" customHeight="1" spans="20:20">
      <c r="T181"/>
    </row>
    <row r="182" customHeight="1" spans="20:20">
      <c r="T182"/>
    </row>
    <row r="183" customHeight="1" spans="20:20">
      <c r="T183"/>
    </row>
    <row r="184" customHeight="1" spans="20:20">
      <c r="T184"/>
    </row>
    <row r="185" customHeight="1" spans="20:20">
      <c r="T185"/>
    </row>
    <row r="186" customHeight="1" spans="20:20">
      <c r="T186"/>
    </row>
    <row r="187" customHeight="1" spans="20:20">
      <c r="T187"/>
    </row>
    <row r="188" customHeight="1" spans="20:20">
      <c r="T188"/>
    </row>
    <row r="189" customHeight="1" spans="20:20">
      <c r="T189"/>
    </row>
    <row r="190" customHeight="1" spans="20:20">
      <c r="T190"/>
    </row>
    <row r="191" customHeight="1" spans="20:20">
      <c r="T191"/>
    </row>
    <row r="192" customHeight="1" spans="20:20">
      <c r="T192"/>
    </row>
    <row r="193" customHeight="1" spans="20:20">
      <c r="T193"/>
    </row>
    <row r="194" customHeight="1" spans="20:20">
      <c r="T194"/>
    </row>
    <row r="195" customHeight="1" spans="20:20">
      <c r="T195"/>
    </row>
    <row r="196" customHeight="1" spans="20:20">
      <c r="T196"/>
    </row>
    <row r="197" customHeight="1" spans="20:20">
      <c r="T197"/>
    </row>
    <row r="198" customHeight="1" spans="20:20">
      <c r="T198"/>
    </row>
    <row r="199" customHeight="1" spans="20:20">
      <c r="T199"/>
    </row>
    <row r="200" customHeight="1" spans="20:20">
      <c r="T200"/>
    </row>
    <row r="201" customHeight="1" spans="20:20">
      <c r="T201"/>
    </row>
    <row r="202" customHeight="1" spans="20:20">
      <c r="T202"/>
    </row>
    <row r="203" customHeight="1" spans="20:20">
      <c r="T203"/>
    </row>
    <row r="204" customHeight="1" spans="20:20">
      <c r="T204"/>
    </row>
    <row r="205" customHeight="1" spans="20:20">
      <c r="T205"/>
    </row>
    <row r="206" customHeight="1" spans="20:20">
      <c r="T206"/>
    </row>
    <row r="207" customHeight="1" spans="20:20">
      <c r="T207"/>
    </row>
    <row r="208" customHeight="1" spans="20:20">
      <c r="T208"/>
    </row>
    <row r="209" customHeight="1" spans="20:20">
      <c r="T209"/>
    </row>
    <row r="210" customHeight="1" spans="20:20">
      <c r="T210"/>
    </row>
    <row r="211" customHeight="1" spans="20:20">
      <c r="T211"/>
    </row>
    <row r="212" customHeight="1" spans="20:20">
      <c r="T212"/>
    </row>
    <row r="213" customHeight="1" spans="20:20">
      <c r="T213"/>
    </row>
    <row r="214" customHeight="1" spans="20:20">
      <c r="T214"/>
    </row>
    <row r="215" customHeight="1" spans="20:20">
      <c r="T215"/>
    </row>
    <row r="216" customHeight="1" spans="20:20">
      <c r="T216"/>
    </row>
    <row r="217" customHeight="1" spans="20:20">
      <c r="T217"/>
    </row>
    <row r="218" customHeight="1" spans="20:20">
      <c r="T218"/>
    </row>
    <row r="219" customHeight="1" spans="20:20">
      <c r="T219"/>
    </row>
    <row r="220" customHeight="1" spans="20:20">
      <c r="T220"/>
    </row>
    <row r="221" customHeight="1" spans="20:20">
      <c r="T221"/>
    </row>
    <row r="222" customHeight="1" spans="20:20">
      <c r="T222"/>
    </row>
    <row r="223" customHeight="1" spans="20:20">
      <c r="T223"/>
    </row>
    <row r="224" customHeight="1" spans="20:20">
      <c r="T224"/>
    </row>
    <row r="225" customHeight="1" spans="20:20">
      <c r="T225"/>
    </row>
    <row r="226" customHeight="1" spans="20:20">
      <c r="T226"/>
    </row>
    <row r="227" customHeight="1" spans="20:20">
      <c r="T227"/>
    </row>
    <row r="228" customHeight="1" spans="20:20">
      <c r="T228"/>
    </row>
    <row r="229" customHeight="1" spans="20:20">
      <c r="T229"/>
    </row>
    <row r="230" customHeight="1" spans="20:20">
      <c r="T230"/>
    </row>
    <row r="231" customHeight="1" spans="20:20">
      <c r="T231"/>
    </row>
    <row r="232" customHeight="1" spans="20:20">
      <c r="T232"/>
    </row>
    <row r="233" customHeight="1" spans="20:20">
      <c r="T233"/>
    </row>
    <row r="234" customHeight="1" spans="20:20">
      <c r="T234"/>
    </row>
    <row r="235" customHeight="1" spans="20:20">
      <c r="T235"/>
    </row>
    <row r="236" customHeight="1" spans="20:20">
      <c r="T236"/>
    </row>
    <row r="237" customHeight="1" spans="20:20">
      <c r="T237"/>
    </row>
    <row r="238" customHeight="1" spans="20:20">
      <c r="T238"/>
    </row>
    <row r="239" customHeight="1" spans="20:20">
      <c r="T239"/>
    </row>
    <row r="240" customHeight="1" spans="20:20">
      <c r="T240"/>
    </row>
    <row r="241" customHeight="1" spans="20:20">
      <c r="T241"/>
    </row>
    <row r="242" customHeight="1" spans="20:20">
      <c r="T242"/>
    </row>
    <row r="243" customHeight="1" spans="20:20">
      <c r="T243"/>
    </row>
    <row r="244" customHeight="1" spans="20:20">
      <c r="T244"/>
    </row>
    <row r="245" customHeight="1" spans="20:20">
      <c r="T245"/>
    </row>
    <row r="246" customHeight="1" spans="20:20">
      <c r="T246"/>
    </row>
    <row r="247" customHeight="1" spans="20:20">
      <c r="T247"/>
    </row>
    <row r="248" customHeight="1" spans="20:20">
      <c r="T248"/>
    </row>
    <row r="249" customHeight="1" spans="20:20">
      <c r="T249"/>
    </row>
    <row r="250" customHeight="1" spans="20:20">
      <c r="T250"/>
    </row>
    <row r="251" customHeight="1" spans="20:20">
      <c r="T251"/>
    </row>
    <row r="252" customHeight="1" spans="20:20">
      <c r="T252"/>
    </row>
    <row r="253" customHeight="1" spans="20:20">
      <c r="T253"/>
    </row>
    <row r="254" customHeight="1" spans="20:20">
      <c r="T254"/>
    </row>
    <row r="255" customHeight="1" spans="20:20">
      <c r="T255"/>
    </row>
    <row r="256" customHeight="1" spans="20:20">
      <c r="T256"/>
    </row>
    <row r="257" customHeight="1" spans="20:20">
      <c r="T257"/>
    </row>
    <row r="258" customHeight="1" spans="20:20">
      <c r="T258"/>
    </row>
    <row r="259" customHeight="1" spans="20:20">
      <c r="T259"/>
    </row>
    <row r="260" customHeight="1" spans="20:20">
      <c r="T260"/>
    </row>
    <row r="261" customHeight="1" spans="20:20">
      <c r="T261"/>
    </row>
    <row r="262" customHeight="1" spans="20:20">
      <c r="T262"/>
    </row>
    <row r="263" customHeight="1" spans="20:20">
      <c r="T263"/>
    </row>
    <row r="264" customHeight="1" spans="20:20">
      <c r="T264"/>
    </row>
    <row r="265" customHeight="1" spans="20:20">
      <c r="T265"/>
    </row>
    <row r="266" customHeight="1" spans="20:20">
      <c r="T266"/>
    </row>
    <row r="267" customHeight="1" spans="20:20">
      <c r="T267"/>
    </row>
    <row r="268" customHeight="1" spans="20:20">
      <c r="T268"/>
    </row>
    <row r="269" customHeight="1" spans="20:20">
      <c r="T269"/>
    </row>
    <row r="270" customHeight="1" spans="20:20">
      <c r="T270"/>
    </row>
    <row r="271" customHeight="1" spans="20:20">
      <c r="T271"/>
    </row>
    <row r="272" customHeight="1" spans="20:20">
      <c r="T272"/>
    </row>
    <row r="273" customHeight="1" spans="20:20">
      <c r="T273"/>
    </row>
    <row r="274" customHeight="1" spans="20:20">
      <c r="T274"/>
    </row>
    <row r="275" customHeight="1" spans="20:20">
      <c r="T275"/>
    </row>
    <row r="276" customHeight="1" spans="20:20">
      <c r="T276"/>
    </row>
    <row r="277" customHeight="1" spans="20:20">
      <c r="T277"/>
    </row>
    <row r="278" customHeight="1" spans="20:20">
      <c r="T278"/>
    </row>
    <row r="279" customHeight="1" spans="20:20">
      <c r="T279"/>
    </row>
    <row r="280" customHeight="1" spans="20:20">
      <c r="T280"/>
    </row>
    <row r="281" customHeight="1" spans="20:20">
      <c r="T281"/>
    </row>
    <row r="282" customHeight="1" spans="20:20">
      <c r="T282"/>
    </row>
    <row r="283" customHeight="1" spans="20:20">
      <c r="T283"/>
    </row>
    <row r="284" customHeight="1" spans="20:20">
      <c r="T284"/>
    </row>
    <row r="285" customHeight="1" spans="20:20">
      <c r="T285"/>
    </row>
    <row r="286" customHeight="1" spans="20:20">
      <c r="T286"/>
    </row>
    <row r="287" customHeight="1" spans="20:20">
      <c r="T287"/>
    </row>
    <row r="288" customHeight="1" spans="20:20">
      <c r="T288"/>
    </row>
    <row r="289" customHeight="1" spans="20:20">
      <c r="T289"/>
    </row>
    <row r="290" customHeight="1" spans="20:20">
      <c r="T290"/>
    </row>
    <row r="291" customHeight="1" spans="20:20">
      <c r="T291"/>
    </row>
    <row r="292" customHeight="1" spans="20:20">
      <c r="T292"/>
    </row>
    <row r="293" customHeight="1" spans="20:20">
      <c r="T293"/>
    </row>
    <row r="294" customHeight="1" spans="20:20">
      <c r="T294"/>
    </row>
    <row r="295" customHeight="1" spans="20:20">
      <c r="T295"/>
    </row>
    <row r="296" customHeight="1" spans="20:20">
      <c r="T296"/>
    </row>
    <row r="297" customHeight="1" spans="20:20">
      <c r="T297"/>
    </row>
    <row r="298" customHeight="1" spans="20:20">
      <c r="T298"/>
    </row>
    <row r="299" customHeight="1" spans="20:20">
      <c r="T299"/>
    </row>
    <row r="300" customHeight="1" spans="20:20">
      <c r="T300"/>
    </row>
    <row r="301" customHeight="1" spans="20:20">
      <c r="T301"/>
    </row>
    <row r="302" customHeight="1" spans="20:20">
      <c r="T302"/>
    </row>
    <row r="303" customHeight="1" spans="20:20">
      <c r="T303"/>
    </row>
    <row r="304" customHeight="1" spans="20:20">
      <c r="T304"/>
    </row>
    <row r="305" customHeight="1" spans="20:20">
      <c r="T305"/>
    </row>
    <row r="306" customHeight="1" spans="20:20">
      <c r="T306"/>
    </row>
    <row r="307" customHeight="1" spans="20:20">
      <c r="T307"/>
    </row>
    <row r="308" customHeight="1" spans="20:20">
      <c r="T308"/>
    </row>
    <row r="309" customHeight="1" spans="20:20">
      <c r="T309"/>
    </row>
    <row r="310" customHeight="1" spans="20:20">
      <c r="T310"/>
    </row>
    <row r="311" customHeight="1" spans="20:20">
      <c r="T311"/>
    </row>
    <row r="312" customHeight="1" spans="20:20">
      <c r="T312"/>
    </row>
    <row r="313" customHeight="1" spans="20:20">
      <c r="T313"/>
    </row>
    <row r="314" customHeight="1" spans="20:20">
      <c r="T314"/>
    </row>
    <row r="315" customHeight="1" spans="20:20">
      <c r="T315"/>
    </row>
    <row r="316" customHeight="1" spans="20:20">
      <c r="T316"/>
    </row>
    <row r="317" customHeight="1" spans="20:20">
      <c r="T317"/>
    </row>
    <row r="318" customHeight="1" spans="20:20">
      <c r="T318"/>
    </row>
    <row r="319" customHeight="1" spans="20:20">
      <c r="T319"/>
    </row>
    <row r="320" customHeight="1" spans="20:20">
      <c r="T320"/>
    </row>
    <row r="321" customHeight="1" spans="20:20">
      <c r="T321"/>
    </row>
    <row r="322" customHeight="1" spans="20:20">
      <c r="T322"/>
    </row>
    <row r="323" customHeight="1" spans="20:20">
      <c r="T323"/>
    </row>
    <row r="324" customHeight="1" spans="20:20">
      <c r="T324"/>
    </row>
    <row r="325" customHeight="1" spans="20:20">
      <c r="T325"/>
    </row>
    <row r="326" customHeight="1" spans="20:20">
      <c r="T326"/>
    </row>
    <row r="327" customHeight="1" spans="20:20">
      <c r="T327"/>
    </row>
    <row r="328" customHeight="1" spans="20:20">
      <c r="T328"/>
    </row>
    <row r="329" customHeight="1" spans="20:20">
      <c r="T329"/>
    </row>
    <row r="330" customHeight="1" spans="20:20">
      <c r="T330"/>
    </row>
    <row r="331" customHeight="1" spans="20:20">
      <c r="T331"/>
    </row>
    <row r="332" customHeight="1" spans="20:20">
      <c r="T332"/>
    </row>
    <row r="333" customHeight="1" spans="20:20">
      <c r="T333"/>
    </row>
    <row r="334" customHeight="1" spans="20:20">
      <c r="T334"/>
    </row>
    <row r="335" customHeight="1" spans="20:20">
      <c r="T335"/>
    </row>
    <row r="336" customHeight="1" spans="20:20">
      <c r="T336"/>
    </row>
    <row r="337" customHeight="1" spans="20:20">
      <c r="T337"/>
    </row>
    <row r="338" customHeight="1" spans="20:20">
      <c r="T338"/>
    </row>
    <row r="339" customHeight="1" spans="20:20">
      <c r="T339"/>
    </row>
    <row r="340" customHeight="1" spans="20:20">
      <c r="T340"/>
    </row>
    <row r="341" customHeight="1" spans="20:20">
      <c r="T341"/>
    </row>
    <row r="342" customHeight="1" spans="20:20">
      <c r="T342"/>
    </row>
    <row r="343" customHeight="1" spans="20:20">
      <c r="T343"/>
    </row>
    <row r="344" customHeight="1" spans="20:20">
      <c r="T344"/>
    </row>
    <row r="345" customHeight="1" spans="20:20">
      <c r="T345"/>
    </row>
    <row r="346" customHeight="1" spans="20:20">
      <c r="T346"/>
    </row>
    <row r="347" customHeight="1" spans="20:20">
      <c r="T347"/>
    </row>
    <row r="348" customHeight="1" spans="20:20">
      <c r="T348"/>
    </row>
    <row r="349" customHeight="1" spans="20:20">
      <c r="T349"/>
    </row>
    <row r="350" customHeight="1" spans="20:20">
      <c r="T350"/>
    </row>
    <row r="351" customHeight="1" spans="20:20">
      <c r="T351"/>
    </row>
    <row r="352" customHeight="1" spans="20:20">
      <c r="T352"/>
    </row>
    <row r="353" customHeight="1" spans="20:20">
      <c r="T353"/>
    </row>
    <row r="354" customHeight="1" spans="20:20">
      <c r="T354"/>
    </row>
    <row r="355" customHeight="1" spans="20:20">
      <c r="T355"/>
    </row>
    <row r="356" customHeight="1" spans="20:20">
      <c r="T356"/>
    </row>
    <row r="357" customHeight="1" spans="20:20">
      <c r="T357"/>
    </row>
    <row r="358" customHeight="1" spans="20:20">
      <c r="T358"/>
    </row>
    <row r="359" customHeight="1" spans="20:20">
      <c r="T359"/>
    </row>
    <row r="360" customHeight="1" spans="20:20">
      <c r="T360"/>
    </row>
    <row r="361" customHeight="1" spans="20:20">
      <c r="T361"/>
    </row>
    <row r="362" customHeight="1" spans="20:20">
      <c r="T362"/>
    </row>
    <row r="363" customHeight="1" spans="20:20">
      <c r="T363"/>
    </row>
    <row r="364" customHeight="1" spans="20:20">
      <c r="T364"/>
    </row>
    <row r="365" customHeight="1" spans="20:20">
      <c r="T365"/>
    </row>
    <row r="366" customHeight="1" spans="20:20">
      <c r="T366"/>
    </row>
    <row r="367" customHeight="1" spans="20:20">
      <c r="T367"/>
    </row>
    <row r="368" customHeight="1" spans="20:20">
      <c r="T368"/>
    </row>
    <row r="369" customHeight="1" spans="20:20">
      <c r="T369"/>
    </row>
    <row r="370" customHeight="1" spans="20:20">
      <c r="T370"/>
    </row>
    <row r="371" customHeight="1" spans="20:20">
      <c r="T371"/>
    </row>
    <row r="372" customHeight="1" spans="20:20">
      <c r="T372"/>
    </row>
    <row r="373" customHeight="1" spans="20:20">
      <c r="T373"/>
    </row>
    <row r="374" customHeight="1" spans="20:20">
      <c r="T374"/>
    </row>
    <row r="375" customHeight="1" spans="20:20">
      <c r="T375"/>
    </row>
    <row r="376" customHeight="1" spans="20:20">
      <c r="T376"/>
    </row>
    <row r="377" customHeight="1" spans="20:20">
      <c r="T377"/>
    </row>
    <row r="378" customHeight="1" spans="20:20">
      <c r="T378"/>
    </row>
    <row r="379" customHeight="1" spans="20:20">
      <c r="T379"/>
    </row>
    <row r="380" customHeight="1" spans="20:20">
      <c r="T380"/>
    </row>
    <row r="381" customHeight="1" spans="20:20">
      <c r="T381"/>
    </row>
    <row r="382" customHeight="1" spans="20:20">
      <c r="T382"/>
    </row>
    <row r="383" customHeight="1" spans="20:20">
      <c r="T383"/>
    </row>
    <row r="384" customHeight="1" spans="20:20">
      <c r="T384"/>
    </row>
    <row r="385" customHeight="1" spans="20:20">
      <c r="T385"/>
    </row>
    <row r="386" customHeight="1" spans="20:20">
      <c r="T386"/>
    </row>
    <row r="387" customHeight="1" spans="20:20">
      <c r="T387"/>
    </row>
    <row r="388" customHeight="1" spans="20:20">
      <c r="T388"/>
    </row>
    <row r="389" customHeight="1" spans="20:20">
      <c r="T389"/>
    </row>
    <row r="390" customHeight="1" spans="20:20">
      <c r="T390"/>
    </row>
    <row r="391" customHeight="1" spans="20:20">
      <c r="T391"/>
    </row>
    <row r="392" customHeight="1" spans="20:20">
      <c r="T392"/>
    </row>
    <row r="393" customHeight="1" spans="20:20">
      <c r="T393"/>
    </row>
    <row r="394" customHeight="1" spans="20:20">
      <c r="T394"/>
    </row>
    <row r="395" customHeight="1" spans="20:20">
      <c r="T395"/>
    </row>
    <row r="396" customHeight="1" spans="20:20">
      <c r="T396"/>
    </row>
    <row r="397" customHeight="1" spans="20:20">
      <c r="T397"/>
    </row>
    <row r="398" customHeight="1" spans="20:20">
      <c r="T398"/>
    </row>
    <row r="399" customHeight="1" spans="20:20">
      <c r="T399"/>
    </row>
    <row r="400" customHeight="1" spans="20:20">
      <c r="T400"/>
    </row>
    <row r="401" customHeight="1" spans="20:20">
      <c r="T401"/>
    </row>
    <row r="402" customHeight="1" spans="20:20">
      <c r="T402"/>
    </row>
    <row r="403" customHeight="1" spans="20:20">
      <c r="T403"/>
    </row>
    <row r="404" customHeight="1" spans="20:20">
      <c r="T404"/>
    </row>
    <row r="405" customHeight="1" spans="20:20">
      <c r="T405"/>
    </row>
    <row r="406" customHeight="1" spans="20:20">
      <c r="T406"/>
    </row>
    <row r="407" customHeight="1" spans="20:20">
      <c r="T407"/>
    </row>
    <row r="408" customHeight="1" spans="20:20">
      <c r="T408"/>
    </row>
    <row r="409" customHeight="1" spans="20:20">
      <c r="T409"/>
    </row>
    <row r="410" customHeight="1" spans="20:20">
      <c r="T410"/>
    </row>
    <row r="411" customHeight="1" spans="20:20">
      <c r="T411"/>
    </row>
    <row r="412" customHeight="1" spans="20:20">
      <c r="T412"/>
    </row>
    <row r="413" customHeight="1" spans="20:20">
      <c r="T413"/>
    </row>
    <row r="414" customHeight="1" spans="20:20">
      <c r="T414"/>
    </row>
    <row r="415" customHeight="1" spans="20:20">
      <c r="T415"/>
    </row>
    <row r="416" customHeight="1" spans="20:20">
      <c r="T416"/>
    </row>
    <row r="417" customHeight="1" spans="20:20">
      <c r="T417"/>
    </row>
    <row r="418" customHeight="1" spans="20:20">
      <c r="T418"/>
    </row>
    <row r="419" customHeight="1" spans="20:20">
      <c r="T419"/>
    </row>
    <row r="420" customHeight="1" spans="20:20">
      <c r="T420"/>
    </row>
    <row r="421" customHeight="1" spans="20:20">
      <c r="T421"/>
    </row>
    <row r="422" customHeight="1" spans="20:20">
      <c r="T422"/>
    </row>
    <row r="423" customHeight="1" spans="20:20">
      <c r="T423"/>
    </row>
    <row r="424" customHeight="1" spans="20:20">
      <c r="T424"/>
    </row>
    <row r="425" customHeight="1" spans="20:20">
      <c r="T425"/>
    </row>
    <row r="426" customHeight="1" spans="20:20">
      <c r="T426"/>
    </row>
    <row r="427" customHeight="1" spans="20:20">
      <c r="T427"/>
    </row>
    <row r="428" customHeight="1" spans="20:20">
      <c r="T428"/>
    </row>
    <row r="429" customHeight="1" spans="20:20">
      <c r="T429"/>
    </row>
    <row r="430" customHeight="1" spans="20:20">
      <c r="T430"/>
    </row>
    <row r="431" customHeight="1" spans="20:20">
      <c r="T431"/>
    </row>
    <row r="432" customHeight="1" spans="20:20">
      <c r="T432"/>
    </row>
    <row r="433" customHeight="1" spans="20:20">
      <c r="T433"/>
    </row>
    <row r="434" customHeight="1" spans="20:20">
      <c r="T434"/>
    </row>
    <row r="435" customHeight="1" spans="20:20">
      <c r="T435"/>
    </row>
    <row r="436" customHeight="1" spans="20:20">
      <c r="T436"/>
    </row>
    <row r="437" customHeight="1" spans="20:20">
      <c r="T437"/>
    </row>
    <row r="438" customHeight="1" spans="20:20">
      <c r="T438"/>
    </row>
    <row r="439" customHeight="1" spans="20:20">
      <c r="T439"/>
    </row>
    <row r="440" customHeight="1" spans="20:20">
      <c r="T440"/>
    </row>
    <row r="441" customHeight="1" spans="20:20">
      <c r="T441"/>
    </row>
    <row r="442" customHeight="1" spans="20:20">
      <c r="T442"/>
    </row>
    <row r="443" customHeight="1" spans="20:20">
      <c r="T443"/>
    </row>
    <row r="444" customHeight="1" spans="20:20">
      <c r="T444"/>
    </row>
    <row r="445" customHeight="1" spans="20:20">
      <c r="T445"/>
    </row>
    <row r="446" customHeight="1" spans="20:20">
      <c r="T446"/>
    </row>
    <row r="447" customHeight="1" spans="20:20">
      <c r="T447"/>
    </row>
    <row r="448" customHeight="1" spans="20:20">
      <c r="T448"/>
    </row>
    <row r="449" customHeight="1" spans="20:20">
      <c r="T449"/>
    </row>
    <row r="450" customHeight="1" spans="20:20">
      <c r="T450"/>
    </row>
    <row r="451" customHeight="1" spans="20:20">
      <c r="T451"/>
    </row>
    <row r="452" customHeight="1" spans="20:20">
      <c r="T452"/>
    </row>
    <row r="453" customHeight="1" spans="20:20">
      <c r="T453"/>
    </row>
    <row r="454" customHeight="1" spans="20:20">
      <c r="T454"/>
    </row>
    <row r="455" customHeight="1" spans="20:20">
      <c r="T455"/>
    </row>
    <row r="456" customHeight="1" spans="20:20">
      <c r="T456"/>
    </row>
    <row r="457" customHeight="1" spans="20:20">
      <c r="T457"/>
    </row>
    <row r="458" customHeight="1" spans="20:20">
      <c r="T458"/>
    </row>
    <row r="459" customHeight="1" spans="20:20">
      <c r="T459"/>
    </row>
    <row r="460" customHeight="1" spans="20:20">
      <c r="T460"/>
    </row>
    <row r="461" customHeight="1" spans="20:20">
      <c r="T461"/>
    </row>
    <row r="462" customHeight="1" spans="20:20">
      <c r="T462"/>
    </row>
    <row r="463" customHeight="1" spans="20:20">
      <c r="T463"/>
    </row>
    <row r="464" customHeight="1" spans="20:20">
      <c r="T464"/>
    </row>
    <row r="465" customHeight="1" spans="20:20">
      <c r="T465"/>
    </row>
    <row r="466" customHeight="1" spans="20:20">
      <c r="T466"/>
    </row>
    <row r="467" customHeight="1" spans="20:20">
      <c r="T467"/>
    </row>
    <row r="468" customHeight="1" spans="20:20">
      <c r="T468"/>
    </row>
    <row r="469" customHeight="1" spans="20:20">
      <c r="T469"/>
    </row>
    <row r="470" customHeight="1" spans="20:20">
      <c r="T470"/>
    </row>
    <row r="471" customHeight="1" spans="20:20">
      <c r="T471"/>
    </row>
    <row r="472" customHeight="1" spans="20:20">
      <c r="T472"/>
    </row>
    <row r="473" customHeight="1" spans="20:20">
      <c r="T473"/>
    </row>
    <row r="474" customHeight="1" spans="20:20">
      <c r="T474"/>
    </row>
    <row r="475" customHeight="1" spans="20:20">
      <c r="T475"/>
    </row>
    <row r="476" customHeight="1" spans="20:20">
      <c r="T476"/>
    </row>
    <row r="477" customHeight="1" spans="20:20">
      <c r="T477"/>
    </row>
    <row r="478" customHeight="1" spans="20:20">
      <c r="T478"/>
    </row>
    <row r="479" customHeight="1" spans="20:20">
      <c r="T479"/>
    </row>
    <row r="480" customHeight="1" spans="20:20">
      <c r="T480"/>
    </row>
    <row r="481" customHeight="1" spans="20:20">
      <c r="T481"/>
    </row>
    <row r="482" customHeight="1" spans="20:20">
      <c r="T482"/>
    </row>
    <row r="483" customHeight="1" spans="20:20">
      <c r="T483"/>
    </row>
    <row r="484" customHeight="1" spans="20:20">
      <c r="T484"/>
    </row>
    <row r="485" customHeight="1" spans="20:20">
      <c r="T485"/>
    </row>
    <row r="486" customHeight="1" spans="20:20">
      <c r="T486"/>
    </row>
    <row r="487" customHeight="1" spans="20:20">
      <c r="T487"/>
    </row>
    <row r="488" customHeight="1" spans="20:20">
      <c r="T488"/>
    </row>
    <row r="489" customHeight="1" spans="20:20">
      <c r="T489"/>
    </row>
    <row r="490" customHeight="1" spans="20:20">
      <c r="T490"/>
    </row>
    <row r="491" customHeight="1" spans="20:20">
      <c r="T491"/>
    </row>
    <row r="492" customHeight="1" spans="20:20">
      <c r="T492"/>
    </row>
    <row r="493" customHeight="1" spans="20:20">
      <c r="T493"/>
    </row>
    <row r="494" customHeight="1" spans="20:20">
      <c r="T494"/>
    </row>
    <row r="495" customHeight="1" spans="20:20">
      <c r="T495"/>
    </row>
    <row r="496" customHeight="1" spans="20:20">
      <c r="T496"/>
    </row>
    <row r="497" customHeight="1" spans="20:20">
      <c r="T497"/>
    </row>
    <row r="498" customHeight="1" spans="20:20">
      <c r="T498"/>
    </row>
    <row r="499" customHeight="1" spans="20:20">
      <c r="T499"/>
    </row>
    <row r="500" customHeight="1" spans="20:20">
      <c r="T500"/>
    </row>
    <row r="501" customHeight="1" spans="20:20">
      <c r="T501"/>
    </row>
    <row r="502" customHeight="1" spans="20:20">
      <c r="T502"/>
    </row>
    <row r="503" customHeight="1" spans="20:20">
      <c r="T503"/>
    </row>
    <row r="504" customHeight="1" spans="20:20">
      <c r="T504"/>
    </row>
    <row r="505" customHeight="1" spans="20:20">
      <c r="T505"/>
    </row>
    <row r="506" customHeight="1" spans="20:20">
      <c r="T506"/>
    </row>
    <row r="507" customHeight="1" spans="20:20">
      <c r="T507"/>
    </row>
    <row r="508" customHeight="1" spans="20:20">
      <c r="T508"/>
    </row>
    <row r="509" customHeight="1" spans="20:20">
      <c r="T509"/>
    </row>
    <row r="510" customHeight="1" spans="20:20">
      <c r="T510"/>
    </row>
    <row r="511" customHeight="1" spans="20:20">
      <c r="T511"/>
    </row>
    <row r="512" customHeight="1" spans="20:20">
      <c r="T512"/>
    </row>
    <row r="513" customHeight="1" spans="20:20">
      <c r="T513"/>
    </row>
    <row r="514" customHeight="1" spans="20:20">
      <c r="T514"/>
    </row>
    <row r="515" customHeight="1" spans="20:20">
      <c r="T515"/>
    </row>
    <row r="516" customHeight="1" spans="20:20">
      <c r="T516"/>
    </row>
    <row r="517" customHeight="1" spans="20:20">
      <c r="T517"/>
    </row>
    <row r="518" customHeight="1" spans="20:20">
      <c r="T518"/>
    </row>
    <row r="519" customHeight="1" spans="20:20">
      <c r="T519"/>
    </row>
    <row r="520" customHeight="1" spans="20:20">
      <c r="T520"/>
    </row>
    <row r="521" customHeight="1" spans="20:20">
      <c r="T521"/>
    </row>
    <row r="522" customHeight="1" spans="20:20">
      <c r="T522"/>
    </row>
    <row r="523" customHeight="1" spans="20:20">
      <c r="T523"/>
    </row>
    <row r="524" customHeight="1" spans="20:20">
      <c r="T524"/>
    </row>
    <row r="525" customHeight="1" spans="20:20">
      <c r="T525"/>
    </row>
    <row r="526" customHeight="1" spans="20:20">
      <c r="T526"/>
    </row>
    <row r="527" customHeight="1" spans="20:20">
      <c r="T527"/>
    </row>
    <row r="528" customHeight="1" spans="20:20">
      <c r="T528"/>
    </row>
    <row r="529" customHeight="1" spans="20:20">
      <c r="T529"/>
    </row>
    <row r="530" customHeight="1" spans="20:20">
      <c r="T530"/>
    </row>
    <row r="531" customHeight="1" spans="20:20">
      <c r="T531"/>
    </row>
    <row r="532" customHeight="1" spans="20:20">
      <c r="T532"/>
    </row>
    <row r="533" customHeight="1" spans="20:20">
      <c r="T533"/>
    </row>
    <row r="534" customHeight="1" spans="20:20">
      <c r="T534"/>
    </row>
    <row r="535" customHeight="1" spans="20:20">
      <c r="T535"/>
    </row>
    <row r="536" customHeight="1" spans="20:20">
      <c r="T536"/>
    </row>
    <row r="537" customHeight="1" spans="20:20">
      <c r="T537"/>
    </row>
    <row r="538" customHeight="1" spans="20:20">
      <c r="T538"/>
    </row>
    <row r="539" customHeight="1" spans="20:20">
      <c r="T539"/>
    </row>
    <row r="540" customHeight="1" spans="20:20">
      <c r="T540"/>
    </row>
    <row r="541" customHeight="1" spans="20:20">
      <c r="T541"/>
    </row>
    <row r="542" customHeight="1" spans="20:20">
      <c r="T542"/>
    </row>
    <row r="543" customHeight="1" spans="20:20">
      <c r="T543"/>
    </row>
    <row r="544" customHeight="1" spans="20:20">
      <c r="T544"/>
    </row>
    <row r="545" customHeight="1" spans="20:20">
      <c r="T545"/>
    </row>
    <row r="546" customHeight="1" spans="20:20">
      <c r="T546"/>
    </row>
    <row r="547" customHeight="1" spans="20:20">
      <c r="T547"/>
    </row>
    <row r="548" customHeight="1" spans="20:20">
      <c r="T548"/>
    </row>
    <row r="549" customHeight="1" spans="20:20">
      <c r="T549"/>
    </row>
    <row r="550" customHeight="1" spans="20:20">
      <c r="T550"/>
    </row>
    <row r="551" customHeight="1" spans="20:20">
      <c r="T551"/>
    </row>
    <row r="552" customHeight="1" spans="20:20">
      <c r="T552"/>
    </row>
    <row r="553" customHeight="1" spans="20:20">
      <c r="T553"/>
    </row>
    <row r="554" customHeight="1" spans="20:20">
      <c r="T554"/>
    </row>
    <row r="555" customHeight="1" spans="20:20">
      <c r="T555"/>
    </row>
    <row r="556" customHeight="1" spans="20:20">
      <c r="T556"/>
    </row>
    <row r="557" customHeight="1" spans="20:20">
      <c r="T557"/>
    </row>
    <row r="558" customHeight="1" spans="20:20">
      <c r="T558"/>
    </row>
    <row r="559" customHeight="1" spans="20:20">
      <c r="T559"/>
    </row>
    <row r="560" customHeight="1" spans="20:20">
      <c r="T560"/>
    </row>
    <row r="561" customHeight="1" spans="20:20">
      <c r="T561"/>
    </row>
    <row r="562" customHeight="1" spans="20:20">
      <c r="T562"/>
    </row>
    <row r="563" customHeight="1" spans="20:20">
      <c r="T563"/>
    </row>
    <row r="564" customHeight="1" spans="20:20">
      <c r="T564"/>
    </row>
    <row r="565" customHeight="1" spans="20:20">
      <c r="T565"/>
    </row>
    <row r="566" customHeight="1" spans="20:20">
      <c r="T566"/>
    </row>
    <row r="567" customHeight="1" spans="20:20">
      <c r="T567"/>
    </row>
    <row r="568" customHeight="1" spans="20:20">
      <c r="T568"/>
    </row>
    <row r="569" customHeight="1" spans="20:20">
      <c r="T569"/>
    </row>
    <row r="570" customHeight="1" spans="20:20">
      <c r="T570"/>
    </row>
    <row r="571" customHeight="1" spans="20:20">
      <c r="T571"/>
    </row>
    <row r="572" customHeight="1" spans="20:20">
      <c r="T572"/>
    </row>
    <row r="573" customHeight="1" spans="20:20">
      <c r="T573"/>
    </row>
    <row r="574" customHeight="1" spans="20:20">
      <c r="T574"/>
    </row>
    <row r="575" customHeight="1" spans="20:20">
      <c r="T575"/>
    </row>
    <row r="576" customHeight="1" spans="20:20">
      <c r="T576"/>
    </row>
    <row r="577" customHeight="1" spans="20:20">
      <c r="T577"/>
    </row>
    <row r="578" customHeight="1" spans="20:20">
      <c r="T578"/>
    </row>
    <row r="579" customHeight="1" spans="20:20">
      <c r="T579"/>
    </row>
    <row r="580" customHeight="1" spans="20:20">
      <c r="T580"/>
    </row>
    <row r="581" customHeight="1" spans="20:20">
      <c r="T581"/>
    </row>
    <row r="582" customHeight="1" spans="20:20">
      <c r="T582"/>
    </row>
    <row r="583" customHeight="1" spans="20:20">
      <c r="T583"/>
    </row>
    <row r="584" customHeight="1" spans="20:20">
      <c r="T584"/>
    </row>
    <row r="585" customHeight="1" spans="20:20">
      <c r="T585"/>
    </row>
    <row r="586" customHeight="1" spans="20:20">
      <c r="T586"/>
    </row>
    <row r="587" customHeight="1" spans="20:20">
      <c r="T587"/>
    </row>
    <row r="588" customHeight="1" spans="20:20">
      <c r="T588"/>
    </row>
    <row r="589" customHeight="1" spans="20:20">
      <c r="T589"/>
    </row>
    <row r="590" customHeight="1" spans="20:20">
      <c r="T590"/>
    </row>
    <row r="591" customHeight="1" spans="20:20">
      <c r="T591"/>
    </row>
    <row r="592" customHeight="1" spans="20:20">
      <c r="T592"/>
    </row>
    <row r="593" customHeight="1" spans="20:20">
      <c r="T593"/>
    </row>
    <row r="594" customHeight="1" spans="20:20">
      <c r="T594"/>
    </row>
    <row r="595" customHeight="1" spans="20:20">
      <c r="T595"/>
    </row>
    <row r="596" customHeight="1" spans="20:20">
      <c r="T596"/>
    </row>
    <row r="597" customHeight="1" spans="20:20">
      <c r="T597"/>
    </row>
    <row r="598" customHeight="1" spans="20:20">
      <c r="T598"/>
    </row>
    <row r="599" customHeight="1" spans="20:20">
      <c r="T599"/>
    </row>
    <row r="600" customHeight="1" spans="20:20">
      <c r="T600"/>
    </row>
    <row r="601" customHeight="1" spans="20:20">
      <c r="T601"/>
    </row>
    <row r="602" customHeight="1" spans="20:20">
      <c r="T602"/>
    </row>
    <row r="603" customHeight="1" spans="20:20">
      <c r="T603"/>
    </row>
    <row r="604" customHeight="1" spans="20:20">
      <c r="T604"/>
    </row>
    <row r="605" customHeight="1" spans="20:20">
      <c r="T605"/>
    </row>
    <row r="606" customHeight="1" spans="20:20">
      <c r="T606"/>
    </row>
    <row r="607" customHeight="1" spans="20:20">
      <c r="T607"/>
    </row>
    <row r="608" customHeight="1" spans="20:20">
      <c r="T608"/>
    </row>
    <row r="609" customHeight="1" spans="20:20">
      <c r="T609"/>
    </row>
    <row r="610" customHeight="1" spans="20:20">
      <c r="T610"/>
    </row>
    <row r="611" customHeight="1" spans="20:20">
      <c r="T611"/>
    </row>
    <row r="612" customHeight="1" spans="20:20">
      <c r="T612"/>
    </row>
    <row r="613" customHeight="1" spans="20:20">
      <c r="T613"/>
    </row>
    <row r="614" customHeight="1" spans="20:20">
      <c r="T614"/>
    </row>
    <row r="615" customHeight="1" spans="20:20">
      <c r="T615"/>
    </row>
    <row r="616" customHeight="1" spans="20:20">
      <c r="T616"/>
    </row>
    <row r="617" customHeight="1" spans="20:20">
      <c r="T617"/>
    </row>
    <row r="618" customHeight="1" spans="20:20">
      <c r="T618"/>
    </row>
    <row r="619" customHeight="1" spans="20:20">
      <c r="T619"/>
    </row>
    <row r="620" customHeight="1" spans="20:20">
      <c r="T620"/>
    </row>
    <row r="621" customHeight="1" spans="20:20">
      <c r="T621"/>
    </row>
    <row r="622" customHeight="1" spans="20:20">
      <c r="T622"/>
    </row>
    <row r="623" customHeight="1" spans="20:20">
      <c r="T623"/>
    </row>
    <row r="624" customHeight="1" spans="20:20">
      <c r="T624"/>
    </row>
    <row r="625" customHeight="1" spans="20:20">
      <c r="T625"/>
    </row>
    <row r="626" customHeight="1" spans="20:20">
      <c r="T626"/>
    </row>
    <row r="627" customHeight="1" spans="20:20">
      <c r="T627"/>
    </row>
    <row r="628" customHeight="1" spans="20:20">
      <c r="T628"/>
    </row>
    <row r="629" customHeight="1" spans="20:20">
      <c r="T629"/>
    </row>
    <row r="630" customHeight="1" spans="20:20">
      <c r="T630"/>
    </row>
    <row r="631" customHeight="1" spans="20:20">
      <c r="T631"/>
    </row>
    <row r="632" customHeight="1" spans="20:20">
      <c r="T632"/>
    </row>
    <row r="633" customHeight="1" spans="20:20">
      <c r="T633"/>
    </row>
    <row r="634" customHeight="1" spans="20:20">
      <c r="T634"/>
    </row>
    <row r="635" customHeight="1" spans="20:20">
      <c r="T635"/>
    </row>
    <row r="636" customHeight="1" spans="20:20">
      <c r="T636"/>
    </row>
    <row r="637" customHeight="1" spans="20:20">
      <c r="T637"/>
    </row>
    <row r="638" customHeight="1" spans="20:20">
      <c r="T638"/>
    </row>
    <row r="639" customHeight="1" spans="20:20">
      <c r="T639"/>
    </row>
    <row r="640" customHeight="1" spans="20:20">
      <c r="T640"/>
    </row>
    <row r="641" customHeight="1" spans="20:20">
      <c r="T641"/>
    </row>
    <row r="642" customHeight="1" spans="20:20">
      <c r="T642"/>
    </row>
    <row r="643" customHeight="1" spans="20:20">
      <c r="T643"/>
    </row>
    <row r="644" customHeight="1" spans="20:20">
      <c r="T644"/>
    </row>
    <row r="645" customHeight="1" spans="20:20">
      <c r="T645"/>
    </row>
    <row r="646" customHeight="1" spans="20:20">
      <c r="T646"/>
    </row>
    <row r="647" customHeight="1" spans="20:20">
      <c r="T647"/>
    </row>
    <row r="648" customHeight="1" spans="20:20">
      <c r="T648"/>
    </row>
    <row r="649" customHeight="1" spans="20:20">
      <c r="T649"/>
    </row>
    <row r="650" customHeight="1" spans="20:20">
      <c r="T650"/>
    </row>
    <row r="651" customHeight="1" spans="20:20">
      <c r="T651"/>
    </row>
    <row r="652" customHeight="1" spans="20:20">
      <c r="T652"/>
    </row>
    <row r="653" customHeight="1" spans="20:20">
      <c r="T653"/>
    </row>
    <row r="654" customHeight="1" spans="20:20">
      <c r="T654"/>
    </row>
    <row r="655" customHeight="1" spans="20:20">
      <c r="T655"/>
    </row>
    <row r="656" customHeight="1" spans="20:20">
      <c r="T656"/>
    </row>
    <row r="657" customHeight="1" spans="20:20">
      <c r="T657"/>
    </row>
    <row r="658" customHeight="1" spans="20:20">
      <c r="T658"/>
    </row>
    <row r="659" customHeight="1" spans="20:20">
      <c r="T659"/>
    </row>
    <row r="660" customHeight="1" spans="20:20">
      <c r="T660"/>
    </row>
    <row r="661" customHeight="1" spans="20:20">
      <c r="T661"/>
    </row>
    <row r="662" customHeight="1" spans="20:20">
      <c r="T662"/>
    </row>
    <row r="663" customHeight="1" spans="20:20">
      <c r="T663"/>
    </row>
    <row r="664" customHeight="1" spans="20:20">
      <c r="T664"/>
    </row>
    <row r="665" customHeight="1" spans="20:20">
      <c r="T665"/>
    </row>
    <row r="666" customHeight="1" spans="20:20">
      <c r="T666"/>
    </row>
    <row r="667" customHeight="1" spans="20:20">
      <c r="T667"/>
    </row>
    <row r="668" customHeight="1" spans="20:20">
      <c r="T668"/>
    </row>
    <row r="669" customHeight="1" spans="20:20">
      <c r="T669"/>
    </row>
    <row r="670" customHeight="1" spans="20:20">
      <c r="T670"/>
    </row>
    <row r="671" customHeight="1" spans="20:20">
      <c r="T671"/>
    </row>
    <row r="672" customHeight="1" spans="20:20">
      <c r="T672"/>
    </row>
    <row r="673" customHeight="1" spans="20:20">
      <c r="T673"/>
    </row>
    <row r="674" customHeight="1" spans="20:20">
      <c r="T674"/>
    </row>
    <row r="675" customHeight="1" spans="20:20">
      <c r="T675"/>
    </row>
    <row r="676" customHeight="1" spans="20:20">
      <c r="T676"/>
    </row>
    <row r="677" customHeight="1" spans="20:20">
      <c r="T677"/>
    </row>
    <row r="678" customHeight="1" spans="20:20">
      <c r="T678"/>
    </row>
    <row r="679" customHeight="1" spans="20:20">
      <c r="T679"/>
    </row>
    <row r="680" customHeight="1" spans="20:20">
      <c r="T680"/>
    </row>
    <row r="681" customHeight="1" spans="20:20">
      <c r="T681"/>
    </row>
    <row r="682" customHeight="1" spans="20:20">
      <c r="T682"/>
    </row>
    <row r="683" customHeight="1" spans="20:20">
      <c r="T683"/>
    </row>
    <row r="684" customHeight="1" spans="20:20">
      <c r="T684"/>
    </row>
    <row r="685" customHeight="1" spans="20:20">
      <c r="T685"/>
    </row>
    <row r="686" customHeight="1" spans="20:20">
      <c r="T686"/>
    </row>
    <row r="687" customHeight="1" spans="20:20">
      <c r="T687"/>
    </row>
    <row r="688" customHeight="1" spans="20:20">
      <c r="T688"/>
    </row>
    <row r="689" customHeight="1" spans="20:20">
      <c r="T689"/>
    </row>
    <row r="690" customHeight="1" spans="20:20">
      <c r="T690"/>
    </row>
    <row r="691" customHeight="1" spans="20:20">
      <c r="T691"/>
    </row>
    <row r="692" customHeight="1" spans="20:20">
      <c r="T692"/>
    </row>
    <row r="693" customHeight="1" spans="20:20">
      <c r="T693"/>
    </row>
    <row r="694" customHeight="1" spans="20:20">
      <c r="T694"/>
    </row>
    <row r="695" customHeight="1" spans="20:20">
      <c r="T695"/>
    </row>
    <row r="696" customHeight="1" spans="20:20">
      <c r="T696"/>
    </row>
    <row r="697" customHeight="1" spans="20:20">
      <c r="T697"/>
    </row>
    <row r="698" customHeight="1" spans="20:20">
      <c r="T698"/>
    </row>
    <row r="699" customHeight="1" spans="20:20">
      <c r="T699"/>
    </row>
    <row r="700" customHeight="1" spans="20:20">
      <c r="T700"/>
    </row>
    <row r="701" customHeight="1" spans="20:20">
      <c r="T701"/>
    </row>
    <row r="702" customHeight="1" spans="20:20">
      <c r="T702"/>
    </row>
    <row r="703" customHeight="1" spans="20:20">
      <c r="T703"/>
    </row>
    <row r="704" customHeight="1" spans="20:20">
      <c r="T704"/>
    </row>
    <row r="705" customHeight="1" spans="20:20">
      <c r="T705"/>
    </row>
    <row r="706" customHeight="1" spans="20:20">
      <c r="T706"/>
    </row>
    <row r="707" customHeight="1" spans="20:20">
      <c r="T707"/>
    </row>
    <row r="708" customHeight="1" spans="20:20">
      <c r="T708"/>
    </row>
    <row r="709" customHeight="1" spans="20:20">
      <c r="T709"/>
    </row>
    <row r="710" customHeight="1" spans="20:20">
      <c r="T710"/>
    </row>
    <row r="711" customHeight="1" spans="20:20">
      <c r="T711"/>
    </row>
    <row r="712" customHeight="1" spans="20:20">
      <c r="T712"/>
    </row>
    <row r="713" customHeight="1" spans="20:20">
      <c r="T713"/>
    </row>
    <row r="714" customHeight="1" spans="20:20">
      <c r="T714"/>
    </row>
    <row r="715" customHeight="1" spans="20:20">
      <c r="T715"/>
    </row>
    <row r="716" customHeight="1" spans="20:20">
      <c r="T716"/>
    </row>
    <row r="717" customHeight="1" spans="20:20">
      <c r="T717"/>
    </row>
    <row r="718" customHeight="1" spans="20:20">
      <c r="T718"/>
    </row>
    <row r="719" customHeight="1" spans="20:20">
      <c r="T719"/>
    </row>
    <row r="720" customHeight="1" spans="20:20">
      <c r="T720"/>
    </row>
    <row r="721" customHeight="1" spans="20:20">
      <c r="T721"/>
    </row>
    <row r="722" customHeight="1" spans="20:20">
      <c r="T722"/>
    </row>
    <row r="723" customHeight="1" spans="20:20">
      <c r="T723"/>
    </row>
    <row r="724" customHeight="1" spans="20:20">
      <c r="T724"/>
    </row>
    <row r="725" customHeight="1" spans="20:20">
      <c r="T725"/>
    </row>
    <row r="726" customHeight="1" spans="20:20">
      <c r="T726"/>
    </row>
    <row r="727" customHeight="1" spans="20:20">
      <c r="T727"/>
    </row>
    <row r="728" customHeight="1" spans="20:20">
      <c r="T728"/>
    </row>
    <row r="729" customHeight="1" spans="20:20">
      <c r="T729"/>
    </row>
    <row r="730" customHeight="1" spans="20:20">
      <c r="T730"/>
    </row>
    <row r="731" customHeight="1" spans="20:20">
      <c r="T731"/>
    </row>
    <row r="732" customHeight="1" spans="20:20">
      <c r="T732"/>
    </row>
    <row r="733" customHeight="1" spans="20:20">
      <c r="T733"/>
    </row>
    <row r="734" customHeight="1" spans="20:20">
      <c r="T734"/>
    </row>
    <row r="735" customHeight="1" spans="20:20">
      <c r="T735"/>
    </row>
    <row r="736" customHeight="1" spans="20:20">
      <c r="T736"/>
    </row>
    <row r="737" customHeight="1" spans="20:20">
      <c r="T737"/>
    </row>
    <row r="738" customHeight="1" spans="20:20">
      <c r="T738"/>
    </row>
    <row r="739" customHeight="1" spans="20:20">
      <c r="T739"/>
    </row>
    <row r="740" customHeight="1" spans="20:20">
      <c r="T740"/>
    </row>
    <row r="741" customHeight="1" spans="20:20">
      <c r="T741"/>
    </row>
    <row r="742" customHeight="1" spans="20:20">
      <c r="T742"/>
    </row>
    <row r="743" customHeight="1" spans="20:20">
      <c r="T743"/>
    </row>
    <row r="744" customHeight="1" spans="20:20">
      <c r="T744"/>
    </row>
    <row r="745" customHeight="1" spans="20:20">
      <c r="T745"/>
    </row>
    <row r="746" customHeight="1" spans="20:20">
      <c r="T746"/>
    </row>
    <row r="747" customHeight="1" spans="20:20">
      <c r="T747"/>
    </row>
    <row r="748" customHeight="1" spans="20:20">
      <c r="T748"/>
    </row>
    <row r="749" customHeight="1" spans="20:20">
      <c r="T749"/>
    </row>
    <row r="750" customHeight="1" spans="20:20">
      <c r="T750"/>
    </row>
    <row r="751" customHeight="1" spans="20:20">
      <c r="T751"/>
    </row>
    <row r="752" customHeight="1" spans="20:20">
      <c r="T752"/>
    </row>
    <row r="753" customHeight="1" spans="20:20">
      <c r="T753"/>
    </row>
    <row r="754" customHeight="1" spans="20:20">
      <c r="T754"/>
    </row>
    <row r="755" customHeight="1" spans="20:20">
      <c r="T755"/>
    </row>
    <row r="756" customHeight="1" spans="20:20">
      <c r="T756"/>
    </row>
    <row r="757" customHeight="1" spans="20:20">
      <c r="T757"/>
    </row>
    <row r="758" customHeight="1" spans="20:20">
      <c r="T758"/>
    </row>
    <row r="759" customHeight="1" spans="20:20">
      <c r="T759"/>
    </row>
    <row r="760" customHeight="1" spans="20:20">
      <c r="T760"/>
    </row>
    <row r="761" customHeight="1" spans="20:20">
      <c r="T761"/>
    </row>
    <row r="762" customHeight="1" spans="20:20">
      <c r="T762"/>
    </row>
    <row r="763" customHeight="1" spans="20:20">
      <c r="T763"/>
    </row>
    <row r="764" customHeight="1" spans="20:20">
      <c r="T764"/>
    </row>
    <row r="765" customHeight="1" spans="20:20">
      <c r="T765"/>
    </row>
    <row r="766" customHeight="1" spans="20:20">
      <c r="T766"/>
    </row>
    <row r="767" customHeight="1" spans="20:20">
      <c r="T767"/>
    </row>
    <row r="768" customHeight="1" spans="20:20">
      <c r="T768"/>
    </row>
    <row r="769" customHeight="1" spans="20:20">
      <c r="T769"/>
    </row>
    <row r="770" customHeight="1" spans="20:20">
      <c r="T770"/>
    </row>
    <row r="771" customHeight="1" spans="20:20">
      <c r="T771"/>
    </row>
    <row r="772" customHeight="1" spans="20:20">
      <c r="T772"/>
    </row>
    <row r="773" customHeight="1" spans="20:20">
      <c r="T773"/>
    </row>
    <row r="774" customHeight="1" spans="20:20">
      <c r="T774"/>
    </row>
    <row r="775" customHeight="1" spans="20:20">
      <c r="T775"/>
    </row>
    <row r="776" customHeight="1" spans="20:20">
      <c r="T776"/>
    </row>
    <row r="777" customHeight="1" spans="20:20">
      <c r="T777"/>
    </row>
    <row r="778" customHeight="1" spans="20:20">
      <c r="T778"/>
    </row>
    <row r="779" customHeight="1" spans="20:20">
      <c r="T779"/>
    </row>
    <row r="780" customHeight="1" spans="20:20">
      <c r="T780"/>
    </row>
    <row r="781" customHeight="1" spans="20:20">
      <c r="T781"/>
    </row>
    <row r="782" customHeight="1" spans="20:20">
      <c r="T782"/>
    </row>
    <row r="783" customHeight="1" spans="20:20">
      <c r="T783"/>
    </row>
    <row r="784" customHeight="1" spans="20:20">
      <c r="T784"/>
    </row>
    <row r="785" customHeight="1" spans="20:20">
      <c r="T785"/>
    </row>
    <row r="786" customHeight="1" spans="20:20">
      <c r="T786"/>
    </row>
    <row r="787" customHeight="1" spans="20:20">
      <c r="T787"/>
    </row>
    <row r="788" customHeight="1" spans="20:20">
      <c r="T788"/>
    </row>
    <row r="789" customHeight="1" spans="20:20">
      <c r="T789"/>
    </row>
    <row r="790" customHeight="1" spans="20:20">
      <c r="T790"/>
    </row>
    <row r="791" customHeight="1" spans="20:20">
      <c r="T791"/>
    </row>
    <row r="792" customHeight="1" spans="20:20">
      <c r="T792"/>
    </row>
    <row r="793" customHeight="1" spans="20:20">
      <c r="T793"/>
    </row>
    <row r="794" customHeight="1" spans="20:20">
      <c r="T794"/>
    </row>
    <row r="795" customHeight="1" spans="20:20">
      <c r="T795"/>
    </row>
    <row r="796" customHeight="1" spans="20:20">
      <c r="T796"/>
    </row>
    <row r="797" customHeight="1" spans="20:20">
      <c r="T797"/>
    </row>
    <row r="798" customHeight="1" spans="20:20">
      <c r="T798"/>
    </row>
    <row r="799" customHeight="1" spans="20:20">
      <c r="T799"/>
    </row>
    <row r="800" customHeight="1" spans="20:20">
      <c r="T800"/>
    </row>
    <row r="801" customHeight="1" spans="20:20">
      <c r="T801"/>
    </row>
    <row r="802" customHeight="1" spans="20:20">
      <c r="T802"/>
    </row>
    <row r="803" customHeight="1" spans="20:20">
      <c r="T803"/>
    </row>
    <row r="804" customHeight="1" spans="20:20">
      <c r="T804"/>
    </row>
    <row r="805" customHeight="1" spans="20:20">
      <c r="T805"/>
    </row>
    <row r="806" customHeight="1" spans="20:20">
      <c r="T806"/>
    </row>
    <row r="807" customHeight="1" spans="20:20">
      <c r="T807"/>
    </row>
    <row r="808" customHeight="1" spans="20:20">
      <c r="T808"/>
    </row>
    <row r="809" customHeight="1" spans="20:20">
      <c r="T809"/>
    </row>
    <row r="810" customHeight="1" spans="20:20">
      <c r="T810"/>
    </row>
    <row r="811" customHeight="1" spans="20:20">
      <c r="T811"/>
    </row>
    <row r="812" customHeight="1" spans="20:20">
      <c r="T812"/>
    </row>
    <row r="813" customHeight="1" spans="20:20">
      <c r="T813"/>
    </row>
    <row r="814" customHeight="1" spans="20:20">
      <c r="T814"/>
    </row>
    <row r="815" customHeight="1" spans="20:20">
      <c r="T815"/>
    </row>
    <row r="816" customHeight="1" spans="20:20">
      <c r="T816"/>
    </row>
    <row r="817" customHeight="1" spans="20:20">
      <c r="T817"/>
    </row>
    <row r="818" customHeight="1" spans="20:20">
      <c r="T818"/>
    </row>
    <row r="819" customHeight="1" spans="20:20">
      <c r="T819"/>
    </row>
    <row r="820" customHeight="1" spans="20:20">
      <c r="T820"/>
    </row>
    <row r="821" customHeight="1" spans="20:20">
      <c r="T821"/>
    </row>
    <row r="822" customHeight="1" spans="20:20">
      <c r="T822"/>
    </row>
    <row r="823" customHeight="1" spans="20:20">
      <c r="T823"/>
    </row>
    <row r="824" customHeight="1" spans="20:20">
      <c r="T824"/>
    </row>
    <row r="825" customHeight="1" spans="20:20">
      <c r="T825"/>
    </row>
    <row r="826" customHeight="1" spans="20:20">
      <c r="T826"/>
    </row>
    <row r="827" customHeight="1" spans="20:20">
      <c r="T827"/>
    </row>
    <row r="828" customHeight="1" spans="20:20">
      <c r="T828"/>
    </row>
    <row r="829" customHeight="1" spans="20:20">
      <c r="T829"/>
    </row>
    <row r="830" customHeight="1" spans="20:20">
      <c r="T830"/>
    </row>
    <row r="831" customHeight="1" spans="20:20">
      <c r="T831"/>
    </row>
    <row r="832" customHeight="1" spans="20:20">
      <c r="T832"/>
    </row>
    <row r="833" customHeight="1" spans="20:20">
      <c r="T833"/>
    </row>
    <row r="834" customHeight="1" spans="20:20">
      <c r="T834"/>
    </row>
    <row r="835" customHeight="1" spans="20:20">
      <c r="T835"/>
    </row>
    <row r="836" customHeight="1" spans="20:20">
      <c r="T836"/>
    </row>
    <row r="837" customHeight="1" spans="20:20">
      <c r="T837"/>
    </row>
    <row r="838" customHeight="1" spans="20:20">
      <c r="T838"/>
    </row>
    <row r="839" customHeight="1" spans="20:20">
      <c r="T839"/>
    </row>
    <row r="840" customHeight="1" spans="20:20">
      <c r="T840"/>
    </row>
    <row r="841" customHeight="1" spans="20:20">
      <c r="T841"/>
    </row>
    <row r="842" customHeight="1" spans="20:20">
      <c r="T842"/>
    </row>
    <row r="843" customHeight="1" spans="20:20">
      <c r="T843"/>
    </row>
    <row r="844" customHeight="1" spans="20:20">
      <c r="T844"/>
    </row>
    <row r="845" customHeight="1" spans="20:20">
      <c r="T845"/>
    </row>
    <row r="846" customHeight="1" spans="20:20">
      <c r="T846"/>
    </row>
    <row r="847" customHeight="1" spans="20:20">
      <c r="T847"/>
    </row>
    <row r="848" customHeight="1" spans="20:20">
      <c r="T848"/>
    </row>
    <row r="849" customHeight="1" spans="20:20">
      <c r="T849"/>
    </row>
    <row r="850" customHeight="1" spans="20:20">
      <c r="T850"/>
    </row>
    <row r="851" customHeight="1" spans="20:20">
      <c r="T851"/>
    </row>
    <row r="852" customHeight="1" spans="20:20">
      <c r="T852"/>
    </row>
    <row r="853" customHeight="1" spans="20:20">
      <c r="T853"/>
    </row>
    <row r="854" customHeight="1" spans="20:20">
      <c r="T854"/>
    </row>
    <row r="855" customHeight="1" spans="20:20">
      <c r="T855"/>
    </row>
    <row r="856" customHeight="1" spans="20:20">
      <c r="T856"/>
    </row>
    <row r="857" customHeight="1" spans="20:20">
      <c r="T857"/>
    </row>
    <row r="858" customHeight="1" spans="20:20">
      <c r="T858"/>
    </row>
    <row r="859" customHeight="1" spans="20:20">
      <c r="T859"/>
    </row>
    <row r="860" customHeight="1" spans="20:20">
      <c r="T860"/>
    </row>
    <row r="861" customHeight="1" spans="20:20">
      <c r="T861"/>
    </row>
    <row r="862" customHeight="1" spans="20:20">
      <c r="T862"/>
    </row>
    <row r="863" customHeight="1" spans="20:20">
      <c r="T863"/>
    </row>
    <row r="864" customHeight="1" spans="20:20">
      <c r="T864"/>
    </row>
    <row r="865" customHeight="1" spans="20:20">
      <c r="T865"/>
    </row>
    <row r="866" customHeight="1" spans="20:20">
      <c r="T866"/>
    </row>
    <row r="867" customHeight="1" spans="20:20">
      <c r="T867"/>
    </row>
    <row r="868" customHeight="1" spans="20:20">
      <c r="T868"/>
    </row>
    <row r="869" customHeight="1" spans="20:20">
      <c r="T869"/>
    </row>
    <row r="870" customHeight="1" spans="20:20">
      <c r="T870"/>
    </row>
    <row r="871" customHeight="1" spans="20:20">
      <c r="T871"/>
    </row>
    <row r="872" customHeight="1" spans="20:20">
      <c r="T872"/>
    </row>
    <row r="873" customHeight="1" spans="20:20">
      <c r="T873"/>
    </row>
    <row r="874" customHeight="1" spans="20:20">
      <c r="T874"/>
    </row>
    <row r="875" customHeight="1" spans="20:20">
      <c r="T875"/>
    </row>
    <row r="876" customHeight="1" spans="20:20">
      <c r="T876"/>
    </row>
    <row r="877" customHeight="1" spans="20:20">
      <c r="T877"/>
    </row>
    <row r="878" customHeight="1" spans="20:20">
      <c r="T878"/>
    </row>
    <row r="879" customHeight="1" spans="20:20">
      <c r="T879"/>
    </row>
    <row r="880" customHeight="1" spans="20:20">
      <c r="T880"/>
    </row>
    <row r="881" customHeight="1" spans="20:20">
      <c r="T881"/>
    </row>
    <row r="882" customHeight="1" spans="20:20">
      <c r="T882"/>
    </row>
    <row r="883" customHeight="1" spans="20:20">
      <c r="T883"/>
    </row>
    <row r="884" customHeight="1" spans="20:20">
      <c r="T884"/>
    </row>
    <row r="885" customHeight="1" spans="20:20">
      <c r="T885"/>
    </row>
    <row r="886" customHeight="1" spans="20:20">
      <c r="T886"/>
    </row>
    <row r="887" customHeight="1" spans="20:20">
      <c r="T887"/>
    </row>
    <row r="888" customHeight="1" spans="20:20">
      <c r="T888"/>
    </row>
    <row r="889" customHeight="1" spans="20:20">
      <c r="T889"/>
    </row>
    <row r="890" customHeight="1" spans="20:20">
      <c r="T890"/>
    </row>
    <row r="891" customHeight="1" spans="20:20">
      <c r="T891"/>
    </row>
    <row r="892" customHeight="1" spans="20:20">
      <c r="T892"/>
    </row>
    <row r="893" customHeight="1" spans="20:20">
      <c r="T893"/>
    </row>
    <row r="894" customHeight="1" spans="20:20">
      <c r="T894"/>
    </row>
    <row r="895" customHeight="1" spans="20:20">
      <c r="T895"/>
    </row>
    <row r="896" customHeight="1" spans="20:20">
      <c r="T896"/>
    </row>
    <row r="897" customHeight="1" spans="20:20">
      <c r="T897"/>
    </row>
    <row r="898" customHeight="1" spans="20:20">
      <c r="T898"/>
    </row>
    <row r="899" customHeight="1" spans="20:20">
      <c r="T899"/>
    </row>
    <row r="900" customHeight="1" spans="20:20">
      <c r="T900"/>
    </row>
    <row r="901" customHeight="1" spans="20:20">
      <c r="T901"/>
    </row>
    <row r="902" customHeight="1" spans="20:20">
      <c r="T902"/>
    </row>
    <row r="903" customHeight="1" spans="20:20">
      <c r="T903"/>
    </row>
    <row r="904" customHeight="1" spans="20:20">
      <c r="T904"/>
    </row>
    <row r="905" customHeight="1" spans="20:20">
      <c r="T905"/>
    </row>
    <row r="906" customHeight="1" spans="20:20">
      <c r="T906"/>
    </row>
    <row r="907" customHeight="1" spans="20:20">
      <c r="T907"/>
    </row>
    <row r="908" customHeight="1" spans="20:20">
      <c r="T908"/>
    </row>
    <row r="909" customHeight="1" spans="20:20">
      <c r="T909"/>
    </row>
    <row r="910" customHeight="1" spans="20:20">
      <c r="T910"/>
    </row>
    <row r="911" customHeight="1" spans="20:20">
      <c r="T911"/>
    </row>
    <row r="912" customHeight="1" spans="20:20">
      <c r="T912"/>
    </row>
    <row r="913" customHeight="1" spans="20:20">
      <c r="T913"/>
    </row>
    <row r="914" customHeight="1" spans="20:20">
      <c r="T914"/>
    </row>
    <row r="915" customHeight="1" spans="20:20">
      <c r="T915"/>
    </row>
    <row r="916" customHeight="1" spans="20:20">
      <c r="T916"/>
    </row>
    <row r="917" customHeight="1" spans="20:20">
      <c r="T917"/>
    </row>
    <row r="918" customHeight="1" spans="20:20">
      <c r="T918"/>
    </row>
    <row r="919" customHeight="1" spans="20:20">
      <c r="T919"/>
    </row>
    <row r="920" customHeight="1" spans="20:20">
      <c r="T920"/>
    </row>
    <row r="921" customHeight="1" spans="20:20">
      <c r="T921"/>
    </row>
    <row r="922" customHeight="1" spans="20:20">
      <c r="T922"/>
    </row>
    <row r="923" customHeight="1" spans="20:20">
      <c r="T923"/>
    </row>
    <row r="924" customHeight="1" spans="20:20">
      <c r="T924"/>
    </row>
    <row r="925" customHeight="1" spans="20:20">
      <c r="T925"/>
    </row>
    <row r="926" customHeight="1" spans="20:20">
      <c r="T926"/>
    </row>
    <row r="927" customHeight="1" spans="20:20">
      <c r="T927"/>
    </row>
    <row r="928" customHeight="1" spans="20:20">
      <c r="T928"/>
    </row>
    <row r="929" customHeight="1" spans="20:20">
      <c r="T929"/>
    </row>
    <row r="930" customHeight="1" spans="20:20">
      <c r="T930"/>
    </row>
    <row r="931" customHeight="1" spans="20:20">
      <c r="T931"/>
    </row>
    <row r="932" customHeight="1" spans="20:20">
      <c r="T932"/>
    </row>
    <row r="933" customHeight="1" spans="20:20">
      <c r="T933"/>
    </row>
    <row r="934" customHeight="1" spans="20:20">
      <c r="T934"/>
    </row>
    <row r="935" customHeight="1" spans="20:20">
      <c r="T935"/>
    </row>
    <row r="936" customHeight="1" spans="20:20">
      <c r="T936"/>
    </row>
    <row r="937" customHeight="1" spans="20:20">
      <c r="T937"/>
    </row>
    <row r="938" customHeight="1" spans="20:20">
      <c r="T938"/>
    </row>
    <row r="939" customHeight="1" spans="20:20">
      <c r="T939"/>
    </row>
    <row r="940" customHeight="1" spans="20:20">
      <c r="T940"/>
    </row>
    <row r="941" customHeight="1" spans="20:20">
      <c r="T941"/>
    </row>
    <row r="942" customHeight="1" spans="20:20">
      <c r="T942"/>
    </row>
    <row r="943" customHeight="1" spans="20:20">
      <c r="T943"/>
    </row>
    <row r="944" customHeight="1" spans="20:20">
      <c r="T944"/>
    </row>
    <row r="945" customHeight="1" spans="20:20">
      <c r="T945"/>
    </row>
    <row r="946" customHeight="1" spans="20:20">
      <c r="T946"/>
    </row>
    <row r="947" customHeight="1" spans="20:20">
      <c r="T947"/>
    </row>
    <row r="948" customHeight="1" spans="20:20">
      <c r="T948"/>
    </row>
    <row r="949" customHeight="1" spans="20:20">
      <c r="T949"/>
    </row>
    <row r="950" customHeight="1" spans="20:20">
      <c r="T950"/>
    </row>
    <row r="951" customHeight="1" spans="20:20">
      <c r="T951"/>
    </row>
    <row r="952" customHeight="1" spans="20:20">
      <c r="T952"/>
    </row>
    <row r="953" customHeight="1" spans="20:20">
      <c r="T953"/>
    </row>
    <row r="954" customHeight="1" spans="20:20">
      <c r="T954"/>
    </row>
    <row r="955" customHeight="1" spans="20:20">
      <c r="T955"/>
    </row>
    <row r="956" customHeight="1" spans="20:20">
      <c r="T956"/>
    </row>
    <row r="957" customHeight="1" spans="20:20">
      <c r="T957"/>
    </row>
    <row r="958" customHeight="1" spans="20:20">
      <c r="T958"/>
    </row>
    <row r="959" customHeight="1" spans="20:20">
      <c r="T959"/>
    </row>
    <row r="960" customHeight="1" spans="20:20">
      <c r="T960"/>
    </row>
    <row r="961" customHeight="1" spans="20:20">
      <c r="T961"/>
    </row>
    <row r="962" customHeight="1" spans="20:20">
      <c r="T962"/>
    </row>
    <row r="963" customHeight="1" spans="20:20">
      <c r="T963"/>
    </row>
    <row r="964" customHeight="1" spans="20:20">
      <c r="T964"/>
    </row>
    <row r="965" customHeight="1" spans="20:20">
      <c r="T965"/>
    </row>
    <row r="966" customHeight="1" spans="20:20">
      <c r="T966"/>
    </row>
    <row r="967" customHeight="1" spans="20:20">
      <c r="T967"/>
    </row>
    <row r="968" customHeight="1" spans="20:20">
      <c r="T968"/>
    </row>
    <row r="969" customHeight="1" spans="20:20">
      <c r="T969"/>
    </row>
    <row r="970" customHeight="1" spans="20:20">
      <c r="T970"/>
    </row>
    <row r="971" customHeight="1" spans="20:20">
      <c r="T971"/>
    </row>
    <row r="972" customHeight="1" spans="20:20">
      <c r="T972"/>
    </row>
    <row r="973" customHeight="1" spans="20:20">
      <c r="T973"/>
    </row>
    <row r="974" customHeight="1" spans="20:20">
      <c r="T974"/>
    </row>
    <row r="975" customHeight="1" spans="20:20">
      <c r="T975"/>
    </row>
    <row r="976" customHeight="1" spans="20:20">
      <c r="T976"/>
    </row>
    <row r="977" customHeight="1" spans="20:20">
      <c r="T977"/>
    </row>
    <row r="978" customHeight="1" spans="20:20">
      <c r="T978"/>
    </row>
    <row r="979" customHeight="1" spans="20:20">
      <c r="T979"/>
    </row>
    <row r="980" customHeight="1" spans="20:20">
      <c r="T980"/>
    </row>
    <row r="981" customHeight="1" spans="20:20">
      <c r="T981"/>
    </row>
    <row r="982" customHeight="1" spans="20:20">
      <c r="T982"/>
    </row>
    <row r="983" customHeight="1" spans="20:20">
      <c r="T983"/>
    </row>
    <row r="984" customHeight="1" spans="20:20">
      <c r="T984"/>
    </row>
    <row r="985" customHeight="1" spans="20:20">
      <c r="T985"/>
    </row>
    <row r="986" customHeight="1" spans="20:20">
      <c r="T986"/>
    </row>
    <row r="987" customHeight="1" spans="20:20">
      <c r="T987"/>
    </row>
    <row r="988" customHeight="1" spans="20:20">
      <c r="T988"/>
    </row>
    <row r="989" customHeight="1" spans="20:20">
      <c r="T989"/>
    </row>
    <row r="990" customHeight="1" spans="20:20">
      <c r="T990"/>
    </row>
    <row r="991" customHeight="1" spans="20:20">
      <c r="T991"/>
    </row>
    <row r="992" customHeight="1" spans="20:20">
      <c r="T992"/>
    </row>
    <row r="993" customHeight="1" spans="20:20">
      <c r="T993"/>
    </row>
    <row r="994" customHeight="1" spans="20:20">
      <c r="T994"/>
    </row>
    <row r="995" customHeight="1" spans="20:20">
      <c r="T995"/>
    </row>
    <row r="996" customHeight="1" spans="20:20">
      <c r="T996"/>
    </row>
    <row r="997" customHeight="1" spans="20:20">
      <c r="T997"/>
    </row>
    <row r="998" customHeight="1" spans="20:20">
      <c r="T998"/>
    </row>
    <row r="999" customHeight="1" spans="20:20">
      <c r="T999"/>
    </row>
    <row r="1000" customHeight="1" spans="20:20">
      <c r="T1000"/>
    </row>
    <row r="1001" customHeight="1" spans="20:20">
      <c r="T1001"/>
    </row>
    <row r="1002" customHeight="1" spans="20:20">
      <c r="T1002"/>
    </row>
    <row r="1003" customHeight="1" spans="20:20">
      <c r="T1003"/>
    </row>
    <row r="1004" customHeight="1" spans="20:20">
      <c r="T1004"/>
    </row>
    <row r="1005" customHeight="1" spans="20:20">
      <c r="T1005"/>
    </row>
    <row r="1006" customHeight="1" spans="20:20">
      <c r="T1006"/>
    </row>
    <row r="1007" customHeight="1" spans="20:20">
      <c r="T1007"/>
    </row>
    <row r="1008" customHeight="1" spans="20:20">
      <c r="T1008"/>
    </row>
    <row r="1009" customHeight="1" spans="20:20">
      <c r="T1009"/>
    </row>
    <row r="1010" customHeight="1" spans="20:20">
      <c r="T1010"/>
    </row>
    <row r="1011" customHeight="1" spans="20:20">
      <c r="T1011"/>
    </row>
    <row r="1012" customHeight="1" spans="20:20">
      <c r="T1012"/>
    </row>
    <row r="1013" customHeight="1" spans="20:20">
      <c r="T1013"/>
    </row>
    <row r="1014" customHeight="1" spans="20:20">
      <c r="T1014"/>
    </row>
    <row r="1015" customHeight="1" spans="20:20">
      <c r="T1015"/>
    </row>
    <row r="1016" customHeight="1" spans="20:20">
      <c r="T1016"/>
    </row>
    <row r="1017" customHeight="1" spans="20:20">
      <c r="T1017"/>
    </row>
    <row r="1018" customHeight="1" spans="20:20">
      <c r="T1018"/>
    </row>
    <row r="1019" customHeight="1" spans="20:20">
      <c r="T1019"/>
    </row>
    <row r="1020" customHeight="1" spans="20:20">
      <c r="T1020"/>
    </row>
    <row r="1021" customHeight="1" spans="20:20">
      <c r="T1021"/>
    </row>
    <row r="1022" customHeight="1" spans="20:20">
      <c r="T1022"/>
    </row>
    <row r="1023" customHeight="1" spans="20:20">
      <c r="T1023"/>
    </row>
    <row r="1024" customHeight="1" spans="20:20">
      <c r="T1024"/>
    </row>
    <row r="1025" customHeight="1" spans="20:20">
      <c r="T1025"/>
    </row>
    <row r="1026" customHeight="1" spans="20:20">
      <c r="T1026"/>
    </row>
    <row r="1027" customHeight="1" spans="20:20">
      <c r="T1027"/>
    </row>
    <row r="1028" customHeight="1" spans="20:20">
      <c r="T1028"/>
    </row>
    <row r="1029" customHeight="1" spans="20:20">
      <c r="T1029"/>
    </row>
    <row r="1030" customHeight="1" spans="20:20">
      <c r="T1030"/>
    </row>
    <row r="1031" customHeight="1" spans="20:20">
      <c r="T1031"/>
    </row>
    <row r="1032" customHeight="1" spans="20:20">
      <c r="T1032"/>
    </row>
    <row r="1033" customHeight="1" spans="20:20">
      <c r="T1033"/>
    </row>
    <row r="1034" customHeight="1" spans="20:20">
      <c r="T1034"/>
    </row>
    <row r="1035" customHeight="1" spans="20:20">
      <c r="T1035"/>
    </row>
    <row r="1036" customHeight="1" spans="20:20">
      <c r="T1036"/>
    </row>
    <row r="1037" customHeight="1" spans="20:20">
      <c r="T1037"/>
    </row>
    <row r="1038" customHeight="1" spans="20:20">
      <c r="T1038"/>
    </row>
    <row r="1039" customHeight="1" spans="20:20">
      <c r="T1039"/>
    </row>
    <row r="1040" customHeight="1" spans="20:20">
      <c r="T1040"/>
    </row>
    <row r="1041" customHeight="1" spans="20:20">
      <c r="T1041"/>
    </row>
    <row r="1042" customHeight="1" spans="20:20">
      <c r="T1042"/>
    </row>
    <row r="1043" customHeight="1" spans="20:20">
      <c r="T1043"/>
    </row>
    <row r="1044" customHeight="1" spans="20:20">
      <c r="T1044"/>
    </row>
    <row r="1045" customHeight="1" spans="20:20">
      <c r="T1045"/>
    </row>
    <row r="1046" customHeight="1" spans="20:20">
      <c r="T1046"/>
    </row>
    <row r="1047" customHeight="1" spans="20:20">
      <c r="T1047"/>
    </row>
    <row r="1048" customHeight="1" spans="20:20">
      <c r="T1048"/>
    </row>
    <row r="1049" customHeight="1" spans="20:20">
      <c r="T1049"/>
    </row>
    <row r="1050" customHeight="1" spans="20:20">
      <c r="T1050"/>
    </row>
    <row r="1051" customHeight="1" spans="20:20">
      <c r="T1051"/>
    </row>
    <row r="1052" customHeight="1" spans="20:20">
      <c r="T1052"/>
    </row>
    <row r="1053" customHeight="1" spans="20:20">
      <c r="T1053"/>
    </row>
    <row r="1054" customHeight="1" spans="20:20">
      <c r="T1054"/>
    </row>
    <row r="1055" customHeight="1" spans="20:20">
      <c r="T1055"/>
    </row>
    <row r="1056" customHeight="1" spans="20:20">
      <c r="T1056"/>
    </row>
    <row r="1057" customHeight="1" spans="20:20">
      <c r="T1057"/>
    </row>
    <row r="1058" customHeight="1" spans="20:20">
      <c r="T1058"/>
    </row>
    <row r="1059" customHeight="1" spans="20:20">
      <c r="T1059"/>
    </row>
    <row r="1060" customHeight="1" spans="20:20">
      <c r="T1060"/>
    </row>
    <row r="1061" customHeight="1" spans="20:20">
      <c r="T1061"/>
    </row>
    <row r="1062" customHeight="1" spans="20:20">
      <c r="T1062"/>
    </row>
    <row r="1063" customHeight="1" spans="20:20">
      <c r="T1063"/>
    </row>
    <row r="1064" customHeight="1" spans="20:20">
      <c r="T1064"/>
    </row>
    <row r="1065" customHeight="1" spans="20:20">
      <c r="T1065"/>
    </row>
    <row r="1066" customHeight="1" spans="20:20">
      <c r="T1066"/>
    </row>
    <row r="1067" customHeight="1" spans="20:20">
      <c r="T1067"/>
    </row>
    <row r="1068" customHeight="1" spans="20:20">
      <c r="T1068"/>
    </row>
    <row r="1069" customHeight="1" spans="20:20">
      <c r="T1069"/>
    </row>
    <row r="1070" customHeight="1" spans="20:20">
      <c r="T1070"/>
    </row>
    <row r="1071" customHeight="1" spans="20:20">
      <c r="T1071"/>
    </row>
    <row r="1072" customHeight="1" spans="20:20">
      <c r="T1072"/>
    </row>
    <row r="1073" customHeight="1" spans="20:20">
      <c r="T1073"/>
    </row>
    <row r="1074" customHeight="1" spans="20:20">
      <c r="T1074"/>
    </row>
    <row r="1075" customHeight="1" spans="20:20">
      <c r="T1075"/>
    </row>
    <row r="1076" customHeight="1" spans="20:20">
      <c r="T1076"/>
    </row>
    <row r="1077" customHeight="1" spans="20:20">
      <c r="T1077"/>
    </row>
    <row r="1078" customHeight="1" spans="20:20">
      <c r="T1078"/>
    </row>
    <row r="1079" customHeight="1" spans="20:20">
      <c r="T1079"/>
    </row>
    <row r="1080" customHeight="1" spans="20:20">
      <c r="T1080"/>
    </row>
    <row r="1081" customHeight="1" spans="20:20">
      <c r="T1081"/>
    </row>
    <row r="1082" customHeight="1" spans="20:20">
      <c r="T1082"/>
    </row>
    <row r="1083" customHeight="1" spans="20:20">
      <c r="T1083"/>
    </row>
    <row r="1084" customHeight="1" spans="20:20">
      <c r="T1084"/>
    </row>
    <row r="1085" customHeight="1" spans="20:20">
      <c r="T1085"/>
    </row>
    <row r="1086" customHeight="1" spans="20:20">
      <c r="T1086"/>
    </row>
    <row r="1087" customHeight="1" spans="20:20">
      <c r="T1087"/>
    </row>
    <row r="1088" customHeight="1" spans="20:20">
      <c r="T1088"/>
    </row>
    <row r="1089" customHeight="1" spans="20:20">
      <c r="T1089"/>
    </row>
    <row r="1090" customHeight="1" spans="20:20">
      <c r="T1090"/>
    </row>
    <row r="1091" customHeight="1" spans="20:20">
      <c r="T1091"/>
    </row>
    <row r="1092" customHeight="1" spans="20:20">
      <c r="T1092"/>
    </row>
    <row r="1093" customHeight="1" spans="20:20">
      <c r="T1093"/>
    </row>
    <row r="1094" customHeight="1" spans="20:20">
      <c r="T1094"/>
    </row>
    <row r="1095" customHeight="1" spans="20:20">
      <c r="T1095"/>
    </row>
    <row r="1096" customHeight="1" spans="20:20">
      <c r="T1096"/>
    </row>
    <row r="1097" customHeight="1" spans="20:20">
      <c r="T1097"/>
    </row>
    <row r="1098" customHeight="1" spans="20:20">
      <c r="T1098"/>
    </row>
    <row r="1099" customHeight="1" spans="20:20">
      <c r="T1099"/>
    </row>
    <row r="1100" customHeight="1" spans="20:20">
      <c r="T1100"/>
    </row>
    <row r="1101" customHeight="1" spans="20:20">
      <c r="T1101"/>
    </row>
    <row r="1102" customHeight="1" spans="20:20">
      <c r="T1102"/>
    </row>
    <row r="1103" customHeight="1" spans="20:20">
      <c r="T1103"/>
    </row>
    <row r="1104" customHeight="1" spans="20:20">
      <c r="T1104"/>
    </row>
    <row r="1105" customHeight="1" spans="20:20">
      <c r="T1105"/>
    </row>
    <row r="1106" customHeight="1" spans="20:20">
      <c r="T1106"/>
    </row>
    <row r="1107" customHeight="1" spans="20:20">
      <c r="T1107"/>
    </row>
    <row r="1108" customHeight="1" spans="20:20">
      <c r="T1108"/>
    </row>
    <row r="1109" customHeight="1" spans="20:20">
      <c r="T1109"/>
    </row>
    <row r="1110" customHeight="1" spans="20:20">
      <c r="T1110"/>
    </row>
    <row r="1111" customHeight="1" spans="20:20">
      <c r="T1111"/>
    </row>
    <row r="1112" customHeight="1" spans="20:20">
      <c r="T1112"/>
    </row>
    <row r="1113" customHeight="1" spans="20:20">
      <c r="T1113"/>
    </row>
    <row r="1114" customHeight="1" spans="20:20">
      <c r="T1114"/>
    </row>
    <row r="1115" customHeight="1" spans="20:20">
      <c r="T1115"/>
    </row>
    <row r="1116" customHeight="1" spans="20:20">
      <c r="T1116"/>
    </row>
    <row r="1117" customHeight="1" spans="20:20">
      <c r="T1117"/>
    </row>
    <row r="1118" customHeight="1" spans="20:20">
      <c r="T1118"/>
    </row>
    <row r="1119" customHeight="1" spans="20:20">
      <c r="T1119"/>
    </row>
    <row r="1120" customHeight="1" spans="20:20">
      <c r="T1120"/>
    </row>
    <row r="1121" customHeight="1" spans="20:20">
      <c r="T1121"/>
    </row>
    <row r="1122" customHeight="1" spans="20:20">
      <c r="T1122"/>
    </row>
    <row r="1123" customHeight="1" spans="20:20">
      <c r="T1123"/>
    </row>
    <row r="1124" customHeight="1" spans="20:20">
      <c r="T1124"/>
    </row>
    <row r="1125" customHeight="1" spans="20:20">
      <c r="T1125"/>
    </row>
    <row r="1126" customHeight="1" spans="20:20">
      <c r="T1126"/>
    </row>
    <row r="1127" customHeight="1" spans="20:20">
      <c r="T1127"/>
    </row>
    <row r="1128" customHeight="1" spans="20:20">
      <c r="T1128"/>
    </row>
    <row r="1129" customHeight="1" spans="20:20">
      <c r="T1129"/>
    </row>
    <row r="1130" customHeight="1" spans="20:20">
      <c r="T1130"/>
    </row>
    <row r="1131" customHeight="1" spans="20:20">
      <c r="T1131"/>
    </row>
    <row r="1132" customHeight="1" spans="20:20">
      <c r="T1132"/>
    </row>
    <row r="1133" customHeight="1" spans="20:20">
      <c r="T1133"/>
    </row>
    <row r="1134" customHeight="1" spans="20:20">
      <c r="T1134"/>
    </row>
    <row r="1135" customHeight="1" spans="20:20">
      <c r="T1135"/>
    </row>
    <row r="1136" customHeight="1" spans="20:20">
      <c r="T1136"/>
    </row>
    <row r="1137" customHeight="1" spans="20:20">
      <c r="T1137"/>
    </row>
    <row r="1138" customHeight="1" spans="20:20">
      <c r="T1138"/>
    </row>
    <row r="1139" customHeight="1" spans="20:20">
      <c r="T1139"/>
    </row>
    <row r="1140" customHeight="1" spans="20:20">
      <c r="T1140"/>
    </row>
    <row r="1141" customHeight="1" spans="20:20">
      <c r="T1141"/>
    </row>
    <row r="1142" customHeight="1" spans="20:20">
      <c r="T1142"/>
    </row>
    <row r="1143" customHeight="1" spans="20:20">
      <c r="T1143"/>
    </row>
    <row r="1144" customHeight="1" spans="20:20">
      <c r="T1144"/>
    </row>
    <row r="1145" customHeight="1" spans="20:20">
      <c r="T1145"/>
    </row>
    <row r="1146" customHeight="1" spans="20:20">
      <c r="T1146"/>
    </row>
    <row r="1147" customHeight="1" spans="20:20">
      <c r="T1147"/>
    </row>
    <row r="1148" customHeight="1" spans="20:20">
      <c r="T1148"/>
    </row>
    <row r="1149" customHeight="1" spans="20:20">
      <c r="T1149"/>
    </row>
    <row r="1150" customHeight="1" spans="20:20">
      <c r="T1150"/>
    </row>
    <row r="1151" customHeight="1" spans="20:20">
      <c r="T1151"/>
    </row>
    <row r="1152" customHeight="1" spans="20:20">
      <c r="T1152"/>
    </row>
    <row r="1153" customHeight="1" spans="20:20">
      <c r="T1153"/>
    </row>
    <row r="1154" customHeight="1" spans="20:20">
      <c r="T1154"/>
    </row>
    <row r="1155" customHeight="1" spans="20:20">
      <c r="T1155"/>
    </row>
    <row r="1156" customHeight="1" spans="20:20">
      <c r="T1156"/>
    </row>
    <row r="1157" customHeight="1" spans="20:20">
      <c r="T1157"/>
    </row>
    <row r="1158" customHeight="1" spans="20:20">
      <c r="T1158"/>
    </row>
    <row r="1159" customHeight="1" spans="20:20">
      <c r="T1159"/>
    </row>
    <row r="1160" customHeight="1" spans="20:20">
      <c r="T1160"/>
    </row>
    <row r="1161" customHeight="1" spans="20:20">
      <c r="T1161"/>
    </row>
    <row r="1162" customHeight="1" spans="20:20">
      <c r="T1162"/>
    </row>
    <row r="1163" customHeight="1" spans="20:20">
      <c r="T1163"/>
    </row>
    <row r="1164" customHeight="1" spans="20:20">
      <c r="T1164"/>
    </row>
    <row r="1165" customHeight="1" spans="20:20">
      <c r="T1165"/>
    </row>
    <row r="1166" customHeight="1" spans="20:20">
      <c r="T1166"/>
    </row>
    <row r="1167" customHeight="1" spans="20:20">
      <c r="T1167"/>
    </row>
    <row r="1168" customHeight="1" spans="20:20">
      <c r="T1168"/>
    </row>
    <row r="1169" customHeight="1" spans="20:20">
      <c r="T1169"/>
    </row>
    <row r="1170" customHeight="1" spans="20:20">
      <c r="T1170"/>
    </row>
    <row r="1171" customHeight="1" spans="20:20">
      <c r="T1171"/>
    </row>
    <row r="1172" customHeight="1" spans="20:20">
      <c r="T1172"/>
    </row>
    <row r="1173" customHeight="1" spans="20:20">
      <c r="T1173"/>
    </row>
    <row r="1174" customHeight="1" spans="20:20">
      <c r="T1174"/>
    </row>
    <row r="1175" customHeight="1" spans="20:20">
      <c r="T1175"/>
    </row>
    <row r="1176" customHeight="1" spans="20:20">
      <c r="T1176"/>
    </row>
    <row r="1177" customHeight="1" spans="20:20">
      <c r="T1177"/>
    </row>
    <row r="1178" customHeight="1" spans="20:20">
      <c r="T1178"/>
    </row>
    <row r="1179" customHeight="1" spans="20:20">
      <c r="T1179"/>
    </row>
    <row r="1180" customHeight="1" spans="20:20">
      <c r="T1180"/>
    </row>
    <row r="1181" customHeight="1" spans="20:20">
      <c r="T1181"/>
    </row>
    <row r="1182" customHeight="1" spans="20:20">
      <c r="T1182"/>
    </row>
    <row r="1183" customHeight="1" spans="20:20">
      <c r="T1183"/>
    </row>
    <row r="1184" customHeight="1" spans="20:20">
      <c r="T1184"/>
    </row>
    <row r="1185" customHeight="1" spans="20:20">
      <c r="T1185"/>
    </row>
    <row r="1186" customHeight="1" spans="20:20">
      <c r="T1186"/>
    </row>
    <row r="1187" customHeight="1" spans="20:20">
      <c r="T1187"/>
    </row>
    <row r="1188" customHeight="1" spans="20:20">
      <c r="T1188"/>
    </row>
    <row r="1189" customHeight="1" spans="20:20">
      <c r="T1189"/>
    </row>
    <row r="1190" customHeight="1" spans="20:20">
      <c r="T1190"/>
    </row>
    <row r="1191" customHeight="1" spans="20:20">
      <c r="T1191"/>
    </row>
    <row r="1192" customHeight="1" spans="20:20">
      <c r="T1192"/>
    </row>
    <row r="1193" customHeight="1" spans="20:20">
      <c r="T1193"/>
    </row>
    <row r="1194" customHeight="1" spans="20:20">
      <c r="T1194"/>
    </row>
    <row r="1195" customHeight="1" spans="20:20">
      <c r="T1195"/>
    </row>
    <row r="1196" customHeight="1" spans="20:20">
      <c r="T1196"/>
    </row>
    <row r="1197" customHeight="1" spans="20:20">
      <c r="T1197"/>
    </row>
    <row r="1198" customHeight="1" spans="20:20">
      <c r="T1198"/>
    </row>
    <row r="1199" customHeight="1" spans="20:20">
      <c r="T1199"/>
    </row>
    <row r="1200" customHeight="1" spans="20:20">
      <c r="T1200"/>
    </row>
    <row r="1201" customHeight="1" spans="20:20">
      <c r="T1201"/>
    </row>
    <row r="1202" customHeight="1" spans="20:20">
      <c r="T1202"/>
    </row>
    <row r="1203" customHeight="1" spans="20:20">
      <c r="T1203"/>
    </row>
    <row r="1204" customHeight="1" spans="20:20">
      <c r="T1204"/>
    </row>
    <row r="1205" customHeight="1" spans="20:20">
      <c r="T1205"/>
    </row>
    <row r="1206" customHeight="1" spans="20:20">
      <c r="T1206"/>
    </row>
    <row r="1207" customHeight="1" spans="20:20">
      <c r="T1207"/>
    </row>
    <row r="1208" customHeight="1" spans="20:20">
      <c r="T1208"/>
    </row>
    <row r="1209" customHeight="1" spans="20:20">
      <c r="T1209"/>
    </row>
    <row r="1210" customHeight="1" spans="20:20">
      <c r="T1210"/>
    </row>
    <row r="1211" customHeight="1" spans="20:20">
      <c r="T1211"/>
    </row>
    <row r="1212" customHeight="1" spans="20:20">
      <c r="T1212"/>
    </row>
    <row r="1213" customHeight="1" spans="20:20">
      <c r="T1213"/>
    </row>
    <row r="1214" customHeight="1" spans="20:20">
      <c r="T1214"/>
    </row>
    <row r="1215" customHeight="1" spans="20:20">
      <c r="T1215"/>
    </row>
    <row r="1216" customHeight="1" spans="20:20">
      <c r="T1216"/>
    </row>
    <row r="1217" customHeight="1" spans="20:20">
      <c r="T1217"/>
    </row>
    <row r="1218" customHeight="1" spans="20:20">
      <c r="T1218"/>
    </row>
    <row r="1219" customHeight="1" spans="20:20">
      <c r="T1219"/>
    </row>
    <row r="1220" customHeight="1" spans="20:20">
      <c r="T1220"/>
    </row>
    <row r="1221" customHeight="1" spans="20:20">
      <c r="T1221"/>
    </row>
    <row r="1222" customHeight="1" spans="20:20">
      <c r="T1222"/>
    </row>
    <row r="1223" customHeight="1" spans="20:20">
      <c r="T1223"/>
    </row>
    <row r="1224" customHeight="1" spans="20:20">
      <c r="T1224"/>
    </row>
    <row r="1225" customHeight="1" spans="20:20">
      <c r="T1225"/>
    </row>
    <row r="1226" customHeight="1" spans="20:20">
      <c r="T1226"/>
    </row>
    <row r="1227" customHeight="1" spans="20:20">
      <c r="T1227"/>
    </row>
    <row r="1228" customHeight="1" spans="20:20">
      <c r="T1228"/>
    </row>
    <row r="1229" customHeight="1" spans="20:20">
      <c r="T1229"/>
    </row>
    <row r="1230" customHeight="1" spans="20:20">
      <c r="T1230"/>
    </row>
    <row r="1231" customHeight="1" spans="20:20">
      <c r="T1231"/>
    </row>
    <row r="1232" customHeight="1" spans="20:20">
      <c r="T1232"/>
    </row>
    <row r="1233" customHeight="1" spans="20:20">
      <c r="T1233"/>
    </row>
    <row r="1234" customHeight="1" spans="20:20">
      <c r="T1234"/>
    </row>
    <row r="1235" customHeight="1" spans="20:20">
      <c r="T1235"/>
    </row>
    <row r="1236" customHeight="1" spans="20:20">
      <c r="T1236"/>
    </row>
    <row r="1237" customHeight="1" spans="20:20">
      <c r="T1237"/>
    </row>
    <row r="1238" customHeight="1" spans="20:20">
      <c r="T1238"/>
    </row>
    <row r="1239" customHeight="1" spans="20:20">
      <c r="T1239"/>
    </row>
    <row r="1240" customHeight="1" spans="20:20">
      <c r="T1240"/>
    </row>
    <row r="1241" customHeight="1" spans="20:20">
      <c r="T1241"/>
    </row>
    <row r="1242" customHeight="1" spans="20:20">
      <c r="T1242"/>
    </row>
    <row r="1243" customHeight="1" spans="20:20">
      <c r="T1243"/>
    </row>
    <row r="1244" customHeight="1" spans="20:20">
      <c r="T1244"/>
    </row>
    <row r="1245" customHeight="1" spans="20:20">
      <c r="T1245"/>
    </row>
    <row r="1246" customHeight="1" spans="20:20">
      <c r="T1246"/>
    </row>
    <row r="1247" customHeight="1" spans="20:20">
      <c r="T1247"/>
    </row>
    <row r="1248" customHeight="1" spans="20:20">
      <c r="T1248"/>
    </row>
    <row r="1249" customHeight="1" spans="20:20">
      <c r="T1249"/>
    </row>
    <row r="1250" customHeight="1" spans="20:20">
      <c r="T1250"/>
    </row>
    <row r="1251" customHeight="1" spans="20:20">
      <c r="T1251"/>
    </row>
    <row r="1252" customHeight="1" spans="20:20">
      <c r="T1252"/>
    </row>
    <row r="1253" customHeight="1" spans="20:20">
      <c r="T1253"/>
    </row>
    <row r="1254" customHeight="1" spans="20:20">
      <c r="T1254"/>
    </row>
    <row r="1255" customHeight="1" spans="20:20">
      <c r="T1255"/>
    </row>
    <row r="1256" customHeight="1" spans="20:20">
      <c r="T1256"/>
    </row>
    <row r="1257" customHeight="1" spans="20:20">
      <c r="T1257"/>
    </row>
    <row r="1258" customHeight="1" spans="20:20">
      <c r="T1258"/>
    </row>
    <row r="1259" customHeight="1" spans="20:20">
      <c r="T1259"/>
    </row>
    <row r="1260" customHeight="1" spans="20:20">
      <c r="T1260"/>
    </row>
    <row r="1261" customHeight="1" spans="20:20">
      <c r="T1261"/>
    </row>
    <row r="1262" customHeight="1" spans="20:20">
      <c r="T1262"/>
    </row>
    <row r="1263" customHeight="1" spans="20:20">
      <c r="T1263"/>
    </row>
    <row r="1264" customHeight="1" spans="20:20">
      <c r="T1264"/>
    </row>
    <row r="1265" customHeight="1" spans="20:20">
      <c r="T1265"/>
    </row>
    <row r="1266" customHeight="1" spans="20:20">
      <c r="T1266"/>
    </row>
    <row r="1267" customHeight="1" spans="20:20">
      <c r="T1267"/>
    </row>
    <row r="1268" customHeight="1" spans="20:20">
      <c r="T1268"/>
    </row>
    <row r="1269" customHeight="1" spans="20:20">
      <c r="T1269"/>
    </row>
    <row r="1270" customHeight="1" spans="20:20">
      <c r="T1270"/>
    </row>
    <row r="1271" customHeight="1" spans="20:20">
      <c r="T1271"/>
    </row>
    <row r="1272" customHeight="1" spans="20:20">
      <c r="T1272"/>
    </row>
    <row r="1273" customHeight="1" spans="20:20">
      <c r="T1273"/>
    </row>
    <row r="1274" customHeight="1" spans="20:20">
      <c r="T1274"/>
    </row>
    <row r="1275" customHeight="1" spans="20:20">
      <c r="T1275"/>
    </row>
    <row r="1276" customHeight="1" spans="20:20">
      <c r="T1276"/>
    </row>
    <row r="1277" customHeight="1" spans="20:20">
      <c r="T1277"/>
    </row>
    <row r="1278" customHeight="1" spans="20:20">
      <c r="T1278"/>
    </row>
    <row r="1279" customHeight="1" spans="20:20">
      <c r="T1279"/>
    </row>
    <row r="1280" customHeight="1" spans="20:20">
      <c r="T1280"/>
    </row>
    <row r="1281" customHeight="1" spans="20:20">
      <c r="T1281"/>
    </row>
    <row r="1282" customHeight="1" spans="20:20">
      <c r="T1282"/>
    </row>
    <row r="1283" customHeight="1" spans="20:20">
      <c r="T1283"/>
    </row>
    <row r="1284" customHeight="1" spans="20:20">
      <c r="T1284"/>
    </row>
    <row r="1285" customHeight="1" spans="20:20">
      <c r="T1285"/>
    </row>
    <row r="1286" customHeight="1" spans="20:20">
      <c r="T1286"/>
    </row>
    <row r="1287" customHeight="1" spans="20:20">
      <c r="T1287"/>
    </row>
    <row r="1288" customHeight="1" spans="20:20">
      <c r="T1288"/>
    </row>
    <row r="1289" customHeight="1" spans="20:20">
      <c r="T1289"/>
    </row>
    <row r="1290" customHeight="1" spans="20:20">
      <c r="T1290"/>
    </row>
    <row r="1291" customHeight="1" spans="20:20">
      <c r="T1291"/>
    </row>
    <row r="1292" customHeight="1" spans="20:20">
      <c r="T1292"/>
    </row>
    <row r="1293" customHeight="1" spans="20:20">
      <c r="T1293"/>
    </row>
    <row r="1294" customHeight="1" spans="20:20">
      <c r="T1294"/>
    </row>
    <row r="1295" customHeight="1" spans="20:20">
      <c r="T1295"/>
    </row>
    <row r="1296" customHeight="1" spans="20:20">
      <c r="T1296"/>
    </row>
    <row r="1297" customHeight="1" spans="20:20">
      <c r="T1297"/>
    </row>
    <row r="1298" customHeight="1" spans="20:20">
      <c r="T1298"/>
    </row>
    <row r="1299" customHeight="1" spans="20:20">
      <c r="T1299"/>
    </row>
    <row r="1300" customHeight="1" spans="20:20">
      <c r="T1300"/>
    </row>
    <row r="1301" customHeight="1" spans="20:20">
      <c r="T1301"/>
    </row>
    <row r="1302" customHeight="1" spans="20:20">
      <c r="T1302"/>
    </row>
    <row r="1303" customHeight="1" spans="20:20">
      <c r="T1303"/>
    </row>
    <row r="1304" customHeight="1" spans="20:20">
      <c r="T1304"/>
    </row>
    <row r="1305" customHeight="1" spans="20:20">
      <c r="T1305"/>
    </row>
    <row r="1306" customHeight="1" spans="20:20">
      <c r="T1306"/>
    </row>
    <row r="1307" customHeight="1" spans="20:20">
      <c r="T1307"/>
    </row>
    <row r="1308" customHeight="1" spans="20:20">
      <c r="T1308"/>
    </row>
    <row r="1309" customHeight="1" spans="20:20">
      <c r="T1309"/>
    </row>
    <row r="1310" customHeight="1" spans="20:20">
      <c r="T1310"/>
    </row>
    <row r="1311" customHeight="1" spans="20:20">
      <c r="T1311"/>
    </row>
    <row r="1312" customHeight="1" spans="20:20">
      <c r="T1312"/>
    </row>
    <row r="1313" customHeight="1" spans="20:20">
      <c r="T1313"/>
    </row>
    <row r="1314" customHeight="1" spans="20:20">
      <c r="T1314"/>
    </row>
    <row r="1315" customHeight="1" spans="20:20">
      <c r="T1315"/>
    </row>
    <row r="1316" customHeight="1" spans="20:20">
      <c r="T1316"/>
    </row>
    <row r="1317" customHeight="1" spans="20:20">
      <c r="T1317"/>
    </row>
    <row r="1318" customHeight="1" spans="20:20">
      <c r="T1318"/>
    </row>
    <row r="1319" customHeight="1" spans="20:20">
      <c r="T1319"/>
    </row>
    <row r="1320" customHeight="1" spans="20:20">
      <c r="T1320"/>
    </row>
    <row r="1321" customHeight="1" spans="20:20">
      <c r="T1321"/>
    </row>
    <row r="1322" customHeight="1" spans="20:20">
      <c r="T1322"/>
    </row>
    <row r="1323" customHeight="1" spans="20:20">
      <c r="T1323"/>
    </row>
    <row r="1324" customHeight="1" spans="20:20">
      <c r="T1324"/>
    </row>
    <row r="1325" customHeight="1" spans="20:20">
      <c r="T1325"/>
    </row>
    <row r="1326" customHeight="1" spans="20:20">
      <c r="T1326"/>
    </row>
    <row r="1327" customHeight="1" spans="20:20">
      <c r="T1327"/>
    </row>
    <row r="1328" customHeight="1" spans="20:20">
      <c r="T1328"/>
    </row>
    <row r="1329" customHeight="1" spans="20:20">
      <c r="T1329"/>
    </row>
    <row r="1330" customHeight="1" spans="20:20">
      <c r="T1330"/>
    </row>
    <row r="1331" customHeight="1" spans="20:20">
      <c r="T1331"/>
    </row>
    <row r="1332" customHeight="1" spans="20:20">
      <c r="T1332"/>
    </row>
    <row r="1333" customHeight="1" spans="20:20">
      <c r="T1333"/>
    </row>
    <row r="1334" customHeight="1" spans="20:20">
      <c r="T1334"/>
    </row>
    <row r="1335" customHeight="1" spans="20:20">
      <c r="T1335"/>
    </row>
    <row r="1336" customHeight="1" spans="20:20">
      <c r="T1336"/>
    </row>
    <row r="1337" customHeight="1" spans="20:20">
      <c r="T1337"/>
    </row>
    <row r="1338" customHeight="1" spans="20:20">
      <c r="T1338"/>
    </row>
    <row r="1339" customHeight="1" spans="20:20">
      <c r="T1339"/>
    </row>
    <row r="1340" customHeight="1" spans="20:20">
      <c r="T1340"/>
    </row>
    <row r="1341" customHeight="1" spans="20:20">
      <c r="T1341"/>
    </row>
    <row r="1342" customHeight="1" spans="20:20">
      <c r="T1342"/>
    </row>
    <row r="1343" customHeight="1" spans="20:20">
      <c r="T1343"/>
    </row>
    <row r="1344" customHeight="1" spans="20:20">
      <c r="T1344"/>
    </row>
    <row r="1345" customHeight="1" spans="20:20">
      <c r="T1345"/>
    </row>
    <row r="1346" customHeight="1" spans="20:20">
      <c r="T1346"/>
    </row>
    <row r="1347" customHeight="1" spans="20:20">
      <c r="T1347"/>
    </row>
    <row r="1348" customHeight="1" spans="20:20">
      <c r="T1348"/>
    </row>
    <row r="1349" customHeight="1" spans="20:20">
      <c r="T1349"/>
    </row>
    <row r="1350" customHeight="1" spans="20:20">
      <c r="T1350"/>
    </row>
    <row r="1351" customHeight="1" spans="20:20">
      <c r="T1351"/>
    </row>
    <row r="1352" customHeight="1" spans="20:20">
      <c r="T1352"/>
    </row>
    <row r="1353" customHeight="1" spans="20:20">
      <c r="T1353"/>
    </row>
    <row r="1354" customHeight="1" spans="20:20">
      <c r="T1354"/>
    </row>
    <row r="1355" customHeight="1" spans="20:20">
      <c r="T1355"/>
    </row>
    <row r="1356" customHeight="1" spans="20:20">
      <c r="T1356"/>
    </row>
    <row r="1357" customHeight="1" spans="20:20">
      <c r="T1357"/>
    </row>
    <row r="1358" customHeight="1" spans="20:20">
      <c r="T1358"/>
    </row>
    <row r="1359" customHeight="1" spans="20:20">
      <c r="T1359"/>
    </row>
    <row r="1360" customHeight="1" spans="20:20">
      <c r="T1360"/>
    </row>
    <row r="1361" customHeight="1" spans="20:20">
      <c r="T1361"/>
    </row>
    <row r="1362" customHeight="1" spans="20:20">
      <c r="T1362"/>
    </row>
    <row r="1363" customHeight="1" spans="20:20">
      <c r="T1363"/>
    </row>
    <row r="1364" customHeight="1" spans="20:20">
      <c r="T1364"/>
    </row>
    <row r="1365" customHeight="1" spans="20:20">
      <c r="T1365"/>
    </row>
    <row r="1366" customHeight="1" spans="20:20">
      <c r="T1366"/>
    </row>
    <row r="1367" customHeight="1" spans="20:20">
      <c r="T1367"/>
    </row>
    <row r="1368" customHeight="1" spans="20:20">
      <c r="T1368"/>
    </row>
    <row r="1369" customHeight="1" spans="20:20">
      <c r="T1369"/>
    </row>
    <row r="1370" customHeight="1" spans="20:20">
      <c r="T1370"/>
    </row>
    <row r="1371" customHeight="1" spans="20:20">
      <c r="T1371"/>
    </row>
    <row r="1372" customHeight="1" spans="20:20">
      <c r="T1372"/>
    </row>
    <row r="1373" customHeight="1" spans="20:20">
      <c r="T1373"/>
    </row>
    <row r="1374" customHeight="1" spans="20:20">
      <c r="T1374"/>
    </row>
    <row r="1375" customHeight="1" spans="20:20">
      <c r="T1375"/>
    </row>
    <row r="1376" customHeight="1" spans="20:20">
      <c r="T1376"/>
    </row>
    <row r="1377" customHeight="1" spans="20:20">
      <c r="T1377"/>
    </row>
    <row r="1378" customHeight="1" spans="20:20">
      <c r="T1378"/>
    </row>
    <row r="1379" customHeight="1" spans="20:20">
      <c r="T1379"/>
    </row>
    <row r="1380" customHeight="1" spans="20:20">
      <c r="T1380"/>
    </row>
    <row r="1381" customHeight="1" spans="20:20">
      <c r="T1381"/>
    </row>
    <row r="1382" customHeight="1" spans="20:20">
      <c r="T1382"/>
    </row>
    <row r="1383" customHeight="1" spans="20:20">
      <c r="T1383"/>
    </row>
    <row r="1384" customHeight="1" spans="20:20">
      <c r="T1384"/>
    </row>
    <row r="1385" customHeight="1" spans="20:20">
      <c r="T1385"/>
    </row>
    <row r="1386" customHeight="1" spans="20:20">
      <c r="T1386"/>
    </row>
    <row r="1387" customHeight="1" spans="20:20">
      <c r="T1387"/>
    </row>
    <row r="1388" customHeight="1" spans="20:20">
      <c r="T1388"/>
    </row>
    <row r="1389" customHeight="1" spans="20:20">
      <c r="T1389"/>
    </row>
    <row r="1390" customHeight="1" spans="20:20">
      <c r="T1390"/>
    </row>
    <row r="1391" customHeight="1" spans="20:20">
      <c r="T1391"/>
    </row>
    <row r="1392" customHeight="1" spans="20:20">
      <c r="T1392"/>
    </row>
    <row r="1393" customHeight="1" spans="20:20">
      <c r="T1393"/>
    </row>
    <row r="1394" customHeight="1" spans="20:20">
      <c r="T1394"/>
    </row>
    <row r="1395" customHeight="1" spans="20:20">
      <c r="T1395"/>
    </row>
    <row r="1396" customHeight="1" spans="20:20">
      <c r="T1396"/>
    </row>
    <row r="1397" customHeight="1" spans="20:20">
      <c r="T1397"/>
    </row>
    <row r="1398" customHeight="1" spans="20:20">
      <c r="T1398"/>
    </row>
    <row r="1399" customHeight="1" spans="20:20">
      <c r="T1399"/>
    </row>
    <row r="1400" customHeight="1" spans="20:20">
      <c r="T1400"/>
    </row>
    <row r="1401" customHeight="1" spans="20:20">
      <c r="T1401"/>
    </row>
    <row r="1402" customHeight="1" spans="20:20">
      <c r="T1402"/>
    </row>
    <row r="1403" customHeight="1" spans="20:20">
      <c r="T1403"/>
    </row>
    <row r="1404" customHeight="1" spans="20:20">
      <c r="T1404"/>
    </row>
    <row r="1405" customHeight="1" spans="20:20">
      <c r="T1405"/>
    </row>
    <row r="1406" customHeight="1" spans="20:20">
      <c r="T1406"/>
    </row>
    <row r="1407" customHeight="1" spans="20:20">
      <c r="T1407"/>
    </row>
    <row r="1408" customHeight="1" spans="20:20">
      <c r="T1408"/>
    </row>
    <row r="1409" customHeight="1" spans="20:20">
      <c r="T1409"/>
    </row>
    <row r="1410" customHeight="1" spans="20:20">
      <c r="T1410"/>
    </row>
    <row r="1411" customHeight="1" spans="20:20">
      <c r="T1411"/>
    </row>
    <row r="1412" customHeight="1" spans="20:20">
      <c r="T1412"/>
    </row>
    <row r="1413" customHeight="1" spans="20:20">
      <c r="T1413"/>
    </row>
    <row r="1414" customHeight="1" spans="20:20">
      <c r="T1414"/>
    </row>
    <row r="1415" customHeight="1" spans="20:20">
      <c r="T1415"/>
    </row>
    <row r="1416" customHeight="1" spans="20:20">
      <c r="T1416"/>
    </row>
    <row r="1417" customHeight="1" spans="20:20">
      <c r="T1417"/>
    </row>
    <row r="1418" customHeight="1" spans="20:20">
      <c r="T1418"/>
    </row>
    <row r="1419" customHeight="1" spans="20:20">
      <c r="T1419"/>
    </row>
    <row r="1420" customHeight="1" spans="20:20">
      <c r="T1420"/>
    </row>
    <row r="1421" customHeight="1" spans="20:20">
      <c r="T1421"/>
    </row>
    <row r="1422" customHeight="1" spans="20:20">
      <c r="T1422"/>
    </row>
    <row r="1423" customHeight="1" spans="20:20">
      <c r="T1423"/>
    </row>
    <row r="1424" customHeight="1" spans="20:20">
      <c r="T1424"/>
    </row>
    <row r="1425" customHeight="1" spans="20:20">
      <c r="T1425"/>
    </row>
    <row r="1426" customHeight="1" spans="20:20">
      <c r="T1426"/>
    </row>
    <row r="1427" customHeight="1" spans="20:20">
      <c r="T1427"/>
    </row>
    <row r="1428" customHeight="1" spans="20:20">
      <c r="T1428"/>
    </row>
    <row r="1429" customHeight="1" spans="20:20">
      <c r="T1429"/>
    </row>
    <row r="1430" customHeight="1" spans="20:20">
      <c r="T1430"/>
    </row>
    <row r="1431" customHeight="1" spans="20:20">
      <c r="T1431"/>
    </row>
    <row r="1432" customHeight="1" spans="20:20">
      <c r="T1432"/>
    </row>
    <row r="1433" customHeight="1" spans="20:20">
      <c r="T1433"/>
    </row>
    <row r="1434" customHeight="1" spans="20:20">
      <c r="T1434"/>
    </row>
    <row r="1435" customHeight="1" spans="20:20">
      <c r="T1435"/>
    </row>
    <row r="1436" customHeight="1" spans="20:20">
      <c r="T1436"/>
    </row>
    <row r="1437" customHeight="1" spans="20:20">
      <c r="T1437"/>
    </row>
    <row r="1438" customHeight="1" spans="20:20">
      <c r="T1438"/>
    </row>
    <row r="1439" customHeight="1" spans="20:20">
      <c r="T1439"/>
    </row>
    <row r="1440" customHeight="1" spans="20:20">
      <c r="T1440"/>
    </row>
    <row r="1441" customHeight="1" spans="20:20">
      <c r="T1441"/>
    </row>
    <row r="1442" customHeight="1" spans="20:20">
      <c r="T1442"/>
    </row>
    <row r="1443" customHeight="1" spans="20:20">
      <c r="T1443"/>
    </row>
    <row r="1444" customHeight="1" spans="20:20">
      <c r="T1444"/>
    </row>
    <row r="1445" customHeight="1" spans="20:20">
      <c r="T1445"/>
    </row>
    <row r="1446" customHeight="1" spans="20:20">
      <c r="T1446"/>
    </row>
    <row r="1447" customHeight="1" spans="20:20">
      <c r="T1447"/>
    </row>
    <row r="1448" customHeight="1" spans="20:20">
      <c r="T1448"/>
    </row>
    <row r="1449" customHeight="1" spans="20:20">
      <c r="T1449"/>
    </row>
    <row r="1450" customHeight="1" spans="20:20">
      <c r="T1450"/>
    </row>
    <row r="1451" customHeight="1" spans="20:20">
      <c r="T1451"/>
    </row>
    <row r="1452" customHeight="1" spans="20:20">
      <c r="T1452"/>
    </row>
    <row r="1453" customHeight="1" spans="20:20">
      <c r="T1453"/>
    </row>
    <row r="1454" customHeight="1" spans="20:20">
      <c r="T1454"/>
    </row>
    <row r="1455" customHeight="1" spans="20:20">
      <c r="T1455"/>
    </row>
    <row r="1456" customHeight="1" spans="20:20">
      <c r="T1456"/>
    </row>
    <row r="1457" customHeight="1" spans="20:20">
      <c r="T1457"/>
    </row>
    <row r="1458" customHeight="1" spans="20:20">
      <c r="T1458"/>
    </row>
    <row r="1459" customHeight="1" spans="20:20">
      <c r="T1459"/>
    </row>
    <row r="1460" customHeight="1" spans="20:20">
      <c r="T1460"/>
    </row>
    <row r="1461" customHeight="1" spans="20:20">
      <c r="T1461"/>
    </row>
    <row r="1462" customHeight="1" spans="20:20">
      <c r="T1462"/>
    </row>
    <row r="1463" customHeight="1" spans="20:20">
      <c r="T1463"/>
    </row>
    <row r="1464" customHeight="1" spans="20:20">
      <c r="T1464"/>
    </row>
    <row r="1465" customHeight="1" spans="20:20">
      <c r="T1465"/>
    </row>
    <row r="1466" customHeight="1" spans="20:20">
      <c r="T1466"/>
    </row>
    <row r="1467" customHeight="1" spans="20:20">
      <c r="T1467"/>
    </row>
    <row r="1468" customHeight="1" spans="20:20">
      <c r="T1468"/>
    </row>
    <row r="1469" customHeight="1" spans="20:20">
      <c r="T1469"/>
    </row>
    <row r="1470" customHeight="1" spans="20:20">
      <c r="T1470"/>
    </row>
    <row r="1471" customHeight="1" spans="20:20">
      <c r="T1471"/>
    </row>
    <row r="1472" customHeight="1" spans="20:20">
      <c r="T1472"/>
    </row>
    <row r="1473" customHeight="1" spans="20:20">
      <c r="T1473"/>
    </row>
    <row r="1474" customHeight="1" spans="20:20">
      <c r="T1474"/>
    </row>
    <row r="1475" customHeight="1" spans="20:20">
      <c r="T1475"/>
    </row>
    <row r="1476" customHeight="1" spans="20:20">
      <c r="T1476"/>
    </row>
    <row r="1477" customHeight="1" spans="20:20">
      <c r="T1477"/>
    </row>
    <row r="1478" customHeight="1" spans="20:20">
      <c r="T1478"/>
    </row>
    <row r="1479" customHeight="1" spans="20:20">
      <c r="T1479"/>
    </row>
    <row r="1480" customHeight="1" spans="20:20">
      <c r="T1480"/>
    </row>
    <row r="1481" customHeight="1" spans="20:20">
      <c r="T1481"/>
    </row>
    <row r="1482" customHeight="1" spans="20:20">
      <c r="T1482"/>
    </row>
    <row r="1483" customHeight="1" spans="20:20">
      <c r="T1483"/>
    </row>
    <row r="1484" customHeight="1" spans="20:20">
      <c r="T1484"/>
    </row>
    <row r="1485" customHeight="1" spans="20:20">
      <c r="T1485"/>
    </row>
    <row r="1486" customHeight="1" spans="20:20">
      <c r="T1486"/>
    </row>
    <row r="1487" customHeight="1" spans="20:20">
      <c r="T1487"/>
    </row>
    <row r="1488" customHeight="1" spans="20:20">
      <c r="T1488"/>
    </row>
    <row r="1489" customHeight="1" spans="20:20">
      <c r="T1489"/>
    </row>
    <row r="1490" customHeight="1" spans="20:20">
      <c r="T1490"/>
    </row>
    <row r="1491" customHeight="1" spans="20:20">
      <c r="T1491"/>
    </row>
    <row r="1492" customHeight="1" spans="20:20">
      <c r="T1492"/>
    </row>
    <row r="1493" customHeight="1" spans="20:20">
      <c r="T1493"/>
    </row>
    <row r="1494" customHeight="1" spans="20:20">
      <c r="T1494"/>
    </row>
    <row r="1495" customHeight="1" spans="20:20">
      <c r="T1495"/>
    </row>
    <row r="1496" customHeight="1" spans="20:20">
      <c r="T1496"/>
    </row>
    <row r="1497" customHeight="1" spans="20:20">
      <c r="T1497"/>
    </row>
    <row r="1498" customHeight="1" spans="20:20">
      <c r="T1498"/>
    </row>
    <row r="1499" customHeight="1" spans="20:20">
      <c r="T1499"/>
    </row>
    <row r="1500" customHeight="1" spans="20:20">
      <c r="T1500"/>
    </row>
    <row r="1501" customHeight="1" spans="20:20">
      <c r="T1501"/>
    </row>
    <row r="1502" customHeight="1" spans="20:20">
      <c r="T1502"/>
    </row>
    <row r="1503" customHeight="1" spans="20:20">
      <c r="T1503"/>
    </row>
    <row r="1504" customHeight="1" spans="20:20">
      <c r="T1504"/>
    </row>
    <row r="1505" customHeight="1" spans="20:20">
      <c r="T1505"/>
    </row>
    <row r="1506" customHeight="1" spans="20:20">
      <c r="T1506"/>
    </row>
    <row r="1507" customHeight="1" spans="20:20">
      <c r="T1507"/>
    </row>
    <row r="1508" customHeight="1" spans="20:20">
      <c r="T1508"/>
    </row>
    <row r="1509" customHeight="1" spans="20:20">
      <c r="T1509"/>
    </row>
    <row r="1510" customHeight="1" spans="20:20">
      <c r="T1510"/>
    </row>
    <row r="1511" customHeight="1" spans="20:20">
      <c r="T1511"/>
    </row>
    <row r="1512" customHeight="1" spans="20:20">
      <c r="T1512"/>
    </row>
    <row r="1513" customHeight="1" spans="20:20">
      <c r="T1513"/>
    </row>
    <row r="1514" customHeight="1" spans="20:20">
      <c r="T1514"/>
    </row>
    <row r="1515" customHeight="1" spans="20:20">
      <c r="T1515"/>
    </row>
    <row r="1516" customHeight="1" spans="20:20">
      <c r="T1516"/>
    </row>
    <row r="1517" customHeight="1" spans="20:20">
      <c r="T1517"/>
    </row>
    <row r="1518" customHeight="1" spans="20:20">
      <c r="T1518"/>
    </row>
    <row r="1519" customHeight="1" spans="20:20">
      <c r="T1519"/>
    </row>
    <row r="1520" customHeight="1" spans="20:20">
      <c r="T1520"/>
    </row>
    <row r="1521" customHeight="1" spans="20:20">
      <c r="T1521"/>
    </row>
    <row r="1522" customHeight="1" spans="20:20">
      <c r="T1522"/>
    </row>
    <row r="1523" customHeight="1" spans="20:20">
      <c r="T1523"/>
    </row>
    <row r="1524" customHeight="1" spans="20:20">
      <c r="T1524"/>
    </row>
    <row r="1525" customHeight="1" spans="20:20">
      <c r="T1525"/>
    </row>
    <row r="1526" customHeight="1" spans="20:20">
      <c r="T1526"/>
    </row>
    <row r="1527" customHeight="1" spans="20:20">
      <c r="T1527"/>
    </row>
    <row r="1528" customHeight="1" spans="20:20">
      <c r="T1528"/>
    </row>
    <row r="1529" customHeight="1" spans="20:20">
      <c r="T1529"/>
    </row>
    <row r="1530" customHeight="1" spans="20:20">
      <c r="T1530"/>
    </row>
    <row r="1531" customHeight="1" spans="20:20">
      <c r="T1531"/>
    </row>
    <row r="1532" customHeight="1" spans="20:20">
      <c r="T1532"/>
    </row>
    <row r="1533" customHeight="1" spans="20:20">
      <c r="T1533"/>
    </row>
    <row r="1534" customHeight="1" spans="20:20">
      <c r="T1534"/>
    </row>
    <row r="1535" customHeight="1" spans="20:20">
      <c r="T1535"/>
    </row>
    <row r="1536" customHeight="1" spans="20:20">
      <c r="T1536"/>
    </row>
    <row r="1537" customHeight="1" spans="20:20">
      <c r="T1537"/>
    </row>
    <row r="1538" customHeight="1" spans="20:20">
      <c r="T1538"/>
    </row>
    <row r="1539" customHeight="1" spans="20:20">
      <c r="T1539"/>
    </row>
    <row r="1540" customHeight="1" spans="20:20">
      <c r="T1540"/>
    </row>
    <row r="1541" customHeight="1" spans="20:20">
      <c r="T1541"/>
    </row>
    <row r="1542" customHeight="1" spans="20:20">
      <c r="T1542"/>
    </row>
    <row r="1543" customHeight="1" spans="20:20">
      <c r="T1543"/>
    </row>
    <row r="1544" customHeight="1" spans="20:20">
      <c r="T1544"/>
    </row>
    <row r="1545" customHeight="1" spans="20:20">
      <c r="T1545"/>
    </row>
    <row r="1546" customHeight="1" spans="20:20">
      <c r="T1546"/>
    </row>
    <row r="1547" customHeight="1" spans="20:20">
      <c r="T1547"/>
    </row>
    <row r="1548" customHeight="1" spans="20:20">
      <c r="T1548"/>
    </row>
    <row r="1549" customHeight="1" spans="20:20">
      <c r="T1549"/>
    </row>
    <row r="1550" customHeight="1" spans="20:20">
      <c r="T1550"/>
    </row>
    <row r="1551" customHeight="1" spans="20:20">
      <c r="T1551"/>
    </row>
    <row r="1552" customHeight="1" spans="20:20">
      <c r="T1552"/>
    </row>
    <row r="1553" customHeight="1" spans="20:20">
      <c r="T1553"/>
    </row>
    <row r="1554" customHeight="1" spans="20:20">
      <c r="T1554"/>
    </row>
    <row r="1555" customHeight="1" spans="20:20">
      <c r="T1555"/>
    </row>
    <row r="1556" customHeight="1" spans="20:20">
      <c r="T1556"/>
    </row>
    <row r="1557" customHeight="1" spans="20:20">
      <c r="T1557"/>
    </row>
    <row r="1558" customHeight="1" spans="20:20">
      <c r="T1558"/>
    </row>
    <row r="1559" customHeight="1" spans="20:20">
      <c r="T1559"/>
    </row>
    <row r="1560" customHeight="1" spans="20:20">
      <c r="T1560"/>
    </row>
    <row r="1561" customHeight="1" spans="20:20">
      <c r="T1561"/>
    </row>
    <row r="1562" customHeight="1" spans="20:20">
      <c r="T1562"/>
    </row>
    <row r="1563" customHeight="1" spans="20:20">
      <c r="T1563"/>
    </row>
    <row r="1564" customHeight="1" spans="20:20">
      <c r="T1564"/>
    </row>
    <row r="1565" customHeight="1" spans="20:20">
      <c r="T1565"/>
    </row>
    <row r="1566" customHeight="1" spans="20:20">
      <c r="T1566"/>
    </row>
    <row r="1567" customHeight="1" spans="20:20">
      <c r="T1567"/>
    </row>
    <row r="1568" customHeight="1" spans="20:20">
      <c r="T1568"/>
    </row>
    <row r="1569" customHeight="1" spans="20:20">
      <c r="T1569"/>
    </row>
    <row r="1570" customHeight="1" spans="20:20">
      <c r="T1570"/>
    </row>
    <row r="1571" customHeight="1" spans="20:20">
      <c r="T1571"/>
    </row>
    <row r="1572" customHeight="1" spans="20:20">
      <c r="T1572"/>
    </row>
    <row r="1573" customHeight="1" spans="20:20">
      <c r="T1573"/>
    </row>
    <row r="1574" customHeight="1" spans="20:20">
      <c r="T1574"/>
    </row>
    <row r="1575" customHeight="1" spans="20:20">
      <c r="T1575"/>
    </row>
    <row r="1576" customHeight="1" spans="20:20">
      <c r="T1576"/>
    </row>
    <row r="1577" customHeight="1" spans="20:20">
      <c r="T1577"/>
    </row>
    <row r="1578" customHeight="1" spans="20:20">
      <c r="T1578"/>
    </row>
    <row r="1579" customHeight="1" spans="20:20">
      <c r="T1579"/>
    </row>
    <row r="1580" customHeight="1" spans="20:20">
      <c r="T1580"/>
    </row>
    <row r="1581" customHeight="1" spans="20:20">
      <c r="T1581"/>
    </row>
    <row r="1582" customHeight="1" spans="20:20">
      <c r="T1582"/>
    </row>
    <row r="1583" customHeight="1" spans="20:20">
      <c r="T1583"/>
    </row>
    <row r="1584" customHeight="1" spans="20:20">
      <c r="T1584"/>
    </row>
    <row r="1585" customHeight="1" spans="20:20">
      <c r="T1585"/>
    </row>
    <row r="1586" customHeight="1" spans="20:20">
      <c r="T1586"/>
    </row>
    <row r="1587" customHeight="1" spans="20:20">
      <c r="T1587"/>
    </row>
    <row r="1588" customHeight="1" spans="20:20">
      <c r="T1588"/>
    </row>
    <row r="1589" customHeight="1" spans="20:20">
      <c r="T1589"/>
    </row>
    <row r="1590" customHeight="1" spans="20:20">
      <c r="T1590"/>
    </row>
    <row r="1591" customHeight="1" spans="20:20">
      <c r="T1591"/>
    </row>
    <row r="1592" customHeight="1" spans="20:20">
      <c r="T1592"/>
    </row>
    <row r="1593" customHeight="1" spans="20:20">
      <c r="T1593"/>
    </row>
    <row r="1594" customHeight="1" spans="20:20">
      <c r="T1594"/>
    </row>
    <row r="1595" customHeight="1" spans="20:20">
      <c r="T1595"/>
    </row>
    <row r="1596" customHeight="1" spans="20:20">
      <c r="T1596"/>
    </row>
    <row r="1597" customHeight="1" spans="20:20">
      <c r="T1597"/>
    </row>
    <row r="1598" customHeight="1" spans="20:20">
      <c r="T1598"/>
    </row>
    <row r="1599" customHeight="1" spans="20:20">
      <c r="T1599"/>
    </row>
    <row r="1600" customHeight="1" spans="20:20">
      <c r="T1600"/>
    </row>
    <row r="1601" customHeight="1" spans="20:20">
      <c r="T1601"/>
    </row>
    <row r="1602" customHeight="1" spans="20:20">
      <c r="T1602"/>
    </row>
    <row r="1603" customHeight="1" spans="20:20">
      <c r="T1603"/>
    </row>
    <row r="1604" customHeight="1" spans="20:20">
      <c r="T1604"/>
    </row>
    <row r="1605" customHeight="1" spans="20:20">
      <c r="T1605"/>
    </row>
    <row r="1606" customHeight="1" spans="20:20">
      <c r="T1606"/>
    </row>
    <row r="1607" customHeight="1" spans="20:20">
      <c r="T1607"/>
    </row>
    <row r="1608" customHeight="1" spans="20:20">
      <c r="T1608"/>
    </row>
    <row r="1609" customHeight="1" spans="20:20">
      <c r="T1609"/>
    </row>
    <row r="1610" customHeight="1" spans="20:20">
      <c r="T1610"/>
    </row>
    <row r="1611" customHeight="1" spans="20:20">
      <c r="T1611"/>
    </row>
    <row r="1612" customHeight="1" spans="20:20">
      <c r="T1612"/>
    </row>
    <row r="1613" customHeight="1" spans="20:20">
      <c r="T1613"/>
    </row>
    <row r="1614" customHeight="1" spans="20:20">
      <c r="T1614"/>
    </row>
    <row r="1615" customHeight="1" spans="20:20">
      <c r="T1615"/>
    </row>
    <row r="1616" customHeight="1" spans="20:20">
      <c r="T1616"/>
    </row>
    <row r="1617" customHeight="1" spans="20:20">
      <c r="T1617"/>
    </row>
    <row r="1618" customHeight="1" spans="20:20">
      <c r="T1618"/>
    </row>
    <row r="1619" customHeight="1" spans="20:20">
      <c r="T1619"/>
    </row>
    <row r="1620" customHeight="1" spans="20:20">
      <c r="T1620"/>
    </row>
    <row r="1621" customHeight="1" spans="20:20">
      <c r="T1621"/>
    </row>
    <row r="1622" customHeight="1" spans="20:20">
      <c r="T1622"/>
    </row>
    <row r="1623" customHeight="1" spans="20:20">
      <c r="T1623"/>
    </row>
    <row r="1624" customHeight="1" spans="20:20">
      <c r="T1624"/>
    </row>
    <row r="1625" customHeight="1" spans="20:20">
      <c r="T1625"/>
    </row>
    <row r="1626" customHeight="1" spans="20:20">
      <c r="T1626"/>
    </row>
    <row r="1627" customHeight="1" spans="20:20">
      <c r="T1627"/>
    </row>
    <row r="1628" customHeight="1" spans="20:20">
      <c r="T1628"/>
    </row>
    <row r="1629" customHeight="1" spans="20:20">
      <c r="T1629"/>
    </row>
    <row r="1630" customHeight="1" spans="20:20">
      <c r="T1630"/>
    </row>
    <row r="1631" customHeight="1" spans="20:20">
      <c r="T1631"/>
    </row>
    <row r="1632" customHeight="1" spans="20:20">
      <c r="T1632"/>
    </row>
    <row r="1633" customHeight="1" spans="20:20">
      <c r="T1633"/>
    </row>
    <row r="1634" customHeight="1" spans="20:20">
      <c r="T1634"/>
    </row>
    <row r="1635" customHeight="1" spans="20:20">
      <c r="T1635"/>
    </row>
    <row r="1636" customHeight="1" spans="20:20">
      <c r="T1636"/>
    </row>
    <row r="1637" customHeight="1" spans="20:20">
      <c r="T1637"/>
    </row>
    <row r="1638" customHeight="1" spans="20:20">
      <c r="T1638"/>
    </row>
    <row r="1639" customHeight="1" spans="20:20">
      <c r="T1639"/>
    </row>
    <row r="1640" customHeight="1" spans="20:20">
      <c r="T1640"/>
    </row>
    <row r="1641" customHeight="1" spans="20:20">
      <c r="T1641"/>
    </row>
    <row r="1642" customHeight="1" spans="20:20">
      <c r="T1642"/>
    </row>
    <row r="1643" customHeight="1" spans="20:20">
      <c r="T1643"/>
    </row>
    <row r="1644" customHeight="1" spans="20:20">
      <c r="T1644"/>
    </row>
    <row r="1645" customHeight="1" spans="20:20">
      <c r="T1645"/>
    </row>
    <row r="1646" customHeight="1" spans="20:20">
      <c r="T1646"/>
    </row>
    <row r="1647" customHeight="1" spans="20:20">
      <c r="T1647"/>
    </row>
    <row r="1648" customHeight="1" spans="20:20">
      <c r="T1648"/>
    </row>
    <row r="1649" customHeight="1" spans="20:20">
      <c r="T1649"/>
    </row>
    <row r="1650" customHeight="1" spans="20:20">
      <c r="T1650"/>
    </row>
    <row r="1651" customHeight="1" spans="20:20">
      <c r="T1651"/>
    </row>
    <row r="1652" customHeight="1" spans="20:20">
      <c r="T1652"/>
    </row>
    <row r="1653" customHeight="1" spans="20:20">
      <c r="T1653"/>
    </row>
    <row r="1654" customHeight="1" spans="20:20">
      <c r="T1654"/>
    </row>
    <row r="1655" customHeight="1" spans="20:20">
      <c r="T1655"/>
    </row>
    <row r="1656" customHeight="1" spans="20:20">
      <c r="T1656"/>
    </row>
    <row r="1657" customHeight="1" spans="20:20">
      <c r="T1657"/>
    </row>
    <row r="1658" customHeight="1" spans="20:20">
      <c r="T1658"/>
    </row>
    <row r="1659" customHeight="1" spans="20:20">
      <c r="T1659"/>
    </row>
    <row r="1660" customHeight="1" spans="20:20">
      <c r="T1660"/>
    </row>
    <row r="1661" customHeight="1" spans="20:20">
      <c r="T1661"/>
    </row>
    <row r="1662" customHeight="1" spans="20:20">
      <c r="T1662"/>
    </row>
    <row r="1663" customHeight="1" spans="20:20">
      <c r="T1663"/>
    </row>
    <row r="1664" customHeight="1" spans="20:20">
      <c r="T1664"/>
    </row>
    <row r="1665" customHeight="1" spans="20:20">
      <c r="T1665"/>
    </row>
    <row r="1666" customHeight="1" spans="20:20">
      <c r="T1666"/>
    </row>
    <row r="1667" customHeight="1" spans="20:20">
      <c r="T1667"/>
    </row>
    <row r="1668" customHeight="1" spans="20:20">
      <c r="T1668"/>
    </row>
    <row r="1669" customHeight="1" spans="20:20">
      <c r="T1669"/>
    </row>
    <row r="1670" customHeight="1" spans="20:20">
      <c r="T1670"/>
    </row>
    <row r="1671" customHeight="1" spans="20:20">
      <c r="T1671"/>
    </row>
    <row r="1672" customHeight="1" spans="20:20">
      <c r="T1672"/>
    </row>
    <row r="1673" customHeight="1" spans="20:20">
      <c r="T1673"/>
    </row>
    <row r="1674" customHeight="1" spans="20:20">
      <c r="T1674"/>
    </row>
    <row r="1675" customHeight="1" spans="20:20">
      <c r="T1675"/>
    </row>
    <row r="1676" customHeight="1" spans="20:20">
      <c r="T1676"/>
    </row>
    <row r="1677" customHeight="1" spans="20:20">
      <c r="T1677"/>
    </row>
    <row r="1678" customHeight="1" spans="20:20">
      <c r="T1678"/>
    </row>
    <row r="1679" customHeight="1" spans="20:20">
      <c r="T1679"/>
    </row>
    <row r="1680" customHeight="1" spans="20:20">
      <c r="T1680"/>
    </row>
    <row r="1681" customHeight="1" spans="20:20">
      <c r="T1681"/>
    </row>
    <row r="1682" customHeight="1" spans="20:20">
      <c r="T1682"/>
    </row>
    <row r="1683" customHeight="1" spans="20:20">
      <c r="T1683"/>
    </row>
    <row r="1684" customHeight="1" spans="20:20">
      <c r="T1684"/>
    </row>
    <row r="1685" customHeight="1" spans="20:20">
      <c r="T1685"/>
    </row>
    <row r="1686" customHeight="1" spans="20:20">
      <c r="T1686"/>
    </row>
    <row r="1687" customHeight="1" spans="20:20">
      <c r="T1687"/>
    </row>
    <row r="1688" customHeight="1" spans="20:20">
      <c r="T1688"/>
    </row>
    <row r="1689" customHeight="1" spans="20:20">
      <c r="T1689"/>
    </row>
    <row r="1690" customHeight="1" spans="20:20">
      <c r="T1690"/>
    </row>
    <row r="1691" customHeight="1" spans="20:20">
      <c r="T1691"/>
    </row>
    <row r="1692" customHeight="1" spans="20:20">
      <c r="T1692"/>
    </row>
    <row r="1693" customHeight="1" spans="20:20">
      <c r="T1693"/>
    </row>
    <row r="1694" customHeight="1" spans="20:20">
      <c r="T1694"/>
    </row>
    <row r="1695" customHeight="1" spans="20:20">
      <c r="T1695"/>
    </row>
    <row r="1696" customHeight="1" spans="20:20">
      <c r="T1696"/>
    </row>
    <row r="1697" customHeight="1" spans="20:20">
      <c r="T1697"/>
    </row>
    <row r="1698" customHeight="1" spans="20:20">
      <c r="T1698"/>
    </row>
    <row r="1699" customHeight="1" spans="20:20">
      <c r="T1699"/>
    </row>
    <row r="1700" customHeight="1" spans="20:20">
      <c r="T1700"/>
    </row>
    <row r="1701" customHeight="1" spans="20:20">
      <c r="T1701"/>
    </row>
    <row r="1702" customHeight="1" spans="20:20">
      <c r="T1702"/>
    </row>
    <row r="1703" customHeight="1" spans="20:20">
      <c r="T1703"/>
    </row>
    <row r="1704" customHeight="1" spans="20:20">
      <c r="T1704"/>
    </row>
    <row r="1705" customHeight="1" spans="20:20">
      <c r="T1705"/>
    </row>
    <row r="1706" customHeight="1" spans="20:20">
      <c r="T1706"/>
    </row>
    <row r="1707" customHeight="1" spans="20:20">
      <c r="T1707"/>
    </row>
    <row r="1708" customHeight="1" spans="20:20">
      <c r="T1708"/>
    </row>
    <row r="1709" customHeight="1" spans="20:20">
      <c r="T1709"/>
    </row>
    <row r="1710" customHeight="1" spans="20:20">
      <c r="T1710"/>
    </row>
    <row r="1711" customHeight="1" spans="20:20">
      <c r="T1711"/>
    </row>
    <row r="1712" customHeight="1" spans="20:20">
      <c r="T1712"/>
    </row>
    <row r="1713" customHeight="1" spans="20:20">
      <c r="T1713"/>
    </row>
    <row r="1714" customHeight="1" spans="20:20">
      <c r="T1714"/>
    </row>
    <row r="1715" customHeight="1" spans="20:20">
      <c r="T1715"/>
    </row>
    <row r="1716" customHeight="1" spans="20:20">
      <c r="T1716"/>
    </row>
    <row r="1717" customHeight="1" spans="20:20">
      <c r="T1717"/>
    </row>
    <row r="1718" customHeight="1" spans="20:20">
      <c r="T1718"/>
    </row>
    <row r="1719" customHeight="1" spans="20:20">
      <c r="T1719"/>
    </row>
    <row r="1720" customHeight="1" spans="20:20">
      <c r="T1720"/>
    </row>
    <row r="1721" customHeight="1" spans="20:20">
      <c r="T1721"/>
    </row>
    <row r="1722" customHeight="1" spans="20:20">
      <c r="T1722"/>
    </row>
    <row r="1723" customHeight="1" spans="20:20">
      <c r="T1723"/>
    </row>
    <row r="1724" customHeight="1" spans="20:20">
      <c r="T1724"/>
    </row>
    <row r="1725" customHeight="1" spans="20:20">
      <c r="T1725"/>
    </row>
    <row r="1726" customHeight="1" spans="20:20">
      <c r="T1726"/>
    </row>
    <row r="1727" customHeight="1" spans="20:20">
      <c r="T1727"/>
    </row>
    <row r="1728" customHeight="1" spans="20:20">
      <c r="T1728"/>
    </row>
    <row r="1729" customHeight="1" spans="20:20">
      <c r="T1729"/>
    </row>
    <row r="1730" customHeight="1" spans="20:20">
      <c r="T1730"/>
    </row>
    <row r="1731" customHeight="1" spans="20:20">
      <c r="T1731"/>
    </row>
    <row r="1732" customHeight="1" spans="20:20">
      <c r="T1732"/>
    </row>
    <row r="1733" customHeight="1" spans="20:20">
      <c r="T1733"/>
    </row>
    <row r="1734" customHeight="1" spans="20:20">
      <c r="T1734"/>
    </row>
    <row r="1735" customHeight="1" spans="20:20">
      <c r="T1735"/>
    </row>
    <row r="1736" customHeight="1" spans="20:20">
      <c r="T1736"/>
    </row>
    <row r="1737" customHeight="1" spans="20:20">
      <c r="T1737"/>
    </row>
    <row r="1738" customHeight="1" spans="20:20">
      <c r="T1738"/>
    </row>
    <row r="1739" customHeight="1" spans="20:20">
      <c r="T1739"/>
    </row>
    <row r="1740" customHeight="1" spans="20:20">
      <c r="T1740"/>
    </row>
    <row r="1741" customHeight="1" spans="20:20">
      <c r="T1741"/>
    </row>
    <row r="1742" customHeight="1" spans="20:20">
      <c r="T1742"/>
    </row>
    <row r="1743" customHeight="1" spans="20:20">
      <c r="T1743"/>
    </row>
    <row r="1744" customHeight="1" spans="20:20">
      <c r="T1744"/>
    </row>
    <row r="1745" customHeight="1" spans="20:20">
      <c r="T1745"/>
    </row>
    <row r="1746" customHeight="1" spans="20:20">
      <c r="T1746"/>
    </row>
    <row r="1747" customHeight="1" spans="20:20">
      <c r="T1747"/>
    </row>
    <row r="1748" customHeight="1" spans="20:20">
      <c r="T1748"/>
    </row>
    <row r="1749" customHeight="1" spans="20:20">
      <c r="T1749"/>
    </row>
    <row r="1750" customHeight="1" spans="20:20">
      <c r="T1750"/>
    </row>
    <row r="1751" customHeight="1" spans="20:20">
      <c r="T1751"/>
    </row>
    <row r="1752" customHeight="1" spans="20:20">
      <c r="T1752"/>
    </row>
    <row r="1753" customHeight="1" spans="20:20">
      <c r="T1753"/>
    </row>
    <row r="1754" customHeight="1" spans="20:20">
      <c r="T1754"/>
    </row>
    <row r="1755" customHeight="1" spans="20:20">
      <c r="T1755"/>
    </row>
    <row r="1756" customHeight="1" spans="20:20">
      <c r="T1756"/>
    </row>
    <row r="1757" customHeight="1" spans="20:20">
      <c r="T1757"/>
    </row>
    <row r="1758" customHeight="1" spans="20:20">
      <c r="T1758"/>
    </row>
    <row r="1759" customHeight="1" spans="20:20">
      <c r="T1759"/>
    </row>
    <row r="1760" customHeight="1" spans="20:20">
      <c r="T1760"/>
    </row>
    <row r="1761" customHeight="1" spans="20:20">
      <c r="T1761"/>
    </row>
    <row r="1762" customHeight="1" spans="20:20">
      <c r="T1762"/>
    </row>
    <row r="1763" customHeight="1" spans="20:20">
      <c r="T1763"/>
    </row>
    <row r="1764" customHeight="1" spans="20:20">
      <c r="T1764"/>
    </row>
    <row r="1765" customHeight="1" spans="20:20">
      <c r="T1765"/>
    </row>
    <row r="1766" customHeight="1" spans="20:20">
      <c r="T1766"/>
    </row>
    <row r="1767" customHeight="1" spans="20:20">
      <c r="T1767"/>
    </row>
    <row r="1768" customHeight="1" spans="20:20">
      <c r="T1768"/>
    </row>
    <row r="1769" customHeight="1" spans="20:20">
      <c r="T1769"/>
    </row>
    <row r="1770" customHeight="1" spans="20:20">
      <c r="T1770"/>
    </row>
    <row r="1771" customHeight="1" spans="20:20">
      <c r="T1771"/>
    </row>
    <row r="1772" customHeight="1" spans="20:20">
      <c r="T1772"/>
    </row>
    <row r="1773" customHeight="1" spans="20:20">
      <c r="T1773"/>
    </row>
    <row r="1774" customHeight="1" spans="20:20">
      <c r="T1774"/>
    </row>
    <row r="1775" customHeight="1" spans="20:20">
      <c r="T1775"/>
    </row>
    <row r="1776" customHeight="1" spans="20:20">
      <c r="T1776"/>
    </row>
    <row r="1777" customHeight="1" spans="20:20">
      <c r="T1777"/>
    </row>
    <row r="1778" customHeight="1" spans="20:20">
      <c r="T1778"/>
    </row>
    <row r="1779" customHeight="1" spans="20:20">
      <c r="T1779"/>
    </row>
    <row r="1780" customHeight="1" spans="20:20">
      <c r="T1780"/>
    </row>
    <row r="1781" customHeight="1" spans="20:20">
      <c r="T1781"/>
    </row>
    <row r="1782" customHeight="1" spans="20:20">
      <c r="T1782"/>
    </row>
    <row r="1783" customHeight="1" spans="20:20">
      <c r="T1783"/>
    </row>
    <row r="1784" customHeight="1" spans="20:20">
      <c r="T1784"/>
    </row>
    <row r="1785" customHeight="1" spans="20:20">
      <c r="T1785"/>
    </row>
    <row r="1786" customHeight="1" spans="20:20">
      <c r="T1786"/>
    </row>
    <row r="1787" customHeight="1" spans="20:20">
      <c r="T1787"/>
    </row>
    <row r="1788" customHeight="1" spans="20:20">
      <c r="T1788"/>
    </row>
    <row r="1789" customHeight="1" spans="20:20">
      <c r="T1789"/>
    </row>
    <row r="1790" customHeight="1" spans="20:20">
      <c r="T1790"/>
    </row>
    <row r="1791" customHeight="1" spans="20:20">
      <c r="T1791"/>
    </row>
    <row r="1792" customHeight="1" spans="20:20">
      <c r="T1792"/>
    </row>
    <row r="1793" customHeight="1" spans="20:20">
      <c r="T1793"/>
    </row>
    <row r="1794" customHeight="1" spans="20:20">
      <c r="T1794"/>
    </row>
    <row r="1795" customHeight="1" spans="20:20">
      <c r="T1795"/>
    </row>
    <row r="1796" customHeight="1" spans="20:20">
      <c r="T1796"/>
    </row>
    <row r="1797" customHeight="1" spans="20:20">
      <c r="T1797"/>
    </row>
    <row r="1798" customHeight="1" spans="20:20">
      <c r="T1798"/>
    </row>
    <row r="1799" customHeight="1" spans="20:20">
      <c r="T1799"/>
    </row>
    <row r="1800" customHeight="1" spans="20:20">
      <c r="T1800"/>
    </row>
    <row r="1801" customHeight="1" spans="20:20">
      <c r="T1801"/>
    </row>
    <row r="1802" customHeight="1" spans="20:20">
      <c r="T1802"/>
    </row>
    <row r="1803" customHeight="1" spans="20:20">
      <c r="T1803"/>
    </row>
    <row r="1804" customHeight="1" spans="20:20">
      <c r="T1804"/>
    </row>
    <row r="1805" customHeight="1" spans="20:20">
      <c r="T1805"/>
    </row>
    <row r="1806" customHeight="1" spans="20:20">
      <c r="T1806"/>
    </row>
    <row r="1807" customHeight="1" spans="20:20">
      <c r="T1807"/>
    </row>
    <row r="1808" customHeight="1" spans="20:20">
      <c r="T1808"/>
    </row>
    <row r="1809" customHeight="1" spans="20:20">
      <c r="T1809"/>
    </row>
    <row r="1810" customHeight="1" spans="20:20">
      <c r="T1810"/>
    </row>
    <row r="1811" customHeight="1" spans="20:20">
      <c r="T1811"/>
    </row>
    <row r="1812" customHeight="1" spans="20:20">
      <c r="T1812"/>
    </row>
    <row r="1813" customHeight="1" spans="20:20">
      <c r="T1813"/>
    </row>
    <row r="1814" customHeight="1" spans="20:20">
      <c r="T1814"/>
    </row>
    <row r="1815" customHeight="1" spans="20:20">
      <c r="T1815"/>
    </row>
    <row r="1816" customHeight="1" spans="20:20">
      <c r="T1816"/>
    </row>
    <row r="1817" customHeight="1" spans="20:20">
      <c r="T1817"/>
    </row>
    <row r="1818" customHeight="1" spans="20:20">
      <c r="T1818"/>
    </row>
    <row r="1819" customHeight="1" spans="20:20">
      <c r="T1819"/>
    </row>
    <row r="1820" customHeight="1" spans="20:20">
      <c r="T1820"/>
    </row>
    <row r="1821" customHeight="1" spans="20:20">
      <c r="T1821"/>
    </row>
    <row r="1822" customHeight="1" spans="20:20">
      <c r="T1822"/>
    </row>
    <row r="1823" customHeight="1" spans="20:20">
      <c r="T1823"/>
    </row>
    <row r="1824" customHeight="1" spans="20:20">
      <c r="T1824"/>
    </row>
    <row r="1825" customHeight="1" spans="20:20">
      <c r="T1825"/>
    </row>
    <row r="1826" customHeight="1" spans="20:20">
      <c r="T1826"/>
    </row>
    <row r="1827" customHeight="1" spans="20:20">
      <c r="T1827"/>
    </row>
    <row r="1828" customHeight="1" spans="20:20">
      <c r="T1828"/>
    </row>
    <row r="1829" customHeight="1" spans="20:20">
      <c r="T1829"/>
    </row>
    <row r="1830" customHeight="1" spans="20:20">
      <c r="T1830"/>
    </row>
    <row r="1831" customHeight="1" spans="20:20">
      <c r="T1831"/>
    </row>
    <row r="1832" customHeight="1" spans="20:20">
      <c r="T1832"/>
    </row>
    <row r="1833" customHeight="1" spans="20:20">
      <c r="T1833"/>
    </row>
    <row r="1834" customHeight="1" spans="20:20">
      <c r="T1834"/>
    </row>
    <row r="1835" customHeight="1" spans="20:20">
      <c r="T1835"/>
    </row>
    <row r="1836" customHeight="1" spans="20:20">
      <c r="T1836"/>
    </row>
    <row r="1837" customHeight="1" spans="20:20">
      <c r="T1837"/>
    </row>
    <row r="1838" customHeight="1" spans="20:20">
      <c r="T1838"/>
    </row>
    <row r="1839" customHeight="1" spans="20:20">
      <c r="T1839"/>
    </row>
    <row r="1840" customHeight="1" spans="20:20">
      <c r="T1840"/>
    </row>
    <row r="1841" customHeight="1" spans="20:20">
      <c r="T1841"/>
    </row>
    <row r="1842" customHeight="1" spans="20:20">
      <c r="T1842"/>
    </row>
    <row r="1843" customHeight="1" spans="20:20">
      <c r="T1843"/>
    </row>
    <row r="1844" customHeight="1" spans="20:20">
      <c r="T1844"/>
    </row>
    <row r="1845" customHeight="1" spans="20:20">
      <c r="T1845"/>
    </row>
    <row r="1846" customHeight="1" spans="20:20">
      <c r="T1846"/>
    </row>
    <row r="1847" customHeight="1" spans="20:20">
      <c r="T1847"/>
    </row>
    <row r="1848" customHeight="1" spans="20:20">
      <c r="T1848"/>
    </row>
    <row r="1849" customHeight="1" spans="20:20">
      <c r="T1849"/>
    </row>
    <row r="1850" customHeight="1" spans="20:20">
      <c r="T1850"/>
    </row>
    <row r="1851" customHeight="1" spans="20:20">
      <c r="T1851"/>
    </row>
    <row r="1852" customHeight="1" spans="20:20">
      <c r="T1852"/>
    </row>
    <row r="1853" customHeight="1" spans="20:20">
      <c r="T1853"/>
    </row>
    <row r="1854" customHeight="1" spans="20:20">
      <c r="T1854"/>
    </row>
    <row r="1855" customHeight="1" spans="20:20">
      <c r="T1855"/>
    </row>
    <row r="1856" customHeight="1" spans="20:20">
      <c r="T1856"/>
    </row>
    <row r="1857" customHeight="1" spans="20:20">
      <c r="T1857"/>
    </row>
    <row r="1858" customHeight="1" spans="20:20">
      <c r="T1858"/>
    </row>
    <row r="1859" customHeight="1" spans="20:20">
      <c r="T1859"/>
    </row>
    <row r="1860" customHeight="1" spans="20:20">
      <c r="T1860"/>
    </row>
    <row r="1861" customHeight="1" spans="20:20">
      <c r="T1861"/>
    </row>
    <row r="1862" customHeight="1" spans="20:20">
      <c r="T1862"/>
    </row>
    <row r="1863" customHeight="1" spans="20:20">
      <c r="T1863"/>
    </row>
    <row r="1864" customHeight="1" spans="20:20">
      <c r="T1864"/>
    </row>
    <row r="1865" customHeight="1" spans="20:20">
      <c r="T1865"/>
    </row>
    <row r="1866" customHeight="1" spans="20:20">
      <c r="T1866"/>
    </row>
    <row r="1867" customHeight="1" spans="20:20">
      <c r="T1867"/>
    </row>
    <row r="1868" customHeight="1" spans="20:20">
      <c r="T1868"/>
    </row>
    <row r="1869" customHeight="1" spans="20:20">
      <c r="T1869"/>
    </row>
    <row r="1870" customHeight="1" spans="20:20">
      <c r="T1870"/>
    </row>
    <row r="1871" customHeight="1" spans="20:20">
      <c r="T1871"/>
    </row>
    <row r="1872" customHeight="1" spans="20:20">
      <c r="T1872"/>
    </row>
    <row r="1873" customHeight="1" spans="20:20">
      <c r="T1873"/>
    </row>
    <row r="1874" customHeight="1" spans="20:20">
      <c r="T1874"/>
    </row>
    <row r="1875" customHeight="1" spans="20:20">
      <c r="T1875"/>
    </row>
    <row r="1876" customHeight="1" spans="20:20">
      <c r="T1876"/>
    </row>
    <row r="1877" customHeight="1" spans="20:20">
      <c r="T1877"/>
    </row>
    <row r="1878" customHeight="1" spans="20:20">
      <c r="T1878"/>
    </row>
    <row r="1879" customHeight="1" spans="20:20">
      <c r="T1879"/>
    </row>
    <row r="1880" customHeight="1" spans="20:20">
      <c r="T1880"/>
    </row>
    <row r="1881" customHeight="1" spans="20:20">
      <c r="T1881"/>
    </row>
    <row r="1882" customHeight="1" spans="20:20">
      <c r="T1882"/>
    </row>
    <row r="1883" customHeight="1" spans="20:20">
      <c r="T1883"/>
    </row>
    <row r="1884" customHeight="1" spans="20:20">
      <c r="T1884"/>
    </row>
    <row r="1885" customHeight="1" spans="20:20">
      <c r="T1885"/>
    </row>
    <row r="1886" customHeight="1" spans="20:20">
      <c r="T1886"/>
    </row>
    <row r="1887" customHeight="1" spans="20:20">
      <c r="T1887"/>
    </row>
    <row r="1888" customHeight="1" spans="20:20">
      <c r="T1888"/>
    </row>
    <row r="1889" customHeight="1" spans="20:20">
      <c r="T1889"/>
    </row>
    <row r="1890" customHeight="1" spans="20:20">
      <c r="T1890"/>
    </row>
    <row r="1891" customHeight="1" spans="20:20">
      <c r="T1891"/>
    </row>
    <row r="1892" customHeight="1" spans="20:20">
      <c r="T1892"/>
    </row>
    <row r="1893" customHeight="1" spans="20:20">
      <c r="T1893"/>
    </row>
    <row r="1894" customHeight="1" spans="20:20">
      <c r="T1894"/>
    </row>
    <row r="1895" customHeight="1" spans="20:20">
      <c r="T1895"/>
    </row>
    <row r="1896" customHeight="1" spans="20:20">
      <c r="T1896"/>
    </row>
    <row r="1897" customHeight="1" spans="20:20">
      <c r="T1897"/>
    </row>
    <row r="1898" customHeight="1" spans="20:20">
      <c r="T1898"/>
    </row>
    <row r="1899" customHeight="1" spans="20:20">
      <c r="T1899"/>
    </row>
    <row r="1900" customHeight="1" spans="20:20">
      <c r="T1900"/>
    </row>
    <row r="1901" customHeight="1" spans="20:20">
      <c r="T1901"/>
    </row>
    <row r="1902" customHeight="1" spans="20:20">
      <c r="T1902"/>
    </row>
    <row r="1903" customHeight="1" spans="20:20">
      <c r="T1903"/>
    </row>
    <row r="1904" customHeight="1" spans="20:20">
      <c r="T1904"/>
    </row>
    <row r="1905" customHeight="1" spans="20:20">
      <c r="T1905"/>
    </row>
    <row r="1906" customHeight="1" spans="20:20">
      <c r="T1906"/>
    </row>
    <row r="1907" customHeight="1" spans="20:20">
      <c r="T1907"/>
    </row>
    <row r="1908" customHeight="1" spans="20:20">
      <c r="T1908"/>
    </row>
    <row r="1909" customHeight="1" spans="20:20">
      <c r="T1909"/>
    </row>
    <row r="1910" customHeight="1" spans="20:20">
      <c r="T1910"/>
    </row>
    <row r="1911" customHeight="1" spans="20:20">
      <c r="T1911"/>
    </row>
    <row r="1912" customHeight="1" spans="20:20">
      <c r="T1912"/>
    </row>
    <row r="1913" customHeight="1" spans="20:20">
      <c r="T1913"/>
    </row>
    <row r="1914" customHeight="1" spans="20:20">
      <c r="T1914"/>
    </row>
    <row r="1915" customHeight="1" spans="20:20">
      <c r="T1915"/>
    </row>
    <row r="1916" customHeight="1" spans="20:20">
      <c r="T1916"/>
    </row>
    <row r="1917" customHeight="1" spans="20:20">
      <c r="T1917"/>
    </row>
    <row r="1918" customHeight="1" spans="20:20">
      <c r="T1918"/>
    </row>
    <row r="1919" customHeight="1" spans="20:20">
      <c r="T1919"/>
    </row>
    <row r="1920" customHeight="1" spans="20:20">
      <c r="T1920"/>
    </row>
    <row r="1921" customHeight="1" spans="20:20">
      <c r="T1921"/>
    </row>
    <row r="1922" customHeight="1" spans="20:20">
      <c r="T1922"/>
    </row>
    <row r="1923" customHeight="1" spans="20:20">
      <c r="T1923"/>
    </row>
    <row r="1924" customHeight="1" spans="20:20">
      <c r="T1924"/>
    </row>
    <row r="1925" customHeight="1" spans="20:20">
      <c r="T1925"/>
    </row>
    <row r="1926" customHeight="1" spans="20:20">
      <c r="T1926"/>
    </row>
    <row r="1927" customHeight="1" spans="20:20">
      <c r="T1927"/>
    </row>
    <row r="1928" customHeight="1" spans="20:20">
      <c r="T1928"/>
    </row>
    <row r="1929" customHeight="1" spans="20:20">
      <c r="T1929"/>
    </row>
    <row r="1930" customHeight="1" spans="20:20">
      <c r="T1930"/>
    </row>
    <row r="1931" customHeight="1" spans="20:20">
      <c r="T1931"/>
    </row>
    <row r="1932" customHeight="1" spans="20:20">
      <c r="T1932"/>
    </row>
    <row r="1933" customHeight="1" spans="20:20">
      <c r="T1933"/>
    </row>
    <row r="1934" customHeight="1" spans="20:20">
      <c r="T1934"/>
    </row>
    <row r="1935" customHeight="1" spans="20:20">
      <c r="T1935"/>
    </row>
    <row r="1936" customHeight="1" spans="20:20">
      <c r="T1936"/>
    </row>
    <row r="1937" customHeight="1" spans="20:20">
      <c r="T1937"/>
    </row>
    <row r="1938" customHeight="1" spans="20:20">
      <c r="T1938"/>
    </row>
    <row r="1939" customHeight="1" spans="20:20">
      <c r="T1939"/>
    </row>
    <row r="1940" customHeight="1" spans="20:20">
      <c r="T1940"/>
    </row>
    <row r="1941" customHeight="1" spans="20:20">
      <c r="T1941"/>
    </row>
    <row r="1942" customHeight="1" spans="20:20">
      <c r="T1942"/>
    </row>
    <row r="1943" customHeight="1" spans="20:20">
      <c r="T1943"/>
    </row>
    <row r="1944" customHeight="1" spans="20:20">
      <c r="T1944"/>
    </row>
    <row r="1945" customHeight="1" spans="20:20">
      <c r="T1945"/>
    </row>
    <row r="1946" customHeight="1" spans="20:20">
      <c r="T1946"/>
    </row>
    <row r="1947" customHeight="1" spans="20:20">
      <c r="T1947"/>
    </row>
    <row r="1948" customHeight="1" spans="20:20">
      <c r="T1948"/>
    </row>
    <row r="1949" customHeight="1" spans="20:20">
      <c r="T1949"/>
    </row>
    <row r="1950" customHeight="1" spans="20:20">
      <c r="T1950"/>
    </row>
    <row r="1951" customHeight="1" spans="20:20">
      <c r="T1951"/>
    </row>
    <row r="1952" customHeight="1" spans="20:20">
      <c r="T1952"/>
    </row>
    <row r="1953" customHeight="1" spans="20:20">
      <c r="T1953"/>
    </row>
    <row r="1954" customHeight="1" spans="20:20">
      <c r="T1954"/>
    </row>
    <row r="1955" customHeight="1" spans="20:20">
      <c r="T1955"/>
    </row>
    <row r="1956" customHeight="1" spans="20:20">
      <c r="T1956"/>
    </row>
    <row r="1957" customHeight="1" spans="20:20">
      <c r="T1957"/>
    </row>
    <row r="1958" customHeight="1" spans="20:20">
      <c r="T1958"/>
    </row>
    <row r="1959" customHeight="1" spans="20:20">
      <c r="T1959"/>
    </row>
    <row r="1960" customHeight="1" spans="20:20">
      <c r="T1960"/>
    </row>
    <row r="1961" customHeight="1" spans="20:20">
      <c r="T1961"/>
    </row>
    <row r="1962" customHeight="1" spans="20:20">
      <c r="T1962"/>
    </row>
    <row r="1963" customHeight="1" spans="20:20">
      <c r="T1963"/>
    </row>
    <row r="1964" customHeight="1" spans="20:20">
      <c r="T1964"/>
    </row>
    <row r="1965" customHeight="1" spans="20:20">
      <c r="T1965"/>
    </row>
    <row r="1966" customHeight="1" spans="20:20">
      <c r="T1966"/>
    </row>
    <row r="1967" customHeight="1" spans="20:20">
      <c r="T1967"/>
    </row>
    <row r="1968" customHeight="1" spans="20:20">
      <c r="T1968"/>
    </row>
    <row r="1969" customHeight="1" spans="20:20">
      <c r="T1969"/>
    </row>
    <row r="1970" customHeight="1" spans="20:20">
      <c r="T1970"/>
    </row>
    <row r="1971" customHeight="1" spans="20:20">
      <c r="T1971"/>
    </row>
    <row r="1972" customHeight="1" spans="20:20">
      <c r="T1972"/>
    </row>
    <row r="1973" customHeight="1" spans="20:20">
      <c r="T1973"/>
    </row>
    <row r="1974" customHeight="1" spans="20:20">
      <c r="T1974"/>
    </row>
    <row r="1975" customHeight="1" spans="20:20">
      <c r="T1975"/>
    </row>
    <row r="1976" customHeight="1" spans="20:20">
      <c r="T1976"/>
    </row>
    <row r="1977" customHeight="1" spans="20:20">
      <c r="T1977"/>
    </row>
    <row r="1978" customHeight="1" spans="20:20">
      <c r="T1978"/>
    </row>
    <row r="1979" customHeight="1" spans="20:20">
      <c r="T1979"/>
    </row>
    <row r="1980" customHeight="1" spans="20:20">
      <c r="T1980"/>
    </row>
    <row r="1981" customHeight="1" spans="20:20">
      <c r="T1981"/>
    </row>
    <row r="1982" customHeight="1" spans="20:20">
      <c r="T1982"/>
    </row>
    <row r="1983" customHeight="1" spans="20:20">
      <c r="T1983"/>
    </row>
    <row r="1984" customHeight="1" spans="20:20">
      <c r="T1984"/>
    </row>
    <row r="1985" customHeight="1" spans="20:20">
      <c r="T1985"/>
    </row>
    <row r="1986" customHeight="1" spans="20:20">
      <c r="T1986"/>
    </row>
    <row r="1987" customHeight="1" spans="20:20">
      <c r="T1987"/>
    </row>
    <row r="1988" customHeight="1" spans="20:20">
      <c r="T1988"/>
    </row>
    <row r="1989" customHeight="1" spans="20:20">
      <c r="T1989"/>
    </row>
    <row r="1990" customHeight="1" spans="20:20">
      <c r="T1990"/>
    </row>
    <row r="1991" customHeight="1" spans="20:20">
      <c r="T1991"/>
    </row>
    <row r="1992" customHeight="1" spans="20:20">
      <c r="T1992"/>
    </row>
    <row r="1993" customHeight="1" spans="20:20">
      <c r="T1993"/>
    </row>
    <row r="1994" customHeight="1" spans="20:20">
      <c r="T1994"/>
    </row>
    <row r="1995" customHeight="1" spans="20:20">
      <c r="T1995"/>
    </row>
    <row r="1996" customHeight="1" spans="20:20">
      <c r="T1996"/>
    </row>
    <row r="1997" customHeight="1" spans="20:20">
      <c r="T1997"/>
    </row>
    <row r="1998" customHeight="1" spans="20:20">
      <c r="T1998"/>
    </row>
    <row r="1999" customHeight="1" spans="20:20">
      <c r="T1999"/>
    </row>
    <row r="2000" customHeight="1" spans="20:20">
      <c r="T2000"/>
    </row>
    <row r="2001" customHeight="1" spans="20:20">
      <c r="T2001"/>
    </row>
    <row r="2002" customHeight="1" spans="20:20">
      <c r="T2002"/>
    </row>
    <row r="2003" customHeight="1" spans="20:20">
      <c r="T2003"/>
    </row>
    <row r="2004" customHeight="1" spans="20:20">
      <c r="T2004"/>
    </row>
    <row r="2005" customHeight="1" spans="20:20">
      <c r="T2005"/>
    </row>
    <row r="2006" customHeight="1" spans="20:20">
      <c r="T2006"/>
    </row>
    <row r="2007" customHeight="1" spans="20:20">
      <c r="T2007"/>
    </row>
    <row r="2008" customHeight="1" spans="20:20">
      <c r="T2008"/>
    </row>
    <row r="2009" customHeight="1" spans="20:20">
      <c r="T2009"/>
    </row>
    <row r="2010" customHeight="1" spans="20:20">
      <c r="T2010"/>
    </row>
    <row r="2011" customHeight="1" spans="20:20">
      <c r="T2011"/>
    </row>
    <row r="2012" customHeight="1" spans="20:20">
      <c r="T2012"/>
    </row>
    <row r="2013" customHeight="1" spans="20:20">
      <c r="T2013"/>
    </row>
    <row r="2014" customHeight="1" spans="20:20">
      <c r="T2014"/>
    </row>
    <row r="2015" customHeight="1" spans="20:20">
      <c r="T2015"/>
    </row>
    <row r="2016" customHeight="1" spans="20:20">
      <c r="T2016"/>
    </row>
    <row r="2017" customHeight="1" spans="20:20">
      <c r="T2017"/>
    </row>
    <row r="2018" customHeight="1" spans="20:20">
      <c r="T2018"/>
    </row>
    <row r="2019" customHeight="1" spans="20:20">
      <c r="T2019"/>
    </row>
    <row r="2020" customHeight="1" spans="20:20">
      <c r="T2020"/>
    </row>
    <row r="2021" customHeight="1" spans="20:20">
      <c r="T2021"/>
    </row>
    <row r="2022" customHeight="1" spans="20:20">
      <c r="T2022"/>
    </row>
    <row r="2023" customHeight="1" spans="20:20">
      <c r="T2023"/>
    </row>
    <row r="2024" customHeight="1" spans="20:20">
      <c r="T2024"/>
    </row>
    <row r="2025" customHeight="1" spans="20:20">
      <c r="T2025"/>
    </row>
    <row r="2026" customHeight="1" spans="20:20">
      <c r="T2026"/>
    </row>
    <row r="2027" customHeight="1" spans="20:20">
      <c r="T2027"/>
    </row>
    <row r="2028" customHeight="1" spans="20:20">
      <c r="T2028"/>
    </row>
    <row r="2029" customHeight="1" spans="20:20">
      <c r="T2029"/>
    </row>
    <row r="2030" customHeight="1" spans="20:20">
      <c r="T2030"/>
    </row>
    <row r="2031" customHeight="1" spans="20:20">
      <c r="T2031"/>
    </row>
    <row r="2032" customHeight="1" spans="20:20">
      <c r="T2032"/>
    </row>
    <row r="2033" customHeight="1" spans="20:20">
      <c r="T2033"/>
    </row>
    <row r="2034" customHeight="1" spans="20:20">
      <c r="T2034"/>
    </row>
    <row r="2035" customHeight="1" spans="20:20">
      <c r="T2035"/>
    </row>
    <row r="2036" customHeight="1" spans="20:20">
      <c r="T2036"/>
    </row>
    <row r="2037" customHeight="1" spans="20:20">
      <c r="T2037"/>
    </row>
    <row r="2038" customHeight="1" spans="20:20">
      <c r="T2038"/>
    </row>
    <row r="2039" customHeight="1" spans="20:20">
      <c r="T2039"/>
    </row>
    <row r="2040" customHeight="1" spans="20:20">
      <c r="T2040"/>
    </row>
    <row r="2041" customHeight="1" spans="20:20">
      <c r="T2041"/>
    </row>
    <row r="2042" customHeight="1" spans="20:20">
      <c r="T2042"/>
    </row>
    <row r="2043" customHeight="1" spans="20:20">
      <c r="T2043"/>
    </row>
    <row r="2044" customHeight="1" spans="20:20">
      <c r="T2044"/>
    </row>
    <row r="2045" customHeight="1" spans="20:20">
      <c r="T2045"/>
    </row>
    <row r="2046" customHeight="1" spans="20:20">
      <c r="T2046"/>
    </row>
    <row r="2047" customHeight="1" spans="20:20">
      <c r="T2047"/>
    </row>
    <row r="2048" customHeight="1" spans="20:20">
      <c r="T2048"/>
    </row>
    <row r="2049" customHeight="1" spans="20:20">
      <c r="T2049"/>
    </row>
    <row r="2050" customHeight="1" spans="20:20">
      <c r="T2050"/>
    </row>
    <row r="2051" customHeight="1" spans="20:20">
      <c r="T2051"/>
    </row>
    <row r="2052" customHeight="1" spans="20:20">
      <c r="T2052"/>
    </row>
    <row r="2053" customHeight="1" spans="20:20">
      <c r="T2053"/>
    </row>
    <row r="2054" customHeight="1" spans="20:20">
      <c r="T2054"/>
    </row>
    <row r="2055" customHeight="1" spans="20:20">
      <c r="T2055"/>
    </row>
    <row r="2056" customHeight="1" spans="20:20">
      <c r="T2056"/>
    </row>
    <row r="2057" customHeight="1" spans="20:20">
      <c r="T2057"/>
    </row>
    <row r="2058" customHeight="1" spans="20:20">
      <c r="T2058"/>
    </row>
    <row r="2059" customHeight="1" spans="20:20">
      <c r="T2059"/>
    </row>
    <row r="2060" customHeight="1" spans="20:20">
      <c r="T2060"/>
    </row>
    <row r="2061" customHeight="1" spans="20:20">
      <c r="T2061"/>
    </row>
    <row r="2062" customHeight="1" spans="20:20">
      <c r="T2062"/>
    </row>
    <row r="2063" customHeight="1" spans="20:20">
      <c r="T2063"/>
    </row>
    <row r="2064" customHeight="1" spans="20:20">
      <c r="T2064"/>
    </row>
    <row r="2065" customHeight="1" spans="20:20">
      <c r="T2065"/>
    </row>
    <row r="2066" customHeight="1" spans="20:20">
      <c r="T2066"/>
    </row>
    <row r="2067" customHeight="1" spans="20:20">
      <c r="T2067"/>
    </row>
    <row r="2068" customHeight="1" spans="20:20">
      <c r="T2068"/>
    </row>
    <row r="2069" customHeight="1" spans="20:20">
      <c r="T2069"/>
    </row>
    <row r="2070" customHeight="1" spans="20:20">
      <c r="T2070"/>
    </row>
    <row r="2071" customHeight="1" spans="20:20">
      <c r="T2071"/>
    </row>
    <row r="2072" customHeight="1" spans="20:20">
      <c r="T2072"/>
    </row>
    <row r="2073" customHeight="1" spans="20:20">
      <c r="T2073"/>
    </row>
    <row r="2074" customHeight="1" spans="20:20">
      <c r="T2074"/>
    </row>
    <row r="2075" customHeight="1" spans="20:20">
      <c r="T2075"/>
    </row>
    <row r="2076" customHeight="1" spans="20:20">
      <c r="T2076"/>
    </row>
    <row r="2077" customHeight="1" spans="20:20">
      <c r="T2077"/>
    </row>
    <row r="2078" customHeight="1" spans="20:20">
      <c r="T2078"/>
    </row>
    <row r="2079" customHeight="1" spans="20:20">
      <c r="T2079"/>
    </row>
    <row r="2080" customHeight="1" spans="20:20">
      <c r="T2080"/>
    </row>
    <row r="2081" customHeight="1" spans="20:20">
      <c r="T2081"/>
    </row>
    <row r="2082" customHeight="1" spans="20:20">
      <c r="T2082"/>
    </row>
    <row r="2083" customHeight="1" spans="20:20">
      <c r="T2083"/>
    </row>
    <row r="2084" customHeight="1" spans="20:20">
      <c r="T2084"/>
    </row>
    <row r="2085" customHeight="1" spans="20:20">
      <c r="T2085"/>
    </row>
    <row r="2086" customHeight="1" spans="20:20">
      <c r="T2086"/>
    </row>
    <row r="2087" customHeight="1" spans="20:20">
      <c r="T2087"/>
    </row>
    <row r="2088" customHeight="1" spans="20:20">
      <c r="T2088"/>
    </row>
    <row r="2089" customHeight="1" spans="20:20">
      <c r="T2089"/>
    </row>
    <row r="2090" customHeight="1" spans="20:20">
      <c r="T2090"/>
    </row>
    <row r="2091" customHeight="1" spans="20:20">
      <c r="T2091"/>
    </row>
    <row r="2092" customHeight="1" spans="20:20">
      <c r="T2092"/>
    </row>
    <row r="2093" customHeight="1" spans="20:20">
      <c r="T2093"/>
    </row>
    <row r="2094" customHeight="1" spans="20:20">
      <c r="T2094"/>
    </row>
    <row r="2095" customHeight="1" spans="20:20">
      <c r="T2095"/>
    </row>
    <row r="2096" customHeight="1" spans="20:20">
      <c r="T2096"/>
    </row>
    <row r="2097" customHeight="1" spans="20:20">
      <c r="T2097"/>
    </row>
    <row r="2098" customHeight="1" spans="20:20">
      <c r="T2098"/>
    </row>
    <row r="2099" customHeight="1" spans="20:20">
      <c r="T2099"/>
    </row>
    <row r="2100" customHeight="1" spans="20:20">
      <c r="T2100"/>
    </row>
    <row r="2101" customHeight="1" spans="20:20">
      <c r="T2101"/>
    </row>
    <row r="2102" customHeight="1" spans="20:20">
      <c r="T2102"/>
    </row>
    <row r="2103" customHeight="1" spans="20:20">
      <c r="T2103"/>
    </row>
    <row r="2104" customHeight="1" spans="20:20">
      <c r="T2104"/>
    </row>
    <row r="2105" customHeight="1" spans="20:20">
      <c r="T2105"/>
    </row>
    <row r="2106" customHeight="1" spans="20:20">
      <c r="T2106"/>
    </row>
    <row r="2107" customHeight="1" spans="20:20">
      <c r="T2107"/>
    </row>
    <row r="2108" customHeight="1" spans="20:20">
      <c r="T2108"/>
    </row>
    <row r="2109" customHeight="1" spans="20:20">
      <c r="T2109"/>
    </row>
    <row r="2110" customHeight="1" spans="20:20">
      <c r="T2110"/>
    </row>
    <row r="2111" customHeight="1" spans="20:20">
      <c r="T2111"/>
    </row>
    <row r="2112" customHeight="1" spans="20:20">
      <c r="T2112"/>
    </row>
    <row r="2113" customHeight="1" spans="20:20">
      <c r="T2113"/>
    </row>
    <row r="2114" customHeight="1" spans="20:20">
      <c r="T2114"/>
    </row>
    <row r="2115" customHeight="1" spans="20:20">
      <c r="T2115"/>
    </row>
    <row r="2116" customHeight="1" spans="20:20">
      <c r="T2116"/>
    </row>
    <row r="2117" customHeight="1" spans="20:20">
      <c r="T2117"/>
    </row>
    <row r="2118" customHeight="1" spans="20:20">
      <c r="T2118"/>
    </row>
    <row r="2119" customHeight="1" spans="20:20">
      <c r="T2119"/>
    </row>
    <row r="2120" customHeight="1" spans="20:20">
      <c r="T2120"/>
    </row>
    <row r="2121" customHeight="1" spans="20:20">
      <c r="T2121"/>
    </row>
    <row r="2122" customHeight="1" spans="20:20">
      <c r="T2122"/>
    </row>
    <row r="2123" customHeight="1" spans="20:20">
      <c r="T2123"/>
    </row>
    <row r="2124" customHeight="1" spans="20:20">
      <c r="T2124"/>
    </row>
    <row r="2125" customHeight="1" spans="20:20">
      <c r="T2125"/>
    </row>
    <row r="2126" customHeight="1" spans="20:20">
      <c r="T2126"/>
    </row>
    <row r="2127" customHeight="1" spans="20:20">
      <c r="T2127"/>
    </row>
    <row r="2128" customHeight="1" spans="20:20">
      <c r="T2128"/>
    </row>
    <row r="2129" customHeight="1" spans="20:20">
      <c r="T2129"/>
    </row>
    <row r="2130" customHeight="1" spans="20:20">
      <c r="T2130"/>
    </row>
    <row r="2131" customHeight="1" spans="20:20">
      <c r="T2131"/>
    </row>
    <row r="2132" customHeight="1" spans="20:20">
      <c r="T2132"/>
    </row>
    <row r="2133" customHeight="1" spans="20:20">
      <c r="T2133"/>
    </row>
    <row r="2134" customHeight="1" spans="20:20">
      <c r="T2134"/>
    </row>
    <row r="2135" customHeight="1" spans="20:20">
      <c r="T2135"/>
    </row>
    <row r="2136" customHeight="1" spans="20:20">
      <c r="T2136"/>
    </row>
    <row r="2137" customHeight="1" spans="20:20">
      <c r="T2137"/>
    </row>
    <row r="2138" customHeight="1" spans="20:20">
      <c r="T2138"/>
    </row>
    <row r="2139" customHeight="1" spans="20:20">
      <c r="T2139"/>
    </row>
    <row r="2140" customHeight="1" spans="20:20">
      <c r="T2140"/>
    </row>
    <row r="2141" customHeight="1" spans="20:20">
      <c r="T2141"/>
    </row>
    <row r="2142" customHeight="1" spans="20:20">
      <c r="T2142"/>
    </row>
    <row r="2143" customHeight="1" spans="20:20">
      <c r="T2143"/>
    </row>
    <row r="2144" customHeight="1" spans="20:20">
      <c r="T2144"/>
    </row>
    <row r="2145" customHeight="1" spans="20:20">
      <c r="T2145"/>
    </row>
    <row r="2146" customHeight="1" spans="20:20">
      <c r="T2146"/>
    </row>
    <row r="2147" customHeight="1" spans="20:20">
      <c r="T2147"/>
    </row>
    <row r="2148" customHeight="1" spans="20:20">
      <c r="T2148"/>
    </row>
    <row r="2149" customHeight="1" spans="20:20">
      <c r="T2149"/>
    </row>
    <row r="2150" customHeight="1" spans="20:20">
      <c r="T2150"/>
    </row>
    <row r="2151" customHeight="1" spans="20:20">
      <c r="T2151"/>
    </row>
    <row r="2152" customHeight="1" spans="20:20">
      <c r="T2152"/>
    </row>
    <row r="2153" customHeight="1" spans="20:20">
      <c r="T2153"/>
    </row>
    <row r="2154" customHeight="1" spans="20:20">
      <c r="T2154"/>
    </row>
    <row r="2155" customHeight="1" spans="20:20">
      <c r="T2155"/>
    </row>
    <row r="2156" customHeight="1" spans="20:20">
      <c r="T2156"/>
    </row>
    <row r="2157" customHeight="1" spans="20:20">
      <c r="T2157"/>
    </row>
    <row r="2158" customHeight="1" spans="20:20">
      <c r="T2158"/>
    </row>
    <row r="2159" customHeight="1" spans="20:20">
      <c r="T2159"/>
    </row>
    <row r="2160" customHeight="1" spans="20:20">
      <c r="T2160"/>
    </row>
    <row r="2161" customHeight="1" spans="20:20">
      <c r="T2161"/>
    </row>
    <row r="2162" customHeight="1" spans="20:20">
      <c r="T2162"/>
    </row>
    <row r="2163" customHeight="1" spans="20:20">
      <c r="T2163"/>
    </row>
    <row r="2164" customHeight="1" spans="20:20">
      <c r="T2164"/>
    </row>
    <row r="2165" customHeight="1" spans="20:20">
      <c r="T2165"/>
    </row>
    <row r="2166" customHeight="1" spans="20:20">
      <c r="T2166"/>
    </row>
    <row r="2167" customHeight="1" spans="20:20">
      <c r="T2167"/>
    </row>
    <row r="2168" customHeight="1" spans="20:20">
      <c r="T2168"/>
    </row>
    <row r="2169" customHeight="1" spans="20:20">
      <c r="T2169"/>
    </row>
    <row r="2170" customHeight="1" spans="20:20">
      <c r="T2170"/>
    </row>
    <row r="2171" customHeight="1" spans="20:20">
      <c r="T2171"/>
    </row>
    <row r="2172" customHeight="1" spans="20:20">
      <c r="T2172"/>
    </row>
    <row r="2173" customHeight="1" spans="20:20">
      <c r="T2173"/>
    </row>
    <row r="2174" customHeight="1" spans="20:20">
      <c r="T2174"/>
    </row>
    <row r="2175" customHeight="1" spans="20:20">
      <c r="T2175"/>
    </row>
    <row r="2176" customHeight="1" spans="20:20">
      <c r="T2176"/>
    </row>
    <row r="2177" customHeight="1" spans="20:20">
      <c r="T2177"/>
    </row>
    <row r="2178" customHeight="1" spans="20:20">
      <c r="T2178"/>
    </row>
    <row r="2179" customHeight="1" spans="20:20">
      <c r="T2179"/>
    </row>
    <row r="2180" customHeight="1" spans="20:20">
      <c r="T2180"/>
    </row>
    <row r="2181" customHeight="1" spans="20:20">
      <c r="T2181"/>
    </row>
    <row r="2182" customHeight="1" spans="20:20">
      <c r="T2182"/>
    </row>
    <row r="2183" customHeight="1" spans="20:20">
      <c r="T2183"/>
    </row>
    <row r="2184" customHeight="1" spans="20:20">
      <c r="T2184"/>
    </row>
    <row r="2185" customHeight="1" spans="20:20">
      <c r="T2185"/>
    </row>
    <row r="2186" customHeight="1" spans="20:20">
      <c r="T2186"/>
    </row>
    <row r="2187" customHeight="1" spans="20:20">
      <c r="T2187"/>
    </row>
    <row r="2188" customHeight="1" spans="20:20">
      <c r="T2188"/>
    </row>
    <row r="2189" customHeight="1" spans="20:20">
      <c r="T2189"/>
    </row>
    <row r="2190" customHeight="1" spans="20:20">
      <c r="T2190"/>
    </row>
    <row r="2191" customHeight="1" spans="20:20">
      <c r="T2191"/>
    </row>
    <row r="2192" customHeight="1" spans="20:20">
      <c r="T2192"/>
    </row>
    <row r="2193" customHeight="1" spans="20:20">
      <c r="T2193"/>
    </row>
    <row r="2194" customHeight="1" spans="20:20">
      <c r="T2194"/>
    </row>
    <row r="2195" customHeight="1" spans="20:20">
      <c r="T2195"/>
    </row>
    <row r="2196" customHeight="1" spans="20:20">
      <c r="T2196"/>
    </row>
    <row r="2197" customHeight="1" spans="20:20">
      <c r="T2197"/>
    </row>
    <row r="2198" customHeight="1" spans="20:20">
      <c r="T2198"/>
    </row>
    <row r="2199" customHeight="1" spans="20:20">
      <c r="T2199"/>
    </row>
    <row r="2200" customHeight="1" spans="20:20">
      <c r="T2200"/>
    </row>
    <row r="2201" customHeight="1" spans="20:20">
      <c r="T2201"/>
    </row>
    <row r="2202" customHeight="1" spans="20:20">
      <c r="T2202"/>
    </row>
    <row r="2203" customHeight="1" spans="20:20">
      <c r="T2203"/>
    </row>
    <row r="2204" customHeight="1" spans="20:20">
      <c r="T2204"/>
    </row>
    <row r="2205" customHeight="1" spans="20:20">
      <c r="T2205"/>
    </row>
    <row r="2206" customHeight="1" spans="20:20">
      <c r="T2206"/>
    </row>
    <row r="2207" customHeight="1" spans="20:20">
      <c r="T2207"/>
    </row>
    <row r="2208" customHeight="1" spans="20:20">
      <c r="T2208"/>
    </row>
    <row r="2209" customHeight="1" spans="20:20">
      <c r="T2209"/>
    </row>
    <row r="2210" customHeight="1" spans="20:20">
      <c r="T2210"/>
    </row>
    <row r="2211" customHeight="1" spans="20:20">
      <c r="T2211"/>
    </row>
    <row r="2212" customHeight="1" spans="20:20">
      <c r="T2212"/>
    </row>
    <row r="2213" customHeight="1" spans="20:20">
      <c r="T2213"/>
    </row>
    <row r="2214" customHeight="1" spans="20:20">
      <c r="T2214"/>
    </row>
    <row r="2215" customHeight="1" spans="20:20">
      <c r="T2215"/>
    </row>
    <row r="2216" customHeight="1" spans="20:20">
      <c r="T2216"/>
    </row>
    <row r="2217" customHeight="1" spans="20:20">
      <c r="T2217"/>
    </row>
    <row r="2218" customHeight="1" spans="20:20">
      <c r="T2218"/>
    </row>
    <row r="2219" customHeight="1" spans="20:20">
      <c r="T2219"/>
    </row>
    <row r="2220" customHeight="1" spans="20:20">
      <c r="T2220"/>
    </row>
    <row r="2221" customHeight="1" spans="20:20">
      <c r="T2221"/>
    </row>
    <row r="2222" customHeight="1" spans="20:20">
      <c r="T2222"/>
    </row>
    <row r="2223" customHeight="1" spans="20:20">
      <c r="T2223"/>
    </row>
    <row r="2224" customHeight="1" spans="20:20">
      <c r="T2224"/>
    </row>
    <row r="2225" customHeight="1" spans="20:20">
      <c r="T2225"/>
    </row>
    <row r="2226" customHeight="1" spans="20:20">
      <c r="T2226"/>
    </row>
    <row r="2227" customHeight="1" spans="20:20">
      <c r="T2227"/>
    </row>
    <row r="2228" customHeight="1" spans="20:20">
      <c r="T2228"/>
    </row>
    <row r="2229" customHeight="1" spans="20:20">
      <c r="T2229"/>
    </row>
    <row r="2230" customHeight="1" spans="20:20">
      <c r="T2230"/>
    </row>
    <row r="2231" customHeight="1" spans="20:20">
      <c r="T2231"/>
    </row>
    <row r="2232" customHeight="1" spans="20:20">
      <c r="T2232"/>
    </row>
    <row r="2233" customHeight="1" spans="20:20">
      <c r="T2233"/>
    </row>
    <row r="2234" customHeight="1" spans="20:20">
      <c r="T2234"/>
    </row>
    <row r="2235" customHeight="1" spans="20:20">
      <c r="T2235"/>
    </row>
    <row r="2236" customHeight="1" spans="20:20">
      <c r="T2236"/>
    </row>
    <row r="2237" customHeight="1" spans="20:20">
      <c r="T2237"/>
    </row>
    <row r="2238" customHeight="1" spans="20:20">
      <c r="T2238"/>
    </row>
    <row r="2239" customHeight="1" spans="20:20">
      <c r="T2239"/>
    </row>
    <row r="2240" customHeight="1" spans="20:20">
      <c r="T2240"/>
    </row>
    <row r="2241" customHeight="1" spans="20:20">
      <c r="T2241"/>
    </row>
    <row r="2242" customHeight="1" spans="20:20">
      <c r="T2242"/>
    </row>
    <row r="2243" customHeight="1" spans="20:20">
      <c r="T2243"/>
    </row>
    <row r="2244" customHeight="1" spans="20:20">
      <c r="T2244"/>
    </row>
    <row r="2245" customHeight="1" spans="20:20">
      <c r="T2245"/>
    </row>
    <row r="2246" customHeight="1" spans="20:20">
      <c r="T2246"/>
    </row>
    <row r="2247" customHeight="1" spans="20:20">
      <c r="T2247"/>
    </row>
    <row r="2248" customHeight="1" spans="20:20">
      <c r="T2248"/>
    </row>
    <row r="2249" customHeight="1" spans="20:20">
      <c r="T2249"/>
    </row>
    <row r="2250" customHeight="1" spans="20:20">
      <c r="T2250"/>
    </row>
    <row r="2251" customHeight="1" spans="20:20">
      <c r="T2251"/>
    </row>
    <row r="2252" customHeight="1" spans="20:20">
      <c r="T2252"/>
    </row>
    <row r="2253" customHeight="1" spans="20:20">
      <c r="T2253"/>
    </row>
    <row r="2254" customHeight="1" spans="20:20">
      <c r="T2254"/>
    </row>
    <row r="2255" customHeight="1" spans="20:20">
      <c r="T2255"/>
    </row>
    <row r="2256" customHeight="1" spans="20:20">
      <c r="T2256"/>
    </row>
    <row r="2257" customHeight="1" spans="20:20">
      <c r="T2257"/>
    </row>
    <row r="2258" customHeight="1" spans="20:20">
      <c r="T2258"/>
    </row>
    <row r="2259" customHeight="1" spans="20:20">
      <c r="T2259"/>
    </row>
    <row r="2260" customHeight="1" spans="20:20">
      <c r="T2260"/>
    </row>
    <row r="2261" customHeight="1" spans="20:20">
      <c r="T2261"/>
    </row>
    <row r="2262" customHeight="1" spans="20:20">
      <c r="T2262"/>
    </row>
    <row r="2263" customHeight="1" spans="20:20">
      <c r="T2263"/>
    </row>
    <row r="2264" customHeight="1" spans="20:20">
      <c r="T2264"/>
    </row>
    <row r="2265" customHeight="1" spans="20:20">
      <c r="T2265"/>
    </row>
    <row r="2266" customHeight="1" spans="20:20">
      <c r="T2266"/>
    </row>
    <row r="2267" customHeight="1" spans="20:20">
      <c r="T2267"/>
    </row>
    <row r="2268" customHeight="1" spans="20:20">
      <c r="T2268"/>
    </row>
    <row r="2269" customHeight="1" spans="20:20">
      <c r="T2269"/>
    </row>
    <row r="2270" customHeight="1" spans="20:20">
      <c r="T2270"/>
    </row>
    <row r="2271" customHeight="1" spans="20:20">
      <c r="T2271"/>
    </row>
    <row r="2272" customHeight="1" spans="20:20">
      <c r="T2272"/>
    </row>
    <row r="2273" customHeight="1" spans="20:20">
      <c r="T2273"/>
    </row>
    <row r="2274" customHeight="1" spans="20:20">
      <c r="T2274"/>
    </row>
    <row r="2275" customHeight="1" spans="20:20">
      <c r="T2275"/>
    </row>
    <row r="2276" customHeight="1" spans="20:20">
      <c r="T2276"/>
    </row>
    <row r="2277" customHeight="1" spans="20:20">
      <c r="T2277"/>
    </row>
    <row r="2278" customHeight="1" spans="20:20">
      <c r="T2278"/>
    </row>
    <row r="2279" customHeight="1" spans="20:20">
      <c r="T2279"/>
    </row>
    <row r="2280" customHeight="1" spans="20:20">
      <c r="T2280"/>
    </row>
    <row r="2281" customHeight="1" spans="20:20">
      <c r="T2281"/>
    </row>
    <row r="2282" customHeight="1" spans="20:20">
      <c r="T2282"/>
    </row>
    <row r="2283" customHeight="1" spans="20:20">
      <c r="T2283"/>
    </row>
    <row r="2284" customHeight="1" spans="20:20">
      <c r="T2284"/>
    </row>
    <row r="2285" customHeight="1" spans="20:20">
      <c r="T2285"/>
    </row>
    <row r="2286" customHeight="1" spans="20:20">
      <c r="T2286"/>
    </row>
    <row r="2287" customHeight="1" spans="20:20">
      <c r="T2287"/>
    </row>
    <row r="2288" customHeight="1" spans="20:20">
      <c r="T2288"/>
    </row>
    <row r="2289" customHeight="1" spans="20:20">
      <c r="T2289"/>
    </row>
    <row r="2290" customHeight="1" spans="20:20">
      <c r="T2290"/>
    </row>
    <row r="2291" customHeight="1" spans="20:20">
      <c r="T2291"/>
    </row>
    <row r="2292" customHeight="1" spans="20:20">
      <c r="T2292"/>
    </row>
    <row r="2293" customHeight="1" spans="20:20">
      <c r="T2293"/>
    </row>
    <row r="2294" customHeight="1" spans="20:20">
      <c r="T2294"/>
    </row>
    <row r="2295" customHeight="1" spans="20:20">
      <c r="T2295"/>
    </row>
    <row r="2296" customHeight="1" spans="20:20">
      <c r="T2296"/>
    </row>
    <row r="2297" customHeight="1" spans="20:20">
      <c r="T2297"/>
    </row>
    <row r="2298" customHeight="1" spans="20:20">
      <c r="T2298"/>
    </row>
    <row r="2299" customHeight="1" spans="20:20">
      <c r="T2299"/>
    </row>
    <row r="2300" customHeight="1" spans="20:20">
      <c r="T2300"/>
    </row>
    <row r="2301" customHeight="1" spans="20:20">
      <c r="T2301"/>
    </row>
    <row r="2302" customHeight="1" spans="20:20">
      <c r="T2302"/>
    </row>
    <row r="2303" customHeight="1" spans="20:20">
      <c r="T2303"/>
    </row>
    <row r="2304" customHeight="1" spans="20:20">
      <c r="T2304"/>
    </row>
    <row r="2305" customHeight="1" spans="20:20">
      <c r="T2305"/>
    </row>
    <row r="2306" customHeight="1" spans="20:20">
      <c r="T2306"/>
    </row>
    <row r="2307" customHeight="1" spans="20:20">
      <c r="T2307"/>
    </row>
    <row r="2308" customHeight="1" spans="20:20">
      <c r="T2308"/>
    </row>
    <row r="2309" customHeight="1" spans="20:20">
      <c r="T2309"/>
    </row>
    <row r="2310" customHeight="1" spans="20:20">
      <c r="T2310"/>
    </row>
    <row r="2311" customHeight="1" spans="20:20">
      <c r="T2311"/>
    </row>
    <row r="2312" customHeight="1" spans="20:20">
      <c r="T2312"/>
    </row>
    <row r="2313" customHeight="1" spans="20:20">
      <c r="T2313"/>
    </row>
    <row r="2314" customHeight="1" spans="20:20">
      <c r="T2314"/>
    </row>
    <row r="2315" customHeight="1" spans="20:20">
      <c r="T2315"/>
    </row>
    <row r="2316" customHeight="1" spans="20:20">
      <c r="T2316"/>
    </row>
    <row r="2317" customHeight="1" spans="20:20">
      <c r="T2317"/>
    </row>
    <row r="2318" customHeight="1" spans="20:20">
      <c r="T2318"/>
    </row>
    <row r="2319" customHeight="1" spans="20:20">
      <c r="T2319"/>
    </row>
    <row r="2320" customHeight="1" spans="20:20">
      <c r="T2320"/>
    </row>
    <row r="2321" customHeight="1" spans="20:20">
      <c r="T2321"/>
    </row>
    <row r="2322" customHeight="1" spans="20:20">
      <c r="T2322"/>
    </row>
    <row r="2323" customHeight="1" spans="20:20">
      <c r="T2323"/>
    </row>
    <row r="2324" customHeight="1" spans="20:20">
      <c r="T2324"/>
    </row>
    <row r="2325" customHeight="1" spans="20:20">
      <c r="T2325"/>
    </row>
    <row r="2326" customHeight="1" spans="20:20">
      <c r="T2326"/>
    </row>
    <row r="2327" customHeight="1" spans="20:20">
      <c r="T2327"/>
    </row>
    <row r="2328" customHeight="1" spans="20:20">
      <c r="T2328"/>
    </row>
    <row r="2329" customHeight="1" spans="20:20">
      <c r="T2329"/>
    </row>
    <row r="2330" customHeight="1" spans="20:20">
      <c r="T2330"/>
    </row>
    <row r="2331" customHeight="1" spans="20:20">
      <c r="T2331"/>
    </row>
    <row r="2332" customHeight="1" spans="20:20">
      <c r="T2332"/>
    </row>
    <row r="2333" customHeight="1" spans="20:20">
      <c r="T2333"/>
    </row>
    <row r="2334" customHeight="1" spans="20:20">
      <c r="T2334"/>
    </row>
    <row r="2335" customHeight="1" spans="20:20">
      <c r="T2335"/>
    </row>
    <row r="2336" customHeight="1" spans="20:20">
      <c r="T2336"/>
    </row>
    <row r="2337" customHeight="1" spans="20:20">
      <c r="T2337"/>
    </row>
    <row r="2338" customHeight="1" spans="20:20">
      <c r="T2338"/>
    </row>
    <row r="2339" customHeight="1" spans="20:20">
      <c r="T2339"/>
    </row>
    <row r="2340" customHeight="1" spans="20:20">
      <c r="T2340"/>
    </row>
    <row r="2341" customHeight="1" spans="20:20">
      <c r="T2341"/>
    </row>
    <row r="2342" customHeight="1" spans="20:20">
      <c r="T2342"/>
    </row>
    <row r="2343" customHeight="1" spans="20:20">
      <c r="T2343"/>
    </row>
    <row r="2344" customHeight="1" spans="20:20">
      <c r="T2344"/>
    </row>
    <row r="2345" customHeight="1" spans="20:20">
      <c r="T2345"/>
    </row>
    <row r="2346" customHeight="1" spans="20:20">
      <c r="T2346"/>
    </row>
    <row r="2347" customHeight="1" spans="20:20">
      <c r="T2347"/>
    </row>
    <row r="2348" customHeight="1" spans="20:20">
      <c r="T2348"/>
    </row>
    <row r="2349" customHeight="1" spans="20:20">
      <c r="T2349"/>
    </row>
    <row r="2350" customHeight="1" spans="20:20">
      <c r="T2350"/>
    </row>
    <row r="2351" customHeight="1" spans="20:20">
      <c r="T2351"/>
    </row>
    <row r="2352" customHeight="1" spans="20:20">
      <c r="T2352"/>
    </row>
    <row r="2353" customHeight="1" spans="20:20">
      <c r="T2353"/>
    </row>
    <row r="2354" customHeight="1" spans="20:20">
      <c r="T2354"/>
    </row>
    <row r="2355" customHeight="1" spans="20:20">
      <c r="T2355"/>
    </row>
    <row r="2356" customHeight="1" spans="20:20">
      <c r="T2356"/>
    </row>
    <row r="2357" customHeight="1" spans="20:20">
      <c r="T2357"/>
    </row>
    <row r="2358" customHeight="1" spans="20:20">
      <c r="T2358"/>
    </row>
    <row r="2359" customHeight="1" spans="20:20">
      <c r="T2359"/>
    </row>
    <row r="2360" customHeight="1" spans="20:20">
      <c r="T2360"/>
    </row>
    <row r="2361" customHeight="1" spans="20:20">
      <c r="T2361"/>
    </row>
    <row r="2362" customHeight="1" spans="20:20">
      <c r="T2362"/>
    </row>
    <row r="2363" customHeight="1" spans="20:20">
      <c r="T2363"/>
    </row>
    <row r="2364" customHeight="1" spans="20:20">
      <c r="T2364"/>
    </row>
    <row r="2365" customHeight="1" spans="20:20">
      <c r="T2365"/>
    </row>
    <row r="2366" customHeight="1" spans="20:20">
      <c r="T2366"/>
    </row>
    <row r="2367" customHeight="1" spans="20:20">
      <c r="T2367"/>
    </row>
    <row r="2368" customHeight="1" spans="20:20">
      <c r="T2368"/>
    </row>
    <row r="2369" customHeight="1" spans="20:20">
      <c r="T2369"/>
    </row>
    <row r="2370" customHeight="1" spans="20:20">
      <c r="T2370"/>
    </row>
    <row r="2371" customHeight="1" spans="20:20">
      <c r="T2371"/>
    </row>
    <row r="2372" customHeight="1" spans="20:20">
      <c r="T2372"/>
    </row>
    <row r="2373" customHeight="1" spans="20:20">
      <c r="T2373"/>
    </row>
    <row r="2374" customHeight="1" spans="20:20">
      <c r="T2374"/>
    </row>
    <row r="2375" customHeight="1" spans="20:20">
      <c r="T2375"/>
    </row>
    <row r="2376" customHeight="1" spans="20:20">
      <c r="T2376"/>
    </row>
    <row r="2377" customHeight="1" spans="20:20">
      <c r="T2377"/>
    </row>
    <row r="2378" customHeight="1" spans="20:20">
      <c r="T2378"/>
    </row>
    <row r="2379" customHeight="1" spans="20:20">
      <c r="T2379"/>
    </row>
    <row r="2380" customHeight="1" spans="20:20">
      <c r="T2380"/>
    </row>
    <row r="2381" customHeight="1" spans="20:20">
      <c r="T2381"/>
    </row>
    <row r="2382" customHeight="1" spans="20:20">
      <c r="T2382"/>
    </row>
    <row r="2383" customHeight="1" spans="20:20">
      <c r="T2383"/>
    </row>
    <row r="2384" customHeight="1" spans="20:20">
      <c r="T2384"/>
    </row>
    <row r="2385" customHeight="1" spans="20:20">
      <c r="T2385"/>
    </row>
    <row r="2386" customHeight="1" spans="20:20">
      <c r="T2386"/>
    </row>
    <row r="2387" customHeight="1" spans="20:20">
      <c r="T2387"/>
    </row>
    <row r="2388" customHeight="1" spans="20:20">
      <c r="T2388"/>
    </row>
    <row r="2389" customHeight="1" spans="20:20">
      <c r="T2389"/>
    </row>
    <row r="2390" customHeight="1" spans="20:20">
      <c r="T2390"/>
    </row>
    <row r="2391" customHeight="1" spans="20:20">
      <c r="T2391"/>
    </row>
    <row r="2392" customHeight="1" spans="20:20">
      <c r="T2392"/>
    </row>
    <row r="2393" customHeight="1" spans="20:20">
      <c r="T2393"/>
    </row>
    <row r="2394" customHeight="1" spans="20:20">
      <c r="T2394"/>
    </row>
    <row r="2395" customHeight="1" spans="20:20">
      <c r="T2395"/>
    </row>
    <row r="2396" customHeight="1" spans="20:20">
      <c r="T2396"/>
    </row>
    <row r="2397" customHeight="1" spans="20:20">
      <c r="T2397"/>
    </row>
    <row r="2398" customHeight="1" spans="20:20">
      <c r="T2398"/>
    </row>
    <row r="2399" customHeight="1" spans="20:20">
      <c r="T2399"/>
    </row>
    <row r="2400" customHeight="1" spans="20:20">
      <c r="T2400"/>
    </row>
    <row r="2401" customHeight="1" spans="20:20">
      <c r="T2401"/>
    </row>
    <row r="2402" customHeight="1" spans="20:20">
      <c r="T2402"/>
    </row>
    <row r="2403" customHeight="1" spans="20:20">
      <c r="T2403"/>
    </row>
    <row r="2404" customHeight="1" spans="20:20">
      <c r="T2404"/>
    </row>
    <row r="2405" customHeight="1" spans="20:20">
      <c r="T2405"/>
    </row>
    <row r="2406" customHeight="1" spans="20:20">
      <c r="T2406"/>
    </row>
    <row r="2407" customHeight="1" spans="20:20">
      <c r="T2407"/>
    </row>
    <row r="2408" customHeight="1" spans="20:20">
      <c r="T2408"/>
    </row>
    <row r="2409" customHeight="1" spans="20:20">
      <c r="T2409"/>
    </row>
    <row r="2410" customHeight="1" spans="20:20">
      <c r="T2410"/>
    </row>
    <row r="2411" customHeight="1" spans="20:20">
      <c r="T2411"/>
    </row>
    <row r="2412" customHeight="1" spans="20:20">
      <c r="T2412"/>
    </row>
    <row r="2413" customHeight="1" spans="20:20">
      <c r="T2413"/>
    </row>
    <row r="2414" customHeight="1" spans="20:20">
      <c r="T2414"/>
    </row>
    <row r="2415" customHeight="1" spans="20:20">
      <c r="T2415"/>
    </row>
    <row r="2416" customHeight="1" spans="20:20">
      <c r="T2416"/>
    </row>
    <row r="2417" customHeight="1" spans="20:20">
      <c r="T2417"/>
    </row>
    <row r="2418" customHeight="1" spans="20:20">
      <c r="T2418"/>
    </row>
    <row r="2419" customHeight="1" spans="20:20">
      <c r="T2419"/>
    </row>
    <row r="2420" customHeight="1" spans="20:20">
      <c r="T2420"/>
    </row>
    <row r="2421" customHeight="1" spans="20:20">
      <c r="T2421"/>
    </row>
    <row r="2422" customHeight="1" spans="20:20">
      <c r="T2422"/>
    </row>
    <row r="2423" customHeight="1" spans="20:20">
      <c r="T2423"/>
    </row>
    <row r="2424" customHeight="1" spans="20:20">
      <c r="T2424"/>
    </row>
    <row r="2425" customHeight="1" spans="20:20">
      <c r="T2425"/>
    </row>
    <row r="2426" customHeight="1" spans="20:20">
      <c r="T2426"/>
    </row>
    <row r="2427" customHeight="1" spans="20:20">
      <c r="T2427"/>
    </row>
    <row r="2428" customHeight="1" spans="20:20">
      <c r="T2428"/>
    </row>
    <row r="2429" customHeight="1" spans="20:20">
      <c r="T2429"/>
    </row>
    <row r="2430" customHeight="1" spans="20:20">
      <c r="T2430"/>
    </row>
    <row r="2431" customHeight="1" spans="20:20">
      <c r="T2431"/>
    </row>
    <row r="2432" customHeight="1" spans="20:20">
      <c r="T2432"/>
    </row>
    <row r="2433" customHeight="1" spans="20:20">
      <c r="T2433"/>
    </row>
    <row r="2434" customHeight="1" spans="20:20">
      <c r="T2434"/>
    </row>
    <row r="2435" customHeight="1" spans="20:20">
      <c r="T2435"/>
    </row>
    <row r="2436" customHeight="1" spans="20:20">
      <c r="T2436"/>
    </row>
    <row r="2437" customHeight="1" spans="20:20">
      <c r="T2437"/>
    </row>
    <row r="2438" customHeight="1" spans="20:20">
      <c r="T2438"/>
    </row>
    <row r="2439" customHeight="1" spans="20:20">
      <c r="T2439"/>
    </row>
    <row r="2440" customHeight="1" spans="20:20">
      <c r="T2440"/>
    </row>
    <row r="2441" customHeight="1" spans="20:20">
      <c r="T2441"/>
    </row>
    <row r="2442" customHeight="1" spans="20:20">
      <c r="T2442"/>
    </row>
    <row r="2443" customHeight="1" spans="20:20">
      <c r="T2443"/>
    </row>
    <row r="2444" customHeight="1" spans="20:20">
      <c r="T2444"/>
    </row>
    <row r="2445" customHeight="1" spans="20:20">
      <c r="T2445"/>
    </row>
    <row r="2446" customHeight="1" spans="20:20">
      <c r="T2446"/>
    </row>
    <row r="2447" customHeight="1" spans="20:20">
      <c r="T2447"/>
    </row>
    <row r="2448" customHeight="1" spans="20:20">
      <c r="T2448"/>
    </row>
    <row r="2449" customHeight="1" spans="20:20">
      <c r="T2449"/>
    </row>
    <row r="2450" customHeight="1" spans="20:20">
      <c r="T2450"/>
    </row>
    <row r="2451" customHeight="1" spans="20:20">
      <c r="T2451"/>
    </row>
    <row r="2452" customHeight="1" spans="20:20">
      <c r="T2452"/>
    </row>
    <row r="2453" customHeight="1" spans="20:20">
      <c r="T2453"/>
    </row>
    <row r="2454" customHeight="1" spans="20:20">
      <c r="T2454"/>
    </row>
    <row r="2455" customHeight="1" spans="20:20">
      <c r="T2455"/>
    </row>
  </sheetData>
  <mergeCells count="28">
    <mergeCell ref="A51:C51"/>
    <mergeCell ref="A5:A9"/>
    <mergeCell ref="A10:A12"/>
    <mergeCell ref="A13:A14"/>
    <mergeCell ref="A15:A16"/>
    <mergeCell ref="A17:A19"/>
    <mergeCell ref="A20:A22"/>
    <mergeCell ref="A23:A26"/>
    <mergeCell ref="A27:A30"/>
    <mergeCell ref="A31:A33"/>
    <mergeCell ref="A34:A36"/>
    <mergeCell ref="A37:A40"/>
    <mergeCell ref="A41:A43"/>
    <mergeCell ref="A44:A47"/>
    <mergeCell ref="A48:A50"/>
    <mergeCell ref="B5:B7"/>
    <mergeCell ref="B10:B11"/>
    <mergeCell ref="B17:B18"/>
    <mergeCell ref="B20:B21"/>
    <mergeCell ref="B23:B25"/>
    <mergeCell ref="B27:B29"/>
    <mergeCell ref="B31:B32"/>
    <mergeCell ref="B34:B35"/>
    <mergeCell ref="B37:B39"/>
    <mergeCell ref="B41:B42"/>
    <mergeCell ref="B44:B45"/>
    <mergeCell ref="B48:B49"/>
    <mergeCell ref="C1:R2"/>
  </mergeCells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41"/>
  <sheetViews>
    <sheetView workbookViewId="0">
      <pane ySplit="1" topLeftCell="A6" activePane="bottomLeft" state="frozen"/>
      <selection/>
      <selection pane="bottomLeft" activeCell="M24" sqref="M24"/>
    </sheetView>
  </sheetViews>
  <sheetFormatPr defaultColWidth="9" defaultRowHeight="20" customHeight="1"/>
  <cols>
    <col min="1" max="1" width="30.8796296296296" style="22" customWidth="1"/>
    <col min="2" max="2" width="7" style="22" customWidth="1"/>
    <col min="3" max="3" width="21.25" style="22" customWidth="1"/>
    <col min="4" max="4" width="20.6296296296296" style="22" customWidth="1"/>
    <col min="5" max="5" width="8.87962962962963" style="24" customWidth="1"/>
    <col min="6" max="6" width="22.6018518518519" style="22" customWidth="1"/>
    <col min="7" max="7" width="15.3240740740741" style="22" customWidth="1"/>
    <col min="8" max="8" width="12.1296296296296" style="25" customWidth="1"/>
    <col min="9" max="9" width="8.87962962962963" style="22" customWidth="1"/>
    <col min="10" max="11" width="8.12962962962963" style="22" customWidth="1"/>
    <col min="12" max="12" width="5.12962962962963" style="22" customWidth="1"/>
    <col min="13" max="13" width="8.12962962962963" style="22" customWidth="1"/>
    <col min="14" max="14" width="22.25" style="22" customWidth="1"/>
    <col min="15" max="15" width="12.1296296296296" style="26"/>
    <col min="16" max="16384" width="9" style="22"/>
  </cols>
  <sheetData>
    <row r="1" s="22" customFormat="1" customHeight="1" spans="1:15">
      <c r="A1" s="27" t="s">
        <v>194</v>
      </c>
      <c r="B1" s="27" t="s">
        <v>188</v>
      </c>
      <c r="C1" s="27" t="s">
        <v>190</v>
      </c>
      <c r="D1" s="27" t="s">
        <v>192</v>
      </c>
      <c r="E1" s="27" t="s">
        <v>346</v>
      </c>
      <c r="F1" s="28" t="s">
        <v>193</v>
      </c>
      <c r="G1" s="28" t="s">
        <v>347</v>
      </c>
      <c r="H1" s="29" t="s">
        <v>348</v>
      </c>
      <c r="I1" s="35" t="s">
        <v>350</v>
      </c>
      <c r="J1" s="35" t="s">
        <v>356</v>
      </c>
      <c r="K1" s="35" t="s">
        <v>357</v>
      </c>
      <c r="L1" s="35" t="s">
        <v>358</v>
      </c>
      <c r="M1" s="35" t="s">
        <v>359</v>
      </c>
      <c r="N1" s="35" t="s">
        <v>191</v>
      </c>
      <c r="O1" s="36" t="s">
        <v>349</v>
      </c>
    </row>
    <row r="2" s="23" customFormat="1" customHeight="1" spans="1:15">
      <c r="A2" s="4" t="s">
        <v>234</v>
      </c>
      <c r="B2" s="3" t="s">
        <v>230</v>
      </c>
      <c r="C2" s="3" t="s">
        <v>231</v>
      </c>
      <c r="D2" s="3" t="s">
        <v>232</v>
      </c>
      <c r="E2" s="3" t="str">
        <f>_xlfn.DISPIMG("ID_FD1E5446828640A698ED9A15562EB3B3",1)</f>
        <v>=DISPIMG("ID_FD1E5446828640A698ED9A15562EB3B3",1)</v>
      </c>
      <c r="F2" s="30" t="s">
        <v>233</v>
      </c>
      <c r="G2" s="3" t="s">
        <v>585</v>
      </c>
      <c r="H2" s="31">
        <v>44666</v>
      </c>
      <c r="I2" s="3" t="s">
        <v>586</v>
      </c>
      <c r="J2" s="3">
        <v>2869</v>
      </c>
      <c r="K2" s="3">
        <v>877</v>
      </c>
      <c r="L2" s="3">
        <v>130</v>
      </c>
      <c r="M2" s="3">
        <f>L2+K2+J2</f>
        <v>3876</v>
      </c>
      <c r="N2" s="3" t="s">
        <v>232</v>
      </c>
      <c r="O2" s="37" t="s">
        <v>15</v>
      </c>
    </row>
    <row r="3" s="23" customFormat="1" customHeight="1" spans="1:15">
      <c r="A3" s="4" t="s">
        <v>400</v>
      </c>
      <c r="B3" s="3" t="s">
        <v>195</v>
      </c>
      <c r="C3" s="3" t="s">
        <v>587</v>
      </c>
      <c r="D3" s="3" t="s">
        <v>212</v>
      </c>
      <c r="E3" s="3" t="str">
        <f>_xlfn.DISPIMG("ID_BDB217567455424EA2AB37CE6D629D1B",1)</f>
        <v>=DISPIMG("ID_BDB217567455424EA2AB37CE6D629D1B",1)</v>
      </c>
      <c r="F3" s="32" t="s">
        <v>588</v>
      </c>
      <c r="G3" s="3" t="s">
        <v>589</v>
      </c>
      <c r="H3" s="31">
        <v>44655</v>
      </c>
      <c r="I3" s="3" t="s">
        <v>590</v>
      </c>
      <c r="J3" s="3">
        <v>5376</v>
      </c>
      <c r="K3" s="3">
        <v>4363</v>
      </c>
      <c r="L3" s="3">
        <v>102</v>
      </c>
      <c r="M3" s="3">
        <f>L3+K3+J3</f>
        <v>9841</v>
      </c>
      <c r="N3" s="3" t="s">
        <v>212</v>
      </c>
      <c r="O3" s="37" t="s">
        <v>15</v>
      </c>
    </row>
    <row r="4" s="23" customFormat="1" customHeight="1" spans="1:15">
      <c r="A4" s="4" t="s">
        <v>312</v>
      </c>
      <c r="B4" s="3" t="s">
        <v>195</v>
      </c>
      <c r="C4" s="3" t="s">
        <v>309</v>
      </c>
      <c r="D4" s="3" t="s">
        <v>310</v>
      </c>
      <c r="E4" s="3" t="str">
        <f>_xlfn.DISPIMG("ID_F115B044F3034B3191C6E3894CEBD8BA",1)</f>
        <v>=DISPIMG("ID_F115B044F3034B3191C6E3894CEBD8BA",1)</v>
      </c>
      <c r="F4" s="30" t="s">
        <v>591</v>
      </c>
      <c r="G4" s="3" t="s">
        <v>592</v>
      </c>
      <c r="H4" s="31">
        <v>44462</v>
      </c>
      <c r="I4" s="3" t="s">
        <v>590</v>
      </c>
      <c r="J4" s="3">
        <v>17000</v>
      </c>
      <c r="K4" s="3">
        <v>11000</v>
      </c>
      <c r="L4" s="3">
        <v>170</v>
      </c>
      <c r="M4" s="3">
        <f>L4+K4+J4</f>
        <v>28170</v>
      </c>
      <c r="N4" s="3" t="s">
        <v>212</v>
      </c>
      <c r="O4" s="37" t="s">
        <v>15</v>
      </c>
    </row>
    <row r="5" s="23" customFormat="1" customHeight="1" spans="1:15">
      <c r="A5" s="4" t="s">
        <v>593</v>
      </c>
      <c r="B5" s="3" t="s">
        <v>195</v>
      </c>
      <c r="C5" s="3" t="s">
        <v>594</v>
      </c>
      <c r="D5" s="3" t="s">
        <v>310</v>
      </c>
      <c r="E5" s="3" t="str">
        <f>_xlfn.DISPIMG("ID_81EA84F6A5DD47168703DE549BC8C306",1)</f>
        <v>=DISPIMG("ID_81EA84F6A5DD47168703DE549BC8C306",1)</v>
      </c>
      <c r="F5" s="32" t="s">
        <v>595</v>
      </c>
      <c r="G5" s="3" t="s">
        <v>596</v>
      </c>
      <c r="H5" s="31">
        <v>44627</v>
      </c>
      <c r="I5" s="3" t="s">
        <v>590</v>
      </c>
      <c r="J5" s="3"/>
      <c r="K5" s="3"/>
      <c r="L5" s="3"/>
      <c r="M5" s="3"/>
      <c r="N5" s="3" t="s">
        <v>212</v>
      </c>
      <c r="O5" s="37" t="s">
        <v>15</v>
      </c>
    </row>
    <row r="6" s="23" customFormat="1" customHeight="1" spans="1:15">
      <c r="A6" s="4" t="s">
        <v>597</v>
      </c>
      <c r="B6" s="3" t="s">
        <v>195</v>
      </c>
      <c r="C6" s="3" t="s">
        <v>598</v>
      </c>
      <c r="D6" s="3" t="s">
        <v>199</v>
      </c>
      <c r="E6" s="3" t="str">
        <f>_xlfn.DISPIMG("ID_E2C55FBB8B954C29919FF7DA35851531",1)</f>
        <v>=DISPIMG("ID_E2C55FBB8B954C29919FF7DA35851531",1)</v>
      </c>
      <c r="F6" s="30" t="s">
        <v>599</v>
      </c>
      <c r="G6" t="s">
        <v>600</v>
      </c>
      <c r="H6" s="31">
        <v>44431</v>
      </c>
      <c r="I6" s="3" t="s">
        <v>590</v>
      </c>
      <c r="J6" s="3"/>
      <c r="K6" s="3"/>
      <c r="L6" s="3"/>
      <c r="M6" s="3"/>
      <c r="N6" s="3" t="s">
        <v>212</v>
      </c>
      <c r="O6" s="37" t="s">
        <v>15</v>
      </c>
    </row>
    <row r="7" s="23" customFormat="1" customHeight="1" spans="1:15">
      <c r="A7" s="4" t="s">
        <v>601</v>
      </c>
      <c r="B7" s="3" t="s">
        <v>195</v>
      </c>
      <c r="C7" s="3" t="s">
        <v>602</v>
      </c>
      <c r="D7" s="3" t="s">
        <v>310</v>
      </c>
      <c r="E7" s="3" t="str">
        <f>_xlfn.DISPIMG("ID_B96B2383B4074CD0AB4378BA2D2DCF1E",1)</f>
        <v>=DISPIMG("ID_B96B2383B4074CD0AB4378BA2D2DCF1E",1)</v>
      </c>
      <c r="F7" s="32" t="s">
        <v>603</v>
      </c>
      <c r="G7" t="s">
        <v>604</v>
      </c>
      <c r="H7" s="31">
        <v>44494</v>
      </c>
      <c r="I7" s="3" t="s">
        <v>590</v>
      </c>
      <c r="J7" s="3"/>
      <c r="K7" s="3"/>
      <c r="L7" s="3"/>
      <c r="M7" s="3"/>
      <c r="N7" s="3" t="s">
        <v>212</v>
      </c>
      <c r="O7" s="37" t="s">
        <v>15</v>
      </c>
    </row>
    <row r="8" s="23" customFormat="1" customHeight="1" spans="1:15">
      <c r="A8" s="4" t="s">
        <v>605</v>
      </c>
      <c r="B8" s="3" t="s">
        <v>230</v>
      </c>
      <c r="C8" s="3" t="s">
        <v>606</v>
      </c>
      <c r="D8" s="3" t="s">
        <v>607</v>
      </c>
      <c r="E8" s="3" t="str">
        <f>_xlfn.DISPIMG("ID_5E6592E46EC14C249B6979B077B26B2B",1)</f>
        <v>=DISPIMG("ID_5E6592E46EC14C249B6979B077B26B2B",1)</v>
      </c>
      <c r="F8" s="30" t="s">
        <v>608</v>
      </c>
      <c r="G8" t="s">
        <v>609</v>
      </c>
      <c r="H8" s="31">
        <v>44500</v>
      </c>
      <c r="I8" s="3" t="s">
        <v>590</v>
      </c>
      <c r="J8" s="3"/>
      <c r="K8" s="3"/>
      <c r="L8" s="3"/>
      <c r="M8" s="3"/>
      <c r="N8" s="3" t="s">
        <v>232</v>
      </c>
      <c r="O8" s="37" t="s">
        <v>15</v>
      </c>
    </row>
    <row r="9" s="23" customFormat="1" customHeight="1" spans="1:15">
      <c r="A9" s="4" t="s">
        <v>610</v>
      </c>
      <c r="B9" s="3" t="s">
        <v>230</v>
      </c>
      <c r="C9" s="3" t="s">
        <v>611</v>
      </c>
      <c r="D9" s="3" t="s">
        <v>232</v>
      </c>
      <c r="E9" s="3" t="str">
        <f>_xlfn.DISPIMG("ID_FB59FC03F79F490DAC025E833FC82DF9",1)</f>
        <v>=DISPIMG("ID_FB59FC03F79F490DAC025E833FC82DF9",1)</v>
      </c>
      <c r="F9" s="32" t="s">
        <v>612</v>
      </c>
      <c r="G9" s="3" t="s">
        <v>613</v>
      </c>
      <c r="H9" s="31">
        <v>44634</v>
      </c>
      <c r="I9" s="3" t="s">
        <v>586</v>
      </c>
      <c r="J9" s="3"/>
      <c r="K9" s="3"/>
      <c r="L9" s="3"/>
      <c r="M9" s="3"/>
      <c r="N9" s="3" t="s">
        <v>232</v>
      </c>
      <c r="O9" s="37" t="s">
        <v>15</v>
      </c>
    </row>
    <row r="10" s="23" customFormat="1" customHeight="1" spans="1:15">
      <c r="A10" s="4" t="s">
        <v>614</v>
      </c>
      <c r="B10" s="3" t="s">
        <v>230</v>
      </c>
      <c r="C10" s="3" t="s">
        <v>615</v>
      </c>
      <c r="D10" s="3" t="s">
        <v>232</v>
      </c>
      <c r="E10" s="3" t="str">
        <f>_xlfn.DISPIMG("ID_98FD6898D8B14D548F8BEF07F6F369F0",1)</f>
        <v>=DISPIMG("ID_98FD6898D8B14D548F8BEF07F6F369F0",1)</v>
      </c>
      <c r="F10" s="30" t="s">
        <v>616</v>
      </c>
      <c r="G10" t="s">
        <v>617</v>
      </c>
      <c r="H10" s="31">
        <v>44445</v>
      </c>
      <c r="I10" s="3" t="s">
        <v>590</v>
      </c>
      <c r="J10" s="3"/>
      <c r="K10" s="3"/>
      <c r="L10" s="3"/>
      <c r="M10" s="3"/>
      <c r="N10" s="3" t="s">
        <v>232</v>
      </c>
      <c r="O10" s="37" t="s">
        <v>15</v>
      </c>
    </row>
    <row r="11" s="23" customFormat="1" customHeight="1" spans="1:15">
      <c r="A11" s="4" t="s">
        <v>618</v>
      </c>
      <c r="B11" s="3" t="s">
        <v>230</v>
      </c>
      <c r="C11" s="3" t="s">
        <v>619</v>
      </c>
      <c r="D11" s="3" t="s">
        <v>232</v>
      </c>
      <c r="E11" s="3" t="str">
        <f>_xlfn.DISPIMG("ID_A76D46D7EACB4D5F841B480B307F3B4E",1)</f>
        <v>=DISPIMG("ID_A76D46D7EACB4D5F841B480B307F3B4E",1)</v>
      </c>
      <c r="F11" s="32" t="s">
        <v>620</v>
      </c>
      <c r="G11" t="s">
        <v>621</v>
      </c>
      <c r="H11" s="31">
        <v>44622</v>
      </c>
      <c r="I11" s="3" t="s">
        <v>586</v>
      </c>
      <c r="J11" s="3"/>
      <c r="K11" s="3"/>
      <c r="L11" s="3"/>
      <c r="M11" s="3"/>
      <c r="N11" s="3" t="s">
        <v>232</v>
      </c>
      <c r="O11" s="37" t="s">
        <v>15</v>
      </c>
    </row>
    <row r="12" s="23" customFormat="1" customHeight="1" spans="1:15">
      <c r="A12" s="4" t="s">
        <v>622</v>
      </c>
      <c r="B12" s="3" t="s">
        <v>195</v>
      </c>
      <c r="C12" s="3" t="s">
        <v>623</v>
      </c>
      <c r="D12" s="3" t="s">
        <v>310</v>
      </c>
      <c r="E12" s="3" t="str">
        <f>_xlfn.DISPIMG("ID_23FF9FDA789E4E30ADAE3CC20CCB624E",1)</f>
        <v>=DISPIMG("ID_23FF9FDA789E4E30ADAE3CC20CCB624E",1)</v>
      </c>
      <c r="F12" s="30" t="s">
        <v>624</v>
      </c>
      <c r="G12" t="s">
        <v>625</v>
      </c>
      <c r="H12" s="31">
        <v>44638</v>
      </c>
      <c r="I12" s="3" t="s">
        <v>590</v>
      </c>
      <c r="J12" s="3"/>
      <c r="K12" s="3"/>
      <c r="L12" s="3"/>
      <c r="M12" s="3"/>
      <c r="N12" s="3" t="s">
        <v>212</v>
      </c>
      <c r="O12" s="37" t="s">
        <v>15</v>
      </c>
    </row>
    <row r="13" s="23" customFormat="1" customHeight="1" spans="1:15">
      <c r="A13" s="4" t="s">
        <v>626</v>
      </c>
      <c r="B13" s="3" t="s">
        <v>230</v>
      </c>
      <c r="C13" s="3" t="s">
        <v>627</v>
      </c>
      <c r="D13" s="3" t="s">
        <v>607</v>
      </c>
      <c r="E13" s="3" t="str">
        <f>_xlfn.DISPIMG("ID_382D6026BDB741FE94B73B88112D87EA",1)</f>
        <v>=DISPIMG("ID_382D6026BDB741FE94B73B88112D87EA",1)</v>
      </c>
      <c r="F13" s="32" t="s">
        <v>628</v>
      </c>
      <c r="G13" s="3" t="s">
        <v>629</v>
      </c>
      <c r="H13" s="31">
        <v>44485</v>
      </c>
      <c r="I13" s="3" t="s">
        <v>586</v>
      </c>
      <c r="J13" s="3"/>
      <c r="K13" s="3"/>
      <c r="L13" s="3"/>
      <c r="M13" s="3"/>
      <c r="N13" s="3" t="s">
        <v>232</v>
      </c>
      <c r="O13" s="37" t="s">
        <v>15</v>
      </c>
    </row>
    <row r="14" s="23" customFormat="1" customHeight="1" spans="1:15">
      <c r="A14" s="4" t="s">
        <v>630</v>
      </c>
      <c r="B14" s="3" t="s">
        <v>195</v>
      </c>
      <c r="C14" s="3" t="s">
        <v>631</v>
      </c>
      <c r="D14" s="3" t="s">
        <v>310</v>
      </c>
      <c r="E14" s="3" t="str">
        <f>_xlfn.DISPIMG("ID_E1D7E9C5C63A4C428D1138D420DF0DAE",1)</f>
        <v>=DISPIMG("ID_E1D7E9C5C63A4C428D1138D420DF0DAE",1)</v>
      </c>
      <c r="F14" s="30" t="s">
        <v>632</v>
      </c>
      <c r="G14" s="3" t="s">
        <v>633</v>
      </c>
      <c r="H14" s="31">
        <v>44622</v>
      </c>
      <c r="I14" s="3" t="s">
        <v>586</v>
      </c>
      <c r="J14" s="3"/>
      <c r="K14" s="3"/>
      <c r="L14" s="3"/>
      <c r="M14" s="3"/>
      <c r="N14" s="3" t="s">
        <v>212</v>
      </c>
      <c r="O14" s="37" t="s">
        <v>15</v>
      </c>
    </row>
    <row r="15" s="23" customFormat="1" customHeight="1" spans="1:15">
      <c r="A15" s="4" t="s">
        <v>634</v>
      </c>
      <c r="B15" s="3" t="s">
        <v>195</v>
      </c>
      <c r="C15" s="3" t="s">
        <v>635</v>
      </c>
      <c r="D15" s="3" t="s">
        <v>310</v>
      </c>
      <c r="E15" s="3" t="str">
        <f>_xlfn.DISPIMG("ID_B0FFA9557A2A4765BA82E4B8EB04D757",1)</f>
        <v>=DISPIMG("ID_B0FFA9557A2A4765BA82E4B8EB04D757",1)</v>
      </c>
      <c r="F15" s="32" t="s">
        <v>636</v>
      </c>
      <c r="G15" s="3" t="s">
        <v>637</v>
      </c>
      <c r="H15" s="31">
        <v>44622</v>
      </c>
      <c r="I15" s="3" t="s">
        <v>590</v>
      </c>
      <c r="J15" s="3"/>
      <c r="K15" s="3"/>
      <c r="L15" s="3"/>
      <c r="M15" s="3"/>
      <c r="N15" s="3" t="s">
        <v>212</v>
      </c>
      <c r="O15" s="37" t="s">
        <v>15</v>
      </c>
    </row>
    <row r="16" s="23" customFormat="1" customHeight="1" spans="1:15">
      <c r="A16" s="4" t="s">
        <v>638</v>
      </c>
      <c r="B16" s="3" t="s">
        <v>230</v>
      </c>
      <c r="C16" s="3" t="s">
        <v>639</v>
      </c>
      <c r="D16" s="3" t="s">
        <v>232</v>
      </c>
      <c r="E16" s="3" t="str">
        <f>_xlfn.DISPIMG("ID_19BCA44380654C9099BF6C9FBD99A814",1)</f>
        <v>=DISPIMG("ID_19BCA44380654C9099BF6C9FBD99A814",1)</v>
      </c>
      <c r="F16" s="30" t="s">
        <v>640</v>
      </c>
      <c r="G16" t="s">
        <v>641</v>
      </c>
      <c r="H16" s="31">
        <v>44663</v>
      </c>
      <c r="I16" s="3" t="s">
        <v>586</v>
      </c>
      <c r="J16" s="3"/>
      <c r="K16" s="3"/>
      <c r="L16" s="3"/>
      <c r="M16" s="3"/>
      <c r="N16" s="3" t="s">
        <v>232</v>
      </c>
      <c r="O16" s="37" t="s">
        <v>15</v>
      </c>
    </row>
    <row r="17" s="23" customFormat="1" customHeight="1" spans="1:15">
      <c r="A17" s="4" t="s">
        <v>642</v>
      </c>
      <c r="B17" s="3" t="s">
        <v>195</v>
      </c>
      <c r="C17" s="3" t="s">
        <v>643</v>
      </c>
      <c r="D17" s="3" t="s">
        <v>310</v>
      </c>
      <c r="E17" s="3" t="str">
        <f>_xlfn.DISPIMG("ID_DED5C39FDFA944E5AA2692E1BA2E8AAF",1)</f>
        <v>=DISPIMG("ID_DED5C39FDFA944E5AA2692E1BA2E8AAF",1)</v>
      </c>
      <c r="F17" s="30" t="s">
        <v>644</v>
      </c>
      <c r="G17" t="s">
        <v>645</v>
      </c>
      <c r="H17" s="31">
        <v>44531</v>
      </c>
      <c r="I17" s="3" t="s">
        <v>586</v>
      </c>
      <c r="J17" s="3"/>
      <c r="K17" s="3"/>
      <c r="L17" s="3"/>
      <c r="M17" s="3"/>
      <c r="N17" s="3" t="s">
        <v>212</v>
      </c>
      <c r="O17" s="37" t="s">
        <v>15</v>
      </c>
    </row>
    <row r="18" s="23" customFormat="1" customHeight="1" spans="1:15">
      <c r="A18" s="4" t="s">
        <v>519</v>
      </c>
      <c r="B18" s="3" t="s">
        <v>230</v>
      </c>
      <c r="C18" s="3" t="s">
        <v>646</v>
      </c>
      <c r="D18" s="3" t="s">
        <v>647</v>
      </c>
      <c r="E18" s="3" t="str">
        <f>_xlfn.DISPIMG("ID_4A8E9B38CBB14B759398045063C9B54F",1)</f>
        <v>=DISPIMG("ID_4A8E9B38CBB14B759398045063C9B54F",1)</v>
      </c>
      <c r="F18" s="30" t="s">
        <v>648</v>
      </c>
      <c r="G18" s="3" t="s">
        <v>649</v>
      </c>
      <c r="H18" s="31">
        <v>44695</v>
      </c>
      <c r="I18" s="3" t="s">
        <v>590</v>
      </c>
      <c r="J18" s="3">
        <v>714</v>
      </c>
      <c r="K18" s="3">
        <v>624</v>
      </c>
      <c r="L18" s="3">
        <v>34</v>
      </c>
      <c r="M18" s="3">
        <f t="shared" ref="M18:M81" si="0">L18+K18+J18</f>
        <v>1372</v>
      </c>
      <c r="N18" s="3" t="s">
        <v>232</v>
      </c>
      <c r="O18" s="37" t="s">
        <v>16</v>
      </c>
    </row>
    <row r="19" s="23" customFormat="1" customHeight="1" spans="1:15">
      <c r="A19" s="4" t="s">
        <v>471</v>
      </c>
      <c r="B19" s="3" t="s">
        <v>195</v>
      </c>
      <c r="C19" s="3" t="s">
        <v>650</v>
      </c>
      <c r="D19" s="3" t="s">
        <v>651</v>
      </c>
      <c r="E19" s="3" t="str">
        <f>_xlfn.DISPIMG("ID_A1B163FD6DB543B091647FA275125296",1)</f>
        <v>=DISPIMG("ID_A1B163FD6DB543B091647FA275125296",1)</v>
      </c>
      <c r="F19" s="30" t="s">
        <v>652</v>
      </c>
      <c r="G19" s="3" t="s">
        <v>653</v>
      </c>
      <c r="H19" s="31">
        <v>44694</v>
      </c>
      <c r="I19" s="3" t="s">
        <v>590</v>
      </c>
      <c r="J19" s="3">
        <v>166</v>
      </c>
      <c r="K19" s="3">
        <v>231</v>
      </c>
      <c r="L19" s="3">
        <v>32</v>
      </c>
      <c r="M19" s="3">
        <f t="shared" si="0"/>
        <v>429</v>
      </c>
      <c r="N19" s="3" t="s">
        <v>212</v>
      </c>
      <c r="O19" s="37" t="s">
        <v>16</v>
      </c>
    </row>
    <row r="20" s="23" customFormat="1" customHeight="1" spans="1:15">
      <c r="A20" s="4" t="s">
        <v>444</v>
      </c>
      <c r="B20" s="3" t="s">
        <v>195</v>
      </c>
      <c r="C20" s="3" t="s">
        <v>654</v>
      </c>
      <c r="D20" s="3" t="s">
        <v>651</v>
      </c>
      <c r="E20" s="3" t="str">
        <f>_xlfn.DISPIMG("ID_76A9762C8BDF47F1B23A10E5E69CF05C",1)</f>
        <v>=DISPIMG("ID_76A9762C8BDF47F1B23A10E5E69CF05C",1)</v>
      </c>
      <c r="F20" s="30" t="s">
        <v>655</v>
      </c>
      <c r="G20" s="3" t="s">
        <v>656</v>
      </c>
      <c r="H20" s="31">
        <v>44693</v>
      </c>
      <c r="I20" s="3" t="s">
        <v>586</v>
      </c>
      <c r="J20" s="3">
        <v>9692</v>
      </c>
      <c r="K20" s="3">
        <v>5354</v>
      </c>
      <c r="L20" s="3">
        <v>163</v>
      </c>
      <c r="M20" s="3">
        <f t="shared" si="0"/>
        <v>15209</v>
      </c>
      <c r="N20" s="3" t="s">
        <v>212</v>
      </c>
      <c r="O20" s="37" t="s">
        <v>16</v>
      </c>
    </row>
    <row r="21" s="23" customFormat="1" customHeight="1" spans="1:15">
      <c r="A21" s="4" t="s">
        <v>518</v>
      </c>
      <c r="B21" s="3" t="s">
        <v>230</v>
      </c>
      <c r="C21" s="3" t="s">
        <v>657</v>
      </c>
      <c r="D21" s="33" t="s">
        <v>658</v>
      </c>
      <c r="E21" s="3" t="str">
        <f>_xlfn.DISPIMG("ID_620976F31BEF4727B2AC86C7B6ED2B08",1)</f>
        <v>=DISPIMG("ID_620976F31BEF4727B2AC86C7B6ED2B08",1)</v>
      </c>
      <c r="F21" s="30" t="s">
        <v>659</v>
      </c>
      <c r="G21" s="3" t="s">
        <v>660</v>
      </c>
      <c r="H21" s="31">
        <v>44693</v>
      </c>
      <c r="I21" s="3" t="s">
        <v>590</v>
      </c>
      <c r="J21" s="3">
        <v>795</v>
      </c>
      <c r="K21" s="3">
        <v>825</v>
      </c>
      <c r="L21" s="3">
        <v>60</v>
      </c>
      <c r="M21" s="3">
        <f t="shared" si="0"/>
        <v>1680</v>
      </c>
      <c r="N21" s="33" t="s">
        <v>658</v>
      </c>
      <c r="O21" s="37" t="s">
        <v>16</v>
      </c>
    </row>
    <row r="22" s="23" customFormat="1" customHeight="1" spans="1:15">
      <c r="A22" s="4" t="s">
        <v>553</v>
      </c>
      <c r="B22" s="3" t="s">
        <v>195</v>
      </c>
      <c r="C22" s="3" t="s">
        <v>661</v>
      </c>
      <c r="D22" s="3" t="s">
        <v>212</v>
      </c>
      <c r="E22" s="3" t="str">
        <f>_xlfn.DISPIMG("ID_CE2B8D0866824C01BDBC09897E33E6B3",1)</f>
        <v>=DISPIMG("ID_CE2B8D0866824C01BDBC09897E33E6B3",1)</v>
      </c>
      <c r="F22" s="30" t="s">
        <v>662</v>
      </c>
      <c r="G22" s="3" t="s">
        <v>663</v>
      </c>
      <c r="H22" s="31">
        <v>44690</v>
      </c>
      <c r="I22" s="3" t="s">
        <v>586</v>
      </c>
      <c r="J22" s="3">
        <v>2947</v>
      </c>
      <c r="K22" s="3">
        <v>1922</v>
      </c>
      <c r="L22" s="3">
        <v>48</v>
      </c>
      <c r="M22" s="3">
        <f t="shared" si="0"/>
        <v>4917</v>
      </c>
      <c r="N22" s="3" t="s">
        <v>212</v>
      </c>
      <c r="O22" s="37" t="s">
        <v>16</v>
      </c>
    </row>
    <row r="23" s="23" customFormat="1" customHeight="1" spans="1:15">
      <c r="A23" s="4" t="s">
        <v>520</v>
      </c>
      <c r="B23" s="3" t="s">
        <v>230</v>
      </c>
      <c r="C23" s="3" t="s">
        <v>664</v>
      </c>
      <c r="D23" s="3" t="s">
        <v>232</v>
      </c>
      <c r="E23" s="3" t="str">
        <f>_xlfn.DISPIMG("ID_B3EF46834C03430989D864C7049896FC",1)</f>
        <v>=DISPIMG("ID_B3EF46834C03430989D864C7049896FC",1)</v>
      </c>
      <c r="F23" s="30" t="s">
        <v>665</v>
      </c>
      <c r="G23" s="3" t="s">
        <v>666</v>
      </c>
      <c r="H23" s="31">
        <v>44686</v>
      </c>
      <c r="I23" s="3" t="s">
        <v>586</v>
      </c>
      <c r="J23" s="3">
        <v>213</v>
      </c>
      <c r="K23" s="3">
        <v>176</v>
      </c>
      <c r="L23" s="3">
        <v>32</v>
      </c>
      <c r="M23" s="3">
        <f t="shared" si="0"/>
        <v>421</v>
      </c>
      <c r="N23" s="3" t="s">
        <v>232</v>
      </c>
      <c r="O23" s="37" t="s">
        <v>16</v>
      </c>
    </row>
    <row r="24" s="23" customFormat="1" customHeight="1" spans="1:15">
      <c r="A24" s="4" t="s">
        <v>516</v>
      </c>
      <c r="B24" s="3" t="s">
        <v>243</v>
      </c>
      <c r="C24" s="3" t="s">
        <v>667</v>
      </c>
      <c r="D24" s="3" t="s">
        <v>668</v>
      </c>
      <c r="E24" s="3" t="str">
        <f>_xlfn.DISPIMG("ID_9113B1655B9F4B45ADB000543D2E9035",1)</f>
        <v>=DISPIMG("ID_9113B1655B9F4B45ADB000543D2E9035",1)</v>
      </c>
      <c r="F24" s="30" t="s">
        <v>669</v>
      </c>
      <c r="G24" s="3" t="s">
        <v>670</v>
      </c>
      <c r="H24" s="31">
        <v>44701</v>
      </c>
      <c r="I24" s="3" t="s">
        <v>590</v>
      </c>
      <c r="J24" s="3">
        <v>13000</v>
      </c>
      <c r="K24" s="3">
        <v>7890</v>
      </c>
      <c r="L24" s="3">
        <v>193</v>
      </c>
      <c r="M24" s="3">
        <f t="shared" si="0"/>
        <v>21083</v>
      </c>
      <c r="N24" s="3" t="s">
        <v>671</v>
      </c>
      <c r="O24" s="37" t="s">
        <v>21</v>
      </c>
    </row>
    <row r="25" s="23" customFormat="1" customHeight="1" spans="1:15">
      <c r="A25" s="4" t="s">
        <v>514</v>
      </c>
      <c r="B25" s="3" t="s">
        <v>230</v>
      </c>
      <c r="C25" s="3">
        <v>-77</v>
      </c>
      <c r="D25" s="3" t="s">
        <v>647</v>
      </c>
      <c r="E25" s="3" t="str">
        <f>_xlfn.DISPIMG("ID_30EC5F7C7EBF4543847F4503B6E1579B",1)</f>
        <v>=DISPIMG("ID_30EC5F7C7EBF4543847F4503B6E1579B",1)</v>
      </c>
      <c r="F25" s="30" t="s">
        <v>672</v>
      </c>
      <c r="G25" s="3" t="s">
        <v>673</v>
      </c>
      <c r="H25" s="31">
        <v>44699</v>
      </c>
      <c r="I25" s="3" t="s">
        <v>590</v>
      </c>
      <c r="J25" s="3">
        <v>1746</v>
      </c>
      <c r="K25" s="3">
        <v>885</v>
      </c>
      <c r="L25" s="3">
        <v>25</v>
      </c>
      <c r="M25" s="3">
        <f t="shared" si="0"/>
        <v>2656</v>
      </c>
      <c r="N25" s="3" t="s">
        <v>232</v>
      </c>
      <c r="O25" s="37" t="s">
        <v>21</v>
      </c>
    </row>
    <row r="26" s="23" customFormat="1" customHeight="1" spans="1:15">
      <c r="A26" s="4" t="s">
        <v>459</v>
      </c>
      <c r="B26" s="3" t="s">
        <v>195</v>
      </c>
      <c r="C26" s="3" t="s">
        <v>674</v>
      </c>
      <c r="D26" s="3" t="s">
        <v>310</v>
      </c>
      <c r="E26" s="3" t="str">
        <f>_xlfn.DISPIMG("ID_6D8952DA10734381A5C6FB4798F6D881",1)</f>
        <v>=DISPIMG("ID_6D8952DA10734381A5C6FB4798F6D881",1)</v>
      </c>
      <c r="F26" s="30" t="s">
        <v>675</v>
      </c>
      <c r="G26" s="3" t="s">
        <v>676</v>
      </c>
      <c r="H26" s="31">
        <v>44681</v>
      </c>
      <c r="I26" s="3" t="s">
        <v>590</v>
      </c>
      <c r="J26" s="3">
        <v>339</v>
      </c>
      <c r="K26" s="3">
        <v>366</v>
      </c>
      <c r="L26" s="3">
        <v>26</v>
      </c>
      <c r="M26" s="3">
        <f t="shared" si="0"/>
        <v>731</v>
      </c>
      <c r="N26" s="3" t="s">
        <v>212</v>
      </c>
      <c r="O26" s="37" t="s">
        <v>21</v>
      </c>
    </row>
    <row r="27" s="23" customFormat="1" customHeight="1" spans="1:15">
      <c r="A27" s="4" t="s">
        <v>512</v>
      </c>
      <c r="B27" s="3" t="s">
        <v>230</v>
      </c>
      <c r="C27" s="3" t="s">
        <v>677</v>
      </c>
      <c r="D27" s="3" t="s">
        <v>232</v>
      </c>
      <c r="E27" s="3" t="str">
        <f>_xlfn.DISPIMG("ID_6D31ADD2ABA04A7F9EEDF159CF92F014",1)</f>
        <v>=DISPIMG("ID_6D31ADD2ABA04A7F9EEDF159CF92F014",1)</v>
      </c>
      <c r="F27" s="30" t="s">
        <v>678</v>
      </c>
      <c r="G27" s="3" t="s">
        <v>679</v>
      </c>
      <c r="H27" s="31">
        <v>44708</v>
      </c>
      <c r="I27" s="3" t="s">
        <v>590</v>
      </c>
      <c r="J27" s="3">
        <v>659</v>
      </c>
      <c r="K27" s="3">
        <v>727</v>
      </c>
      <c r="L27" s="3">
        <v>42</v>
      </c>
      <c r="M27" s="3">
        <f t="shared" si="0"/>
        <v>1428</v>
      </c>
      <c r="N27" s="3" t="s">
        <v>232</v>
      </c>
      <c r="O27" s="37" t="s">
        <v>25</v>
      </c>
    </row>
    <row r="28" s="23" customFormat="1" customHeight="1" spans="1:15">
      <c r="A28" s="4" t="s">
        <v>513</v>
      </c>
      <c r="B28" s="3" t="s">
        <v>243</v>
      </c>
      <c r="C28" s="3" t="s">
        <v>680</v>
      </c>
      <c r="D28" s="3" t="s">
        <v>647</v>
      </c>
      <c r="E28" s="3" t="str">
        <f>_xlfn.DISPIMG("ID_861F1200E18B419989945F61BD4CA04C",1)</f>
        <v>=DISPIMG("ID_861F1200E18B419989945F61BD4CA04C",1)</v>
      </c>
      <c r="F28" s="30" t="s">
        <v>681</v>
      </c>
      <c r="G28" s="3" t="s">
        <v>682</v>
      </c>
      <c r="H28" s="31">
        <v>44706</v>
      </c>
      <c r="I28" s="3" t="s">
        <v>586</v>
      </c>
      <c r="J28" s="3">
        <v>2381</v>
      </c>
      <c r="K28" s="3">
        <v>367</v>
      </c>
      <c r="L28" s="3">
        <v>284</v>
      </c>
      <c r="M28" s="3">
        <f t="shared" si="0"/>
        <v>3032</v>
      </c>
      <c r="N28" s="3" t="s">
        <v>232</v>
      </c>
      <c r="O28" s="37" t="s">
        <v>25</v>
      </c>
    </row>
    <row r="29" s="23" customFormat="1" customHeight="1" spans="1:15">
      <c r="A29" s="4" t="s">
        <v>509</v>
      </c>
      <c r="B29" s="3" t="s">
        <v>243</v>
      </c>
      <c r="C29" s="3" t="s">
        <v>683</v>
      </c>
      <c r="D29" s="3" t="s">
        <v>671</v>
      </c>
      <c r="E29" s="3" t="str">
        <f>_xlfn.DISPIMG("ID_E84951BDB7E74E6291C5FA4C8A88DC80",1)</f>
        <v>=DISPIMG("ID_E84951BDB7E74E6291C5FA4C8A88DC80",1)</v>
      </c>
      <c r="F29" s="30" t="s">
        <v>684</v>
      </c>
      <c r="G29" s="3" t="s">
        <v>685</v>
      </c>
      <c r="H29" s="31">
        <v>44708</v>
      </c>
      <c r="I29" s="3" t="s">
        <v>590</v>
      </c>
      <c r="J29" s="3">
        <v>3671</v>
      </c>
      <c r="K29" s="3">
        <v>3397</v>
      </c>
      <c r="L29" s="3">
        <v>118</v>
      </c>
      <c r="M29" s="3">
        <f t="shared" si="0"/>
        <v>7186</v>
      </c>
      <c r="N29" s="3" t="s">
        <v>671</v>
      </c>
      <c r="O29" s="37" t="s">
        <v>26</v>
      </c>
    </row>
    <row r="30" s="23" customFormat="1" customHeight="1" spans="1:15">
      <c r="A30" s="4" t="s">
        <v>510</v>
      </c>
      <c r="B30" s="3" t="s">
        <v>243</v>
      </c>
      <c r="C30" s="3" t="s">
        <v>686</v>
      </c>
      <c r="D30" s="3" t="s">
        <v>671</v>
      </c>
      <c r="E30" s="3" t="str">
        <f>_xlfn.DISPIMG("ID_C56FAD1C30124E73A3F9418FFA60B44B",1)</f>
        <v>=DISPIMG("ID_C56FAD1C30124E73A3F9418FFA60B44B",1)</v>
      </c>
      <c r="F30" s="30" t="s">
        <v>687</v>
      </c>
      <c r="G30" s="3" t="s">
        <v>688</v>
      </c>
      <c r="H30" s="31">
        <v>44708</v>
      </c>
      <c r="I30" s="3" t="s">
        <v>586</v>
      </c>
      <c r="J30" s="3">
        <v>306</v>
      </c>
      <c r="K30" s="3">
        <v>139</v>
      </c>
      <c r="L30" s="3">
        <v>47</v>
      </c>
      <c r="M30" s="3">
        <f t="shared" si="0"/>
        <v>492</v>
      </c>
      <c r="N30" s="3" t="s">
        <v>671</v>
      </c>
      <c r="O30" s="37" t="s">
        <v>26</v>
      </c>
    </row>
    <row r="31" s="23" customFormat="1" customHeight="1" spans="1:15">
      <c r="A31" s="4" t="s">
        <v>504</v>
      </c>
      <c r="B31" s="3" t="s">
        <v>230</v>
      </c>
      <c r="C31" s="3" t="s">
        <v>689</v>
      </c>
      <c r="D31" s="3" t="s">
        <v>658</v>
      </c>
      <c r="E31" s="3" t="str">
        <f>_xlfn.DISPIMG("ID_26346FF0222C49A4B885C88934DD5F88",1)</f>
        <v>=DISPIMG("ID_26346FF0222C49A4B885C88934DD5F88",1)</v>
      </c>
      <c r="F31" s="30" t="s">
        <v>690</v>
      </c>
      <c r="G31" s="3" t="s">
        <v>691</v>
      </c>
      <c r="H31" s="31">
        <v>44707</v>
      </c>
      <c r="I31" s="3" t="s">
        <v>590</v>
      </c>
      <c r="J31" s="3">
        <v>1918</v>
      </c>
      <c r="K31" s="3">
        <v>2913</v>
      </c>
      <c r="L31" s="3">
        <v>47</v>
      </c>
      <c r="M31" s="3">
        <f t="shared" si="0"/>
        <v>4878</v>
      </c>
      <c r="N31" s="3" t="s">
        <v>658</v>
      </c>
      <c r="O31" s="37" t="s">
        <v>26</v>
      </c>
    </row>
    <row r="32" s="23" customFormat="1" customHeight="1" spans="1:15">
      <c r="A32" s="4" t="s">
        <v>507</v>
      </c>
      <c r="B32" s="3" t="s">
        <v>230</v>
      </c>
      <c r="C32" s="3" t="s">
        <v>692</v>
      </c>
      <c r="D32" s="3" t="s">
        <v>658</v>
      </c>
      <c r="E32" s="3" t="str">
        <f>_xlfn.DISPIMG("ID_7E9CF1BB3AF24824AE24AFFB22C45CAB",1)</f>
        <v>=DISPIMG("ID_7E9CF1BB3AF24824AE24AFFB22C45CAB",1)</v>
      </c>
      <c r="F32" s="30" t="s">
        <v>693</v>
      </c>
      <c r="G32" s="3" t="s">
        <v>694</v>
      </c>
      <c r="H32" s="31">
        <v>44703</v>
      </c>
      <c r="I32" s="3" t="s">
        <v>590</v>
      </c>
      <c r="J32" s="3">
        <v>1981</v>
      </c>
      <c r="K32" s="3">
        <v>2256</v>
      </c>
      <c r="L32" s="3">
        <v>44</v>
      </c>
      <c r="M32" s="3">
        <f t="shared" si="0"/>
        <v>4281</v>
      </c>
      <c r="N32" s="3" t="s">
        <v>658</v>
      </c>
      <c r="O32" s="37" t="s">
        <v>26</v>
      </c>
    </row>
    <row r="33" s="23" customFormat="1" customHeight="1" spans="1:15">
      <c r="A33" s="4" t="s">
        <v>408</v>
      </c>
      <c r="B33" s="3" t="s">
        <v>195</v>
      </c>
      <c r="C33" s="3" t="s">
        <v>695</v>
      </c>
      <c r="D33" s="3" t="s">
        <v>310</v>
      </c>
      <c r="E33" s="3" t="str">
        <f>_xlfn.DISPIMG("ID_85A8D7C7028745368A1D11A6E9508FEA",1)</f>
        <v>=DISPIMG("ID_85A8D7C7028745368A1D11A6E9508FEA",1)</v>
      </c>
      <c r="F33" s="30" t="s">
        <v>696</v>
      </c>
      <c r="G33" s="3" t="s">
        <v>697</v>
      </c>
      <c r="H33" s="31">
        <v>44712</v>
      </c>
      <c r="I33" s="3" t="s">
        <v>586</v>
      </c>
      <c r="J33" s="3">
        <v>709</v>
      </c>
      <c r="K33" s="3">
        <v>208</v>
      </c>
      <c r="L33" s="3">
        <v>70</v>
      </c>
      <c r="M33" s="3">
        <f t="shared" si="0"/>
        <v>987</v>
      </c>
      <c r="N33" s="3" t="s">
        <v>212</v>
      </c>
      <c r="O33" s="37" t="s">
        <v>28</v>
      </c>
    </row>
    <row r="34" s="23" customFormat="1" customHeight="1" spans="1:15">
      <c r="A34" s="4" t="s">
        <v>501</v>
      </c>
      <c r="B34" s="3" t="s">
        <v>230</v>
      </c>
      <c r="C34" s="3" t="s">
        <v>698</v>
      </c>
      <c r="D34" s="3" t="s">
        <v>658</v>
      </c>
      <c r="E34" s="3" t="str">
        <f>_xlfn.DISPIMG("ID_07852D61A3D64963B2C2DFFE5AB3FCF1",1)</f>
        <v>=DISPIMG("ID_07852D61A3D64963B2C2DFFE5AB3FCF1",1)</v>
      </c>
      <c r="F34" s="30" t="s">
        <v>699</v>
      </c>
      <c r="G34" s="3" t="s">
        <v>700</v>
      </c>
      <c r="H34" s="31">
        <v>44709</v>
      </c>
      <c r="I34" s="3" t="s">
        <v>586</v>
      </c>
      <c r="J34" s="3">
        <v>309</v>
      </c>
      <c r="K34" s="3">
        <v>27</v>
      </c>
      <c r="L34" s="3">
        <v>40</v>
      </c>
      <c r="M34" s="3">
        <f t="shared" si="0"/>
        <v>376</v>
      </c>
      <c r="N34" s="3" t="s">
        <v>658</v>
      </c>
      <c r="O34" s="37" t="s">
        <v>28</v>
      </c>
    </row>
    <row r="35" s="23" customFormat="1" customHeight="1" spans="1:15">
      <c r="A35" s="4" t="s">
        <v>499</v>
      </c>
      <c r="B35" s="3" t="s">
        <v>230</v>
      </c>
      <c r="C35" s="3" t="s">
        <v>701</v>
      </c>
      <c r="D35" s="3" t="s">
        <v>658</v>
      </c>
      <c r="E35" s="3" t="str">
        <f>_xlfn.DISPIMG("ID_68AB6A29AFB4448CBDDD3EC7968307FA",1)</f>
        <v>=DISPIMG("ID_68AB6A29AFB4448CBDDD3EC7968307FA",1)</v>
      </c>
      <c r="F35" s="30" t="s">
        <v>702</v>
      </c>
      <c r="G35" s="3" t="s">
        <v>703</v>
      </c>
      <c r="H35" s="31">
        <v>44708</v>
      </c>
      <c r="I35" s="3" t="s">
        <v>586</v>
      </c>
      <c r="J35" s="3">
        <v>229</v>
      </c>
      <c r="K35" s="3">
        <v>24</v>
      </c>
      <c r="L35" s="3">
        <v>38</v>
      </c>
      <c r="M35" s="3">
        <f t="shared" si="0"/>
        <v>291</v>
      </c>
      <c r="N35" s="3" t="s">
        <v>658</v>
      </c>
      <c r="O35" s="37" t="s">
        <v>28</v>
      </c>
    </row>
    <row r="36" s="23" customFormat="1" customHeight="1" spans="1:15">
      <c r="A36" s="4" t="s">
        <v>497</v>
      </c>
      <c r="B36" s="3" t="s">
        <v>230</v>
      </c>
      <c r="C36" s="3" t="s">
        <v>704</v>
      </c>
      <c r="D36" s="3" t="s">
        <v>647</v>
      </c>
      <c r="E36" s="3" t="str">
        <f>_xlfn.DISPIMG("ID_A4D8C9FA751B4AE19BB35B45CBE37910",1)</f>
        <v>=DISPIMG("ID_A4D8C9FA751B4AE19BB35B45CBE37910",1)</v>
      </c>
      <c r="F36" s="30" t="s">
        <v>705</v>
      </c>
      <c r="G36" s="3" t="s">
        <v>706</v>
      </c>
      <c r="H36" s="31">
        <v>44715</v>
      </c>
      <c r="I36" s="3" t="s">
        <v>586</v>
      </c>
      <c r="J36" s="3">
        <v>8147</v>
      </c>
      <c r="K36" s="3">
        <v>2997</v>
      </c>
      <c r="L36" s="3">
        <v>128</v>
      </c>
      <c r="M36" s="3">
        <f t="shared" si="0"/>
        <v>11272</v>
      </c>
      <c r="N36" s="3" t="s">
        <v>232</v>
      </c>
      <c r="O36" s="37" t="s">
        <v>32</v>
      </c>
    </row>
    <row r="37" s="23" customFormat="1" customHeight="1" spans="1:15">
      <c r="A37" s="4" t="s">
        <v>420</v>
      </c>
      <c r="B37" s="3" t="s">
        <v>195</v>
      </c>
      <c r="C37" s="3" t="s">
        <v>707</v>
      </c>
      <c r="D37" s="3" t="s">
        <v>310</v>
      </c>
      <c r="E37" s="3" t="str">
        <f>_xlfn.DISPIMG("ID_6581D5EA89DA4736945D115A6EFD6A27",1)</f>
        <v>=DISPIMG("ID_6581D5EA89DA4736945D115A6EFD6A27",1)</v>
      </c>
      <c r="F37" s="30" t="s">
        <v>708</v>
      </c>
      <c r="G37" s="3" t="s">
        <v>709</v>
      </c>
      <c r="H37" s="31">
        <v>44718</v>
      </c>
      <c r="I37" s="3" t="s">
        <v>590</v>
      </c>
      <c r="J37" s="3">
        <v>457</v>
      </c>
      <c r="K37" s="3">
        <v>188</v>
      </c>
      <c r="L37" s="3">
        <v>59</v>
      </c>
      <c r="M37" s="3">
        <f t="shared" si="0"/>
        <v>704</v>
      </c>
      <c r="N37" s="3" t="s">
        <v>212</v>
      </c>
      <c r="O37" s="37" t="s">
        <v>33</v>
      </c>
    </row>
    <row r="38" s="23" customFormat="1" customHeight="1" spans="1:15">
      <c r="A38" s="4" t="s">
        <v>491</v>
      </c>
      <c r="B38" s="3" t="s">
        <v>230</v>
      </c>
      <c r="C38" s="3" t="s">
        <v>710</v>
      </c>
      <c r="D38" s="3" t="s">
        <v>658</v>
      </c>
      <c r="E38" s="3" t="str">
        <f>_xlfn.DISPIMG("ID_BFCE16E47C0240E7920BE3C01EDCFA38",1)</f>
        <v>=DISPIMG("ID_BFCE16E47C0240E7920BE3C01EDCFA38",1)</v>
      </c>
      <c r="F38" s="30" t="s">
        <v>711</v>
      </c>
      <c r="G38" s="3" t="s">
        <v>712</v>
      </c>
      <c r="H38" s="31">
        <v>44715</v>
      </c>
      <c r="I38" s="3" t="s">
        <v>586</v>
      </c>
      <c r="J38" s="3">
        <v>208</v>
      </c>
      <c r="K38" s="3">
        <v>48</v>
      </c>
      <c r="L38" s="3">
        <v>50</v>
      </c>
      <c r="M38" s="3">
        <f t="shared" si="0"/>
        <v>306</v>
      </c>
      <c r="N38" s="3" t="s">
        <v>658</v>
      </c>
      <c r="O38" s="37" t="s">
        <v>33</v>
      </c>
    </row>
    <row r="39" s="23" customFormat="1" customHeight="1" spans="1:15">
      <c r="A39" s="4" t="s">
        <v>496</v>
      </c>
      <c r="B39" s="3" t="s">
        <v>243</v>
      </c>
      <c r="C39" s="3" t="s">
        <v>713</v>
      </c>
      <c r="D39" s="3" t="s">
        <v>671</v>
      </c>
      <c r="E39" s="3" t="str">
        <f>_xlfn.DISPIMG("ID_0863F6F3D76E4126964EA98D320D31FE",1)</f>
        <v>=DISPIMG("ID_0863F6F3D76E4126964EA98D320D31FE",1)</v>
      </c>
      <c r="F39" s="30" t="s">
        <v>714</v>
      </c>
      <c r="G39" s="3" t="s">
        <v>715</v>
      </c>
      <c r="H39" s="31">
        <v>44713</v>
      </c>
      <c r="I39" s="3" t="s">
        <v>586</v>
      </c>
      <c r="J39" s="3">
        <v>505</v>
      </c>
      <c r="K39" s="3">
        <v>127</v>
      </c>
      <c r="L39" s="3">
        <v>55</v>
      </c>
      <c r="M39" s="3">
        <f t="shared" si="0"/>
        <v>687</v>
      </c>
      <c r="N39" s="3" t="s">
        <v>671</v>
      </c>
      <c r="O39" s="37" t="s">
        <v>33</v>
      </c>
    </row>
    <row r="40" s="23" customFormat="1" customHeight="1" spans="1:15">
      <c r="A40" s="4" t="s">
        <v>494</v>
      </c>
      <c r="B40" s="3" t="s">
        <v>243</v>
      </c>
      <c r="C40" s="3" t="s">
        <v>716</v>
      </c>
      <c r="D40" s="3" t="s">
        <v>671</v>
      </c>
      <c r="E40" s="3" t="str">
        <f>_xlfn.DISPIMG("ID_DBC9865B846140CE9AC57F3C931BA171",1)</f>
        <v>=DISPIMG("ID_DBC9865B846140CE9AC57F3C931BA171",1)</v>
      </c>
      <c r="F40" s="30" t="s">
        <v>717</v>
      </c>
      <c r="G40" s="3" t="s">
        <v>718</v>
      </c>
      <c r="H40" s="31">
        <v>44709</v>
      </c>
      <c r="I40" s="3" t="s">
        <v>590</v>
      </c>
      <c r="J40" s="3">
        <v>846</v>
      </c>
      <c r="K40" s="3">
        <v>786</v>
      </c>
      <c r="L40" s="3">
        <v>105</v>
      </c>
      <c r="M40" s="3">
        <f t="shared" si="0"/>
        <v>1737</v>
      </c>
      <c r="N40" s="3" t="s">
        <v>671</v>
      </c>
      <c r="O40" s="37" t="s">
        <v>33</v>
      </c>
    </row>
    <row r="41" s="23" customFormat="1" customHeight="1" spans="1:15">
      <c r="A41" s="4" t="s">
        <v>490</v>
      </c>
      <c r="B41" s="3" t="s">
        <v>243</v>
      </c>
      <c r="C41" s="3" t="s">
        <v>719</v>
      </c>
      <c r="D41" s="3" t="s">
        <v>671</v>
      </c>
      <c r="E41" s="3" t="str">
        <f>_xlfn.DISPIMG("ID_BC91049A639C4F8082BFF5D9BAEB73FC",1)</f>
        <v>=DISPIMG("ID_BC91049A639C4F8082BFF5D9BAEB73FC",1)</v>
      </c>
      <c r="F41" s="30" t="s">
        <v>720</v>
      </c>
      <c r="G41" s="3" t="s">
        <v>721</v>
      </c>
      <c r="H41" s="31">
        <v>44711</v>
      </c>
      <c r="I41" s="3" t="s">
        <v>590</v>
      </c>
      <c r="J41" s="3">
        <v>613</v>
      </c>
      <c r="K41" s="3">
        <v>287</v>
      </c>
      <c r="L41" s="3">
        <v>53</v>
      </c>
      <c r="M41" s="3">
        <f t="shared" si="0"/>
        <v>953</v>
      </c>
      <c r="N41" s="3" t="s">
        <v>671</v>
      </c>
      <c r="O41" s="37" t="s">
        <v>34</v>
      </c>
    </row>
    <row r="42" s="23" customFormat="1" customHeight="1" spans="1:15">
      <c r="A42" s="4" t="s">
        <v>549</v>
      </c>
      <c r="B42" s="3" t="s">
        <v>195</v>
      </c>
      <c r="C42" s="3" t="s">
        <v>722</v>
      </c>
      <c r="D42" s="3" t="s">
        <v>212</v>
      </c>
      <c r="E42" s="3" t="str">
        <f>_xlfn.DISPIMG("ID_DD1551EC38F842AB91DE55F0F15EE745",1)</f>
        <v>=DISPIMG("ID_DD1551EC38F842AB91DE55F0F15EE745",1)</v>
      </c>
      <c r="F42" s="30" t="s">
        <v>723</v>
      </c>
      <c r="G42" s="3" t="s">
        <v>724</v>
      </c>
      <c r="H42" s="31">
        <v>44724</v>
      </c>
      <c r="I42" s="3" t="s">
        <v>590</v>
      </c>
      <c r="J42" s="3">
        <v>1819</v>
      </c>
      <c r="K42" s="3">
        <v>887</v>
      </c>
      <c r="L42" s="3">
        <v>113</v>
      </c>
      <c r="M42" s="3">
        <f t="shared" si="0"/>
        <v>2819</v>
      </c>
      <c r="N42" s="3" t="s">
        <v>212</v>
      </c>
      <c r="O42" s="37" t="s">
        <v>40</v>
      </c>
    </row>
    <row r="43" s="23" customFormat="1" customHeight="1" spans="1:15">
      <c r="A43" s="4" t="s">
        <v>486</v>
      </c>
      <c r="B43" s="3" t="s">
        <v>230</v>
      </c>
      <c r="C43" s="3" t="s">
        <v>725</v>
      </c>
      <c r="D43" s="3" t="s">
        <v>658</v>
      </c>
      <c r="E43" s="3" t="str">
        <f>_xlfn.DISPIMG("ID_912D918303A84192953F7ADE4A516B06",1)</f>
        <v>=DISPIMG("ID_912D918303A84192953F7ADE4A516B06",1)</v>
      </c>
      <c r="F43" s="30" t="s">
        <v>726</v>
      </c>
      <c r="G43" s="3" t="s">
        <v>727</v>
      </c>
      <c r="H43" s="31">
        <v>44724</v>
      </c>
      <c r="I43" s="3" t="s">
        <v>590</v>
      </c>
      <c r="J43" s="3">
        <v>334</v>
      </c>
      <c r="K43" s="3">
        <v>33</v>
      </c>
      <c r="L43" s="3">
        <v>23</v>
      </c>
      <c r="M43" s="3">
        <f t="shared" si="0"/>
        <v>390</v>
      </c>
      <c r="N43" s="3" t="s">
        <v>658</v>
      </c>
      <c r="O43" s="37" t="s">
        <v>40</v>
      </c>
    </row>
    <row r="44" s="22" customFormat="1" customHeight="1" spans="1:15">
      <c r="A44" s="4" t="s">
        <v>483</v>
      </c>
      <c r="B44" s="3" t="s">
        <v>230</v>
      </c>
      <c r="C44" s="3" t="s">
        <v>728</v>
      </c>
      <c r="D44" s="3" t="s">
        <v>647</v>
      </c>
      <c r="E44" s="3" t="str">
        <f>_xlfn.DISPIMG("ID_EB840292A2E2463E9661AF31428E7157",1)</f>
        <v>=DISPIMG("ID_EB840292A2E2463E9661AF31428E7157",1)</v>
      </c>
      <c r="F44" s="30" t="s">
        <v>729</v>
      </c>
      <c r="G44" s="3" t="s">
        <v>730</v>
      </c>
      <c r="H44" s="31">
        <v>44720</v>
      </c>
      <c r="I44" s="3" t="s">
        <v>586</v>
      </c>
      <c r="J44" s="3">
        <v>3319</v>
      </c>
      <c r="K44" s="3">
        <v>1941</v>
      </c>
      <c r="L44" s="3">
        <v>131</v>
      </c>
      <c r="M44" s="3">
        <f t="shared" si="0"/>
        <v>5391</v>
      </c>
      <c r="N44" s="3" t="s">
        <v>232</v>
      </c>
      <c r="O44" s="37" t="s">
        <v>40</v>
      </c>
    </row>
    <row r="45" s="22" customFormat="1" customHeight="1" spans="1:15">
      <c r="A45" s="4" t="s">
        <v>423</v>
      </c>
      <c r="B45" s="3" t="s">
        <v>195</v>
      </c>
      <c r="C45" s="3" t="s">
        <v>731</v>
      </c>
      <c r="D45" s="3" t="s">
        <v>310</v>
      </c>
      <c r="E45" s="3" t="str">
        <f>_xlfn.DISPIMG("ID_100F658D5E4E4902B72A0CD3A2F1A510",1)</f>
        <v>=DISPIMG("ID_100F658D5E4E4902B72A0CD3A2F1A510",1)</v>
      </c>
      <c r="F45" s="30" t="s">
        <v>732</v>
      </c>
      <c r="G45" s="3" t="s">
        <v>733</v>
      </c>
      <c r="H45" s="31">
        <v>44719</v>
      </c>
      <c r="I45" s="3" t="s">
        <v>586</v>
      </c>
      <c r="J45" s="3">
        <v>2848</v>
      </c>
      <c r="K45" s="3">
        <v>918</v>
      </c>
      <c r="L45" s="3">
        <v>65</v>
      </c>
      <c r="M45" s="3">
        <f t="shared" si="0"/>
        <v>3831</v>
      </c>
      <c r="N45" s="3" t="s">
        <v>212</v>
      </c>
      <c r="O45" s="37" t="s">
        <v>40</v>
      </c>
    </row>
    <row r="46" s="23" customFormat="1" customHeight="1" spans="1:15">
      <c r="A46" s="4" t="s">
        <v>480</v>
      </c>
      <c r="B46" s="3" t="s">
        <v>230</v>
      </c>
      <c r="C46" s="3" t="s">
        <v>202</v>
      </c>
      <c r="D46" s="3" t="s">
        <v>734</v>
      </c>
      <c r="E46" s="3" t="str">
        <f>_xlfn.DISPIMG("ID_9FAA472BC68E475497717F7BF36F6FA3",1)</f>
        <v>=DISPIMG("ID_9FAA472BC68E475497717F7BF36F6FA3",1)</v>
      </c>
      <c r="F46" s="30" t="s">
        <v>735</v>
      </c>
      <c r="G46" s="3" t="s">
        <v>736</v>
      </c>
      <c r="H46" s="31">
        <v>44725</v>
      </c>
      <c r="I46" s="3" t="s">
        <v>590</v>
      </c>
      <c r="J46" s="3">
        <v>62000</v>
      </c>
      <c r="K46" s="3">
        <v>55000</v>
      </c>
      <c r="L46" s="3">
        <v>938</v>
      </c>
      <c r="M46" s="3">
        <f t="shared" si="0"/>
        <v>117938</v>
      </c>
      <c r="N46" s="3" t="s">
        <v>232</v>
      </c>
      <c r="O46" s="37" t="s">
        <v>41</v>
      </c>
    </row>
    <row r="47" s="22" customFormat="1" customHeight="1" spans="1:15">
      <c r="A47" s="4" t="s">
        <v>458</v>
      </c>
      <c r="B47" s="3" t="s">
        <v>195</v>
      </c>
      <c r="C47" s="3" t="s">
        <v>737</v>
      </c>
      <c r="D47" s="3" t="s">
        <v>310</v>
      </c>
      <c r="E47" s="3" t="str">
        <f>_xlfn.DISPIMG("ID_E372CB7569C8454CBC8DA6B0B57C416F",1)</f>
        <v>=DISPIMG("ID_E372CB7569C8454CBC8DA6B0B57C416F",1)</v>
      </c>
      <c r="F47" s="30" t="s">
        <v>738</v>
      </c>
      <c r="G47" s="3" t="s">
        <v>739</v>
      </c>
      <c r="H47" s="31">
        <v>44727</v>
      </c>
      <c r="I47" s="3" t="s">
        <v>590</v>
      </c>
      <c r="J47" s="3">
        <v>396</v>
      </c>
      <c r="K47" s="3">
        <v>291</v>
      </c>
      <c r="L47" s="3">
        <v>61</v>
      </c>
      <c r="M47" s="3">
        <f t="shared" si="0"/>
        <v>748</v>
      </c>
      <c r="N47" s="3" t="s">
        <v>212</v>
      </c>
      <c r="O47" s="37" t="s">
        <v>42</v>
      </c>
    </row>
    <row r="48" s="22" customFormat="1" customHeight="1" spans="1:15">
      <c r="A48" s="4" t="s">
        <v>473</v>
      </c>
      <c r="B48" s="3" t="s">
        <v>230</v>
      </c>
      <c r="C48" s="3" t="s">
        <v>740</v>
      </c>
      <c r="D48" s="3" t="s">
        <v>741</v>
      </c>
      <c r="E48" s="3" t="str">
        <f>_xlfn.DISPIMG("ID_8F251EF4E6F240DFA49083E4E405686D",1)</f>
        <v>=DISPIMG("ID_8F251EF4E6F240DFA49083E4E405686D",1)</v>
      </c>
      <c r="F48" s="30" t="s">
        <v>742</v>
      </c>
      <c r="G48" s="3" t="s">
        <v>743</v>
      </c>
      <c r="H48" s="31">
        <v>44726</v>
      </c>
      <c r="I48" s="3" t="s">
        <v>590</v>
      </c>
      <c r="J48" s="3">
        <v>20000</v>
      </c>
      <c r="K48" s="3">
        <v>15000</v>
      </c>
      <c r="L48" s="3">
        <v>123</v>
      </c>
      <c r="M48" s="3">
        <f t="shared" si="0"/>
        <v>35123</v>
      </c>
      <c r="N48" s="3" t="s">
        <v>232</v>
      </c>
      <c r="O48" s="37" t="s">
        <v>42</v>
      </c>
    </row>
    <row r="49" s="22" customFormat="1" customHeight="1" spans="1:15">
      <c r="A49" s="4" t="s">
        <v>447</v>
      </c>
      <c r="B49" s="3" t="s">
        <v>195</v>
      </c>
      <c r="C49" s="3" t="s">
        <v>744</v>
      </c>
      <c r="D49" s="3" t="s">
        <v>745</v>
      </c>
      <c r="E49" s="3" t="str">
        <f>_xlfn.DISPIMG("ID_D281459A4695474EAF22C3024A24A661",1)</f>
        <v>=DISPIMG("ID_D281459A4695474EAF22C3024A24A661",1)</v>
      </c>
      <c r="F49" s="30" t="s">
        <v>746</v>
      </c>
      <c r="G49" s="3" t="s">
        <v>747</v>
      </c>
      <c r="H49" s="31">
        <v>44726</v>
      </c>
      <c r="I49" s="3" t="s">
        <v>590</v>
      </c>
      <c r="J49" s="30">
        <v>2605</v>
      </c>
      <c r="K49" s="3">
        <v>2921</v>
      </c>
      <c r="L49" s="3">
        <v>82</v>
      </c>
      <c r="M49" s="3">
        <f t="shared" si="0"/>
        <v>5608</v>
      </c>
      <c r="N49" s="3" t="s">
        <v>212</v>
      </c>
      <c r="O49" s="37" t="s">
        <v>42</v>
      </c>
    </row>
    <row r="50" s="22" customFormat="1" customHeight="1" spans="1:15">
      <c r="A50" s="4" t="s">
        <v>449</v>
      </c>
      <c r="B50" s="3" t="s">
        <v>195</v>
      </c>
      <c r="C50" s="3" t="s">
        <v>748</v>
      </c>
      <c r="D50" s="3" t="s">
        <v>310</v>
      </c>
      <c r="E50" s="3" t="str">
        <f>_xlfn.DISPIMG("ID_EB51213A197D4AC4A99B9C5AE084F275",1)</f>
        <v>=DISPIMG("ID_EB51213A197D4AC4A99B9C5AE084F275",1)</v>
      </c>
      <c r="F50" s="30" t="s">
        <v>749</v>
      </c>
      <c r="G50" s="3" t="s">
        <v>750</v>
      </c>
      <c r="H50" s="31">
        <v>44726</v>
      </c>
      <c r="I50" s="3" t="s">
        <v>590</v>
      </c>
      <c r="J50" s="3">
        <v>1255</v>
      </c>
      <c r="K50" s="3">
        <v>2285</v>
      </c>
      <c r="L50" s="3">
        <v>78</v>
      </c>
      <c r="M50" s="3">
        <f t="shared" si="0"/>
        <v>3618</v>
      </c>
      <c r="N50" s="3" t="s">
        <v>212</v>
      </c>
      <c r="O50" s="37" t="s">
        <v>42</v>
      </c>
    </row>
    <row r="51" s="22" customFormat="1" customHeight="1" spans="1:15">
      <c r="A51" s="4" t="s">
        <v>535</v>
      </c>
      <c r="B51" s="3" t="s">
        <v>195</v>
      </c>
      <c r="C51" s="3" t="s">
        <v>751</v>
      </c>
      <c r="D51" s="3" t="s">
        <v>310</v>
      </c>
      <c r="E51" s="3" t="str">
        <f>_xlfn.DISPIMG("ID_6A0C8E88443B465F94D4563942EFEEEB",1)</f>
        <v>=DISPIMG("ID_6A0C8E88443B465F94D4563942EFEEEB",1)</v>
      </c>
      <c r="F51" s="30" t="s">
        <v>752</v>
      </c>
      <c r="G51" s="3" t="s">
        <v>753</v>
      </c>
      <c r="H51" s="31">
        <v>44726</v>
      </c>
      <c r="I51" s="3" t="s">
        <v>586</v>
      </c>
      <c r="J51" s="3">
        <v>44</v>
      </c>
      <c r="K51" s="3">
        <v>27</v>
      </c>
      <c r="L51" s="3">
        <v>36</v>
      </c>
      <c r="M51" s="3">
        <f t="shared" si="0"/>
        <v>107</v>
      </c>
      <c r="N51" s="3" t="s">
        <v>212</v>
      </c>
      <c r="O51" s="37" t="s">
        <v>42</v>
      </c>
    </row>
    <row r="52" s="22" customFormat="1" customHeight="1" spans="1:15">
      <c r="A52" s="4" t="s">
        <v>544</v>
      </c>
      <c r="B52" s="3" t="s">
        <v>195</v>
      </c>
      <c r="C52" s="3" t="s">
        <v>754</v>
      </c>
      <c r="D52" s="3" t="s">
        <v>212</v>
      </c>
      <c r="E52" s="3" t="str">
        <f>_xlfn.DISPIMG("ID_2792AD0522914200845DCEFE3D7A129F",1)</f>
        <v>=DISPIMG("ID_2792AD0522914200845DCEFE3D7A129F",1)</v>
      </c>
      <c r="F52" s="30" t="s">
        <v>755</v>
      </c>
      <c r="G52" s="3" t="s">
        <v>756</v>
      </c>
      <c r="H52" s="31">
        <v>44728</v>
      </c>
      <c r="I52" s="3" t="s">
        <v>590</v>
      </c>
      <c r="J52" s="3">
        <v>4052</v>
      </c>
      <c r="K52" s="3">
        <v>3703</v>
      </c>
      <c r="L52" s="3">
        <v>108</v>
      </c>
      <c r="M52" s="3">
        <f t="shared" si="0"/>
        <v>7863</v>
      </c>
      <c r="N52" s="3" t="s">
        <v>212</v>
      </c>
      <c r="O52" s="37" t="s">
        <v>43</v>
      </c>
    </row>
    <row r="53" s="22" customFormat="1" customHeight="1" spans="1:15">
      <c r="A53" s="4" t="s">
        <v>468</v>
      </c>
      <c r="B53" s="3" t="s">
        <v>230</v>
      </c>
      <c r="C53" s="3" t="s">
        <v>757</v>
      </c>
      <c r="D53" s="3" t="s">
        <v>232</v>
      </c>
      <c r="E53" s="3" t="str">
        <f>_xlfn.DISPIMG("ID_3656D33F2B914C5CB2C48C75073A4D5B",1)</f>
        <v>=DISPIMG("ID_3656D33F2B914C5CB2C48C75073A4D5B",1)</v>
      </c>
      <c r="F53" s="30" t="s">
        <v>758</v>
      </c>
      <c r="G53" s="3" t="s">
        <v>759</v>
      </c>
      <c r="H53" s="31">
        <v>44727</v>
      </c>
      <c r="I53" s="3" t="s">
        <v>590</v>
      </c>
      <c r="J53" s="3">
        <v>6033</v>
      </c>
      <c r="K53" s="3">
        <v>8088</v>
      </c>
      <c r="L53" s="3">
        <v>111</v>
      </c>
      <c r="M53" s="3">
        <f t="shared" si="0"/>
        <v>14232</v>
      </c>
      <c r="N53" s="3" t="s">
        <v>232</v>
      </c>
      <c r="O53" s="37" t="s">
        <v>43</v>
      </c>
    </row>
    <row r="54" s="22" customFormat="1" customHeight="1" spans="1:15">
      <c r="A54" s="4" t="s">
        <v>466</v>
      </c>
      <c r="B54" s="3" t="s">
        <v>195</v>
      </c>
      <c r="C54" s="3" t="s">
        <v>760</v>
      </c>
      <c r="D54" s="3" t="s">
        <v>310</v>
      </c>
      <c r="E54" s="3" t="str">
        <f>_xlfn.DISPIMG("ID_13B68F063A8D48DDBF89BE7B40760742",1)</f>
        <v>=DISPIMG("ID_13B68F063A8D48DDBF89BE7B40760742",1)</v>
      </c>
      <c r="F54" s="30" t="s">
        <v>761</v>
      </c>
      <c r="G54" s="3" t="s">
        <v>762</v>
      </c>
      <c r="H54" s="31">
        <v>44722</v>
      </c>
      <c r="I54" s="3" t="s">
        <v>586</v>
      </c>
      <c r="J54" s="3">
        <v>307</v>
      </c>
      <c r="K54" s="3">
        <v>165</v>
      </c>
      <c r="L54" s="3">
        <v>37</v>
      </c>
      <c r="M54" s="3">
        <f t="shared" si="0"/>
        <v>509</v>
      </c>
      <c r="N54" s="3" t="s">
        <v>212</v>
      </c>
      <c r="O54" s="37" t="s">
        <v>43</v>
      </c>
    </row>
    <row r="55" s="22" customFormat="1" customHeight="1" spans="1:15">
      <c r="A55" s="4" t="s">
        <v>455</v>
      </c>
      <c r="B55" s="3" t="s">
        <v>195</v>
      </c>
      <c r="C55" s="3" t="s">
        <v>763</v>
      </c>
      <c r="D55" s="3" t="s">
        <v>764</v>
      </c>
      <c r="E55" s="3" t="str">
        <f>_xlfn.DISPIMG("ID_18E5079068FD41C2901D93583898A860",1)</f>
        <v>=DISPIMG("ID_18E5079068FD41C2901D93583898A860",1)</v>
      </c>
      <c r="F55" s="30" t="s">
        <v>765</v>
      </c>
      <c r="G55" s="3" t="s">
        <v>766</v>
      </c>
      <c r="H55" s="31">
        <v>44728</v>
      </c>
      <c r="I55" s="3" t="s">
        <v>590</v>
      </c>
      <c r="J55" s="3">
        <v>426</v>
      </c>
      <c r="K55" s="3">
        <v>518</v>
      </c>
      <c r="L55" s="3">
        <v>49</v>
      </c>
      <c r="M55" s="3">
        <f t="shared" si="0"/>
        <v>993</v>
      </c>
      <c r="N55" s="3" t="s">
        <v>212</v>
      </c>
      <c r="O55" s="37" t="s">
        <v>46</v>
      </c>
    </row>
    <row r="56" s="22" customFormat="1" customHeight="1" spans="1:15">
      <c r="A56" s="4" t="s">
        <v>453</v>
      </c>
      <c r="B56" s="3" t="s">
        <v>195</v>
      </c>
      <c r="C56" s="3" t="s">
        <v>767</v>
      </c>
      <c r="D56" s="3" t="s">
        <v>764</v>
      </c>
      <c r="E56" s="3" t="str">
        <f>_xlfn.DISPIMG("ID_23946B7E7AC6447EADD47E3B0495440E",1)</f>
        <v>=DISPIMG("ID_23946B7E7AC6447EADD47E3B0495440E",1)</v>
      </c>
      <c r="F56" s="30" t="s">
        <v>768</v>
      </c>
      <c r="G56" s="3" t="s">
        <v>769</v>
      </c>
      <c r="H56" s="31">
        <v>44768</v>
      </c>
      <c r="I56" s="3" t="s">
        <v>590</v>
      </c>
      <c r="J56" s="3">
        <v>785</v>
      </c>
      <c r="K56" s="3">
        <v>201</v>
      </c>
      <c r="L56" s="3">
        <v>98</v>
      </c>
      <c r="M56" s="3">
        <f t="shared" si="0"/>
        <v>1084</v>
      </c>
      <c r="N56" s="3" t="s">
        <v>212</v>
      </c>
      <c r="O56" s="37" t="s">
        <v>64</v>
      </c>
    </row>
    <row r="57" s="22" customFormat="1" customHeight="1" spans="1:15">
      <c r="A57" s="4" t="s">
        <v>378</v>
      </c>
      <c r="B57" s="3" t="s">
        <v>195</v>
      </c>
      <c r="C57" s="3" t="s">
        <v>770</v>
      </c>
      <c r="D57" s="3" t="s">
        <v>771</v>
      </c>
      <c r="E57" s="3" t="str">
        <f>_xlfn.DISPIMG("ID_45FA29E717B947FAA038E2F79AD04ACA",1)</f>
        <v>=DISPIMG("ID_45FA29E717B947FAA038E2F79AD04ACA",1)</v>
      </c>
      <c r="F57" s="30" t="s">
        <v>772</v>
      </c>
      <c r="G57" s="3" t="s">
        <v>773</v>
      </c>
      <c r="H57" s="34">
        <v>44772</v>
      </c>
      <c r="I57" s="3" t="s">
        <v>590</v>
      </c>
      <c r="J57" s="3">
        <v>2208</v>
      </c>
      <c r="K57" s="3">
        <v>1688</v>
      </c>
      <c r="L57" s="3">
        <v>96</v>
      </c>
      <c r="M57" s="3">
        <f t="shared" si="0"/>
        <v>3992</v>
      </c>
      <c r="N57" s="3" t="s">
        <v>198</v>
      </c>
      <c r="O57" s="37" t="s">
        <v>70</v>
      </c>
    </row>
    <row r="58" s="22" customFormat="1" customHeight="1" spans="1:15">
      <c r="A58" s="4" t="s">
        <v>464</v>
      </c>
      <c r="B58" s="3" t="s">
        <v>195</v>
      </c>
      <c r="C58" s="3" t="s">
        <v>774</v>
      </c>
      <c r="D58" s="3" t="s">
        <v>775</v>
      </c>
      <c r="E58" s="3" t="str">
        <f>_xlfn.DISPIMG("ID_BEBF0641BEE245758F09522CAA930B7F",1)</f>
        <v>=DISPIMG("ID_BEBF0641BEE245758F09522CAA930B7F",1)</v>
      </c>
      <c r="F58" s="30" t="s">
        <v>776</v>
      </c>
      <c r="G58" s="3" t="s">
        <v>777</v>
      </c>
      <c r="H58" s="34">
        <v>44771</v>
      </c>
      <c r="I58" s="3" t="s">
        <v>590</v>
      </c>
      <c r="J58" s="3">
        <v>519</v>
      </c>
      <c r="K58" s="3">
        <v>31</v>
      </c>
      <c r="L58" s="3">
        <v>34</v>
      </c>
      <c r="M58" s="3">
        <f t="shared" si="0"/>
        <v>584</v>
      </c>
      <c r="N58" s="3" t="s">
        <v>198</v>
      </c>
      <c r="O58" s="37" t="s">
        <v>70</v>
      </c>
    </row>
    <row r="59" s="22" customFormat="1" customHeight="1" spans="1:15">
      <c r="A59" s="4" t="s">
        <v>457</v>
      </c>
      <c r="B59" s="3" t="s">
        <v>195</v>
      </c>
      <c r="C59" s="3" t="s">
        <v>778</v>
      </c>
      <c r="D59" s="3" t="s">
        <v>779</v>
      </c>
      <c r="E59" s="3" t="str">
        <f>_xlfn.DISPIMG("ID_3A748953D30D477CAFB28E95C12DD368",1)</f>
        <v>=DISPIMG("ID_3A748953D30D477CAFB28E95C12DD368",1)</v>
      </c>
      <c r="F59" s="32" t="s">
        <v>780</v>
      </c>
      <c r="G59" s="3" t="s">
        <v>781</v>
      </c>
      <c r="H59" s="34">
        <v>44776</v>
      </c>
      <c r="I59" s="3" t="s">
        <v>590</v>
      </c>
      <c r="J59" s="3">
        <v>537</v>
      </c>
      <c r="K59" s="3">
        <v>212</v>
      </c>
      <c r="L59" s="3">
        <v>32</v>
      </c>
      <c r="M59" s="3">
        <f t="shared" si="0"/>
        <v>781</v>
      </c>
      <c r="N59" s="3" t="s">
        <v>198</v>
      </c>
      <c r="O59" s="37" t="s">
        <v>73</v>
      </c>
    </row>
    <row r="60" s="22" customFormat="1" customHeight="1" spans="1:15">
      <c r="A60" s="4" t="s">
        <v>542</v>
      </c>
      <c r="B60" s="3" t="s">
        <v>195</v>
      </c>
      <c r="C60" s="3" t="s">
        <v>782</v>
      </c>
      <c r="D60" s="3" t="s">
        <v>779</v>
      </c>
      <c r="E60" s="3" t="str">
        <f>_xlfn.DISPIMG("ID_F6D6313AC0CD4ECC936C12B0A5F5138C",1)</f>
        <v>=DISPIMG("ID_F6D6313AC0CD4ECC936C12B0A5F5138C",1)</v>
      </c>
      <c r="F60" s="30" t="s">
        <v>783</v>
      </c>
      <c r="G60" s="3" t="s">
        <v>784</v>
      </c>
      <c r="H60" s="34">
        <v>44770</v>
      </c>
      <c r="I60" s="3" t="s">
        <v>590</v>
      </c>
      <c r="J60" s="3">
        <v>828</v>
      </c>
      <c r="K60" s="3">
        <v>642</v>
      </c>
      <c r="L60" s="3">
        <v>56</v>
      </c>
      <c r="M60" s="3">
        <f t="shared" si="0"/>
        <v>1526</v>
      </c>
      <c r="N60" s="3" t="s">
        <v>198</v>
      </c>
      <c r="O60" s="37" t="s">
        <v>74</v>
      </c>
    </row>
    <row r="61" s="22" customFormat="1" customHeight="1" spans="1:15">
      <c r="A61" s="4" t="s">
        <v>296</v>
      </c>
      <c r="B61" s="3" t="s">
        <v>195</v>
      </c>
      <c r="C61" s="3" t="s">
        <v>294</v>
      </c>
      <c r="D61" s="3" t="s">
        <v>203</v>
      </c>
      <c r="E61" s="3" t="str">
        <f>_xlfn.DISPIMG("ID_D1A37ADFC939479D884FBB28AE53532B",1)</f>
        <v>=DISPIMG("ID_D1A37ADFC939479D884FBB28AE53532B",1)</v>
      </c>
      <c r="F61" s="30" t="s">
        <v>295</v>
      </c>
      <c r="G61" s="3" t="s">
        <v>785</v>
      </c>
      <c r="H61" s="34">
        <v>44781</v>
      </c>
      <c r="I61" s="3" t="s">
        <v>586</v>
      </c>
      <c r="J61" s="3">
        <v>1460</v>
      </c>
      <c r="K61" s="3">
        <v>644</v>
      </c>
      <c r="L61" s="3">
        <v>58</v>
      </c>
      <c r="M61" s="3">
        <f t="shared" si="0"/>
        <v>2162</v>
      </c>
      <c r="N61" s="3" t="s">
        <v>198</v>
      </c>
      <c r="O61" s="37" t="s">
        <v>77</v>
      </c>
    </row>
    <row r="62" s="22" customFormat="1" customHeight="1" spans="1:15">
      <c r="A62" s="4" t="s">
        <v>205</v>
      </c>
      <c r="B62" s="3" t="s">
        <v>195</v>
      </c>
      <c r="C62" s="3" t="s">
        <v>202</v>
      </c>
      <c r="D62" s="3" t="s">
        <v>203</v>
      </c>
      <c r="E62" s="3" t="str">
        <f>_xlfn.DISPIMG("ID_DB426F5A91EE479F804F0B7B8D73D77E",1)</f>
        <v>=DISPIMG("ID_DB426F5A91EE479F804F0B7B8D73D77E",1)</v>
      </c>
      <c r="F62" s="30" t="s">
        <v>204</v>
      </c>
      <c r="G62" s="3" t="s">
        <v>786</v>
      </c>
      <c r="H62" s="34">
        <v>44783</v>
      </c>
      <c r="I62" s="3" t="s">
        <v>590</v>
      </c>
      <c r="J62" s="3">
        <v>6525</v>
      </c>
      <c r="K62" s="3">
        <v>6373</v>
      </c>
      <c r="L62" s="3">
        <v>101</v>
      </c>
      <c r="M62" s="3">
        <f t="shared" si="0"/>
        <v>12999</v>
      </c>
      <c r="N62" s="3" t="s">
        <v>198</v>
      </c>
      <c r="O62" s="37" t="s">
        <v>79</v>
      </c>
    </row>
    <row r="63" s="22" customFormat="1" customHeight="1" spans="1:15">
      <c r="A63" s="4" t="s">
        <v>300</v>
      </c>
      <c r="B63" s="3" t="s">
        <v>195</v>
      </c>
      <c r="C63" s="3" t="s">
        <v>298</v>
      </c>
      <c r="D63" s="3" t="s">
        <v>203</v>
      </c>
      <c r="E63" s="3" t="str">
        <f>_xlfn.DISPIMG("ID_D872F375D490401FB7E3C181F6B3D92D",1)</f>
        <v>=DISPIMG("ID_D872F375D490401FB7E3C181F6B3D92D",1)</v>
      </c>
      <c r="F63" s="30" t="s">
        <v>299</v>
      </c>
      <c r="G63" s="3" t="s">
        <v>787</v>
      </c>
      <c r="H63" s="34">
        <v>44784</v>
      </c>
      <c r="I63" s="3" t="s">
        <v>590</v>
      </c>
      <c r="J63" s="3">
        <v>938</v>
      </c>
      <c r="K63" s="3">
        <v>317</v>
      </c>
      <c r="L63" s="3">
        <v>64</v>
      </c>
      <c r="M63" s="3">
        <f t="shared" si="0"/>
        <v>1319</v>
      </c>
      <c r="N63" s="3" t="s">
        <v>198</v>
      </c>
      <c r="O63" s="37" t="s">
        <v>80</v>
      </c>
    </row>
    <row r="64" s="22" customFormat="1" customHeight="1" spans="1:15">
      <c r="A64" s="4" t="s">
        <v>456</v>
      </c>
      <c r="B64" s="3" t="s">
        <v>195</v>
      </c>
      <c r="C64" s="3" t="s">
        <v>667</v>
      </c>
      <c r="D64" s="3" t="s">
        <v>779</v>
      </c>
      <c r="E64" s="3" t="str">
        <f>_xlfn.DISPIMG("ID_2A397798280F48F8BFA742AA621F742B",1)</f>
        <v>=DISPIMG("ID_2A397798280F48F8BFA742AA621F742B",1)</v>
      </c>
      <c r="F64" s="30" t="s">
        <v>788</v>
      </c>
      <c r="G64" s="3" t="s">
        <v>789</v>
      </c>
      <c r="H64" s="34">
        <v>44788</v>
      </c>
      <c r="I64" s="3" t="s">
        <v>590</v>
      </c>
      <c r="J64" s="3">
        <v>540</v>
      </c>
      <c r="K64" s="3">
        <v>285</v>
      </c>
      <c r="L64" s="3">
        <v>34</v>
      </c>
      <c r="M64" s="3">
        <f t="shared" si="0"/>
        <v>859</v>
      </c>
      <c r="N64" s="3" t="s">
        <v>198</v>
      </c>
      <c r="O64" s="37" t="s">
        <v>84</v>
      </c>
    </row>
    <row r="65" s="22" customFormat="1" customHeight="1" spans="1:15">
      <c r="A65" s="4" t="s">
        <v>533</v>
      </c>
      <c r="B65" s="3" t="s">
        <v>195</v>
      </c>
      <c r="C65" s="3" t="s">
        <v>790</v>
      </c>
      <c r="D65" s="3" t="s">
        <v>203</v>
      </c>
      <c r="E65" s="3" t="str">
        <f>_xlfn.DISPIMG("ID_E721F5DCF75648EA8A751EF39EEA1CC4",1)</f>
        <v>=DISPIMG("ID_E721F5DCF75648EA8A751EF39EEA1CC4",1)</v>
      </c>
      <c r="F65" s="30" t="s">
        <v>791</v>
      </c>
      <c r="G65" s="3" t="s">
        <v>792</v>
      </c>
      <c r="H65" s="34">
        <v>44789</v>
      </c>
      <c r="I65" s="3" t="s">
        <v>586</v>
      </c>
      <c r="J65" s="3">
        <v>64</v>
      </c>
      <c r="K65" s="3">
        <v>40</v>
      </c>
      <c r="L65" s="3">
        <v>15</v>
      </c>
      <c r="M65" s="3">
        <f t="shared" si="0"/>
        <v>119</v>
      </c>
      <c r="N65" s="3" t="s">
        <v>198</v>
      </c>
      <c r="O65" s="37" t="s">
        <v>85</v>
      </c>
    </row>
    <row r="66" s="22" customFormat="1" customHeight="1" spans="1:15">
      <c r="A66" s="4" t="s">
        <v>488</v>
      </c>
      <c r="B66" s="3" t="s">
        <v>195</v>
      </c>
      <c r="C66" s="3" t="s">
        <v>793</v>
      </c>
      <c r="D66" s="3" t="s">
        <v>203</v>
      </c>
      <c r="E66" s="3" t="str">
        <f>_xlfn.DISPIMG("ID_34DF0104CCB44B21A98155B0B4140130",1)</f>
        <v>=DISPIMG("ID_34DF0104CCB44B21A98155B0B4140130",1)</v>
      </c>
      <c r="F66" s="30" t="s">
        <v>794</v>
      </c>
      <c r="G66" s="3" t="s">
        <v>795</v>
      </c>
      <c r="H66" s="34">
        <v>44790</v>
      </c>
      <c r="I66" s="3" t="s">
        <v>586</v>
      </c>
      <c r="J66" s="3">
        <v>182</v>
      </c>
      <c r="K66" s="3">
        <v>130</v>
      </c>
      <c r="L66" s="3">
        <v>42</v>
      </c>
      <c r="M66" s="3">
        <f t="shared" si="0"/>
        <v>354</v>
      </c>
      <c r="N66" s="3" t="s">
        <v>198</v>
      </c>
      <c r="O66" s="37" t="s">
        <v>86</v>
      </c>
    </row>
    <row r="67" s="22" customFormat="1" customHeight="1" spans="1:15">
      <c r="A67" s="4" t="s">
        <v>525</v>
      </c>
      <c r="B67" s="3" t="s">
        <v>195</v>
      </c>
      <c r="C67" s="3" t="s">
        <v>796</v>
      </c>
      <c r="D67" s="3" t="s">
        <v>203</v>
      </c>
      <c r="E67" s="3" t="str">
        <f>_xlfn.DISPIMG("ID_1DCB59441F794EAF98F9A0FC140C5EFC",1)</f>
        <v>=DISPIMG("ID_1DCB59441F794EAF98F9A0FC140C5EFC",1)</v>
      </c>
      <c r="F67" s="30" t="s">
        <v>797</v>
      </c>
      <c r="G67" s="3" t="s">
        <v>798</v>
      </c>
      <c r="H67" s="34">
        <v>44791</v>
      </c>
      <c r="I67" s="3" t="s">
        <v>586</v>
      </c>
      <c r="J67" s="3">
        <v>173</v>
      </c>
      <c r="K67" s="3">
        <v>68</v>
      </c>
      <c r="L67" s="3">
        <v>25</v>
      </c>
      <c r="M67" s="3">
        <f t="shared" si="0"/>
        <v>266</v>
      </c>
      <c r="N67" s="3" t="s">
        <v>198</v>
      </c>
      <c r="O67" s="37" t="s">
        <v>87</v>
      </c>
    </row>
    <row r="68" s="22" customFormat="1" customHeight="1" spans="1:15">
      <c r="A68" s="4" t="s">
        <v>289</v>
      </c>
      <c r="B68" s="3" t="s">
        <v>195</v>
      </c>
      <c r="C68" s="3" t="s">
        <v>286</v>
      </c>
      <c r="D68" s="3" t="s">
        <v>287</v>
      </c>
      <c r="E68" s="3" t="str">
        <f>_xlfn.DISPIMG("ID_7C89AB9D473A4D1FAC542A82BAAFA4C4",1)</f>
        <v>=DISPIMG("ID_7C89AB9D473A4D1FAC542A82BAAFA4C4",1)</v>
      </c>
      <c r="F68" s="30" t="s">
        <v>288</v>
      </c>
      <c r="G68" s="3" t="s">
        <v>799</v>
      </c>
      <c r="H68" s="34">
        <v>44791</v>
      </c>
      <c r="I68" s="3" t="s">
        <v>586</v>
      </c>
      <c r="J68" s="3">
        <v>1335</v>
      </c>
      <c r="K68" s="3">
        <v>921</v>
      </c>
      <c r="L68" s="3">
        <v>35</v>
      </c>
      <c r="M68" s="3">
        <f t="shared" si="0"/>
        <v>2291</v>
      </c>
      <c r="N68" s="3" t="s">
        <v>198</v>
      </c>
      <c r="O68" s="37" t="s">
        <v>90</v>
      </c>
    </row>
    <row r="69" s="22" customFormat="1" customHeight="1" spans="1:15">
      <c r="A69" s="4" t="s">
        <v>545</v>
      </c>
      <c r="B69" s="3" t="s">
        <v>195</v>
      </c>
      <c r="C69" s="3" t="s">
        <v>800</v>
      </c>
      <c r="D69" s="3" t="s">
        <v>198</v>
      </c>
      <c r="E69" s="3" t="str">
        <f>_xlfn.DISPIMG("ID_30EF3C4592FD47C38937C03402D3B468",1)</f>
        <v>=DISPIMG("ID_30EF3C4592FD47C38937C03402D3B468",1)</v>
      </c>
      <c r="F69" s="30" t="s">
        <v>801</v>
      </c>
      <c r="G69" s="3" t="s">
        <v>802</v>
      </c>
      <c r="H69" s="34">
        <v>44791</v>
      </c>
      <c r="I69" s="3" t="s">
        <v>586</v>
      </c>
      <c r="J69" s="3">
        <v>174</v>
      </c>
      <c r="K69" s="3">
        <v>120</v>
      </c>
      <c r="L69" s="3">
        <v>35</v>
      </c>
      <c r="M69" s="3">
        <f t="shared" si="0"/>
        <v>329</v>
      </c>
      <c r="N69" s="3" t="s">
        <v>198</v>
      </c>
      <c r="O69" s="37" t="s">
        <v>90</v>
      </c>
    </row>
    <row r="70" s="22" customFormat="1" customHeight="1" spans="1:15">
      <c r="A70" s="4" t="s">
        <v>395</v>
      </c>
      <c r="B70" s="3" t="s">
        <v>195</v>
      </c>
      <c r="C70" s="3" t="s">
        <v>803</v>
      </c>
      <c r="D70" s="3" t="s">
        <v>198</v>
      </c>
      <c r="E70" s="3" t="str">
        <f>_xlfn.DISPIMG("ID_CE9FD5BC31E84B7198DFBB2AE211EDEE",1)</f>
        <v>=DISPIMG("ID_CE9FD5BC31E84B7198DFBB2AE211EDEE",1)</v>
      </c>
      <c r="F70" s="30" t="s">
        <v>804</v>
      </c>
      <c r="G70" s="3" t="s">
        <v>805</v>
      </c>
      <c r="H70" s="34">
        <v>44795</v>
      </c>
      <c r="I70" s="3" t="s">
        <v>590</v>
      </c>
      <c r="J70" s="3">
        <v>916</v>
      </c>
      <c r="K70" s="3">
        <v>745</v>
      </c>
      <c r="L70" s="3">
        <v>40</v>
      </c>
      <c r="M70" s="3">
        <f t="shared" si="0"/>
        <v>1701</v>
      </c>
      <c r="N70" s="3" t="s">
        <v>198</v>
      </c>
      <c r="O70" s="37" t="s">
        <v>91</v>
      </c>
    </row>
    <row r="71" s="22" customFormat="1" customHeight="1" spans="1:15">
      <c r="A71" s="4" t="s">
        <v>495</v>
      </c>
      <c r="B71" s="3" t="s">
        <v>195</v>
      </c>
      <c r="C71" s="3" t="s">
        <v>806</v>
      </c>
      <c r="D71" s="3" t="s">
        <v>198</v>
      </c>
      <c r="E71" s="3" t="str">
        <f>_xlfn.DISPIMG("ID_0CEDD2D832FA4D338B1220A036D19882",1)</f>
        <v>=DISPIMG("ID_0CEDD2D832FA4D338B1220A036D19882",1)</v>
      </c>
      <c r="F71" s="30" t="s">
        <v>807</v>
      </c>
      <c r="G71" s="3" t="s">
        <v>808</v>
      </c>
      <c r="H71" s="34">
        <v>44795</v>
      </c>
      <c r="I71" s="3" t="s">
        <v>586</v>
      </c>
      <c r="J71" s="3">
        <v>210</v>
      </c>
      <c r="K71" s="3">
        <v>85</v>
      </c>
      <c r="L71" s="3">
        <v>33</v>
      </c>
      <c r="M71" s="3">
        <f t="shared" si="0"/>
        <v>328</v>
      </c>
      <c r="N71" s="3" t="s">
        <v>198</v>
      </c>
      <c r="O71" s="37" t="s">
        <v>91</v>
      </c>
    </row>
    <row r="72" s="22" customFormat="1" customHeight="1" spans="1:15">
      <c r="A72" s="4" t="s">
        <v>462</v>
      </c>
      <c r="B72" s="3" t="s">
        <v>195</v>
      </c>
      <c r="C72" s="3" t="s">
        <v>809</v>
      </c>
      <c r="D72" s="3" t="s">
        <v>203</v>
      </c>
      <c r="E72" s="3" t="str">
        <f>_xlfn.DISPIMG("ID_542DFEFF3DBD4962A323CEE86E9E5A54",1)</f>
        <v>=DISPIMG("ID_542DFEFF3DBD4962A323CEE86E9E5A54",1)</v>
      </c>
      <c r="F72" s="30" t="s">
        <v>810</v>
      </c>
      <c r="G72" s="3" t="s">
        <v>811</v>
      </c>
      <c r="H72" s="34">
        <v>44799</v>
      </c>
      <c r="I72" s="3" t="s">
        <v>590</v>
      </c>
      <c r="J72" s="3">
        <v>360</v>
      </c>
      <c r="K72" s="3">
        <v>210</v>
      </c>
      <c r="L72" s="3">
        <v>51</v>
      </c>
      <c r="M72" s="3">
        <f t="shared" si="0"/>
        <v>621</v>
      </c>
      <c r="N72" s="3" t="s">
        <v>198</v>
      </c>
      <c r="O72" s="37" t="s">
        <v>97</v>
      </c>
    </row>
    <row r="73" s="22" customFormat="1" customHeight="1" spans="1:15">
      <c r="A73" s="4" t="s">
        <v>476</v>
      </c>
      <c r="B73" s="3" t="s">
        <v>195</v>
      </c>
      <c r="C73" s="3" t="s">
        <v>812</v>
      </c>
      <c r="D73" s="3" t="s">
        <v>198</v>
      </c>
      <c r="E73" s="3" t="str">
        <f>_xlfn.DISPIMG("ID_4F59F7460C2642D2A80586478E4200B0",1)</f>
        <v>=DISPIMG("ID_4F59F7460C2642D2A80586478E4200B0",1)</v>
      </c>
      <c r="F73" s="30" t="s">
        <v>813</v>
      </c>
      <c r="G73" s="3" t="s">
        <v>814</v>
      </c>
      <c r="H73" s="34">
        <v>44793</v>
      </c>
      <c r="I73" s="3" t="s">
        <v>586</v>
      </c>
      <c r="J73" s="3">
        <v>183</v>
      </c>
      <c r="K73" s="3">
        <v>181</v>
      </c>
      <c r="L73" s="3">
        <v>31</v>
      </c>
      <c r="M73" s="3">
        <f t="shared" si="0"/>
        <v>395</v>
      </c>
      <c r="N73" s="3" t="s">
        <v>198</v>
      </c>
      <c r="O73" s="37" t="s">
        <v>99</v>
      </c>
    </row>
    <row r="74" s="22" customFormat="1" customHeight="1" spans="1:15">
      <c r="A74" s="4" t="s">
        <v>382</v>
      </c>
      <c r="B74" s="3" t="s">
        <v>195</v>
      </c>
      <c r="C74" s="3" t="s">
        <v>815</v>
      </c>
      <c r="D74" s="3" t="s">
        <v>203</v>
      </c>
      <c r="E74" s="3" t="str">
        <f>_xlfn.DISPIMG("ID_2E57BFB8032A4FCE80209EB2F840CCDE",1)</f>
        <v>=DISPIMG("ID_2E57BFB8032A4FCE80209EB2F840CCDE",1)</v>
      </c>
      <c r="F74" s="30" t="s">
        <v>816</v>
      </c>
      <c r="G74" s="3" t="s">
        <v>817</v>
      </c>
      <c r="H74" s="34">
        <v>44804</v>
      </c>
      <c r="I74" s="3" t="s">
        <v>590</v>
      </c>
      <c r="J74" s="3">
        <v>140</v>
      </c>
      <c r="K74" s="3">
        <v>47</v>
      </c>
      <c r="L74" s="3">
        <v>20</v>
      </c>
      <c r="M74" s="3">
        <f t="shared" si="0"/>
        <v>207</v>
      </c>
      <c r="N74" s="3" t="s">
        <v>198</v>
      </c>
      <c r="O74" s="37" t="s">
        <v>100</v>
      </c>
    </row>
    <row r="75" s="22" customFormat="1" customHeight="1" spans="1:15">
      <c r="A75" s="4" t="s">
        <v>452</v>
      </c>
      <c r="B75" s="3" t="s">
        <v>195</v>
      </c>
      <c r="C75" s="3" t="s">
        <v>818</v>
      </c>
      <c r="D75" s="33" t="s">
        <v>203</v>
      </c>
      <c r="E75" s="3" t="str">
        <f>_xlfn.DISPIMG("ID_99E6FA737AB245169FCC628C3268B8C2",1)</f>
        <v>=DISPIMG("ID_99E6FA737AB245169FCC628C3268B8C2",1)</v>
      </c>
      <c r="F75" s="30" t="s">
        <v>819</v>
      </c>
      <c r="G75" s="3" t="s">
        <v>820</v>
      </c>
      <c r="H75" s="34">
        <v>44804</v>
      </c>
      <c r="I75" s="3" t="s">
        <v>590</v>
      </c>
      <c r="J75" s="3">
        <v>1027</v>
      </c>
      <c r="K75" s="3">
        <v>371</v>
      </c>
      <c r="L75" s="3">
        <v>25</v>
      </c>
      <c r="M75" s="3">
        <f t="shared" si="0"/>
        <v>1423</v>
      </c>
      <c r="N75" s="3" t="s">
        <v>198</v>
      </c>
      <c r="O75" s="37" t="s">
        <v>100</v>
      </c>
    </row>
    <row r="76" s="23" customFormat="1" customHeight="1" spans="1:15">
      <c r="A76" s="4" t="s">
        <v>201</v>
      </c>
      <c r="B76" s="3" t="s">
        <v>195</v>
      </c>
      <c r="C76" s="3" t="s">
        <v>197</v>
      </c>
      <c r="D76" s="3" t="s">
        <v>199</v>
      </c>
      <c r="E76" s="3" t="str">
        <f>_xlfn.DISPIMG("ID_F721CFCC7E0942A88733D811E56A4A11",1)</f>
        <v>=DISPIMG("ID_F721CFCC7E0942A88733D811E56A4A11",1)</v>
      </c>
      <c r="F76" s="30" t="s">
        <v>200</v>
      </c>
      <c r="G76" s="3" t="s">
        <v>821</v>
      </c>
      <c r="H76" s="34">
        <v>44805</v>
      </c>
      <c r="I76" s="3" t="s">
        <v>586</v>
      </c>
      <c r="J76" s="3">
        <v>939</v>
      </c>
      <c r="K76" s="3">
        <v>365</v>
      </c>
      <c r="L76" s="3">
        <v>95</v>
      </c>
      <c r="M76" s="3">
        <f t="shared" si="0"/>
        <v>1399</v>
      </c>
      <c r="N76" s="3" t="s">
        <v>198</v>
      </c>
      <c r="O76" s="37" t="s">
        <v>101</v>
      </c>
    </row>
    <row r="77" s="22" customFormat="1" customHeight="1" spans="1:15">
      <c r="A77" s="4" t="s">
        <v>581</v>
      </c>
      <c r="B77" s="3" t="s">
        <v>195</v>
      </c>
      <c r="C77" s="3" t="s">
        <v>822</v>
      </c>
      <c r="D77" s="3" t="s">
        <v>203</v>
      </c>
      <c r="E77" s="3" t="str">
        <f>_xlfn.DISPIMG("ID_123F96FFA011446499C03B9FA091D391",1)</f>
        <v>=DISPIMG("ID_123F96FFA011446499C03B9FA091D391",1)</v>
      </c>
      <c r="F77" s="30" t="s">
        <v>823</v>
      </c>
      <c r="G77" s="3" t="s">
        <v>824</v>
      </c>
      <c r="H77" s="34">
        <v>44805</v>
      </c>
      <c r="I77" s="3" t="s">
        <v>586</v>
      </c>
      <c r="J77" s="3">
        <v>170</v>
      </c>
      <c r="K77" s="3">
        <v>69</v>
      </c>
      <c r="L77" s="3">
        <v>35</v>
      </c>
      <c r="M77" s="3">
        <f t="shared" si="0"/>
        <v>274</v>
      </c>
      <c r="N77" s="3" t="s">
        <v>198</v>
      </c>
      <c r="O77" s="37" t="s">
        <v>101</v>
      </c>
    </row>
    <row r="78" s="22" customFormat="1" customHeight="1" spans="1:15">
      <c r="A78" s="4" t="s">
        <v>579</v>
      </c>
      <c r="B78" s="3" t="s">
        <v>195</v>
      </c>
      <c r="C78" s="3" t="s">
        <v>825</v>
      </c>
      <c r="D78" s="3" t="s">
        <v>203</v>
      </c>
      <c r="E78" s="3" t="str">
        <f>_xlfn.DISPIMG("ID_8346ED79F70A4F1AAC369692D17E2A41",1)</f>
        <v>=DISPIMG("ID_8346ED79F70A4F1AAC369692D17E2A41",1)</v>
      </c>
      <c r="F78" s="30" t="s">
        <v>826</v>
      </c>
      <c r="G78" s="3" t="s">
        <v>827</v>
      </c>
      <c r="H78" s="34">
        <v>44809</v>
      </c>
      <c r="I78" s="3" t="s">
        <v>590</v>
      </c>
      <c r="J78" s="3">
        <v>1036</v>
      </c>
      <c r="K78" s="3">
        <v>348</v>
      </c>
      <c r="L78" s="3">
        <v>44</v>
      </c>
      <c r="M78" s="3">
        <f t="shared" si="0"/>
        <v>1428</v>
      </c>
      <c r="N78" s="3" t="s">
        <v>198</v>
      </c>
      <c r="O78" s="37" t="s">
        <v>105</v>
      </c>
    </row>
    <row r="79" s="22" customFormat="1" customHeight="1" spans="1:15">
      <c r="A79" s="4" t="s">
        <v>577</v>
      </c>
      <c r="B79" s="3" t="s">
        <v>195</v>
      </c>
      <c r="C79" s="3" t="s">
        <v>828</v>
      </c>
      <c r="D79" s="3" t="s">
        <v>198</v>
      </c>
      <c r="E79" s="3" t="str">
        <f>_xlfn.DISPIMG("ID_82F9628424BC4F6CA9BF94A0C15344B2",1)</f>
        <v>=DISPIMG("ID_82F9628424BC4F6CA9BF94A0C15344B2",1)</v>
      </c>
      <c r="F79" s="30" t="s">
        <v>829</v>
      </c>
      <c r="G79" s="3" t="s">
        <v>830</v>
      </c>
      <c r="H79" s="34">
        <v>44811</v>
      </c>
      <c r="I79" s="3" t="s">
        <v>586</v>
      </c>
      <c r="J79" s="3">
        <v>211</v>
      </c>
      <c r="K79" s="3">
        <v>28</v>
      </c>
      <c r="L79" s="3">
        <v>33</v>
      </c>
      <c r="M79" s="3">
        <f t="shared" si="0"/>
        <v>272</v>
      </c>
      <c r="N79" s="3" t="s">
        <v>198</v>
      </c>
      <c r="O79" s="37" t="s">
        <v>107</v>
      </c>
    </row>
    <row r="80" s="22" customFormat="1" customHeight="1" spans="1:15">
      <c r="A80" s="4" t="s">
        <v>573</v>
      </c>
      <c r="B80" s="3" t="s">
        <v>195</v>
      </c>
      <c r="C80" s="3" t="s">
        <v>831</v>
      </c>
      <c r="D80" s="3" t="s">
        <v>203</v>
      </c>
      <c r="E80" s="3" t="str">
        <f>_xlfn.DISPIMG("ID_A4DAC46169CA4C86888F0D1C9A1D2F49",1)</f>
        <v>=DISPIMG("ID_A4DAC46169CA4C86888F0D1C9A1D2F49",1)</v>
      </c>
      <c r="F80" s="30" t="s">
        <v>832</v>
      </c>
      <c r="G80" s="3" t="s">
        <v>833</v>
      </c>
      <c r="H80" s="34">
        <v>44813</v>
      </c>
      <c r="I80" s="3" t="s">
        <v>586</v>
      </c>
      <c r="J80" s="3">
        <v>310</v>
      </c>
      <c r="K80" s="3">
        <v>19</v>
      </c>
      <c r="L80" s="3">
        <v>27</v>
      </c>
      <c r="M80" s="3">
        <f t="shared" si="0"/>
        <v>356</v>
      </c>
      <c r="N80" s="3" t="s">
        <v>198</v>
      </c>
      <c r="O80" s="37" t="s">
        <v>108</v>
      </c>
    </row>
    <row r="81" s="23" customFormat="1" customHeight="1" spans="1:15">
      <c r="A81" s="4" t="s">
        <v>570</v>
      </c>
      <c r="B81" s="3" t="s">
        <v>195</v>
      </c>
      <c r="C81" s="3" t="s">
        <v>834</v>
      </c>
      <c r="D81" s="3" t="s">
        <v>203</v>
      </c>
      <c r="E81" s="3" t="str">
        <f>_xlfn.DISPIMG("ID_7773324A659B44D1906950590FF95F70",1)</f>
        <v>=DISPIMG("ID_7773324A659B44D1906950590FF95F70",1)</v>
      </c>
      <c r="F81" s="30" t="s">
        <v>835</v>
      </c>
      <c r="G81" s="3" t="s">
        <v>836</v>
      </c>
      <c r="H81" s="34">
        <v>44817</v>
      </c>
      <c r="I81" s="3" t="s">
        <v>590</v>
      </c>
      <c r="J81" s="3">
        <v>1411</v>
      </c>
      <c r="K81" s="3">
        <v>367</v>
      </c>
      <c r="L81" s="3">
        <v>132</v>
      </c>
      <c r="M81" s="3">
        <f t="shared" si="0"/>
        <v>1910</v>
      </c>
      <c r="N81" s="3" t="s">
        <v>198</v>
      </c>
      <c r="O81" s="37" t="s">
        <v>113</v>
      </c>
    </row>
    <row r="82" s="23" customFormat="1" customHeight="1" spans="1:15">
      <c r="A82" s="4" t="s">
        <v>575</v>
      </c>
      <c r="B82" s="3" t="s">
        <v>195</v>
      </c>
      <c r="C82" s="3" t="s">
        <v>837</v>
      </c>
      <c r="D82" s="3" t="s">
        <v>198</v>
      </c>
      <c r="E82" s="3" t="str">
        <f>_xlfn.DISPIMG("ID_2959B4A40B8249738466A0660613EBD7",1)</f>
        <v>=DISPIMG("ID_2959B4A40B8249738466A0660613EBD7",1)</v>
      </c>
      <c r="F82" s="38" t="s">
        <v>838</v>
      </c>
      <c r="G82" s="3" t="s">
        <v>839</v>
      </c>
      <c r="H82" s="34">
        <v>44812</v>
      </c>
      <c r="I82" s="3" t="s">
        <v>590</v>
      </c>
      <c r="J82" s="3">
        <v>66</v>
      </c>
      <c r="K82" s="3">
        <v>24</v>
      </c>
      <c r="L82" s="3">
        <v>11</v>
      </c>
      <c r="M82" s="3">
        <f t="shared" ref="M82:M118" si="1">L82+K82+J82</f>
        <v>101</v>
      </c>
      <c r="N82" s="3" t="s">
        <v>198</v>
      </c>
      <c r="O82" s="37" t="s">
        <v>113</v>
      </c>
    </row>
    <row r="83" s="23" customFormat="1" customHeight="1" spans="1:15">
      <c r="A83" s="4" t="s">
        <v>568</v>
      </c>
      <c r="B83" s="3" t="s">
        <v>195</v>
      </c>
      <c r="C83" s="3" t="s">
        <v>840</v>
      </c>
      <c r="D83" s="3" t="s">
        <v>198</v>
      </c>
      <c r="E83" s="3" t="str">
        <f>_xlfn.DISPIMG("ID_ED8BBB70FF11457E8A3E0A34E2226CC8",1)</f>
        <v>=DISPIMG("ID_ED8BBB70FF11457E8A3E0A34E2226CC8",1)</v>
      </c>
      <c r="F83" s="30" t="s">
        <v>841</v>
      </c>
      <c r="G83" s="3" t="s">
        <v>842</v>
      </c>
      <c r="H83" s="34">
        <v>44819</v>
      </c>
      <c r="I83" s="3" t="s">
        <v>590</v>
      </c>
      <c r="J83" s="3">
        <v>92</v>
      </c>
      <c r="K83" s="3">
        <v>29</v>
      </c>
      <c r="L83" s="3">
        <v>25</v>
      </c>
      <c r="M83" s="3">
        <f t="shared" si="1"/>
        <v>146</v>
      </c>
      <c r="N83" s="3" t="s">
        <v>198</v>
      </c>
      <c r="O83" s="37" t="s">
        <v>115</v>
      </c>
    </row>
    <row r="84" s="23" customFormat="1" customHeight="1" spans="1:15">
      <c r="A84" s="4" t="s">
        <v>317</v>
      </c>
      <c r="B84" s="3" t="s">
        <v>195</v>
      </c>
      <c r="C84" s="3" t="s">
        <v>315</v>
      </c>
      <c r="D84" s="3" t="s">
        <v>198</v>
      </c>
      <c r="E84" s="3" t="str">
        <f>_xlfn.DISPIMG("ID_A998E6330287486692FB53338417D55B",1)</f>
        <v>=DISPIMG("ID_A998E6330287486692FB53338417D55B",1)</v>
      </c>
      <c r="F84" s="30" t="s">
        <v>316</v>
      </c>
      <c r="G84" s="3" t="s">
        <v>843</v>
      </c>
      <c r="H84" s="34">
        <v>44819</v>
      </c>
      <c r="I84" s="3" t="s">
        <v>586</v>
      </c>
      <c r="J84" s="3">
        <v>1367</v>
      </c>
      <c r="K84" s="3">
        <v>474</v>
      </c>
      <c r="L84" s="3">
        <v>42</v>
      </c>
      <c r="M84" s="3">
        <f t="shared" si="1"/>
        <v>1883</v>
      </c>
      <c r="N84" s="3" t="s">
        <v>198</v>
      </c>
      <c r="O84" s="37" t="s">
        <v>117</v>
      </c>
    </row>
    <row r="85" s="23" customFormat="1" customHeight="1" spans="1:15">
      <c r="A85" s="4" t="s">
        <v>274</v>
      </c>
      <c r="B85" s="3" t="s">
        <v>195</v>
      </c>
      <c r="C85" s="3" t="s">
        <v>272</v>
      </c>
      <c r="D85" s="3" t="s">
        <v>203</v>
      </c>
      <c r="E85" s="3" t="str">
        <f>_xlfn.DISPIMG("ID_370A21B38C4A4F2C9F65900E042A5126",1)</f>
        <v>=DISPIMG("ID_370A21B38C4A4F2C9F65900E042A5126",1)</v>
      </c>
      <c r="F85" s="30" t="s">
        <v>273</v>
      </c>
      <c r="G85" s="3" t="s">
        <v>844</v>
      </c>
      <c r="H85" s="34">
        <v>44823</v>
      </c>
      <c r="I85" s="3" t="s">
        <v>586</v>
      </c>
      <c r="J85" s="3">
        <v>3699</v>
      </c>
      <c r="K85" s="3">
        <v>951</v>
      </c>
      <c r="L85" s="3">
        <v>129</v>
      </c>
      <c r="M85" s="3">
        <f t="shared" si="1"/>
        <v>4779</v>
      </c>
      <c r="N85" s="3" t="s">
        <v>198</v>
      </c>
      <c r="O85" s="37" t="s">
        <v>118</v>
      </c>
    </row>
    <row r="86" s="23" customFormat="1" customHeight="1" spans="1:15">
      <c r="A86" s="4" t="s">
        <v>565</v>
      </c>
      <c r="B86" s="3" t="s">
        <v>195</v>
      </c>
      <c r="C86" s="3" t="s">
        <v>845</v>
      </c>
      <c r="D86" s="3" t="s">
        <v>199</v>
      </c>
      <c r="E86" s="3" t="str">
        <f>_xlfn.DISPIMG("ID_D99C6198D5C74758A2AE3F74C958BBC4",1)</f>
        <v>=DISPIMG("ID_D99C6198D5C74758A2AE3F74C958BBC4",1)</v>
      </c>
      <c r="F86" s="30" t="s">
        <v>846</v>
      </c>
      <c r="G86" s="3" t="s">
        <v>847</v>
      </c>
      <c r="H86" s="34">
        <v>44820</v>
      </c>
      <c r="I86" s="3" t="s">
        <v>586</v>
      </c>
      <c r="J86" s="3">
        <v>148</v>
      </c>
      <c r="K86" s="3">
        <v>15</v>
      </c>
      <c r="L86" s="3">
        <v>16</v>
      </c>
      <c r="M86" s="3">
        <f t="shared" si="1"/>
        <v>179</v>
      </c>
      <c r="N86" s="3" t="s">
        <v>198</v>
      </c>
      <c r="O86" s="37" t="s">
        <v>118</v>
      </c>
    </row>
    <row r="87" s="22" customFormat="1" customHeight="1" spans="1:15">
      <c r="A87" s="4" t="s">
        <v>220</v>
      </c>
      <c r="B87" s="3" t="s">
        <v>195</v>
      </c>
      <c r="C87" s="3" t="s">
        <v>218</v>
      </c>
      <c r="D87" s="3" t="s">
        <v>203</v>
      </c>
      <c r="E87" s="3" t="str">
        <f>_xlfn.DISPIMG("ID_B6B525EE6F4643AAAD11A6B801A9A65E",1)</f>
        <v>=DISPIMG("ID_B6B525EE6F4643AAAD11A6B801A9A65E",1)</v>
      </c>
      <c r="F87" s="30" t="s">
        <v>219</v>
      </c>
      <c r="G87" s="3" t="s">
        <v>848</v>
      </c>
      <c r="H87" s="34">
        <v>44825</v>
      </c>
      <c r="I87" s="3" t="s">
        <v>586</v>
      </c>
      <c r="J87" s="3">
        <v>2734</v>
      </c>
      <c r="K87" s="3">
        <v>1219</v>
      </c>
      <c r="L87" s="3">
        <v>59</v>
      </c>
      <c r="M87" s="3">
        <f t="shared" si="1"/>
        <v>4012</v>
      </c>
      <c r="N87" s="3" t="s">
        <v>198</v>
      </c>
      <c r="O87" s="37" t="s">
        <v>122</v>
      </c>
    </row>
    <row r="88" s="23" customFormat="1" customHeight="1" spans="1:15">
      <c r="A88" s="4" t="s">
        <v>208</v>
      </c>
      <c r="B88" s="3" t="s">
        <v>195</v>
      </c>
      <c r="C88" s="3" t="s">
        <v>206</v>
      </c>
      <c r="D88" s="3" t="s">
        <v>203</v>
      </c>
      <c r="E88" s="3" t="str">
        <f>_xlfn.DISPIMG("ID_8F76C66B703A4AECBD893E425A6872AC",1)</f>
        <v>=DISPIMG("ID_8F76C66B703A4AECBD893E425A6872AC",1)</v>
      </c>
      <c r="F88" s="30" t="s">
        <v>207</v>
      </c>
      <c r="G88" s="3" t="s">
        <v>849</v>
      </c>
      <c r="H88" s="34">
        <v>44825</v>
      </c>
      <c r="I88" s="3" t="s">
        <v>586</v>
      </c>
      <c r="J88" s="3">
        <v>1709</v>
      </c>
      <c r="K88" s="3">
        <v>803</v>
      </c>
      <c r="L88" s="3">
        <v>83</v>
      </c>
      <c r="M88" s="3">
        <f t="shared" si="1"/>
        <v>2595</v>
      </c>
      <c r="N88" s="3" t="s">
        <v>198</v>
      </c>
      <c r="O88" s="37" t="s">
        <v>122</v>
      </c>
    </row>
    <row r="89" s="23" customFormat="1" customHeight="1" spans="1:15">
      <c r="A89" s="4" t="s">
        <v>561</v>
      </c>
      <c r="B89" s="3" t="s">
        <v>195</v>
      </c>
      <c r="C89" s="3" t="s">
        <v>850</v>
      </c>
      <c r="D89" s="3" t="s">
        <v>203</v>
      </c>
      <c r="E89" s="3" t="str">
        <f>_xlfn.DISPIMG("ID_1626264759DA475FACBB7D4C8B7C28C3",1)</f>
        <v>=DISPIMG("ID_1626264759DA475FACBB7D4C8B7C28C3",1)</v>
      </c>
      <c r="F89" s="30" t="s">
        <v>851</v>
      </c>
      <c r="G89" s="3" t="s">
        <v>852</v>
      </c>
      <c r="H89" s="34">
        <v>44829</v>
      </c>
      <c r="I89" s="3" t="s">
        <v>586</v>
      </c>
      <c r="J89" s="3">
        <v>171</v>
      </c>
      <c r="K89" s="3">
        <v>48</v>
      </c>
      <c r="L89" s="3">
        <v>28</v>
      </c>
      <c r="M89" s="3">
        <f t="shared" si="1"/>
        <v>247</v>
      </c>
      <c r="N89" s="3" t="s">
        <v>198</v>
      </c>
      <c r="O89" s="37" t="s">
        <v>125</v>
      </c>
    </row>
    <row r="90" s="22" customFormat="1" customHeight="1" spans="1:15">
      <c r="A90" s="4" t="s">
        <v>559</v>
      </c>
      <c r="B90" s="3" t="s">
        <v>195</v>
      </c>
      <c r="C90" s="3" t="s">
        <v>853</v>
      </c>
      <c r="D90" s="3" t="s">
        <v>203</v>
      </c>
      <c r="E90" s="3" t="str">
        <f>_xlfn.DISPIMG("ID_0C7594A696F24856BBCFB6E1CBA68146",1)</f>
        <v>=DISPIMG("ID_0C7594A696F24856BBCFB6E1CBA68146",1)</v>
      </c>
      <c r="F90" s="30" t="s">
        <v>854</v>
      </c>
      <c r="G90" s="3" t="s">
        <v>855</v>
      </c>
      <c r="H90" s="34">
        <v>44831</v>
      </c>
      <c r="I90" s="3" t="s">
        <v>590</v>
      </c>
      <c r="J90" s="3">
        <v>211</v>
      </c>
      <c r="K90" s="3">
        <v>31</v>
      </c>
      <c r="L90" s="3">
        <v>18</v>
      </c>
      <c r="M90" s="3">
        <f t="shared" si="1"/>
        <v>260</v>
      </c>
      <c r="N90" s="3" t="s">
        <v>198</v>
      </c>
      <c r="O90" s="37" t="s">
        <v>127</v>
      </c>
    </row>
    <row r="91" s="23" customFormat="1" customHeight="1" spans="1:15">
      <c r="A91" s="4" t="s">
        <v>558</v>
      </c>
      <c r="B91" s="3" t="s">
        <v>195</v>
      </c>
      <c r="C91" s="3" t="s">
        <v>856</v>
      </c>
      <c r="D91" s="3" t="s">
        <v>203</v>
      </c>
      <c r="E91" s="3" t="str">
        <f>_xlfn.DISPIMG("ID_7F63B151AC874B8BB812995A5D534DE7",1)</f>
        <v>=DISPIMG("ID_7F63B151AC874B8BB812995A5D534DE7",1)</v>
      </c>
      <c r="F91" s="30" t="s">
        <v>857</v>
      </c>
      <c r="G91" s="3" t="s">
        <v>858</v>
      </c>
      <c r="H91" s="34">
        <v>44833</v>
      </c>
      <c r="I91" s="3" t="s">
        <v>586</v>
      </c>
      <c r="J91" s="3">
        <v>228</v>
      </c>
      <c r="K91" s="3">
        <v>98</v>
      </c>
      <c r="L91" s="3">
        <v>52</v>
      </c>
      <c r="M91" s="3">
        <f t="shared" si="1"/>
        <v>378</v>
      </c>
      <c r="N91" s="3" t="s">
        <v>198</v>
      </c>
      <c r="O91" s="37" t="s">
        <v>140</v>
      </c>
    </row>
    <row r="92" s="23" customFormat="1" customHeight="1" spans="1:15">
      <c r="A92" s="4" t="s">
        <v>556</v>
      </c>
      <c r="B92" s="3" t="s">
        <v>195</v>
      </c>
      <c r="C92" s="3" t="s">
        <v>859</v>
      </c>
      <c r="D92" s="3" t="s">
        <v>203</v>
      </c>
      <c r="E92" s="3" t="str">
        <f>_xlfn.DISPIMG("ID_102363F35659483FA7758B12D8AFE57A",1)</f>
        <v>=DISPIMG("ID_102363F35659483FA7758B12D8AFE57A",1)</v>
      </c>
      <c r="F92" s="30" t="s">
        <v>860</v>
      </c>
      <c r="G92" s="3" t="s">
        <v>861</v>
      </c>
      <c r="H92" s="34">
        <v>44833</v>
      </c>
      <c r="I92" s="3" t="s">
        <v>586</v>
      </c>
      <c r="J92" s="3">
        <v>139</v>
      </c>
      <c r="K92" s="3">
        <v>51</v>
      </c>
      <c r="L92" s="3">
        <v>12</v>
      </c>
      <c r="M92" s="3">
        <f t="shared" si="1"/>
        <v>202</v>
      </c>
      <c r="N92" s="3" t="s">
        <v>198</v>
      </c>
      <c r="O92" s="37" t="s">
        <v>140</v>
      </c>
    </row>
    <row r="93" s="23" customFormat="1" customHeight="1" spans="1:15">
      <c r="A93" s="4" t="s">
        <v>552</v>
      </c>
      <c r="B93" s="3" t="s">
        <v>195</v>
      </c>
      <c r="C93" s="3" t="s">
        <v>862</v>
      </c>
      <c r="D93" s="3" t="s">
        <v>863</v>
      </c>
      <c r="E93" s="3" t="str">
        <f>_xlfn.DISPIMG("ID_92B96F3F9BDB4D14AE01BA8A778F4AFD",1)</f>
        <v>=DISPIMG("ID_92B96F3F9BDB4D14AE01BA8A778F4AFD",1)</v>
      </c>
      <c r="F93" s="30" t="s">
        <v>864</v>
      </c>
      <c r="G93" s="3" t="s">
        <v>865</v>
      </c>
      <c r="H93" s="31">
        <v>44846</v>
      </c>
      <c r="I93" s="3" t="s">
        <v>586</v>
      </c>
      <c r="J93" s="3">
        <v>127</v>
      </c>
      <c r="K93" s="3">
        <v>28</v>
      </c>
      <c r="L93" s="3">
        <v>12</v>
      </c>
      <c r="M93" s="3">
        <f t="shared" si="1"/>
        <v>167</v>
      </c>
      <c r="N93" s="3" t="s">
        <v>211</v>
      </c>
      <c r="O93" s="37" t="s">
        <v>147</v>
      </c>
    </row>
    <row r="94" s="23" customFormat="1" customHeight="1" spans="1:15">
      <c r="A94" s="4" t="s">
        <v>555</v>
      </c>
      <c r="B94" s="3" t="s">
        <v>195</v>
      </c>
      <c r="C94" s="3" t="s">
        <v>866</v>
      </c>
      <c r="D94" s="3" t="s">
        <v>212</v>
      </c>
      <c r="E94" s="3" t="str">
        <f>_xlfn.DISPIMG("ID_A901CF4B7D214AF090BA9F8B6516500D",1)</f>
        <v>=DISPIMG("ID_A901CF4B7D214AF090BA9F8B6516500D",1)</v>
      </c>
      <c r="F94" s="30" t="s">
        <v>867</v>
      </c>
      <c r="G94" s="3" t="s">
        <v>868</v>
      </c>
      <c r="H94" s="31">
        <v>44843</v>
      </c>
      <c r="I94" s="3" t="s">
        <v>586</v>
      </c>
      <c r="J94" s="3">
        <v>123</v>
      </c>
      <c r="K94" s="3">
        <v>48</v>
      </c>
      <c r="L94" s="3">
        <v>33</v>
      </c>
      <c r="M94" s="3">
        <f t="shared" si="1"/>
        <v>204</v>
      </c>
      <c r="N94" s="3" t="s">
        <v>211</v>
      </c>
      <c r="O94" s="37" t="s">
        <v>147</v>
      </c>
    </row>
    <row r="95" s="23" customFormat="1" customHeight="1" spans="1:15">
      <c r="A95" s="4" t="s">
        <v>543</v>
      </c>
      <c r="B95" s="3" t="s">
        <v>195</v>
      </c>
      <c r="C95" s="3" t="s">
        <v>869</v>
      </c>
      <c r="D95" s="3" t="s">
        <v>198</v>
      </c>
      <c r="E95" s="3" t="str">
        <f>_xlfn.DISPIMG("ID_5F322F188D4846B288B7F12A89D01BBC",1)</f>
        <v>=DISPIMG("ID_5F322F188D4846B288B7F12A89D01BBC",1)</v>
      </c>
      <c r="F95" s="30" t="s">
        <v>870</v>
      </c>
      <c r="G95" s="3" t="s">
        <v>871</v>
      </c>
      <c r="H95" s="34">
        <v>44849</v>
      </c>
      <c r="I95" s="3" t="s">
        <v>590</v>
      </c>
      <c r="J95" s="3">
        <v>383</v>
      </c>
      <c r="K95" s="3">
        <v>255</v>
      </c>
      <c r="L95" s="3">
        <v>32</v>
      </c>
      <c r="M95" s="3">
        <f t="shared" si="1"/>
        <v>670</v>
      </c>
      <c r="N95" s="3" t="s">
        <v>198</v>
      </c>
      <c r="O95" s="37" t="s">
        <v>148</v>
      </c>
    </row>
    <row r="96" s="23" customFormat="1" customHeight="1" spans="1:15">
      <c r="A96" s="4" t="s">
        <v>439</v>
      </c>
      <c r="B96" s="3" t="s">
        <v>230</v>
      </c>
      <c r="C96" s="3" t="s">
        <v>872</v>
      </c>
      <c r="D96" s="3" t="s">
        <v>232</v>
      </c>
      <c r="E96" s="3" t="str">
        <f>_xlfn.DISPIMG("ID_5C91140CC8E0469A83F5D586EA718F4E",1)</f>
        <v>=DISPIMG("ID_5C91140CC8E0469A83F5D586EA718F4E",1)</v>
      </c>
      <c r="F96" s="30" t="s">
        <v>873</v>
      </c>
      <c r="G96" s="3" t="s">
        <v>874</v>
      </c>
      <c r="H96" s="31">
        <v>44849</v>
      </c>
      <c r="I96" s="3" t="s">
        <v>590</v>
      </c>
      <c r="J96" s="3">
        <v>327</v>
      </c>
      <c r="K96" s="3">
        <v>233</v>
      </c>
      <c r="L96" s="3">
        <v>32</v>
      </c>
      <c r="M96" s="3">
        <f t="shared" si="1"/>
        <v>592</v>
      </c>
      <c r="N96" s="3" t="s">
        <v>232</v>
      </c>
      <c r="O96" s="37" t="s">
        <v>148</v>
      </c>
    </row>
    <row r="97" s="23" customFormat="1" customHeight="1" spans="1:15">
      <c r="A97" s="4" t="s">
        <v>554</v>
      </c>
      <c r="B97" s="3" t="s">
        <v>195</v>
      </c>
      <c r="C97" s="3" t="s">
        <v>875</v>
      </c>
      <c r="D97" s="3" t="s">
        <v>212</v>
      </c>
      <c r="E97" s="3" t="str">
        <f>_xlfn.DISPIMG("ID_D610DC2EBF9047E792DDA8E64C8A1427",1)</f>
        <v>=DISPIMG("ID_D610DC2EBF9047E792DDA8E64C8A1427",1)</v>
      </c>
      <c r="F97" s="30" t="s">
        <v>876</v>
      </c>
      <c r="G97" s="3" t="s">
        <v>877</v>
      </c>
      <c r="H97" s="31">
        <v>44844</v>
      </c>
      <c r="I97" s="3" t="s">
        <v>586</v>
      </c>
      <c r="J97" s="3">
        <v>3258</v>
      </c>
      <c r="K97" s="3">
        <v>2488</v>
      </c>
      <c r="L97" s="3">
        <v>28</v>
      </c>
      <c r="M97" s="3">
        <f t="shared" si="1"/>
        <v>5774</v>
      </c>
      <c r="N97" s="3" t="s">
        <v>211</v>
      </c>
      <c r="O97" s="37" t="s">
        <v>148</v>
      </c>
    </row>
    <row r="98" s="22" customFormat="1" customHeight="1" spans="1:15">
      <c r="A98" s="4" t="s">
        <v>303</v>
      </c>
      <c r="B98" s="3" t="s">
        <v>230</v>
      </c>
      <c r="C98" s="3" t="s">
        <v>301</v>
      </c>
      <c r="D98" s="3" t="s">
        <v>232</v>
      </c>
      <c r="E98" s="3" t="str">
        <f>_xlfn.DISPIMG("ID_F091C3D380BE42328944D31DC3611ACB",1)</f>
        <v>=DISPIMG("ID_F091C3D380BE42328944D31DC3611ACB",1)</v>
      </c>
      <c r="F98" s="30" t="s">
        <v>878</v>
      </c>
      <c r="G98" s="3" t="s">
        <v>879</v>
      </c>
      <c r="H98" s="31">
        <v>44837</v>
      </c>
      <c r="I98" s="3" t="s">
        <v>590</v>
      </c>
      <c r="J98" s="3">
        <v>614</v>
      </c>
      <c r="K98" s="3">
        <v>660</v>
      </c>
      <c r="L98" s="3">
        <v>31</v>
      </c>
      <c r="M98" s="3">
        <f t="shared" si="1"/>
        <v>1305</v>
      </c>
      <c r="N98" s="3" t="s">
        <v>232</v>
      </c>
      <c r="O98" s="37" t="s">
        <v>149</v>
      </c>
    </row>
    <row r="99" s="23" customFormat="1" customHeight="1" spans="1:15">
      <c r="A99" s="4" t="s">
        <v>434</v>
      </c>
      <c r="B99" s="3" t="s">
        <v>230</v>
      </c>
      <c r="C99" s="3" t="s">
        <v>880</v>
      </c>
      <c r="D99" s="3" t="s">
        <v>232</v>
      </c>
      <c r="E99" s="3" t="str">
        <f>_xlfn.DISPIMG("ID_9553404802CA48B6BC5E778D9C44CC8C",1)</f>
        <v>=DISPIMG("ID_9553404802CA48B6BC5E778D9C44CC8C",1)</v>
      </c>
      <c r="F99" s="30" t="s">
        <v>881</v>
      </c>
      <c r="G99" s="3" t="s">
        <v>882</v>
      </c>
      <c r="H99" s="31">
        <v>44844</v>
      </c>
      <c r="I99" s="3" t="s">
        <v>586</v>
      </c>
      <c r="J99" s="3">
        <v>1571</v>
      </c>
      <c r="K99" s="3">
        <v>237</v>
      </c>
      <c r="L99" s="3">
        <v>1405</v>
      </c>
      <c r="M99" s="3">
        <f t="shared" si="1"/>
        <v>3213</v>
      </c>
      <c r="N99" s="3" t="s">
        <v>232</v>
      </c>
      <c r="O99" s="37" t="s">
        <v>150</v>
      </c>
    </row>
    <row r="100" s="22" customFormat="1" customHeight="1" spans="1:15">
      <c r="A100" s="4" t="s">
        <v>292</v>
      </c>
      <c r="B100" s="3" t="s">
        <v>195</v>
      </c>
      <c r="C100" s="3" t="s">
        <v>290</v>
      </c>
      <c r="D100" s="3" t="s">
        <v>203</v>
      </c>
      <c r="E100" s="3" t="str">
        <f>_xlfn.DISPIMG("ID_2BE48A4BB95A49C7BBE0437C7E052E59",1)</f>
        <v>=DISPIMG("ID_2BE48A4BB95A49C7BBE0437C7E052E59",1)</v>
      </c>
      <c r="F100" s="30" t="s">
        <v>291</v>
      </c>
      <c r="G100" s="3" t="s">
        <v>883</v>
      </c>
      <c r="H100" s="34">
        <v>44854</v>
      </c>
      <c r="I100" s="3" t="s">
        <v>590</v>
      </c>
      <c r="J100" s="3">
        <v>23000</v>
      </c>
      <c r="K100" s="3">
        <v>30000</v>
      </c>
      <c r="L100" s="3">
        <v>88</v>
      </c>
      <c r="M100" s="3">
        <f t="shared" si="1"/>
        <v>53088</v>
      </c>
      <c r="N100" s="3" t="s">
        <v>198</v>
      </c>
      <c r="O100" s="37" t="s">
        <v>151</v>
      </c>
    </row>
    <row r="101" s="23" customFormat="1" customHeight="1" spans="1:15">
      <c r="A101" s="4" t="s">
        <v>252</v>
      </c>
      <c r="B101" s="3" t="s">
        <v>195</v>
      </c>
      <c r="C101" s="3" t="s">
        <v>250</v>
      </c>
      <c r="D101" s="3" t="s">
        <v>212</v>
      </c>
      <c r="E101" s="3" t="str">
        <f>_xlfn.DISPIMG("ID_D7867A62D30B44798B6A444E8C3F57F0",1)</f>
        <v>=DISPIMG("ID_D7867A62D30B44798B6A444E8C3F57F0",1)</v>
      </c>
      <c r="F101" s="30" t="s">
        <v>251</v>
      </c>
      <c r="G101" s="3" t="s">
        <v>884</v>
      </c>
      <c r="H101" s="31">
        <v>44858</v>
      </c>
      <c r="I101" s="3" t="s">
        <v>590</v>
      </c>
      <c r="J101" s="3">
        <v>625</v>
      </c>
      <c r="K101" s="3">
        <v>392</v>
      </c>
      <c r="L101" s="3">
        <v>20</v>
      </c>
      <c r="M101" s="3">
        <f t="shared" si="1"/>
        <v>1037</v>
      </c>
      <c r="N101" s="3" t="s">
        <v>211</v>
      </c>
      <c r="O101" s="37" t="s">
        <v>154</v>
      </c>
    </row>
    <row r="102" s="23" customFormat="1" customHeight="1" spans="1:15">
      <c r="A102" s="4" t="s">
        <v>238</v>
      </c>
      <c r="B102" s="3" t="s">
        <v>230</v>
      </c>
      <c r="C102" s="3" t="s">
        <v>235</v>
      </c>
      <c r="D102" s="3" t="s">
        <v>236</v>
      </c>
      <c r="E102" s="3" t="str">
        <f>_xlfn.DISPIMG("ID_47170E31F14241E39D9E2013B6124C43",1)</f>
        <v>=DISPIMG("ID_47170E31F14241E39D9E2013B6124C43",1)</v>
      </c>
      <c r="F102" s="30" t="s">
        <v>885</v>
      </c>
      <c r="G102" s="3" t="s">
        <v>886</v>
      </c>
      <c r="H102" s="31">
        <v>44860</v>
      </c>
      <c r="I102" s="3" t="s">
        <v>590</v>
      </c>
      <c r="J102" s="3">
        <v>110000</v>
      </c>
      <c r="K102" s="3">
        <v>140000</v>
      </c>
      <c r="L102" s="3">
        <v>808</v>
      </c>
      <c r="M102" s="3">
        <f t="shared" si="1"/>
        <v>250808</v>
      </c>
      <c r="N102" s="3" t="s">
        <v>232</v>
      </c>
      <c r="O102" s="37" t="s">
        <v>160</v>
      </c>
    </row>
    <row r="103" s="23" customFormat="1" customHeight="1" spans="1:15">
      <c r="A103" s="4" t="s">
        <v>307</v>
      </c>
      <c r="B103" s="3" t="s">
        <v>230</v>
      </c>
      <c r="C103" s="3" t="s">
        <v>305</v>
      </c>
      <c r="D103" s="3" t="s">
        <v>232</v>
      </c>
      <c r="E103" s="3" t="str">
        <f>_xlfn.DISPIMG("ID_F64CACA9EB5E433A99B10D83D419889A",1)</f>
        <v>=DISPIMG("ID_F64CACA9EB5E433A99B10D83D419889A",1)</v>
      </c>
      <c r="F103" s="30" t="s">
        <v>887</v>
      </c>
      <c r="G103" t="s">
        <v>888</v>
      </c>
      <c r="H103" s="31">
        <v>44862</v>
      </c>
      <c r="I103" s="3" t="s">
        <v>586</v>
      </c>
      <c r="J103" s="3">
        <v>263</v>
      </c>
      <c r="K103" s="3">
        <v>109</v>
      </c>
      <c r="L103" s="3">
        <v>22</v>
      </c>
      <c r="M103" s="3">
        <f t="shared" si="1"/>
        <v>394</v>
      </c>
      <c r="N103" s="3" t="s">
        <v>232</v>
      </c>
      <c r="O103" s="37" t="s">
        <v>161</v>
      </c>
    </row>
    <row r="104" s="22" customFormat="1" customHeight="1" spans="1:15">
      <c r="A104" s="4" t="s">
        <v>284</v>
      </c>
      <c r="B104" s="3" t="s">
        <v>195</v>
      </c>
      <c r="C104" s="3" t="s">
        <v>282</v>
      </c>
      <c r="D104" s="3" t="s">
        <v>212</v>
      </c>
      <c r="E104" s="3" t="str">
        <f>_xlfn.DISPIMG("ID_99872ED68AA34B4CB510548869E20B07",1)</f>
        <v>=DISPIMG("ID_99872ED68AA34B4CB510548869E20B07",1)</v>
      </c>
      <c r="F104" s="30" t="s">
        <v>283</v>
      </c>
      <c r="G104" t="s">
        <v>889</v>
      </c>
      <c r="H104" s="31">
        <v>44855</v>
      </c>
      <c r="I104" s="3" t="s">
        <v>590</v>
      </c>
      <c r="J104" s="3">
        <v>208</v>
      </c>
      <c r="K104" s="3">
        <v>149</v>
      </c>
      <c r="L104" s="3">
        <v>20</v>
      </c>
      <c r="M104" s="3">
        <f t="shared" si="1"/>
        <v>377</v>
      </c>
      <c r="N104" s="3" t="s">
        <v>211</v>
      </c>
      <c r="O104" s="37" t="s">
        <v>161</v>
      </c>
    </row>
    <row r="105" s="23" customFormat="1" customHeight="1" spans="1:15">
      <c r="A105" s="4" t="s">
        <v>214</v>
      </c>
      <c r="B105" s="3" t="s">
        <v>195</v>
      </c>
      <c r="C105" s="3" t="s">
        <v>210</v>
      </c>
      <c r="D105" s="3" t="s">
        <v>212</v>
      </c>
      <c r="E105" s="3" t="str">
        <f>_xlfn.DISPIMG("ID_6D873BA1B362420E839531C3C63E29CE",1)</f>
        <v>=DISPIMG("ID_6D873BA1B362420E839531C3C63E29CE",1)</v>
      </c>
      <c r="F105" s="30" t="s">
        <v>213</v>
      </c>
      <c r="G105" s="3" t="s">
        <v>890</v>
      </c>
      <c r="H105" s="31">
        <v>44848</v>
      </c>
      <c r="I105" s="3" t="s">
        <v>586</v>
      </c>
      <c r="J105" s="3">
        <v>207</v>
      </c>
      <c r="K105" s="3">
        <v>69</v>
      </c>
      <c r="L105" s="3">
        <v>17</v>
      </c>
      <c r="M105" s="3">
        <f t="shared" si="1"/>
        <v>293</v>
      </c>
      <c r="N105" s="3" t="s">
        <v>211</v>
      </c>
      <c r="O105" s="37" t="s">
        <v>161</v>
      </c>
    </row>
    <row r="106" customHeight="1" spans="1:15">
      <c r="A106" s="4" t="s">
        <v>271</v>
      </c>
      <c r="B106" s="3" t="s">
        <v>195</v>
      </c>
      <c r="C106" s="3" t="s">
        <v>269</v>
      </c>
      <c r="D106" s="3" t="s">
        <v>198</v>
      </c>
      <c r="E106" s="3" t="str">
        <f>_xlfn.DISPIMG("ID_76126D4CBA2241119ABAED6960326892",1)</f>
        <v>=DISPIMG("ID_76126D4CBA2241119ABAED6960326892",1)</v>
      </c>
      <c r="F106" s="30" t="s">
        <v>891</v>
      </c>
      <c r="G106" t="s">
        <v>892</v>
      </c>
      <c r="H106" s="34">
        <v>44866</v>
      </c>
      <c r="I106" s="3" t="s">
        <v>590</v>
      </c>
      <c r="J106" s="3">
        <v>492</v>
      </c>
      <c r="K106" s="3">
        <v>558</v>
      </c>
      <c r="L106" s="3">
        <v>18</v>
      </c>
      <c r="M106" s="3">
        <f t="shared" si="1"/>
        <v>1068</v>
      </c>
      <c r="N106" s="3" t="s">
        <v>198</v>
      </c>
      <c r="O106" s="37" t="s">
        <v>162</v>
      </c>
    </row>
    <row r="107" customHeight="1" spans="1:15">
      <c r="A107" s="4" t="s">
        <v>267</v>
      </c>
      <c r="B107" s="3" t="s">
        <v>230</v>
      </c>
      <c r="C107" s="3" t="s">
        <v>265</v>
      </c>
      <c r="D107" s="3" t="s">
        <v>232</v>
      </c>
      <c r="E107" s="3" t="str">
        <f>_xlfn.DISPIMG("ID_50BEDFDB923D42F1AFA814A651AE241A",1)</f>
        <v>=DISPIMG("ID_50BEDFDB923D42F1AFA814A651AE241A",1)</v>
      </c>
      <c r="F107" s="30" t="s">
        <v>266</v>
      </c>
      <c r="G107" s="3" t="s">
        <v>893</v>
      </c>
      <c r="H107" s="31">
        <v>44867</v>
      </c>
      <c r="I107" s="3" t="s">
        <v>586</v>
      </c>
      <c r="J107" s="3">
        <v>79</v>
      </c>
      <c r="K107" s="3">
        <v>28</v>
      </c>
      <c r="L107" s="3">
        <v>44</v>
      </c>
      <c r="M107" s="3">
        <f t="shared" si="1"/>
        <v>151</v>
      </c>
      <c r="N107" s="3" t="s">
        <v>232</v>
      </c>
      <c r="O107" s="37" t="s">
        <v>163</v>
      </c>
    </row>
    <row r="108" customHeight="1" spans="1:15">
      <c r="A108" s="4" t="s">
        <v>280</v>
      </c>
      <c r="B108" s="3" t="s">
        <v>230</v>
      </c>
      <c r="C108" s="3" t="s">
        <v>278</v>
      </c>
      <c r="D108" s="3" t="s">
        <v>232</v>
      </c>
      <c r="E108" s="3" t="str">
        <f>_xlfn.DISPIMG("ID_0956F9FAC58C4FB889D7B4AD8F900135",1)</f>
        <v>=DISPIMG("ID_0956F9FAC58C4FB889D7B4AD8F900135",1)</v>
      </c>
      <c r="F108" s="30" t="s">
        <v>279</v>
      </c>
      <c r="G108" t="s">
        <v>894</v>
      </c>
      <c r="H108" s="31">
        <v>44870</v>
      </c>
      <c r="I108" s="3" t="s">
        <v>586</v>
      </c>
      <c r="J108" s="3">
        <v>180</v>
      </c>
      <c r="K108" s="3">
        <v>107</v>
      </c>
      <c r="L108" s="3">
        <v>40</v>
      </c>
      <c r="M108" s="3">
        <f t="shared" si="1"/>
        <v>327</v>
      </c>
      <c r="N108" s="3" t="s">
        <v>232</v>
      </c>
      <c r="O108" s="37" t="s">
        <v>167</v>
      </c>
    </row>
    <row r="109" customHeight="1" spans="1:15">
      <c r="A109" s="4" t="s">
        <v>255</v>
      </c>
      <c r="B109" s="3" t="s">
        <v>230</v>
      </c>
      <c r="C109" s="3" t="s">
        <v>253</v>
      </c>
      <c r="D109" s="3" t="s">
        <v>232</v>
      </c>
      <c r="E109" s="3" t="str">
        <f>_xlfn.DISPIMG("ID_8ABD2826423749FC805A3F94E6203C17",1)</f>
        <v>=DISPIMG("ID_8ABD2826423749FC805A3F94E6203C17",1)</v>
      </c>
      <c r="F109" s="30" t="s">
        <v>254</v>
      </c>
      <c r="G109" t="s">
        <v>895</v>
      </c>
      <c r="H109" s="31">
        <v>44868</v>
      </c>
      <c r="I109" s="3" t="s">
        <v>586</v>
      </c>
      <c r="J109" s="3">
        <v>78</v>
      </c>
      <c r="K109" s="3">
        <v>63</v>
      </c>
      <c r="L109" s="3">
        <v>9</v>
      </c>
      <c r="M109" s="3">
        <f t="shared" si="1"/>
        <v>150</v>
      </c>
      <c r="N109" s="3" t="s">
        <v>232</v>
      </c>
      <c r="O109" s="37" t="s">
        <v>167</v>
      </c>
    </row>
    <row r="110" customHeight="1" spans="1:15">
      <c r="A110" s="4" t="s">
        <v>228</v>
      </c>
      <c r="B110" s="3" t="s">
        <v>195</v>
      </c>
      <c r="C110" s="3" t="s">
        <v>224</v>
      </c>
      <c r="D110" s="3" t="s">
        <v>226</v>
      </c>
      <c r="E110" s="3" t="str">
        <f>_xlfn.DISPIMG("ID_B556FF733708467D9F63276FEE393878",1)</f>
        <v>=DISPIMG("ID_B556FF733708467D9F63276FEE393878",1)</v>
      </c>
      <c r="F110" s="30" t="s">
        <v>227</v>
      </c>
      <c r="G110" t="s">
        <v>896</v>
      </c>
      <c r="H110" s="31">
        <v>44856</v>
      </c>
      <c r="I110" s="3" t="s">
        <v>590</v>
      </c>
      <c r="J110" s="3">
        <v>1631</v>
      </c>
      <c r="K110" s="3">
        <v>193</v>
      </c>
      <c r="L110" s="3">
        <v>43</v>
      </c>
      <c r="M110" s="3">
        <f t="shared" si="1"/>
        <v>1867</v>
      </c>
      <c r="N110" s="3" t="s">
        <v>212</v>
      </c>
      <c r="O110" s="37" t="s">
        <v>167</v>
      </c>
    </row>
    <row r="111" customHeight="1" spans="1:15">
      <c r="A111" s="4" t="s">
        <v>277</v>
      </c>
      <c r="B111" s="3" t="s">
        <v>195</v>
      </c>
      <c r="C111" s="3" t="s">
        <v>275</v>
      </c>
      <c r="D111" s="3" t="s">
        <v>212</v>
      </c>
      <c r="E111" s="3" t="str">
        <f>_xlfn.DISPIMG("ID_4751D772921B4A03A58E433F726D3925",1)</f>
        <v>=DISPIMG("ID_4751D772921B4A03A58E433F726D3925",1)</v>
      </c>
      <c r="F111" s="30" t="s">
        <v>276</v>
      </c>
      <c r="G111" t="s">
        <v>897</v>
      </c>
      <c r="H111" s="31">
        <v>44851</v>
      </c>
      <c r="I111" s="3" t="s">
        <v>586</v>
      </c>
      <c r="J111" s="3">
        <v>100</v>
      </c>
      <c r="K111" s="3">
        <v>22</v>
      </c>
      <c r="L111" s="3">
        <v>21</v>
      </c>
      <c r="M111" s="3">
        <f t="shared" si="1"/>
        <v>143</v>
      </c>
      <c r="N111" s="3" t="s">
        <v>211</v>
      </c>
      <c r="O111" s="37" t="s">
        <v>167</v>
      </c>
    </row>
    <row r="112" customHeight="1" spans="1:15">
      <c r="A112" s="4" t="s">
        <v>264</v>
      </c>
      <c r="B112" s="3" t="s">
        <v>195</v>
      </c>
      <c r="C112" s="3" t="s">
        <v>262</v>
      </c>
      <c r="D112" s="3" t="s">
        <v>203</v>
      </c>
      <c r="E112" s="3" t="str">
        <f>_xlfn.DISPIMG("ID_841E9F6C4FB24939B9BB2B94FA547E1B",1)</f>
        <v>=DISPIMG("ID_841E9F6C4FB24939B9BB2B94FA547E1B",1)</v>
      </c>
      <c r="F112" s="30" t="s">
        <v>263</v>
      </c>
      <c r="G112" t="s">
        <v>898</v>
      </c>
      <c r="H112" s="34">
        <v>44865</v>
      </c>
      <c r="I112" s="3" t="s">
        <v>590</v>
      </c>
      <c r="J112" s="3">
        <v>228</v>
      </c>
      <c r="K112" s="3">
        <v>63</v>
      </c>
      <c r="L112" s="3">
        <v>20</v>
      </c>
      <c r="M112" s="3">
        <f t="shared" si="1"/>
        <v>311</v>
      </c>
      <c r="N112" s="3" t="s">
        <v>198</v>
      </c>
      <c r="O112" s="37" t="s">
        <v>168</v>
      </c>
    </row>
    <row r="113" customHeight="1" spans="1:15">
      <c r="A113" s="4" t="s">
        <v>261</v>
      </c>
      <c r="B113" s="3" t="s">
        <v>195</v>
      </c>
      <c r="C113" s="3" t="s">
        <v>256</v>
      </c>
      <c r="D113" s="3" t="s">
        <v>212</v>
      </c>
      <c r="E113" s="3" t="str">
        <f>_xlfn.DISPIMG("ID_07681901BEFF4A56858EAB41E7A428CE",1)</f>
        <v>=DISPIMG("ID_07681901BEFF4A56858EAB41E7A428CE",1)</v>
      </c>
      <c r="F113" s="30" t="s">
        <v>260</v>
      </c>
      <c r="G113" t="s">
        <v>899</v>
      </c>
      <c r="H113" s="31">
        <v>44865</v>
      </c>
      <c r="I113" s="3" t="s">
        <v>590</v>
      </c>
      <c r="J113" s="3">
        <v>868</v>
      </c>
      <c r="K113" s="3">
        <v>224</v>
      </c>
      <c r="L113" s="3">
        <v>40</v>
      </c>
      <c r="M113" s="3">
        <f t="shared" si="1"/>
        <v>1132</v>
      </c>
      <c r="N113" s="3" t="s">
        <v>212</v>
      </c>
      <c r="O113" s="37" t="s">
        <v>169</v>
      </c>
    </row>
    <row r="114" customHeight="1" spans="1:15">
      <c r="A114" s="4" t="s">
        <v>241</v>
      </c>
      <c r="B114" s="3" t="s">
        <v>230</v>
      </c>
      <c r="C114" s="3" t="s">
        <v>239</v>
      </c>
      <c r="D114" s="3" t="s">
        <v>232</v>
      </c>
      <c r="E114" s="3" t="str">
        <f>_xlfn.DISPIMG("ID_C9694C2744BE4E92A03F208E839AA16C",1)</f>
        <v>=DISPIMG("ID_C9694C2744BE4E92A03F208E839AA16C",1)</v>
      </c>
      <c r="F114" s="30" t="s">
        <v>240</v>
      </c>
      <c r="G114" t="s">
        <v>900</v>
      </c>
      <c r="H114" s="31">
        <v>44873</v>
      </c>
      <c r="I114" s="3" t="s">
        <v>590</v>
      </c>
      <c r="J114" s="3">
        <v>246</v>
      </c>
      <c r="K114" s="3">
        <v>86</v>
      </c>
      <c r="L114" s="3">
        <v>29</v>
      </c>
      <c r="M114" s="3">
        <f t="shared" si="1"/>
        <v>361</v>
      </c>
      <c r="N114" s="3" t="s">
        <v>232</v>
      </c>
      <c r="O114" s="37" t="s">
        <v>170</v>
      </c>
    </row>
    <row r="115" customHeight="1" spans="1:15">
      <c r="A115" s="4" t="s">
        <v>217</v>
      </c>
      <c r="B115" s="3" t="s">
        <v>195</v>
      </c>
      <c r="C115" s="3" t="s">
        <v>215</v>
      </c>
      <c r="D115" s="3" t="s">
        <v>198</v>
      </c>
      <c r="E115" s="3" t="str">
        <f>_xlfn.DISPIMG("ID_AE8B96606BBF4A97AF46845EF28D8CB1",1)</f>
        <v>=DISPIMG("ID_AE8B96606BBF4A97AF46845EF28D8CB1",1)</v>
      </c>
      <c r="F115" s="30" t="s">
        <v>216</v>
      </c>
      <c r="G115" t="s">
        <v>901</v>
      </c>
      <c r="H115" s="34">
        <v>44872</v>
      </c>
      <c r="I115" s="3" t="s">
        <v>590</v>
      </c>
      <c r="J115" s="3">
        <v>340</v>
      </c>
      <c r="K115" s="3">
        <v>110</v>
      </c>
      <c r="L115" s="3">
        <v>65</v>
      </c>
      <c r="M115" s="3">
        <f t="shared" si="1"/>
        <v>515</v>
      </c>
      <c r="N115" s="3" t="s">
        <v>198</v>
      </c>
      <c r="O115" s="37" t="s">
        <v>170</v>
      </c>
    </row>
    <row r="116" customHeight="1" spans="1:15">
      <c r="A116" s="4" t="s">
        <v>223</v>
      </c>
      <c r="B116" s="3" t="s">
        <v>195</v>
      </c>
      <c r="C116" s="3" t="s">
        <v>221</v>
      </c>
      <c r="D116" s="3" t="s">
        <v>212</v>
      </c>
      <c r="E116" s="3" t="str">
        <f>_xlfn.DISPIMG("ID_81ED24732E2F4734A8082688FA6AD768",1)</f>
        <v>=DISPIMG("ID_81ED24732E2F4734A8082688FA6AD768",1)</v>
      </c>
      <c r="F116" s="30" t="s">
        <v>222</v>
      </c>
      <c r="G116" t="s">
        <v>902</v>
      </c>
      <c r="H116" s="31">
        <v>44863</v>
      </c>
      <c r="I116" s="3" t="s">
        <v>586</v>
      </c>
      <c r="J116" s="3">
        <v>94</v>
      </c>
      <c r="K116" s="3">
        <v>32</v>
      </c>
      <c r="L116" s="3">
        <v>37</v>
      </c>
      <c r="M116" s="3">
        <f t="shared" si="1"/>
        <v>163</v>
      </c>
      <c r="N116" s="3" t="s">
        <v>211</v>
      </c>
      <c r="O116" s="37" t="s">
        <v>170</v>
      </c>
    </row>
    <row r="117" customHeight="1" spans="1:15">
      <c r="A117" s="4" t="s">
        <v>258</v>
      </c>
      <c r="B117" s="3" t="s">
        <v>243</v>
      </c>
      <c r="C117" s="3" t="s">
        <v>256</v>
      </c>
      <c r="D117" s="3" t="s">
        <v>245</v>
      </c>
      <c r="E117" s="3" t="str">
        <f>_xlfn.DISPIMG("ID_2AD9B3942E1E46A0A60B37CC4E32D310",1)</f>
        <v>=DISPIMG("ID_2AD9B3942E1E46A0A60B37CC4E32D310",1)</v>
      </c>
      <c r="F117" s="30" t="s">
        <v>257</v>
      </c>
      <c r="G117" t="s">
        <v>903</v>
      </c>
      <c r="H117" s="31">
        <v>44860</v>
      </c>
      <c r="I117" s="3" t="s">
        <v>590</v>
      </c>
      <c r="J117" s="3">
        <v>170000</v>
      </c>
      <c r="K117" s="3">
        <v>87000</v>
      </c>
      <c r="L117" s="3">
        <v>889</v>
      </c>
      <c r="M117" s="3">
        <f t="shared" si="1"/>
        <v>257889</v>
      </c>
      <c r="N117" s="3" t="s">
        <v>245</v>
      </c>
      <c r="O117" s="37" t="s">
        <v>170</v>
      </c>
    </row>
    <row r="118" customHeight="1" spans="1:15">
      <c r="A118" s="4" t="s">
        <v>247</v>
      </c>
      <c r="B118" s="3" t="s">
        <v>243</v>
      </c>
      <c r="C118" s="3" t="s">
        <v>244</v>
      </c>
      <c r="D118" s="3" t="s">
        <v>245</v>
      </c>
      <c r="E118" s="3" t="str">
        <f>_xlfn.DISPIMG("ID_52D6DD2B9CA44928A62A12BBC6B25843",1)</f>
        <v>=DISPIMG("ID_52D6DD2B9CA44928A62A12BBC6B25843",1)</v>
      </c>
      <c r="F118" s="30" t="s">
        <v>246</v>
      </c>
      <c r="G118" t="s">
        <v>904</v>
      </c>
      <c r="H118" s="31">
        <v>44826</v>
      </c>
      <c r="I118" s="3" t="s">
        <v>590</v>
      </c>
      <c r="J118" s="3">
        <v>667</v>
      </c>
      <c r="K118" s="3">
        <v>341</v>
      </c>
      <c r="L118" s="3">
        <v>23</v>
      </c>
      <c r="M118" s="3">
        <f t="shared" si="1"/>
        <v>1031</v>
      </c>
      <c r="N118" s="3" t="s">
        <v>245</v>
      </c>
      <c r="O118" s="37" t="s">
        <v>171</v>
      </c>
    </row>
    <row r="119" customHeight="1" spans="1:15">
      <c r="A119" s="4" t="s">
        <v>432</v>
      </c>
      <c r="B119" s="3" t="s">
        <v>195</v>
      </c>
      <c r="C119" s="3" t="s">
        <v>905</v>
      </c>
      <c r="D119" s="3" t="s">
        <v>198</v>
      </c>
      <c r="E119" s="3" t="str">
        <f>_xlfn.DISPIMG("ID_38529295FF6543988574BD0D43BD9657",1)</f>
        <v>=DISPIMG("ID_38529295FF6543988574BD0D43BD9657",1)</v>
      </c>
      <c r="F119" s="30" t="s">
        <v>906</v>
      </c>
      <c r="G119" t="s">
        <v>907</v>
      </c>
      <c r="H119" s="34">
        <v>44875</v>
      </c>
      <c r="I119" s="3" t="s">
        <v>590</v>
      </c>
      <c r="J119" s="3"/>
      <c r="K119" s="3"/>
      <c r="L119" s="3"/>
      <c r="M119" s="3"/>
      <c r="N119" s="3" t="s">
        <v>198</v>
      </c>
      <c r="O119" s="37">
        <v>44897</v>
      </c>
    </row>
    <row r="120" customHeight="1" spans="1:15">
      <c r="A120" s="4" t="s">
        <v>440</v>
      </c>
      <c r="B120" s="3" t="s">
        <v>195</v>
      </c>
      <c r="C120" s="3" t="s">
        <v>908</v>
      </c>
      <c r="D120" s="3" t="s">
        <v>212</v>
      </c>
      <c r="E120" s="3" t="str">
        <f>_xlfn.DISPIMG("ID_2C4D9E86BDCC4E54AE4467431CE80927",1)</f>
        <v>=DISPIMG("ID_2C4D9E86BDCC4E54AE4467431CE80927",1)</v>
      </c>
      <c r="F120" s="30" t="s">
        <v>909</v>
      </c>
      <c r="G120" t="s">
        <v>910</v>
      </c>
      <c r="H120" s="34">
        <v>44874</v>
      </c>
      <c r="I120" s="3" t="s">
        <v>586</v>
      </c>
      <c r="J120" s="3"/>
      <c r="K120" s="3"/>
      <c r="L120" s="3"/>
      <c r="M120" s="3"/>
      <c r="N120" s="3" t="s">
        <v>211</v>
      </c>
      <c r="O120" s="37" t="s">
        <v>911</v>
      </c>
    </row>
    <row r="121" customHeight="1" spans="1:15">
      <c r="A121" s="4" t="s">
        <v>442</v>
      </c>
      <c r="B121" s="3" t="s">
        <v>195</v>
      </c>
      <c r="C121" s="3" t="s">
        <v>912</v>
      </c>
      <c r="D121" s="3" t="s">
        <v>198</v>
      </c>
      <c r="E121" s="3" t="str">
        <f>_xlfn.DISPIMG("ID_92C9CA3950174AD18D2DFEF72A377F07",1)</f>
        <v>=DISPIMG("ID_92C9CA3950174AD18D2DFEF72A377F07",1)</v>
      </c>
      <c r="F121" s="30" t="s">
        <v>913</v>
      </c>
      <c r="G121" t="s">
        <v>914</v>
      </c>
      <c r="H121" s="34">
        <v>44874</v>
      </c>
      <c r="I121" s="3" t="s">
        <v>590</v>
      </c>
      <c r="J121" s="3"/>
      <c r="K121" s="3"/>
      <c r="L121" s="3"/>
      <c r="M121" s="3"/>
      <c r="N121" s="3" t="s">
        <v>198</v>
      </c>
      <c r="O121" s="37" t="s">
        <v>911</v>
      </c>
    </row>
    <row r="122" customHeight="1" spans="1:15">
      <c r="A122" s="4" t="s">
        <v>443</v>
      </c>
      <c r="B122" s="3" t="s">
        <v>195</v>
      </c>
      <c r="C122" s="3" t="s">
        <v>282</v>
      </c>
      <c r="D122" s="3" t="s">
        <v>198</v>
      </c>
      <c r="E122" s="3" t="str">
        <f>_xlfn.DISPIMG("ID_E4304C3FDE154412A14395F613E4AB24",1)</f>
        <v>=DISPIMG("ID_E4304C3FDE154412A14395F613E4AB24",1)</v>
      </c>
      <c r="F122" s="30" t="s">
        <v>915</v>
      </c>
      <c r="G122" t="s">
        <v>916</v>
      </c>
      <c r="H122" s="34">
        <v>44873</v>
      </c>
      <c r="I122" s="3" t="s">
        <v>590</v>
      </c>
      <c r="J122" s="3"/>
      <c r="K122" s="3"/>
      <c r="L122" s="3"/>
      <c r="M122" s="3"/>
      <c r="N122" s="3" t="s">
        <v>198</v>
      </c>
      <c r="O122" s="37" t="s">
        <v>911</v>
      </c>
    </row>
    <row r="123" customHeight="1" spans="1:15">
      <c r="A123" s="4" t="s">
        <v>461</v>
      </c>
      <c r="B123" s="3" t="s">
        <v>195</v>
      </c>
      <c r="C123" s="3" t="s">
        <v>917</v>
      </c>
      <c r="D123" s="3" t="s">
        <v>198</v>
      </c>
      <c r="E123" s="3" t="str">
        <f>_xlfn.DISPIMG("ID_CB640C2BE81746D7A1C1BDEF733B49F7",1)</f>
        <v>=DISPIMG("ID_CB640C2BE81746D7A1C1BDEF733B49F7",1)</v>
      </c>
      <c r="F123" s="30" t="s">
        <v>918</v>
      </c>
      <c r="G123" s="3" t="s">
        <v>919</v>
      </c>
      <c r="H123" s="34">
        <v>44868</v>
      </c>
      <c r="I123" s="3" t="s">
        <v>586</v>
      </c>
      <c r="J123" s="3"/>
      <c r="K123" s="3"/>
      <c r="L123" s="3"/>
      <c r="M123" s="3"/>
      <c r="N123" s="3" t="s">
        <v>198</v>
      </c>
      <c r="O123" s="37" t="s">
        <v>911</v>
      </c>
    </row>
    <row r="124" customHeight="1" spans="1:15">
      <c r="A124" s="4" t="s">
        <v>528</v>
      </c>
      <c r="B124" s="3" t="s">
        <v>195</v>
      </c>
      <c r="C124" s="3" t="s">
        <v>920</v>
      </c>
      <c r="D124" s="3" t="s">
        <v>921</v>
      </c>
      <c r="E124" s="3" t="str">
        <f>_xlfn.DISPIMG("ID_1327A78070C047B1AFCD8A06C8D91778",1)</f>
        <v>=DISPIMG("ID_1327A78070C047B1AFCD8A06C8D91778",1)</v>
      </c>
      <c r="F124" s="30" t="s">
        <v>922</v>
      </c>
      <c r="G124" s="3" t="s">
        <v>923</v>
      </c>
      <c r="H124" s="34">
        <v>44863</v>
      </c>
      <c r="I124" s="3" t="s">
        <v>586</v>
      </c>
      <c r="J124" s="3"/>
      <c r="K124" s="3"/>
      <c r="L124" s="3"/>
      <c r="M124" s="3"/>
      <c r="N124" s="3" t="s">
        <v>198</v>
      </c>
      <c r="O124" s="37" t="s">
        <v>911</v>
      </c>
    </row>
    <row r="125" customHeight="1" spans="1:15">
      <c r="A125" s="4" t="s">
        <v>529</v>
      </c>
      <c r="B125" s="3" t="s">
        <v>195</v>
      </c>
      <c r="C125" s="3" t="s">
        <v>924</v>
      </c>
      <c r="D125" s="3" t="s">
        <v>226</v>
      </c>
      <c r="E125" s="3" t="str">
        <f>_xlfn.DISPIMG("ID_DEC39630B161479D92B60C8F959C6837",1)</f>
        <v>=DISPIMG("ID_DEC39630B161479D92B60C8F959C6837",1)</v>
      </c>
      <c r="F125" s="30" t="s">
        <v>925</v>
      </c>
      <c r="G125" t="s">
        <v>926</v>
      </c>
      <c r="H125" s="34">
        <v>44859</v>
      </c>
      <c r="I125" s="3" t="s">
        <v>586</v>
      </c>
      <c r="J125" s="3"/>
      <c r="K125" s="3"/>
      <c r="L125" s="3"/>
      <c r="M125" s="3"/>
      <c r="N125" s="3" t="s">
        <v>211</v>
      </c>
      <c r="O125" s="37" t="s">
        <v>911</v>
      </c>
    </row>
    <row r="126" customHeight="1" spans="1:15">
      <c r="A126" s="4" t="s">
        <v>531</v>
      </c>
      <c r="B126" s="3" t="s">
        <v>195</v>
      </c>
      <c r="C126" s="3" t="s">
        <v>927</v>
      </c>
      <c r="D126" s="3" t="s">
        <v>203</v>
      </c>
      <c r="E126" s="3" t="str">
        <f>_xlfn.DISPIMG("ID_169E1A906E2141F2879477F19EA39AD2",1)</f>
        <v>=DISPIMG("ID_169E1A906E2141F2879477F19EA39AD2",1)</v>
      </c>
      <c r="F126" s="30" t="s">
        <v>928</v>
      </c>
      <c r="G126" t="s">
        <v>929</v>
      </c>
      <c r="H126" s="34">
        <v>44858</v>
      </c>
      <c r="I126" s="3" t="s">
        <v>590</v>
      </c>
      <c r="J126" s="3"/>
      <c r="K126" s="3"/>
      <c r="L126" s="3"/>
      <c r="M126" s="3"/>
      <c r="N126" s="3" t="s">
        <v>198</v>
      </c>
      <c r="O126" s="37" t="s">
        <v>911</v>
      </c>
    </row>
    <row r="127" customHeight="1" spans="1:15">
      <c r="A127" s="4" t="s">
        <v>438</v>
      </c>
      <c r="B127" s="3" t="s">
        <v>195</v>
      </c>
      <c r="C127" s="3" t="s">
        <v>930</v>
      </c>
      <c r="D127" s="3" t="s">
        <v>212</v>
      </c>
      <c r="E127" s="3" t="str">
        <f>_xlfn.DISPIMG("ID_92BFED4758D64E50875C4B702FA1664D",1)</f>
        <v>=DISPIMG("ID_92BFED4758D64E50875C4B702FA1664D",1)</v>
      </c>
      <c r="F127" s="30" t="s">
        <v>931</v>
      </c>
      <c r="G127" t="s">
        <v>932</v>
      </c>
      <c r="H127" s="34">
        <v>44875</v>
      </c>
      <c r="I127" s="3" t="s">
        <v>586</v>
      </c>
      <c r="J127" s="3"/>
      <c r="K127" s="3"/>
      <c r="L127" s="3"/>
      <c r="M127" s="3"/>
      <c r="N127" s="3" t="s">
        <v>211</v>
      </c>
      <c r="O127" s="37" t="s">
        <v>911</v>
      </c>
    </row>
    <row r="128" customHeight="1" spans="1:15">
      <c r="A128" s="4" t="s">
        <v>429</v>
      </c>
      <c r="B128" s="3" t="s">
        <v>195</v>
      </c>
      <c r="C128" s="3" t="s">
        <v>933</v>
      </c>
      <c r="D128" s="3" t="s">
        <v>212</v>
      </c>
      <c r="E128" s="3" t="str">
        <f>_xlfn.DISPIMG("ID_35AF43E7E1984D34B4F3E203BEBBC69E",1)</f>
        <v>=DISPIMG("ID_35AF43E7E1984D34B4F3E203BEBBC69E",1)</v>
      </c>
      <c r="F128" s="30" t="s">
        <v>934</v>
      </c>
      <c r="G128" s="3" t="s">
        <v>935</v>
      </c>
      <c r="H128" s="34">
        <v>44890</v>
      </c>
      <c r="I128" s="3" t="s">
        <v>590</v>
      </c>
      <c r="J128" s="3"/>
      <c r="K128" s="3"/>
      <c r="L128" s="3"/>
      <c r="M128" s="3"/>
      <c r="N128" s="3" t="s">
        <v>211</v>
      </c>
      <c r="O128" s="37" t="s">
        <v>911</v>
      </c>
    </row>
    <row r="129" customHeight="1" spans="1:15">
      <c r="A129" s="4" t="s">
        <v>539</v>
      </c>
      <c r="B129" s="3" t="s">
        <v>195</v>
      </c>
      <c r="C129" s="3" t="s">
        <v>936</v>
      </c>
      <c r="D129" s="3" t="s">
        <v>212</v>
      </c>
      <c r="E129" s="3" t="str">
        <f>_xlfn.DISPIMG("ID_2BC816DE7C2944D1B39A6252EA40CF27",1)</f>
        <v>=DISPIMG("ID_2BC816DE7C2944D1B39A6252EA40CF27",1)</v>
      </c>
      <c r="F129" s="30" t="s">
        <v>937</v>
      </c>
      <c r="G129" t="s">
        <v>938</v>
      </c>
      <c r="H129" s="34">
        <v>44853</v>
      </c>
      <c r="I129" s="3" t="s">
        <v>590</v>
      </c>
      <c r="J129" s="3"/>
      <c r="K129" s="3"/>
      <c r="L129" s="3"/>
      <c r="M129" s="3"/>
      <c r="N129" s="3" t="s">
        <v>211</v>
      </c>
      <c r="O129" s="37" t="s">
        <v>911</v>
      </c>
    </row>
    <row r="130" customHeight="1" spans="1:15">
      <c r="A130" s="4" t="s">
        <v>446</v>
      </c>
      <c r="B130" s="3" t="s">
        <v>195</v>
      </c>
      <c r="C130" s="3" t="s">
        <v>939</v>
      </c>
      <c r="D130" s="3" t="s">
        <v>212</v>
      </c>
      <c r="E130" s="3" t="str">
        <f>_xlfn.DISPIMG("ID_BBFC944141BE42E481DCE331467C1894",1)</f>
        <v>=DISPIMG("ID_BBFC944141BE42E481DCE331467C1894",1)</v>
      </c>
      <c r="F130" s="30" t="s">
        <v>940</v>
      </c>
      <c r="G130" t="s">
        <v>941</v>
      </c>
      <c r="H130" s="34">
        <v>44873</v>
      </c>
      <c r="I130" s="3" t="s">
        <v>590</v>
      </c>
      <c r="J130" s="3"/>
      <c r="K130" s="3"/>
      <c r="L130" s="3"/>
      <c r="M130" s="3"/>
      <c r="N130" s="3" t="s">
        <v>211</v>
      </c>
      <c r="O130" s="37" t="s">
        <v>911</v>
      </c>
    </row>
    <row r="131" customHeight="1" spans="1:15">
      <c r="A131" s="4" t="s">
        <v>407</v>
      </c>
      <c r="B131" s="3" t="s">
        <v>195</v>
      </c>
      <c r="C131" s="3" t="s">
        <v>942</v>
      </c>
      <c r="D131" s="3" t="s">
        <v>212</v>
      </c>
      <c r="E131" s="3" t="str">
        <f>_xlfn.DISPIMG("ID_2FBC1B218EF2463F8222242074A4B850",1)</f>
        <v>=DISPIMG("ID_2FBC1B218EF2463F8222242074A4B850",1)</v>
      </c>
      <c r="F131" s="30" t="s">
        <v>943</v>
      </c>
      <c r="G131" t="s">
        <v>944</v>
      </c>
      <c r="H131" s="34">
        <v>44892</v>
      </c>
      <c r="I131" s="3" t="s">
        <v>590</v>
      </c>
      <c r="J131" s="3"/>
      <c r="K131" s="3"/>
      <c r="L131" s="3"/>
      <c r="M131" s="3"/>
      <c r="N131" s="3" t="s">
        <v>211</v>
      </c>
      <c r="O131" s="37" t="s">
        <v>911</v>
      </c>
    </row>
    <row r="132" customHeight="1" spans="1:15">
      <c r="A132" s="4" t="s">
        <v>411</v>
      </c>
      <c r="B132" s="3" t="s">
        <v>230</v>
      </c>
      <c r="C132" s="3" t="s">
        <v>945</v>
      </c>
      <c r="D132" s="3" t="s">
        <v>658</v>
      </c>
      <c r="E132" s="3" t="str">
        <f>_xlfn.DISPIMG("ID_DECA58B62F1849AE997DBD3219BBD2D6",1)</f>
        <v>=DISPIMG("ID_DECA58B62F1849AE997DBD3219BBD2D6",1)</v>
      </c>
      <c r="F132" s="30" t="s">
        <v>946</v>
      </c>
      <c r="G132" t="s">
        <v>947</v>
      </c>
      <c r="H132" s="34">
        <v>44820</v>
      </c>
      <c r="I132" s="3" t="s">
        <v>590</v>
      </c>
      <c r="J132" s="3"/>
      <c r="K132" s="3"/>
      <c r="L132" s="3"/>
      <c r="M132" s="3"/>
      <c r="N132" s="3" t="s">
        <v>658</v>
      </c>
      <c r="O132" s="37" t="s">
        <v>911</v>
      </c>
    </row>
    <row r="133" customHeight="1" spans="1:15">
      <c r="A133" s="4" t="s">
        <v>412</v>
      </c>
      <c r="B133" s="3" t="s">
        <v>230</v>
      </c>
      <c r="C133" s="3" t="s">
        <v>948</v>
      </c>
      <c r="D133" s="3" t="s">
        <v>658</v>
      </c>
      <c r="E133" s="3" t="str">
        <f>_xlfn.DISPIMG("ID_E91F7A090F3242B5BE5BF92A1C0B1468",1)</f>
        <v>=DISPIMG("ID_E91F7A090F3242B5BE5BF92A1C0B1468",1)</v>
      </c>
      <c r="F133" s="30" t="s">
        <v>949</v>
      </c>
      <c r="G133" t="s">
        <v>950</v>
      </c>
      <c r="H133" s="34">
        <v>44814</v>
      </c>
      <c r="I133" s="3" t="s">
        <v>590</v>
      </c>
      <c r="J133" s="3"/>
      <c r="K133" s="3"/>
      <c r="L133" s="3"/>
      <c r="M133" s="3"/>
      <c r="N133" s="3" t="s">
        <v>658</v>
      </c>
      <c r="O133" s="37" t="s">
        <v>911</v>
      </c>
    </row>
    <row r="134" customHeight="1" spans="1:15">
      <c r="A134" s="4" t="s">
        <v>413</v>
      </c>
      <c r="B134" s="3" t="s">
        <v>230</v>
      </c>
      <c r="C134" s="3" t="s">
        <v>661</v>
      </c>
      <c r="D134" s="3" t="s">
        <v>658</v>
      </c>
      <c r="E134" s="3" t="str">
        <f>_xlfn.DISPIMG("ID_7CBE77806531448CAE2A0477EC5EA80D",1)</f>
        <v>=DISPIMG("ID_7CBE77806531448CAE2A0477EC5EA80D",1)</v>
      </c>
      <c r="F134" s="30" t="s">
        <v>951</v>
      </c>
      <c r="G134" t="s">
        <v>952</v>
      </c>
      <c r="H134" s="34">
        <v>44811</v>
      </c>
      <c r="I134" s="3" t="s">
        <v>590</v>
      </c>
      <c r="J134" s="3"/>
      <c r="K134" s="3"/>
      <c r="L134" s="3"/>
      <c r="M134" s="3"/>
      <c r="N134" s="3" t="s">
        <v>658</v>
      </c>
      <c r="O134" s="37" t="s">
        <v>911</v>
      </c>
    </row>
    <row r="135" customHeight="1" spans="1:15">
      <c r="A135" s="4" t="s">
        <v>414</v>
      </c>
      <c r="B135" s="3" t="s">
        <v>230</v>
      </c>
      <c r="C135" s="3" t="s">
        <v>953</v>
      </c>
      <c r="D135" s="3" t="s">
        <v>658</v>
      </c>
      <c r="E135" s="3" t="str">
        <f>_xlfn.DISPIMG("ID_849D34DD980A4051B4E5CA4E24104C35",1)</f>
        <v>=DISPIMG("ID_849D34DD980A4051B4E5CA4E24104C35",1)</v>
      </c>
      <c r="F135" s="30" t="s">
        <v>954</v>
      </c>
      <c r="G135" t="s">
        <v>955</v>
      </c>
      <c r="H135" s="34">
        <v>44800</v>
      </c>
      <c r="I135" s="3" t="s">
        <v>590</v>
      </c>
      <c r="J135" s="3"/>
      <c r="K135" s="3"/>
      <c r="L135" s="3"/>
      <c r="M135" s="3"/>
      <c r="N135" s="3" t="s">
        <v>658</v>
      </c>
      <c r="O135" s="37" t="s">
        <v>911</v>
      </c>
    </row>
    <row r="136" customHeight="1" spans="1:15">
      <c r="A136" s="4" t="s">
        <v>415</v>
      </c>
      <c r="B136" s="3" t="s">
        <v>243</v>
      </c>
      <c r="C136" s="3" t="s">
        <v>956</v>
      </c>
      <c r="D136" s="3" t="s">
        <v>245</v>
      </c>
      <c r="E136" s="3" t="str">
        <f>_xlfn.DISPIMG("ID_4D9774C5B4414AD4B70C8C836CA4F9F9",1)</f>
        <v>=DISPIMG("ID_4D9774C5B4414AD4B70C8C836CA4F9F9",1)</v>
      </c>
      <c r="F136" s="30" t="s">
        <v>957</v>
      </c>
      <c r="G136" t="s">
        <v>958</v>
      </c>
      <c r="H136" s="34">
        <v>44873</v>
      </c>
      <c r="I136" s="3" t="s">
        <v>586</v>
      </c>
      <c r="J136" s="3"/>
      <c r="K136" s="3"/>
      <c r="L136" s="3"/>
      <c r="M136" s="3"/>
      <c r="N136" s="3" t="s">
        <v>245</v>
      </c>
      <c r="O136" s="37" t="s">
        <v>911</v>
      </c>
    </row>
    <row r="137" customHeight="1" spans="1:15">
      <c r="A137" s="4" t="s">
        <v>416</v>
      </c>
      <c r="B137" s="3" t="s">
        <v>243</v>
      </c>
      <c r="C137" s="3" t="s">
        <v>959</v>
      </c>
      <c r="D137" s="3" t="s">
        <v>245</v>
      </c>
      <c r="E137" s="3" t="str">
        <f>_xlfn.DISPIMG("ID_E2D9513DB1FE4039BD0AFB5068AE26BF",1)</f>
        <v>=DISPIMG("ID_E2D9513DB1FE4039BD0AFB5068AE26BF",1)</v>
      </c>
      <c r="F137" s="30" t="s">
        <v>960</v>
      </c>
      <c r="G137" t="s">
        <v>961</v>
      </c>
      <c r="H137" s="34">
        <v>44849</v>
      </c>
      <c r="I137" s="3" t="s">
        <v>590</v>
      </c>
      <c r="J137" s="3"/>
      <c r="K137" s="3"/>
      <c r="L137" s="3"/>
      <c r="M137" s="3"/>
      <c r="N137" s="3" t="s">
        <v>245</v>
      </c>
      <c r="O137" s="37" t="s">
        <v>911</v>
      </c>
    </row>
    <row r="138" customHeight="1" spans="1:15">
      <c r="A138" s="4" t="s">
        <v>962</v>
      </c>
      <c r="B138" s="3" t="s">
        <v>243</v>
      </c>
      <c r="C138" s="3" t="s">
        <v>936</v>
      </c>
      <c r="D138" s="3" t="s">
        <v>245</v>
      </c>
      <c r="E138" s="3" t="str">
        <f>_xlfn.DISPIMG("ID_FB0F916EC1D54BD884F3E7A3723A4170",1)</f>
        <v>=DISPIMG("ID_FB0F916EC1D54BD884F3E7A3723A4170",1)</v>
      </c>
      <c r="F138" s="30" t="s">
        <v>963</v>
      </c>
      <c r="G138" t="s">
        <v>964</v>
      </c>
      <c r="H138" s="34">
        <v>44844</v>
      </c>
      <c r="I138" s="3" t="s">
        <v>590</v>
      </c>
      <c r="J138" s="3"/>
      <c r="K138" s="3"/>
      <c r="L138" s="3"/>
      <c r="M138" s="3"/>
      <c r="N138" s="3" t="s">
        <v>245</v>
      </c>
      <c r="O138" s="37">
        <v>44897</v>
      </c>
    </row>
    <row r="139" customHeight="1" spans="1:15">
      <c r="A139" s="4" t="s">
        <v>387</v>
      </c>
      <c r="B139" s="3" t="s">
        <v>243</v>
      </c>
      <c r="C139" s="3" t="s">
        <v>965</v>
      </c>
      <c r="D139" s="3" t="s">
        <v>245</v>
      </c>
      <c r="E139" s="3" t="str">
        <f>_xlfn.DISPIMG("ID_F27D63B8EE58465DBD82D9CF82C44E5C",1)</f>
        <v>=DISPIMG("ID_F27D63B8EE58465DBD82D9CF82C44E5C",1)</v>
      </c>
      <c r="F139" s="30" t="s">
        <v>966</v>
      </c>
      <c r="G139" t="s">
        <v>967</v>
      </c>
      <c r="H139" s="34">
        <v>44832</v>
      </c>
      <c r="I139" s="3" t="s">
        <v>586</v>
      </c>
      <c r="J139" s="3"/>
      <c r="K139" s="3"/>
      <c r="L139" s="3"/>
      <c r="M139" s="3"/>
      <c r="N139" s="3" t="s">
        <v>245</v>
      </c>
      <c r="O139" s="37">
        <v>44898</v>
      </c>
    </row>
    <row r="140" customHeight="1" spans="1:15">
      <c r="A140" s="4" t="s">
        <v>389</v>
      </c>
      <c r="B140" s="3" t="s">
        <v>243</v>
      </c>
      <c r="C140" s="3" t="s">
        <v>968</v>
      </c>
      <c r="D140" s="3" t="s">
        <v>245</v>
      </c>
      <c r="E140" s="3" t="str">
        <f>_xlfn.DISPIMG("ID_13BCB4647F9042E8B3897A9EC1BB66D6",1)</f>
        <v>=DISPIMG("ID_13BCB4647F9042E8B3897A9EC1BB66D6",1)</v>
      </c>
      <c r="F140" s="30" t="s">
        <v>969</v>
      </c>
      <c r="G140" t="s">
        <v>970</v>
      </c>
      <c r="H140" s="34">
        <v>44830</v>
      </c>
      <c r="I140" s="3" t="s">
        <v>586</v>
      </c>
      <c r="J140" s="3"/>
      <c r="K140" s="3"/>
      <c r="L140" s="3"/>
      <c r="M140" s="3"/>
      <c r="N140" s="3" t="s">
        <v>245</v>
      </c>
      <c r="O140" s="37" t="s">
        <v>911</v>
      </c>
    </row>
    <row r="141" customHeight="1" spans="1:15">
      <c r="A141" s="4" t="s">
        <v>417</v>
      </c>
      <c r="B141" s="3" t="s">
        <v>243</v>
      </c>
      <c r="C141" s="3" t="s">
        <v>971</v>
      </c>
      <c r="D141" s="3" t="s">
        <v>245</v>
      </c>
      <c r="E141" s="3" t="str">
        <f>_xlfn.DISPIMG("ID_C03915D1E3E94E188E63E055D3763EEB",1)</f>
        <v>=DISPIMG("ID_C03915D1E3E94E188E63E055D3763EEB",1)</v>
      </c>
      <c r="F141" s="30" t="s">
        <v>972</v>
      </c>
      <c r="G141" t="s">
        <v>973</v>
      </c>
      <c r="H141" s="34">
        <v>44821</v>
      </c>
      <c r="I141" s="3" t="s">
        <v>586</v>
      </c>
      <c r="J141" s="3"/>
      <c r="K141" s="3"/>
      <c r="L141" s="3"/>
      <c r="M141" s="3"/>
      <c r="N141" s="3" t="s">
        <v>245</v>
      </c>
      <c r="O141" s="37" t="s">
        <v>911</v>
      </c>
    </row>
    <row r="142" customHeight="1" spans="1:15">
      <c r="A142" s="4"/>
      <c r="B142" s="3"/>
      <c r="C142" s="3" t="s">
        <v>974</v>
      </c>
      <c r="D142" s="3"/>
      <c r="E142" s="3"/>
      <c r="F142" s="30"/>
      <c r="G142" s="3"/>
      <c r="H142" s="34"/>
      <c r="I142" s="3"/>
      <c r="J142" s="3"/>
      <c r="K142" s="3"/>
      <c r="L142" s="3"/>
      <c r="M142" s="3"/>
      <c r="N142" s="3" t="s">
        <v>203</v>
      </c>
      <c r="O142" s="37"/>
    </row>
    <row r="143" customHeight="1" spans="1:15">
      <c r="A143" s="4"/>
      <c r="B143" s="3"/>
      <c r="C143" s="3" t="s">
        <v>975</v>
      </c>
      <c r="D143" s="3"/>
      <c r="E143" s="3"/>
      <c r="F143" s="30"/>
      <c r="G143" s="3"/>
      <c r="H143" s="34"/>
      <c r="I143" s="3"/>
      <c r="J143" s="3"/>
      <c r="K143" s="3"/>
      <c r="L143" s="3"/>
      <c r="M143" s="3"/>
      <c r="N143" s="3" t="s">
        <v>232</v>
      </c>
      <c r="O143" s="37"/>
    </row>
    <row r="144" customHeight="1" spans="1:15">
      <c r="A144" s="4"/>
      <c r="B144" s="3"/>
      <c r="C144" s="3" t="s">
        <v>976</v>
      </c>
      <c r="D144" s="3"/>
      <c r="E144" s="3"/>
      <c r="F144" s="30"/>
      <c r="G144" s="3"/>
      <c r="H144" s="34"/>
      <c r="I144" s="3"/>
      <c r="J144" s="3"/>
      <c r="K144" s="3"/>
      <c r="L144" s="3"/>
      <c r="M144" s="3"/>
      <c r="N144" s="3" t="s">
        <v>212</v>
      </c>
      <c r="O144" s="37"/>
    </row>
    <row r="145" customHeight="1" spans="1:15">
      <c r="A145" s="4" t="s">
        <v>398</v>
      </c>
      <c r="B145" s="3" t="s">
        <v>195</v>
      </c>
      <c r="C145" s="3" t="s">
        <v>977</v>
      </c>
      <c r="D145" s="3" t="s">
        <v>212</v>
      </c>
      <c r="E145" s="3" t="str">
        <f>_xlfn.DISPIMG("ID_F57E056C859A459899785BCBB743543E",1)</f>
        <v>=DISPIMG("ID_F57E056C859A459899785BCBB743543E",1)</v>
      </c>
      <c r="F145" s="30" t="s">
        <v>978</v>
      </c>
      <c r="G145" t="s">
        <v>979</v>
      </c>
      <c r="H145" s="34">
        <v>44897</v>
      </c>
      <c r="I145" s="3" t="s">
        <v>586</v>
      </c>
      <c r="J145" s="3"/>
      <c r="K145" s="3"/>
      <c r="L145" s="3"/>
      <c r="M145" s="3"/>
      <c r="N145" s="3" t="s">
        <v>212</v>
      </c>
      <c r="O145" s="37">
        <v>44900</v>
      </c>
    </row>
    <row r="146" customHeight="1" spans="1:15">
      <c r="A146" s="4"/>
      <c r="B146" s="3"/>
      <c r="C146" s="3" t="s">
        <v>980</v>
      </c>
      <c r="D146" s="3"/>
      <c r="E146" s="3"/>
      <c r="F146" s="30"/>
      <c r="G146" s="3"/>
      <c r="H146" s="34"/>
      <c r="I146" s="3"/>
      <c r="J146" s="3"/>
      <c r="K146" s="3"/>
      <c r="L146" s="3"/>
      <c r="M146" s="3"/>
      <c r="N146" s="3" t="s">
        <v>212</v>
      </c>
      <c r="O146" s="37"/>
    </row>
    <row r="147" customHeight="1" spans="1:15">
      <c r="A147" s="4"/>
      <c r="B147" s="3"/>
      <c r="C147" s="3" t="s">
        <v>981</v>
      </c>
      <c r="D147" s="3"/>
      <c r="E147" s="3"/>
      <c r="F147" s="30"/>
      <c r="G147" s="3"/>
      <c r="H147" s="34"/>
      <c r="I147" s="3"/>
      <c r="J147" s="3"/>
      <c r="K147" s="3"/>
      <c r="L147" s="3"/>
      <c r="M147" s="3"/>
      <c r="N147" s="3" t="s">
        <v>212</v>
      </c>
      <c r="O147" s="37"/>
    </row>
    <row r="148" customHeight="1" spans="1:15">
      <c r="A148" s="4"/>
      <c r="B148" s="3"/>
      <c r="C148" s="3" t="s">
        <v>982</v>
      </c>
      <c r="D148" s="3"/>
      <c r="E148" s="3"/>
      <c r="F148" s="30"/>
      <c r="G148" s="3"/>
      <c r="H148" s="34"/>
      <c r="I148" s="3"/>
      <c r="J148" s="3"/>
      <c r="K148" s="3"/>
      <c r="L148" s="3"/>
      <c r="M148" s="3"/>
      <c r="N148" s="3" t="s">
        <v>211</v>
      </c>
      <c r="O148" s="37"/>
    </row>
    <row r="149" customHeight="1" spans="1:15">
      <c r="A149" s="22" t="s">
        <v>403</v>
      </c>
      <c r="B149" s="3" t="s">
        <v>195</v>
      </c>
      <c r="C149" s="3" t="s">
        <v>983</v>
      </c>
      <c r="D149" s="3" t="s">
        <v>212</v>
      </c>
      <c r="E149" s="3" t="str">
        <f>_xlfn.DISPIMG("ID_F9A685F941FC4ED3BEF49D79F92D66F1",1)</f>
        <v>=DISPIMG("ID_F9A685F941FC4ED3BEF49D79F92D66F1",1)</v>
      </c>
      <c r="F149" s="30" t="s">
        <v>984</v>
      </c>
      <c r="G149" t="s">
        <v>985</v>
      </c>
      <c r="H149" s="34">
        <v>44894</v>
      </c>
      <c r="I149" s="3" t="s">
        <v>586</v>
      </c>
      <c r="J149" s="3"/>
      <c r="K149" s="3"/>
      <c r="L149" s="3"/>
      <c r="M149" s="3"/>
      <c r="N149" s="3" t="s">
        <v>986</v>
      </c>
      <c r="O149" s="37">
        <v>44904</v>
      </c>
    </row>
    <row r="150" customHeight="1" spans="1:15">
      <c r="A150" s="4"/>
      <c r="B150" s="3"/>
      <c r="C150" s="3" t="s">
        <v>987</v>
      </c>
      <c r="D150" s="3"/>
      <c r="E150" s="3"/>
      <c r="F150" s="30"/>
      <c r="G150" s="3"/>
      <c r="H150" s="34"/>
      <c r="I150" s="3"/>
      <c r="J150" s="3"/>
      <c r="K150" s="3"/>
      <c r="L150" s="3"/>
      <c r="M150" s="3"/>
      <c r="N150" s="3" t="s">
        <v>986</v>
      </c>
      <c r="O150" s="37"/>
    </row>
    <row r="151" customHeight="1" spans="1:15">
      <c r="A151" s="4"/>
      <c r="B151" s="3"/>
      <c r="C151" s="3" t="s">
        <v>988</v>
      </c>
      <c r="D151" s="3"/>
      <c r="E151" s="3"/>
      <c r="F151" s="30"/>
      <c r="G151" s="3"/>
      <c r="H151" s="34"/>
      <c r="I151" s="3"/>
      <c r="J151" s="3"/>
      <c r="K151" s="3"/>
      <c r="L151" s="3"/>
      <c r="M151" s="3"/>
      <c r="N151" s="3" t="s">
        <v>986</v>
      </c>
      <c r="O151" s="37"/>
    </row>
    <row r="152" customHeight="1" spans="1:15">
      <c r="A152" s="4"/>
      <c r="B152" s="3"/>
      <c r="C152" s="3" t="s">
        <v>989</v>
      </c>
      <c r="D152" s="3"/>
      <c r="E152" s="3"/>
      <c r="F152" s="30"/>
      <c r="G152" s="3"/>
      <c r="H152" s="34"/>
      <c r="I152" s="3"/>
      <c r="J152" s="3"/>
      <c r="K152" s="3"/>
      <c r="L152" s="3"/>
      <c r="M152" s="3"/>
      <c r="N152" s="3" t="s">
        <v>986</v>
      </c>
      <c r="O152" s="37"/>
    </row>
    <row r="153" customHeight="1" spans="1:15">
      <c r="A153" s="4"/>
      <c r="B153" s="3"/>
      <c r="C153" s="3" t="s">
        <v>990</v>
      </c>
      <c r="D153" s="3"/>
      <c r="E153" s="3"/>
      <c r="F153" s="30"/>
      <c r="G153" s="3"/>
      <c r="H153" s="34"/>
      <c r="I153" s="3"/>
      <c r="J153" s="3"/>
      <c r="K153" s="3"/>
      <c r="L153" s="3"/>
      <c r="M153" s="3"/>
      <c r="N153" s="3" t="s">
        <v>986</v>
      </c>
      <c r="O153" s="37"/>
    </row>
    <row r="154" customHeight="1" spans="1:15">
      <c r="A154" s="4"/>
      <c r="B154" s="3"/>
      <c r="C154" s="3" t="s">
        <v>991</v>
      </c>
      <c r="D154" s="3"/>
      <c r="E154" s="3"/>
      <c r="F154" s="30"/>
      <c r="G154" s="3"/>
      <c r="H154" s="34"/>
      <c r="I154" s="3"/>
      <c r="J154" s="3"/>
      <c r="K154" s="3"/>
      <c r="L154" s="3"/>
      <c r="M154" s="3"/>
      <c r="N154" s="3" t="s">
        <v>986</v>
      </c>
      <c r="O154" s="37"/>
    </row>
    <row r="155" customHeight="1" spans="1:15">
      <c r="A155" s="4"/>
      <c r="B155" s="3"/>
      <c r="C155" s="3" t="s">
        <v>992</v>
      </c>
      <c r="D155" s="3"/>
      <c r="E155" s="3"/>
      <c r="F155" s="30"/>
      <c r="G155" s="3"/>
      <c r="H155" s="34"/>
      <c r="I155" s="3"/>
      <c r="J155" s="3"/>
      <c r="K155" s="3"/>
      <c r="L155" s="3"/>
      <c r="M155" s="3"/>
      <c r="N155" s="3" t="s">
        <v>986</v>
      </c>
      <c r="O155" s="37"/>
    </row>
    <row r="156" customHeight="1" spans="1:15">
      <c r="A156" s="4" t="s">
        <v>385</v>
      </c>
      <c r="B156" s="3" t="s">
        <v>195</v>
      </c>
      <c r="C156" s="3" t="s">
        <v>993</v>
      </c>
      <c r="D156" s="3" t="s">
        <v>212</v>
      </c>
      <c r="E156" s="3" t="str">
        <f>_xlfn.DISPIMG("ID_8396E99B762B437CBD3E56B6B07717F6",1)</f>
        <v>=DISPIMG("ID_8396E99B762B437CBD3E56B6B07717F6",1)</v>
      </c>
      <c r="F156" s="30" t="s">
        <v>994</v>
      </c>
      <c r="G156" t="s">
        <v>995</v>
      </c>
      <c r="H156" s="34">
        <v>44900</v>
      </c>
      <c r="I156" s="3" t="s">
        <v>586</v>
      </c>
      <c r="J156" s="3"/>
      <c r="K156" s="3"/>
      <c r="L156" s="3"/>
      <c r="M156" s="3"/>
      <c r="N156" s="3" t="s">
        <v>986</v>
      </c>
      <c r="O156" s="37">
        <v>44902</v>
      </c>
    </row>
    <row r="157" customHeight="1" spans="3:3">
      <c r="C157" s="39" t="s">
        <v>294</v>
      </c>
    </row>
    <row r="158" customHeight="1" spans="3:3">
      <c r="C158" s="39" t="s">
        <v>197</v>
      </c>
    </row>
    <row r="159" customHeight="1" spans="3:3">
      <c r="C159" s="39" t="s">
        <v>825</v>
      </c>
    </row>
    <row r="160" customHeight="1" spans="3:3">
      <c r="C160" s="39" t="s">
        <v>202</v>
      </c>
    </row>
    <row r="161" customHeight="1" spans="3:3">
      <c r="C161" s="39" t="s">
        <v>831</v>
      </c>
    </row>
    <row r="162" customHeight="1" spans="3:3">
      <c r="C162" s="39" t="s">
        <v>822</v>
      </c>
    </row>
    <row r="163" customHeight="1" spans="3:3">
      <c r="C163" s="39" t="s">
        <v>834</v>
      </c>
    </row>
    <row r="164" customHeight="1" spans="3:3">
      <c r="C164" s="39" t="s">
        <v>796</v>
      </c>
    </row>
    <row r="165" customHeight="1" spans="3:3">
      <c r="C165" s="39" t="s">
        <v>837</v>
      </c>
    </row>
    <row r="166" customHeight="1" spans="3:3">
      <c r="C166" s="39" t="s">
        <v>828</v>
      </c>
    </row>
    <row r="167" customHeight="1" spans="3:3">
      <c r="C167" s="39" t="s">
        <v>840</v>
      </c>
    </row>
    <row r="168" customHeight="1" spans="3:3">
      <c r="C168" s="39" t="s">
        <v>315</v>
      </c>
    </row>
    <row r="169" customHeight="1" spans="3:3">
      <c r="C169" s="39" t="s">
        <v>286</v>
      </c>
    </row>
    <row r="170" customHeight="1" spans="3:3">
      <c r="C170" s="39" t="s">
        <v>803</v>
      </c>
    </row>
    <row r="171" customHeight="1" spans="3:3">
      <c r="C171" s="39" t="s">
        <v>770</v>
      </c>
    </row>
    <row r="172" customHeight="1" spans="3:3">
      <c r="C172" s="39" t="s">
        <v>778</v>
      </c>
    </row>
    <row r="173" customHeight="1" spans="3:3">
      <c r="C173" s="39" t="s">
        <v>667</v>
      </c>
    </row>
    <row r="174" customHeight="1" spans="3:3">
      <c r="C174" s="39" t="s">
        <v>782</v>
      </c>
    </row>
    <row r="175" customHeight="1" spans="3:3">
      <c r="C175" s="39" t="s">
        <v>793</v>
      </c>
    </row>
    <row r="176" customHeight="1" spans="3:3">
      <c r="C176" s="39" t="s">
        <v>790</v>
      </c>
    </row>
    <row r="177" customHeight="1" spans="3:3">
      <c r="C177" s="39" t="s">
        <v>806</v>
      </c>
    </row>
    <row r="178" customHeight="1" spans="3:3">
      <c r="C178" s="39" t="s">
        <v>800</v>
      </c>
    </row>
    <row r="179" customHeight="1" spans="3:3">
      <c r="C179" s="39" t="s">
        <v>774</v>
      </c>
    </row>
    <row r="180" customHeight="1" spans="3:3">
      <c r="C180" s="39" t="s">
        <v>767</v>
      </c>
    </row>
    <row r="181" customHeight="1" spans="3:3">
      <c r="C181" s="39" t="s">
        <v>722</v>
      </c>
    </row>
    <row r="182" customHeight="1" spans="3:3">
      <c r="C182" s="39" t="s">
        <v>231</v>
      </c>
    </row>
    <row r="183" customHeight="1" spans="3:3">
      <c r="C183" s="39" t="s">
        <v>309</v>
      </c>
    </row>
    <row r="184" customHeight="1" spans="3:3">
      <c r="C184" s="39" t="s">
        <v>272</v>
      </c>
    </row>
    <row r="185" customHeight="1" spans="3:3">
      <c r="C185" s="39" t="s">
        <v>845</v>
      </c>
    </row>
    <row r="186" customHeight="1" spans="3:3">
      <c r="C186" s="39" t="s">
        <v>218</v>
      </c>
    </row>
    <row r="187" customHeight="1" spans="3:3">
      <c r="C187" s="39" t="s">
        <v>206</v>
      </c>
    </row>
    <row r="188" customHeight="1" spans="3:3">
      <c r="C188" s="39" t="s">
        <v>850</v>
      </c>
    </row>
    <row r="189" customHeight="1" spans="3:3">
      <c r="C189" s="39" t="s">
        <v>853</v>
      </c>
    </row>
    <row r="190" customHeight="1" spans="3:3">
      <c r="C190" s="39" t="s">
        <v>683</v>
      </c>
    </row>
    <row r="191" customHeight="1" spans="3:3">
      <c r="C191" s="39" t="s">
        <v>661</v>
      </c>
    </row>
    <row r="192" customHeight="1" spans="3:3">
      <c r="C192" s="39" t="s">
        <v>707</v>
      </c>
    </row>
    <row r="193" customHeight="1" spans="3:3">
      <c r="C193" s="39" t="s">
        <v>728</v>
      </c>
    </row>
    <row r="194" customHeight="1" spans="3:3">
      <c r="C194" s="39" t="s">
        <v>680</v>
      </c>
    </row>
    <row r="195" customHeight="1" spans="3:3">
      <c r="C195" s="39" t="s">
        <v>654</v>
      </c>
    </row>
    <row r="196" customHeight="1" spans="3:3">
      <c r="C196" s="39" t="s">
        <v>704</v>
      </c>
    </row>
    <row r="197" customHeight="1" spans="3:3">
      <c r="C197" s="39" t="s">
        <v>716</v>
      </c>
    </row>
    <row r="198" customHeight="1" spans="3:3">
      <c r="C198" s="39" t="s">
        <v>695</v>
      </c>
    </row>
    <row r="199" customHeight="1" spans="3:3">
      <c r="C199" s="39" t="s">
        <v>667</v>
      </c>
    </row>
    <row r="200" customHeight="1" spans="3:3">
      <c r="C200" s="39" t="s">
        <v>202</v>
      </c>
    </row>
    <row r="201" customHeight="1" spans="3:3">
      <c r="C201" s="39" t="s">
        <v>740</v>
      </c>
    </row>
    <row r="202" customHeight="1" spans="3:3">
      <c r="C202" s="39" t="s">
        <v>689</v>
      </c>
    </row>
    <row r="203" customHeight="1" spans="3:3">
      <c r="C203" s="39" t="s">
        <v>757</v>
      </c>
    </row>
    <row r="204" customHeight="1" spans="3:3">
      <c r="C204" s="39" t="s">
        <v>698</v>
      </c>
    </row>
    <row r="205" customHeight="1" spans="3:3">
      <c r="C205" s="39" t="s">
        <v>731</v>
      </c>
    </row>
    <row r="206" customHeight="1" spans="3:3">
      <c r="C206" s="39" t="s">
        <v>760</v>
      </c>
    </row>
    <row r="207" customHeight="1" spans="3:3">
      <c r="C207" s="39" t="s">
        <v>737</v>
      </c>
    </row>
    <row r="208" customHeight="1" spans="3:3">
      <c r="C208" s="39" t="s">
        <v>710</v>
      </c>
    </row>
    <row r="209" customHeight="1" spans="3:3">
      <c r="C209" s="39">
        <v>-77</v>
      </c>
    </row>
    <row r="210" customHeight="1" spans="3:3">
      <c r="C210" s="39" t="s">
        <v>646</v>
      </c>
    </row>
    <row r="211" customHeight="1" spans="3:3">
      <c r="C211" s="39" t="s">
        <v>686</v>
      </c>
    </row>
    <row r="212" customHeight="1" spans="3:3">
      <c r="C212" s="39" t="s">
        <v>744</v>
      </c>
    </row>
    <row r="213" customHeight="1" spans="3:3">
      <c r="C213" s="39" t="s">
        <v>748</v>
      </c>
    </row>
    <row r="214" customHeight="1" spans="3:3">
      <c r="C214" s="39" t="s">
        <v>719</v>
      </c>
    </row>
    <row r="215" customHeight="1" spans="3:3">
      <c r="C215" s="39" t="s">
        <v>701</v>
      </c>
    </row>
    <row r="216" customHeight="1" spans="3:3">
      <c r="C216" s="39" t="s">
        <v>657</v>
      </c>
    </row>
    <row r="217" customHeight="1" spans="3:3">
      <c r="C217" s="39" t="s">
        <v>725</v>
      </c>
    </row>
    <row r="218" customHeight="1" spans="3:3">
      <c r="C218" s="39" t="s">
        <v>751</v>
      </c>
    </row>
    <row r="219" customHeight="1" spans="3:3">
      <c r="C219" s="39" t="s">
        <v>754</v>
      </c>
    </row>
    <row r="220" customHeight="1" spans="3:3">
      <c r="C220" s="39" t="s">
        <v>713</v>
      </c>
    </row>
    <row r="221" customHeight="1" spans="3:3">
      <c r="C221" s="39" t="s">
        <v>677</v>
      </c>
    </row>
    <row r="222" customHeight="1" spans="3:3">
      <c r="C222" s="39" t="s">
        <v>664</v>
      </c>
    </row>
    <row r="223" customHeight="1" spans="3:3">
      <c r="C223" s="39" t="s">
        <v>674</v>
      </c>
    </row>
    <row r="224" customHeight="1" spans="3:3">
      <c r="C224" s="39" t="s">
        <v>650</v>
      </c>
    </row>
    <row r="225" customHeight="1" spans="3:3">
      <c r="C225" s="39" t="s">
        <v>692</v>
      </c>
    </row>
    <row r="226" customHeight="1" spans="3:3">
      <c r="C226" s="39" t="s">
        <v>763</v>
      </c>
    </row>
    <row r="227" customHeight="1" spans="3:3">
      <c r="C227" s="39" t="s">
        <v>856</v>
      </c>
    </row>
    <row r="228" customHeight="1" spans="3:3">
      <c r="C228" s="39" t="s">
        <v>859</v>
      </c>
    </row>
    <row r="229" customHeight="1" spans="3:3">
      <c r="C229" s="39" t="s">
        <v>862</v>
      </c>
    </row>
    <row r="230" customHeight="1" spans="3:3">
      <c r="C230" s="39" t="s">
        <v>866</v>
      </c>
    </row>
    <row r="231" customHeight="1" spans="3:3">
      <c r="C231" s="39" t="s">
        <v>875</v>
      </c>
    </row>
    <row r="232" customHeight="1" spans="3:3">
      <c r="C232" s="39" t="s">
        <v>869</v>
      </c>
    </row>
    <row r="233" customHeight="1" spans="3:3">
      <c r="C233" s="39" t="s">
        <v>872</v>
      </c>
    </row>
    <row r="234" customHeight="1" spans="3:3">
      <c r="C234" s="39" t="s">
        <v>301</v>
      </c>
    </row>
    <row r="235" customHeight="1" spans="3:3">
      <c r="C235" s="39" t="s">
        <v>880</v>
      </c>
    </row>
    <row r="236" customHeight="1" spans="3:3">
      <c r="C236" s="39" t="s">
        <v>290</v>
      </c>
    </row>
    <row r="237" customHeight="1" spans="3:3">
      <c r="C237" s="39" t="s">
        <v>250</v>
      </c>
    </row>
    <row r="238" customHeight="1" spans="3:3">
      <c r="C238" s="39" t="s">
        <v>235</v>
      </c>
    </row>
    <row r="239" customHeight="1" spans="3:3">
      <c r="C239" s="39" t="s">
        <v>305</v>
      </c>
    </row>
    <row r="240" customHeight="1" spans="3:3">
      <c r="C240" s="39" t="s">
        <v>282</v>
      </c>
    </row>
    <row r="241" customHeight="1" spans="3:3">
      <c r="C241" s="39" t="s">
        <v>210</v>
      </c>
    </row>
  </sheetData>
  <autoFilter ref="A1:O241">
    <sortState ref="A1:O241">
      <sortCondition ref="O1"/>
    </sortState>
    <extLst/>
  </autoFilter>
  <conditionalFormatting sqref="A105">
    <cfRule type="duplicateValues" dxfId="571" priority="57"/>
  </conditionalFormatting>
  <conditionalFormatting sqref="A106">
    <cfRule type="duplicateValues" dxfId="571" priority="56"/>
  </conditionalFormatting>
  <conditionalFormatting sqref="A107">
    <cfRule type="duplicateValues" dxfId="571" priority="50"/>
  </conditionalFormatting>
  <conditionalFormatting sqref="A108">
    <cfRule type="duplicateValues" dxfId="571" priority="55"/>
  </conditionalFormatting>
  <conditionalFormatting sqref="A109">
    <cfRule type="duplicateValues" dxfId="571" priority="49"/>
  </conditionalFormatting>
  <conditionalFormatting sqref="A110">
    <cfRule type="duplicateValues" dxfId="571" priority="54"/>
  </conditionalFormatting>
  <conditionalFormatting sqref="A111">
    <cfRule type="duplicateValues" dxfId="571" priority="48"/>
  </conditionalFormatting>
  <conditionalFormatting sqref="A112">
    <cfRule type="duplicateValues" dxfId="571" priority="53"/>
  </conditionalFormatting>
  <conditionalFormatting sqref="A113">
    <cfRule type="duplicateValues" dxfId="571" priority="47"/>
  </conditionalFormatting>
  <conditionalFormatting sqref="A114">
    <cfRule type="duplicateValues" dxfId="571" priority="52"/>
  </conditionalFormatting>
  <conditionalFormatting sqref="A115">
    <cfRule type="duplicateValues" dxfId="571" priority="46"/>
  </conditionalFormatting>
  <conditionalFormatting sqref="A116">
    <cfRule type="duplicateValues" dxfId="571" priority="51"/>
  </conditionalFormatting>
  <conditionalFormatting sqref="A117">
    <cfRule type="duplicateValues" dxfId="571" priority="45"/>
  </conditionalFormatting>
  <conditionalFormatting sqref="A118">
    <cfRule type="duplicateValues" dxfId="571" priority="44"/>
  </conditionalFormatting>
  <conditionalFormatting sqref="A119">
    <cfRule type="duplicateValues" dxfId="571" priority="43"/>
  </conditionalFormatting>
  <conditionalFormatting sqref="A120">
    <cfRule type="duplicateValues" dxfId="571" priority="42"/>
  </conditionalFormatting>
  <conditionalFormatting sqref="A121">
    <cfRule type="duplicateValues" dxfId="571" priority="41"/>
  </conditionalFormatting>
  <conditionalFormatting sqref="A122">
    <cfRule type="duplicateValues" dxfId="571" priority="40"/>
  </conditionalFormatting>
  <conditionalFormatting sqref="A123">
    <cfRule type="duplicateValues" dxfId="571" priority="35"/>
  </conditionalFormatting>
  <conditionalFormatting sqref="A124">
    <cfRule type="duplicateValues" dxfId="571" priority="39"/>
  </conditionalFormatting>
  <conditionalFormatting sqref="A125">
    <cfRule type="duplicateValues" dxfId="571" priority="34"/>
  </conditionalFormatting>
  <conditionalFormatting sqref="A126">
    <cfRule type="duplicateValues" dxfId="571" priority="38"/>
  </conditionalFormatting>
  <conditionalFormatting sqref="A127">
    <cfRule type="duplicateValues" dxfId="571" priority="33"/>
  </conditionalFormatting>
  <conditionalFormatting sqref="A128">
    <cfRule type="duplicateValues" dxfId="571" priority="37"/>
  </conditionalFormatting>
  <conditionalFormatting sqref="A129">
    <cfRule type="duplicateValues" dxfId="571" priority="32"/>
  </conditionalFormatting>
  <conditionalFormatting sqref="A130">
    <cfRule type="duplicateValues" dxfId="571" priority="36"/>
  </conditionalFormatting>
  <conditionalFormatting sqref="A131">
    <cfRule type="duplicateValues" dxfId="571" priority="31"/>
  </conditionalFormatting>
  <conditionalFormatting sqref="A132">
    <cfRule type="duplicateValues" dxfId="571" priority="30"/>
  </conditionalFormatting>
  <conditionalFormatting sqref="A133">
    <cfRule type="duplicateValues" dxfId="571" priority="28"/>
  </conditionalFormatting>
  <conditionalFormatting sqref="A134">
    <cfRule type="duplicateValues" dxfId="571" priority="29"/>
  </conditionalFormatting>
  <conditionalFormatting sqref="A135">
    <cfRule type="duplicateValues" dxfId="571" priority="27"/>
  </conditionalFormatting>
  <conditionalFormatting sqref="A136">
    <cfRule type="duplicateValues" dxfId="571" priority="26"/>
  </conditionalFormatting>
  <conditionalFormatting sqref="A137">
    <cfRule type="duplicateValues" dxfId="571" priority="22"/>
  </conditionalFormatting>
  <conditionalFormatting sqref="A138">
    <cfRule type="duplicateValues" dxfId="571" priority="25"/>
  </conditionalFormatting>
  <conditionalFormatting sqref="A139">
    <cfRule type="duplicateValues" dxfId="571" priority="21"/>
  </conditionalFormatting>
  <conditionalFormatting sqref="A140">
    <cfRule type="duplicateValues" dxfId="571" priority="24"/>
  </conditionalFormatting>
  <conditionalFormatting sqref="A141">
    <cfRule type="duplicateValues" dxfId="571" priority="20"/>
  </conditionalFormatting>
  <conditionalFormatting sqref="A142">
    <cfRule type="duplicateValues" dxfId="571" priority="18"/>
  </conditionalFormatting>
  <conditionalFormatting sqref="A143">
    <cfRule type="duplicateValues" dxfId="571" priority="9"/>
  </conditionalFormatting>
  <conditionalFormatting sqref="A144">
    <cfRule type="duplicateValues" dxfId="571" priority="17"/>
  </conditionalFormatting>
  <conditionalFormatting sqref="A145">
    <cfRule type="duplicateValues" dxfId="571" priority="8"/>
  </conditionalFormatting>
  <conditionalFormatting sqref="A146">
    <cfRule type="duplicateValues" dxfId="571" priority="16"/>
  </conditionalFormatting>
  <conditionalFormatting sqref="A147">
    <cfRule type="duplicateValues" dxfId="571" priority="7"/>
  </conditionalFormatting>
  <conditionalFormatting sqref="A148">
    <cfRule type="duplicateValues" dxfId="571" priority="15"/>
  </conditionalFormatting>
  <conditionalFormatting sqref="A149">
    <cfRule type="duplicateValues" dxfId="571" priority="1"/>
  </conditionalFormatting>
  <conditionalFormatting sqref="A150">
    <cfRule type="duplicateValues" dxfId="571" priority="14"/>
  </conditionalFormatting>
  <conditionalFormatting sqref="A151">
    <cfRule type="duplicateValues" dxfId="571" priority="5"/>
  </conditionalFormatting>
  <conditionalFormatting sqref="A152">
    <cfRule type="duplicateValues" dxfId="571" priority="13"/>
  </conditionalFormatting>
  <conditionalFormatting sqref="A153">
    <cfRule type="duplicateValues" dxfId="571" priority="4"/>
  </conditionalFormatting>
  <conditionalFormatting sqref="A154">
    <cfRule type="duplicateValues" dxfId="571" priority="12"/>
  </conditionalFormatting>
  <conditionalFormatting sqref="A155">
    <cfRule type="duplicateValues" dxfId="571" priority="11"/>
  </conditionalFormatting>
  <conditionalFormatting sqref="A156">
    <cfRule type="duplicateValues" dxfId="571" priority="2"/>
  </conditionalFormatting>
  <conditionalFormatting sqref="A95:A96">
    <cfRule type="duplicateValues" dxfId="571" priority="62"/>
  </conditionalFormatting>
  <conditionalFormatting sqref="A97:A98">
    <cfRule type="duplicateValues" dxfId="571" priority="61"/>
  </conditionalFormatting>
  <conditionalFormatting sqref="A99:A100">
    <cfRule type="duplicateValues" dxfId="571" priority="60"/>
  </conditionalFormatting>
  <conditionalFormatting sqref="A101:A102">
    <cfRule type="duplicateValues" dxfId="571" priority="59"/>
  </conditionalFormatting>
  <conditionalFormatting sqref="A103:A104">
    <cfRule type="duplicateValues" dxfId="571" priority="58"/>
  </conditionalFormatting>
  <conditionalFormatting sqref="A1:A94 A157:A1048576">
    <cfRule type="duplicateValues" dxfId="571" priority="82"/>
  </conditionalFormatting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18"/>
  <sheetViews>
    <sheetView zoomScale="85" zoomScaleNormal="85" workbookViewId="0">
      <pane ySplit="1" topLeftCell="A1229" activePane="bottomLeft" state="frozen"/>
      <selection/>
      <selection pane="bottomLeft" activeCell="J1399" sqref="J1399"/>
    </sheetView>
  </sheetViews>
  <sheetFormatPr defaultColWidth="9" defaultRowHeight="14.4"/>
  <cols>
    <col min="1" max="1" width="11.5" customWidth="1"/>
    <col min="2" max="2" width="12.3240740740741" customWidth="1"/>
    <col min="3" max="3" width="9.37962962962963"/>
    <col min="4" max="4" width="13.9259259259259" style="16" customWidth="1"/>
    <col min="5" max="5" width="27.1296296296296" customWidth="1"/>
    <col min="6" max="6" width="9.28703703703704" customWidth="1"/>
    <col min="11" max="11" width="9.37962962962963"/>
    <col min="16" max="20" width="5.12962962962963" customWidth="1"/>
    <col min="21" max="21" width="7" customWidth="1"/>
    <col min="22" max="22" width="6.75" customWidth="1"/>
    <col min="23" max="23" width="3.87962962962963" customWidth="1"/>
    <col min="24" max="24" width="5.5" customWidth="1"/>
    <col min="25" max="25" width="2.37962962962963" customWidth="1"/>
    <col min="26" max="26" width="4.37962962962963" customWidth="1"/>
    <col min="27" max="27" width="5.37962962962963" customWidth="1"/>
    <col min="28" max="28" width="9.37962962962963"/>
  </cols>
  <sheetData>
    <row r="1" spans="1:32">
      <c r="A1" s="17" t="s">
        <v>1</v>
      </c>
      <c r="B1" s="17" t="s">
        <v>996</v>
      </c>
      <c r="C1" s="17" t="s">
        <v>997</v>
      </c>
      <c r="D1" s="17" t="s">
        <v>189</v>
      </c>
      <c r="E1" s="17" t="s">
        <v>194</v>
      </c>
      <c r="F1" s="17" t="s">
        <v>998</v>
      </c>
      <c r="G1" s="17" t="s">
        <v>999</v>
      </c>
      <c r="H1" s="17" t="s">
        <v>1000</v>
      </c>
      <c r="I1" s="17" t="s">
        <v>1001</v>
      </c>
      <c r="J1" s="17" t="s">
        <v>1002</v>
      </c>
      <c r="K1" s="17" t="s">
        <v>360</v>
      </c>
      <c r="L1" s="17" t="s">
        <v>1003</v>
      </c>
      <c r="M1" s="17" t="s">
        <v>1004</v>
      </c>
      <c r="N1" s="17" t="s">
        <v>361</v>
      </c>
      <c r="O1" s="17" t="s">
        <v>1005</v>
      </c>
      <c r="P1" s="17" t="s">
        <v>1006</v>
      </c>
      <c r="Q1" s="17" t="s">
        <v>356</v>
      </c>
      <c r="R1" s="17" t="s">
        <v>358</v>
      </c>
      <c r="S1" s="17" t="s">
        <v>357</v>
      </c>
      <c r="T1" s="17" t="s">
        <v>1007</v>
      </c>
      <c r="U1" s="17" t="s">
        <v>1008</v>
      </c>
      <c r="V1" s="17" t="s">
        <v>359</v>
      </c>
      <c r="W1" s="17" t="s">
        <v>1009</v>
      </c>
      <c r="X1" s="17" t="s">
        <v>1010</v>
      </c>
      <c r="Y1" s="17" t="s">
        <v>1011</v>
      </c>
      <c r="Z1" s="17" t="s">
        <v>1012</v>
      </c>
      <c r="AA1" s="17" t="s">
        <v>1013</v>
      </c>
      <c r="AB1" t="s">
        <v>190</v>
      </c>
      <c r="AC1" t="s">
        <v>188</v>
      </c>
      <c r="AD1" t="s">
        <v>192</v>
      </c>
      <c r="AE1" t="s">
        <v>191</v>
      </c>
      <c r="AF1" t="s">
        <v>193</v>
      </c>
    </row>
    <row r="2" spans="1:32">
      <c r="A2" s="18" t="s">
        <v>16</v>
      </c>
      <c r="B2" s="18" t="s">
        <v>661</v>
      </c>
      <c r="C2" s="19">
        <v>14438625</v>
      </c>
      <c r="D2" s="18" t="s">
        <v>209</v>
      </c>
      <c r="E2" s="18" t="s">
        <v>553</v>
      </c>
      <c r="F2" s="18" t="s">
        <v>1014</v>
      </c>
      <c r="G2" s="19">
        <v>2918793</v>
      </c>
      <c r="H2" s="18" t="s">
        <v>1014</v>
      </c>
      <c r="I2" s="19">
        <v>2325045</v>
      </c>
      <c r="J2" s="18" t="s">
        <v>1015</v>
      </c>
      <c r="K2" s="19">
        <v>537.52</v>
      </c>
      <c r="L2" s="19">
        <v>56536</v>
      </c>
      <c r="M2" s="19">
        <v>4162</v>
      </c>
      <c r="N2" s="20">
        <v>0.0736</v>
      </c>
      <c r="O2" s="19">
        <v>0.13</v>
      </c>
      <c r="P2" s="19">
        <v>9.51</v>
      </c>
      <c r="Q2" s="19">
        <v>137</v>
      </c>
      <c r="R2" s="19">
        <v>2</v>
      </c>
      <c r="S2" s="19">
        <v>67</v>
      </c>
      <c r="T2" s="19">
        <v>3</v>
      </c>
      <c r="U2" s="19">
        <v>4</v>
      </c>
      <c r="V2" s="19">
        <v>213</v>
      </c>
      <c r="W2" s="19">
        <v>2.52</v>
      </c>
      <c r="X2" s="19">
        <v>0</v>
      </c>
      <c r="Y2" s="20">
        <v>0</v>
      </c>
      <c r="Z2" s="19">
        <v>11</v>
      </c>
      <c r="AA2" s="19">
        <v>18</v>
      </c>
      <c r="AB2" t="str">
        <f>VLOOKUP(E:E,笔记匹配!A:N,3,FALSE)</f>
        <v>圆又圆超爱笑</v>
      </c>
      <c r="AC2" t="str">
        <f>VLOOKUP(E:E,笔记匹配!A:N,2,FALSE)</f>
        <v>筋膜枪</v>
      </c>
      <c r="AD2" t="str">
        <f>VLOOKUP(E:E,笔记匹配!A:N,4,FALSE)</f>
        <v>云麦筋膜枪cc</v>
      </c>
      <c r="AE2" t="str">
        <f>VLOOKUP(E:E,笔记匹配!A:N,14,FALSE)</f>
        <v>云麦筋膜枪cc</v>
      </c>
      <c r="AF2" t="str">
        <f>VLOOKUP(E:E,笔记匹配!A:N,6,FALSE)</f>
        <v>大二女生梨形粗腿逆袭✨这3步带你优化腿型</v>
      </c>
    </row>
    <row r="3" spans="1:32">
      <c r="A3" s="18" t="s">
        <v>16</v>
      </c>
      <c r="B3" s="18" t="s">
        <v>654</v>
      </c>
      <c r="C3" s="19">
        <v>14438656</v>
      </c>
      <c r="D3" s="18" t="s">
        <v>209</v>
      </c>
      <c r="E3" s="18" t="s">
        <v>444</v>
      </c>
      <c r="F3" s="18" t="s">
        <v>1014</v>
      </c>
      <c r="G3" s="19">
        <v>2918793</v>
      </c>
      <c r="H3" s="18" t="s">
        <v>1014</v>
      </c>
      <c r="I3" s="19">
        <v>2325045</v>
      </c>
      <c r="J3" s="18" t="s">
        <v>1015</v>
      </c>
      <c r="K3" s="19">
        <v>120.37</v>
      </c>
      <c r="L3" s="19">
        <v>13237</v>
      </c>
      <c r="M3" s="19">
        <v>1336</v>
      </c>
      <c r="N3" s="20">
        <v>0.1009</v>
      </c>
      <c r="O3" s="19">
        <v>0.09</v>
      </c>
      <c r="P3" s="19">
        <v>9.09</v>
      </c>
      <c r="Q3" s="19">
        <v>20</v>
      </c>
      <c r="R3" s="19">
        <v>1</v>
      </c>
      <c r="S3" s="19">
        <v>15</v>
      </c>
      <c r="T3" s="19">
        <v>4</v>
      </c>
      <c r="U3" s="19">
        <v>2</v>
      </c>
      <c r="V3" s="19">
        <v>42</v>
      </c>
      <c r="W3" s="19">
        <v>2.87</v>
      </c>
      <c r="X3" s="19">
        <v>0</v>
      </c>
      <c r="Y3" s="20">
        <v>0</v>
      </c>
      <c r="Z3" s="19">
        <v>3</v>
      </c>
      <c r="AA3" s="19">
        <v>8</v>
      </c>
      <c r="AB3" t="str">
        <f>VLOOKUP(E:E,笔记匹配!A:N,3,FALSE)</f>
        <v>Sophia大大</v>
      </c>
      <c r="AC3" t="str">
        <f>VLOOKUP(E:E,笔记匹配!A:N,2,FALSE)</f>
        <v>筋膜枪</v>
      </c>
      <c r="AD3" t="str">
        <f>VLOOKUP(E:E,笔记匹配!A:N,4,FALSE)</f>
        <v>云麦cc</v>
      </c>
      <c r="AE3" t="str">
        <f>VLOOKUP(E:E,笔记匹配!A:N,14,FALSE)</f>
        <v>云麦筋膜枪cc</v>
      </c>
      <c r="AF3" t="str">
        <f>VLOOKUP(E:E,笔记匹配!A:N,6,FALSE)</f>
        <v>162 46|我悟了！翘臀不粗腿的训练方法!</v>
      </c>
    </row>
    <row r="4" spans="1:32">
      <c r="A4" s="18" t="s">
        <v>16</v>
      </c>
      <c r="B4" s="18" t="s">
        <v>650</v>
      </c>
      <c r="C4" s="19">
        <v>14438657</v>
      </c>
      <c r="D4" s="18" t="s">
        <v>209</v>
      </c>
      <c r="E4" s="18" t="s">
        <v>471</v>
      </c>
      <c r="F4" s="18" t="s">
        <v>1014</v>
      </c>
      <c r="G4" s="19">
        <v>2918793</v>
      </c>
      <c r="H4" s="18" t="s">
        <v>1014</v>
      </c>
      <c r="I4" s="19">
        <v>2325045</v>
      </c>
      <c r="J4" s="18" t="s">
        <v>1015</v>
      </c>
      <c r="K4" s="19">
        <v>62.11</v>
      </c>
      <c r="L4" s="19">
        <v>20416</v>
      </c>
      <c r="M4" s="19">
        <v>557</v>
      </c>
      <c r="N4" s="20">
        <v>0.0273</v>
      </c>
      <c r="O4" s="19">
        <v>0.11</v>
      </c>
      <c r="P4" s="19">
        <v>3.04</v>
      </c>
      <c r="Q4" s="19">
        <v>11</v>
      </c>
      <c r="R4" s="19">
        <v>0</v>
      </c>
      <c r="S4" s="19">
        <v>10</v>
      </c>
      <c r="T4" s="19">
        <v>4</v>
      </c>
      <c r="U4" s="19">
        <v>1</v>
      </c>
      <c r="V4" s="19">
        <v>26</v>
      </c>
      <c r="W4" s="19">
        <v>2.39</v>
      </c>
      <c r="X4" s="19">
        <v>0</v>
      </c>
      <c r="Y4" s="20">
        <v>0</v>
      </c>
      <c r="Z4" s="19">
        <v>1</v>
      </c>
      <c r="AA4" s="19">
        <v>0</v>
      </c>
      <c r="AB4" t="str">
        <f>VLOOKUP(E:E,笔记匹配!A:N,3,FALSE)</f>
        <v>咩咩是杨景然</v>
      </c>
      <c r="AC4" t="str">
        <f>VLOOKUP(E:E,笔记匹配!A:N,2,FALSE)</f>
        <v>筋膜枪</v>
      </c>
      <c r="AD4" t="str">
        <f>VLOOKUP(E:E,笔记匹配!A:N,4,FALSE)</f>
        <v>云麦cc</v>
      </c>
      <c r="AE4" t="str">
        <f>VLOOKUP(E:E,笔记匹配!A:N,14,FALSE)</f>
        <v>云麦筋膜枪cc</v>
      </c>
      <c r="AF4" t="str">
        <f>VLOOKUP(E:E,笔记匹配!A:N,6,FALSE)</f>
        <v>减重8.5斤‼️跳绳后拉伸&amp;筋膜枪按摩不粗腿</v>
      </c>
    </row>
    <row r="5" spans="1:32">
      <c r="A5" s="18" t="s">
        <v>16</v>
      </c>
      <c r="B5" s="18" t="s">
        <v>657</v>
      </c>
      <c r="C5" s="19">
        <v>14438876</v>
      </c>
      <c r="D5" s="18" t="s">
        <v>209</v>
      </c>
      <c r="E5" s="18" t="s">
        <v>518</v>
      </c>
      <c r="F5" s="18" t="s">
        <v>1016</v>
      </c>
      <c r="G5" s="19">
        <v>2918813</v>
      </c>
      <c r="H5" s="18" t="s">
        <v>1016</v>
      </c>
      <c r="I5" s="19">
        <v>2325078</v>
      </c>
      <c r="J5" s="18" t="s">
        <v>1015</v>
      </c>
      <c r="K5" s="19">
        <v>187.16</v>
      </c>
      <c r="L5" s="19">
        <v>12017</v>
      </c>
      <c r="M5" s="19">
        <v>788</v>
      </c>
      <c r="N5" s="20">
        <v>0.0656</v>
      </c>
      <c r="O5" s="19">
        <v>0.24</v>
      </c>
      <c r="P5" s="19">
        <v>15.57</v>
      </c>
      <c r="Q5" s="19">
        <v>36</v>
      </c>
      <c r="R5" s="19">
        <v>2</v>
      </c>
      <c r="S5" s="19">
        <v>36</v>
      </c>
      <c r="T5" s="19">
        <v>19</v>
      </c>
      <c r="U5" s="19">
        <v>1</v>
      </c>
      <c r="V5" s="19">
        <v>94</v>
      </c>
      <c r="W5" s="19">
        <v>1.99</v>
      </c>
      <c r="X5" s="19">
        <v>0</v>
      </c>
      <c r="Y5" s="20">
        <v>0</v>
      </c>
      <c r="Z5" s="19">
        <v>8</v>
      </c>
      <c r="AA5" s="19">
        <v>0</v>
      </c>
      <c r="AB5" t="str">
        <f>VLOOKUP(E:E,笔记匹配!A:N,3,FALSE)</f>
        <v>我是铁核桃也是小百合</v>
      </c>
      <c r="AC5" t="str">
        <f>VLOOKUP(E:E,笔记匹配!A:N,2,FALSE)</f>
        <v>体脂秤</v>
      </c>
      <c r="AD5" t="str">
        <f>VLOOKUP(E:E,笔记匹配!A:N,4,FALSE)</f>
        <v>云麦体脂秤3</v>
      </c>
      <c r="AE5" t="str">
        <f>VLOOKUP(E:E,笔记匹配!A:N,14,FALSE)</f>
        <v>云麦体脂秤3</v>
      </c>
      <c r="AF5" t="str">
        <f>VLOOKUP(E:E,笔记匹配!A:N,6,FALSE)</f>
        <v>产后5大阶段恢复必做事‼️错过多花3年补‼️</v>
      </c>
    </row>
    <row r="6" spans="1:32">
      <c r="A6" s="18" t="s">
        <v>16</v>
      </c>
      <c r="B6" s="18" t="s">
        <v>664</v>
      </c>
      <c r="C6" s="19">
        <v>14438997</v>
      </c>
      <c r="D6" s="18" t="s">
        <v>209</v>
      </c>
      <c r="E6" s="18" t="s">
        <v>520</v>
      </c>
      <c r="F6" s="18" t="s">
        <v>1017</v>
      </c>
      <c r="G6" s="19">
        <v>2918831</v>
      </c>
      <c r="H6" s="18" t="s">
        <v>1017</v>
      </c>
      <c r="I6" s="19">
        <v>2325093</v>
      </c>
      <c r="J6" s="18" t="s">
        <v>1015</v>
      </c>
      <c r="K6" s="19">
        <v>174.26</v>
      </c>
      <c r="L6" s="19">
        <v>38207</v>
      </c>
      <c r="M6" s="19">
        <v>1519</v>
      </c>
      <c r="N6" s="20">
        <v>0.0398</v>
      </c>
      <c r="O6" s="19">
        <v>0.11</v>
      </c>
      <c r="P6" s="19">
        <v>4.56</v>
      </c>
      <c r="Q6" s="19">
        <v>32</v>
      </c>
      <c r="R6" s="19">
        <v>2</v>
      </c>
      <c r="S6" s="19">
        <v>14</v>
      </c>
      <c r="T6" s="19">
        <v>0</v>
      </c>
      <c r="U6" s="19">
        <v>1</v>
      </c>
      <c r="V6" s="19">
        <v>49</v>
      </c>
      <c r="W6" s="19">
        <v>3.56</v>
      </c>
      <c r="X6" s="19">
        <v>0</v>
      </c>
      <c r="Y6" s="20">
        <v>0</v>
      </c>
      <c r="Z6" s="19">
        <v>2</v>
      </c>
      <c r="AA6" s="19">
        <v>7</v>
      </c>
      <c r="AB6" t="str">
        <f>VLOOKUP(E:E,笔记匹配!A:N,3,FALSE)</f>
        <v>沁儿你好哇</v>
      </c>
      <c r="AC6" t="str">
        <f>VLOOKUP(E:E,笔记匹配!A:N,2,FALSE)</f>
        <v>体脂秤</v>
      </c>
      <c r="AD6" t="str">
        <f>VLOOKUP(E:E,笔记匹配!A:N,4,FALSE)</f>
        <v>云麦体脂秤3mini</v>
      </c>
      <c r="AE6" t="str">
        <f>VLOOKUP(E:E,笔记匹配!A:N,14,FALSE)</f>
        <v>云麦体脂秤3mini</v>
      </c>
      <c r="AF6" t="str">
        <f>VLOOKUP(E:E,笔记匹配!A:N,6,FALSE)</f>
        <v>居家瘦肚子｜燃烧腹部脂肪紧致腰线get马甲线</v>
      </c>
    </row>
    <row r="7" spans="1:32">
      <c r="A7" s="18" t="s">
        <v>16</v>
      </c>
      <c r="B7" s="18" t="s">
        <v>646</v>
      </c>
      <c r="C7" s="19">
        <v>14439020</v>
      </c>
      <c r="D7" s="18" t="s">
        <v>209</v>
      </c>
      <c r="E7" s="18" t="s">
        <v>519</v>
      </c>
      <c r="F7" s="18" t="s">
        <v>1017</v>
      </c>
      <c r="G7" s="19">
        <v>2918831</v>
      </c>
      <c r="H7" s="18" t="s">
        <v>1017</v>
      </c>
      <c r="I7" s="19">
        <v>2325093</v>
      </c>
      <c r="J7" s="18" t="s">
        <v>1015</v>
      </c>
      <c r="K7" s="19">
        <v>288.35</v>
      </c>
      <c r="L7" s="19">
        <v>35118</v>
      </c>
      <c r="M7" s="19">
        <v>2489</v>
      </c>
      <c r="N7" s="20">
        <v>0.0709</v>
      </c>
      <c r="O7" s="19">
        <v>0.12</v>
      </c>
      <c r="P7" s="19">
        <v>8.21</v>
      </c>
      <c r="Q7" s="19">
        <v>85</v>
      </c>
      <c r="R7" s="19">
        <v>0</v>
      </c>
      <c r="S7" s="19">
        <v>42</v>
      </c>
      <c r="T7" s="19">
        <v>3</v>
      </c>
      <c r="U7" s="19">
        <v>2</v>
      </c>
      <c r="V7" s="19">
        <v>132</v>
      </c>
      <c r="W7" s="19">
        <v>2.18</v>
      </c>
      <c r="X7" s="19">
        <v>0</v>
      </c>
      <c r="Y7" s="20">
        <v>0</v>
      </c>
      <c r="Z7" s="19">
        <v>0</v>
      </c>
      <c r="AA7" s="19">
        <v>0</v>
      </c>
      <c r="AB7" t="str">
        <f>VLOOKUP(E:E,笔记匹配!A:N,3,FALSE)</f>
        <v>大敏敏的蜕变日记</v>
      </c>
      <c r="AC7" t="str">
        <f>VLOOKUP(E:E,笔记匹配!A:N,2,FALSE)</f>
        <v>体脂秤</v>
      </c>
      <c r="AD7" t="str">
        <f>VLOOKUP(E:E,笔记匹配!A:N,4,FALSE)</f>
        <v>云麦3mini</v>
      </c>
      <c r="AE7" t="str">
        <f>VLOOKUP(E:E,笔记匹配!A:N,14,FALSE)</f>
        <v>云麦体脂秤3mini</v>
      </c>
      <c r="AF7" t="str">
        <f>VLOOKUP(E:E,笔记匹配!A:N,6,FALSE)</f>
        <v>刘畊宏女孩的21天虐腹计划‼谁练谁瘦💪</v>
      </c>
    </row>
    <row r="8" spans="1:32">
      <c r="A8" s="18" t="s">
        <v>17</v>
      </c>
      <c r="B8" s="18" t="s">
        <v>661</v>
      </c>
      <c r="C8" s="19">
        <v>14438625</v>
      </c>
      <c r="D8" s="18" t="s">
        <v>209</v>
      </c>
      <c r="E8" s="18" t="s">
        <v>553</v>
      </c>
      <c r="F8" s="18" t="s">
        <v>1014</v>
      </c>
      <c r="G8" s="19">
        <v>2918793</v>
      </c>
      <c r="H8" s="18" t="s">
        <v>1014</v>
      </c>
      <c r="I8" s="19">
        <v>2325045</v>
      </c>
      <c r="J8" s="18" t="s">
        <v>1015</v>
      </c>
      <c r="K8" s="19">
        <v>450.96</v>
      </c>
      <c r="L8" s="19">
        <v>69824</v>
      </c>
      <c r="M8" s="19">
        <v>6732</v>
      </c>
      <c r="N8" s="20">
        <v>0.0964</v>
      </c>
      <c r="O8" s="19">
        <v>0.07</v>
      </c>
      <c r="P8" s="19">
        <v>6.46</v>
      </c>
      <c r="Q8" s="19">
        <v>164</v>
      </c>
      <c r="R8" s="19">
        <v>2</v>
      </c>
      <c r="S8" s="19">
        <v>116</v>
      </c>
      <c r="T8" s="19">
        <v>5</v>
      </c>
      <c r="U8" s="19">
        <v>1</v>
      </c>
      <c r="V8" s="19">
        <v>288</v>
      </c>
      <c r="W8" s="19">
        <v>1.57</v>
      </c>
      <c r="X8" s="19">
        <v>0</v>
      </c>
      <c r="Y8" s="20">
        <v>0</v>
      </c>
      <c r="Z8" s="19">
        <v>20</v>
      </c>
      <c r="AA8" s="19">
        <v>30</v>
      </c>
      <c r="AB8" t="str">
        <f>VLOOKUP(E:E,笔记匹配!A:N,3,FALSE)</f>
        <v>圆又圆超爱笑</v>
      </c>
      <c r="AC8" t="str">
        <f>VLOOKUP(E:E,笔记匹配!A:N,2,FALSE)</f>
        <v>筋膜枪</v>
      </c>
      <c r="AD8" t="str">
        <f>VLOOKUP(E:E,笔记匹配!A:N,4,FALSE)</f>
        <v>云麦筋膜枪cc</v>
      </c>
      <c r="AE8" t="str">
        <f>VLOOKUP(E:E,笔记匹配!A:N,14,FALSE)</f>
        <v>云麦筋膜枪cc</v>
      </c>
      <c r="AF8" t="str">
        <f>VLOOKUP(E:E,笔记匹配!A:N,6,FALSE)</f>
        <v>大二女生梨形粗腿逆袭✨这3步带你优化腿型</v>
      </c>
    </row>
    <row r="9" spans="1:32">
      <c r="A9" s="18" t="s">
        <v>17</v>
      </c>
      <c r="B9" s="18" t="s">
        <v>654</v>
      </c>
      <c r="C9" s="19">
        <v>14438656</v>
      </c>
      <c r="D9" s="18" t="s">
        <v>209</v>
      </c>
      <c r="E9" s="18" t="s">
        <v>444</v>
      </c>
      <c r="F9" s="18" t="s">
        <v>1014</v>
      </c>
      <c r="G9" s="19">
        <v>2918793</v>
      </c>
      <c r="H9" s="18" t="s">
        <v>1014</v>
      </c>
      <c r="I9" s="19">
        <v>2325045</v>
      </c>
      <c r="J9" s="18" t="s">
        <v>1015</v>
      </c>
      <c r="K9" s="19">
        <v>73.75</v>
      </c>
      <c r="L9" s="19">
        <v>11731</v>
      </c>
      <c r="M9" s="19">
        <v>1418</v>
      </c>
      <c r="N9" s="20">
        <v>0.1209</v>
      </c>
      <c r="O9" s="19">
        <v>0.05</v>
      </c>
      <c r="P9" s="19">
        <v>6.29</v>
      </c>
      <c r="Q9" s="19">
        <v>12</v>
      </c>
      <c r="R9" s="19">
        <v>4</v>
      </c>
      <c r="S9" s="19">
        <v>11</v>
      </c>
      <c r="T9" s="19">
        <v>1</v>
      </c>
      <c r="U9" s="19">
        <v>0</v>
      </c>
      <c r="V9" s="19">
        <v>28</v>
      </c>
      <c r="W9" s="19">
        <v>2.63</v>
      </c>
      <c r="X9" s="19">
        <v>0</v>
      </c>
      <c r="Y9" s="20">
        <v>0</v>
      </c>
      <c r="Z9" s="19">
        <v>4</v>
      </c>
      <c r="AA9" s="19">
        <v>8</v>
      </c>
      <c r="AB9" t="str">
        <f>VLOOKUP(E:E,笔记匹配!A:N,3,FALSE)</f>
        <v>Sophia大大</v>
      </c>
      <c r="AC9" t="str">
        <f>VLOOKUP(E:E,笔记匹配!A:N,2,FALSE)</f>
        <v>筋膜枪</v>
      </c>
      <c r="AD9" t="str">
        <f>VLOOKUP(E:E,笔记匹配!A:N,4,FALSE)</f>
        <v>云麦cc</v>
      </c>
      <c r="AE9" t="str">
        <f>VLOOKUP(E:E,笔记匹配!A:N,14,FALSE)</f>
        <v>云麦筋膜枪cc</v>
      </c>
      <c r="AF9" t="str">
        <f>VLOOKUP(E:E,笔记匹配!A:N,6,FALSE)</f>
        <v>162 46|我悟了！翘臀不粗腿的训练方法!</v>
      </c>
    </row>
    <row r="10" spans="1:32">
      <c r="A10" s="18" t="s">
        <v>17</v>
      </c>
      <c r="B10" s="18" t="s">
        <v>650</v>
      </c>
      <c r="C10" s="19">
        <v>14438657</v>
      </c>
      <c r="D10" s="18" t="s">
        <v>209</v>
      </c>
      <c r="E10" s="18" t="s">
        <v>471</v>
      </c>
      <c r="F10" s="18" t="s">
        <v>1014</v>
      </c>
      <c r="G10" s="19">
        <v>2918793</v>
      </c>
      <c r="H10" s="18" t="s">
        <v>1014</v>
      </c>
      <c r="I10" s="19">
        <v>2325045</v>
      </c>
      <c r="J10" s="18" t="s">
        <v>1015</v>
      </c>
      <c r="K10" s="19">
        <v>29.03</v>
      </c>
      <c r="L10" s="19">
        <v>12390</v>
      </c>
      <c r="M10" s="19">
        <v>397</v>
      </c>
      <c r="N10" s="20">
        <v>0.032</v>
      </c>
      <c r="O10" s="19">
        <v>0.07</v>
      </c>
      <c r="P10" s="19">
        <v>2.34</v>
      </c>
      <c r="Q10" s="19">
        <v>2</v>
      </c>
      <c r="R10" s="19">
        <v>0</v>
      </c>
      <c r="S10" s="19">
        <v>6</v>
      </c>
      <c r="T10" s="19">
        <v>0</v>
      </c>
      <c r="U10" s="19">
        <v>0</v>
      </c>
      <c r="V10" s="19">
        <v>8</v>
      </c>
      <c r="W10" s="19">
        <v>3.63</v>
      </c>
      <c r="X10" s="19">
        <v>0</v>
      </c>
      <c r="Y10" s="20">
        <v>0</v>
      </c>
      <c r="Z10" s="19">
        <v>1</v>
      </c>
      <c r="AA10" s="19">
        <v>0</v>
      </c>
      <c r="AB10" t="str">
        <f>VLOOKUP(E:E,笔记匹配!A:N,3,FALSE)</f>
        <v>咩咩是杨景然</v>
      </c>
      <c r="AC10" t="str">
        <f>VLOOKUP(E:E,笔记匹配!A:N,2,FALSE)</f>
        <v>筋膜枪</v>
      </c>
      <c r="AD10" t="str">
        <f>VLOOKUP(E:E,笔记匹配!A:N,4,FALSE)</f>
        <v>云麦cc</v>
      </c>
      <c r="AE10" t="str">
        <f>VLOOKUP(E:E,笔记匹配!A:N,14,FALSE)</f>
        <v>云麦筋膜枪cc</v>
      </c>
      <c r="AF10" t="str">
        <f>VLOOKUP(E:E,笔记匹配!A:N,6,FALSE)</f>
        <v>减重8.5斤‼️跳绳后拉伸&amp;筋膜枪按摩不粗腿</v>
      </c>
    </row>
    <row r="11" spans="1:32">
      <c r="A11" s="18" t="s">
        <v>17</v>
      </c>
      <c r="B11" s="18" t="s">
        <v>657</v>
      </c>
      <c r="C11" s="19">
        <v>14438876</v>
      </c>
      <c r="D11" s="18" t="s">
        <v>209</v>
      </c>
      <c r="E11" s="18" t="s">
        <v>518</v>
      </c>
      <c r="F11" s="18" t="s">
        <v>1016</v>
      </c>
      <c r="G11" s="19">
        <v>2918813</v>
      </c>
      <c r="H11" s="18" t="s">
        <v>1016</v>
      </c>
      <c r="I11" s="19">
        <v>2325078</v>
      </c>
      <c r="J11" s="18" t="s">
        <v>1015</v>
      </c>
      <c r="K11" s="19">
        <v>185.55</v>
      </c>
      <c r="L11" s="19">
        <v>14319</v>
      </c>
      <c r="M11" s="19">
        <v>884</v>
      </c>
      <c r="N11" s="20">
        <v>0.0617</v>
      </c>
      <c r="O11" s="19">
        <v>0.21</v>
      </c>
      <c r="P11" s="19">
        <v>12.96</v>
      </c>
      <c r="Q11" s="19">
        <v>29</v>
      </c>
      <c r="R11" s="19">
        <v>1</v>
      </c>
      <c r="S11" s="19">
        <v>34</v>
      </c>
      <c r="T11" s="19">
        <v>9</v>
      </c>
      <c r="U11" s="19">
        <v>0</v>
      </c>
      <c r="V11" s="19">
        <v>73</v>
      </c>
      <c r="W11" s="19">
        <v>2.54</v>
      </c>
      <c r="X11" s="19">
        <v>0</v>
      </c>
      <c r="Y11" s="20">
        <v>0</v>
      </c>
      <c r="Z11" s="19">
        <v>2</v>
      </c>
      <c r="AA11" s="19">
        <v>1</v>
      </c>
      <c r="AB11" t="str">
        <f>VLOOKUP(E:E,笔记匹配!A:N,3,FALSE)</f>
        <v>我是铁核桃也是小百合</v>
      </c>
      <c r="AC11" t="str">
        <f>VLOOKUP(E:E,笔记匹配!A:N,2,FALSE)</f>
        <v>体脂秤</v>
      </c>
      <c r="AD11" t="str">
        <f>VLOOKUP(E:E,笔记匹配!A:N,4,FALSE)</f>
        <v>云麦体脂秤3</v>
      </c>
      <c r="AE11" t="str">
        <f>VLOOKUP(E:E,笔记匹配!A:N,14,FALSE)</f>
        <v>云麦体脂秤3</v>
      </c>
      <c r="AF11" t="str">
        <f>VLOOKUP(E:E,笔记匹配!A:N,6,FALSE)</f>
        <v>产后5大阶段恢复必做事‼️错过多花3年补‼️</v>
      </c>
    </row>
    <row r="12" spans="1:32">
      <c r="A12" s="18" t="s">
        <v>17</v>
      </c>
      <c r="B12" s="18" t="s">
        <v>664</v>
      </c>
      <c r="C12" s="19">
        <v>14438997</v>
      </c>
      <c r="D12" s="18" t="s">
        <v>209</v>
      </c>
      <c r="E12" s="18" t="s">
        <v>520</v>
      </c>
      <c r="F12" s="18" t="s">
        <v>1017</v>
      </c>
      <c r="G12" s="19">
        <v>2918831</v>
      </c>
      <c r="H12" s="18" t="s">
        <v>1017</v>
      </c>
      <c r="I12" s="19">
        <v>2325093</v>
      </c>
      <c r="J12" s="18" t="s">
        <v>1015</v>
      </c>
      <c r="K12" s="19">
        <v>70.78</v>
      </c>
      <c r="L12" s="19">
        <v>22799</v>
      </c>
      <c r="M12" s="19">
        <v>971</v>
      </c>
      <c r="N12" s="20">
        <v>0.0426</v>
      </c>
      <c r="O12" s="19">
        <v>0.07</v>
      </c>
      <c r="P12" s="19">
        <v>3.1</v>
      </c>
      <c r="Q12" s="19">
        <v>19</v>
      </c>
      <c r="R12" s="19">
        <v>0</v>
      </c>
      <c r="S12" s="19">
        <v>16</v>
      </c>
      <c r="T12" s="19">
        <v>0</v>
      </c>
      <c r="U12" s="19">
        <v>0</v>
      </c>
      <c r="V12" s="19">
        <v>35</v>
      </c>
      <c r="W12" s="19">
        <v>2.02</v>
      </c>
      <c r="X12" s="19">
        <v>0</v>
      </c>
      <c r="Y12" s="20">
        <v>0</v>
      </c>
      <c r="Z12" s="19">
        <v>0</v>
      </c>
      <c r="AA12" s="19">
        <v>7</v>
      </c>
      <c r="AB12" t="str">
        <f>VLOOKUP(E:E,笔记匹配!A:N,3,FALSE)</f>
        <v>沁儿你好哇</v>
      </c>
      <c r="AC12" t="str">
        <f>VLOOKUP(E:E,笔记匹配!A:N,2,FALSE)</f>
        <v>体脂秤</v>
      </c>
      <c r="AD12" t="str">
        <f>VLOOKUP(E:E,笔记匹配!A:N,4,FALSE)</f>
        <v>云麦体脂秤3mini</v>
      </c>
      <c r="AE12" t="str">
        <f>VLOOKUP(E:E,笔记匹配!A:N,14,FALSE)</f>
        <v>云麦体脂秤3mini</v>
      </c>
      <c r="AF12" t="str">
        <f>VLOOKUP(E:E,笔记匹配!A:N,6,FALSE)</f>
        <v>居家瘦肚子｜燃烧腹部脂肪紧致腰线get马甲线</v>
      </c>
    </row>
    <row r="13" spans="1:32">
      <c r="A13" s="18" t="s">
        <v>17</v>
      </c>
      <c r="B13" s="18" t="s">
        <v>646</v>
      </c>
      <c r="C13" s="19">
        <v>14439020</v>
      </c>
      <c r="D13" s="18" t="s">
        <v>209</v>
      </c>
      <c r="E13" s="18" t="s">
        <v>519</v>
      </c>
      <c r="F13" s="18" t="s">
        <v>1017</v>
      </c>
      <c r="G13" s="19">
        <v>2918831</v>
      </c>
      <c r="H13" s="18" t="s">
        <v>1017</v>
      </c>
      <c r="I13" s="19">
        <v>2325093</v>
      </c>
      <c r="J13" s="18" t="s">
        <v>1015</v>
      </c>
      <c r="K13" s="19">
        <v>299.54</v>
      </c>
      <c r="L13" s="19">
        <v>49719</v>
      </c>
      <c r="M13" s="19">
        <v>4014</v>
      </c>
      <c r="N13" s="20">
        <v>0.0807</v>
      </c>
      <c r="O13" s="19">
        <v>0.07</v>
      </c>
      <c r="P13" s="19">
        <v>6.02</v>
      </c>
      <c r="Q13" s="19">
        <v>70</v>
      </c>
      <c r="R13" s="19">
        <v>0</v>
      </c>
      <c r="S13" s="19">
        <v>76</v>
      </c>
      <c r="T13" s="19">
        <v>16</v>
      </c>
      <c r="U13" s="19">
        <v>3</v>
      </c>
      <c r="V13" s="19">
        <v>165</v>
      </c>
      <c r="W13" s="19">
        <v>1.82</v>
      </c>
      <c r="X13" s="19">
        <v>0</v>
      </c>
      <c r="Y13" s="20">
        <v>0</v>
      </c>
      <c r="Z13" s="19">
        <v>0</v>
      </c>
      <c r="AA13" s="19">
        <v>0</v>
      </c>
      <c r="AB13" t="str">
        <f>VLOOKUP(E:E,笔记匹配!A:N,3,FALSE)</f>
        <v>大敏敏的蜕变日记</v>
      </c>
      <c r="AC13" t="str">
        <f>VLOOKUP(E:E,笔记匹配!A:N,2,FALSE)</f>
        <v>体脂秤</v>
      </c>
      <c r="AD13" t="str">
        <f>VLOOKUP(E:E,笔记匹配!A:N,4,FALSE)</f>
        <v>云麦3mini</v>
      </c>
      <c r="AE13" t="str">
        <f>VLOOKUP(E:E,笔记匹配!A:N,14,FALSE)</f>
        <v>云麦体脂秤3mini</v>
      </c>
      <c r="AF13" t="str">
        <f>VLOOKUP(E:E,笔记匹配!A:N,6,FALSE)</f>
        <v>刘畊宏女孩的21天虐腹计划‼谁练谁瘦💪</v>
      </c>
    </row>
    <row r="14" spans="1:32">
      <c r="A14" s="18" t="s">
        <v>18</v>
      </c>
      <c r="B14" s="18" t="s">
        <v>661</v>
      </c>
      <c r="C14" s="19">
        <v>14438625</v>
      </c>
      <c r="D14" s="18" t="s">
        <v>209</v>
      </c>
      <c r="E14" s="18" t="s">
        <v>553</v>
      </c>
      <c r="F14" s="18" t="s">
        <v>1014</v>
      </c>
      <c r="G14" s="19">
        <v>2918793</v>
      </c>
      <c r="H14" s="18" t="s">
        <v>1014</v>
      </c>
      <c r="I14" s="19">
        <v>2325045</v>
      </c>
      <c r="J14" s="18" t="s">
        <v>1015</v>
      </c>
      <c r="K14" s="19">
        <v>227.84</v>
      </c>
      <c r="L14" s="19">
        <v>49012</v>
      </c>
      <c r="M14" s="19">
        <v>4515</v>
      </c>
      <c r="N14" s="20">
        <v>0.0921</v>
      </c>
      <c r="O14" s="19">
        <v>0.05</v>
      </c>
      <c r="P14" s="19">
        <v>4.65</v>
      </c>
      <c r="Q14" s="19">
        <v>105</v>
      </c>
      <c r="R14" s="19">
        <v>0</v>
      </c>
      <c r="S14" s="19">
        <v>62</v>
      </c>
      <c r="T14" s="19">
        <v>3</v>
      </c>
      <c r="U14" s="19">
        <v>2</v>
      </c>
      <c r="V14" s="19">
        <v>172</v>
      </c>
      <c r="W14" s="19">
        <v>1.32</v>
      </c>
      <c r="X14" s="19">
        <v>0</v>
      </c>
      <c r="Y14" s="20">
        <v>0</v>
      </c>
      <c r="Z14" s="19">
        <v>12</v>
      </c>
      <c r="AA14" s="19">
        <v>18</v>
      </c>
      <c r="AB14" t="str">
        <f>VLOOKUP(E:E,笔记匹配!A:N,3,FALSE)</f>
        <v>圆又圆超爱笑</v>
      </c>
      <c r="AC14" t="str">
        <f>VLOOKUP(E:E,笔记匹配!A:N,2,FALSE)</f>
        <v>筋膜枪</v>
      </c>
      <c r="AD14" t="str">
        <f>VLOOKUP(E:E,笔记匹配!A:N,4,FALSE)</f>
        <v>云麦筋膜枪cc</v>
      </c>
      <c r="AE14" t="str">
        <f>VLOOKUP(E:E,笔记匹配!A:N,14,FALSE)</f>
        <v>云麦筋膜枪cc</v>
      </c>
      <c r="AF14" t="str">
        <f>VLOOKUP(E:E,笔记匹配!A:N,6,FALSE)</f>
        <v>大二女生梨形粗腿逆袭✨这3步带你优化腿型</v>
      </c>
    </row>
    <row r="15" spans="1:32">
      <c r="A15" s="18" t="s">
        <v>18</v>
      </c>
      <c r="B15" s="18" t="s">
        <v>654</v>
      </c>
      <c r="C15" s="19">
        <v>14438656</v>
      </c>
      <c r="D15" s="18" t="s">
        <v>209</v>
      </c>
      <c r="E15" s="18" t="s">
        <v>444</v>
      </c>
      <c r="F15" s="18" t="s">
        <v>1014</v>
      </c>
      <c r="G15" s="19">
        <v>2918793</v>
      </c>
      <c r="H15" s="18" t="s">
        <v>1014</v>
      </c>
      <c r="I15" s="19">
        <v>2325045</v>
      </c>
      <c r="J15" s="18" t="s">
        <v>1015</v>
      </c>
      <c r="K15" s="19">
        <v>46.98</v>
      </c>
      <c r="L15" s="19">
        <v>9110</v>
      </c>
      <c r="M15" s="19">
        <v>1008</v>
      </c>
      <c r="N15" s="20">
        <v>0.1106</v>
      </c>
      <c r="O15" s="19">
        <v>0.05</v>
      </c>
      <c r="P15" s="19">
        <v>5.16</v>
      </c>
      <c r="Q15" s="19">
        <v>8</v>
      </c>
      <c r="R15" s="19">
        <v>0</v>
      </c>
      <c r="S15" s="19">
        <v>6</v>
      </c>
      <c r="T15" s="19">
        <v>1</v>
      </c>
      <c r="U15" s="19">
        <v>1</v>
      </c>
      <c r="V15" s="19">
        <v>16</v>
      </c>
      <c r="W15" s="19">
        <v>2.94</v>
      </c>
      <c r="X15" s="19">
        <v>0</v>
      </c>
      <c r="Y15" s="20">
        <v>0</v>
      </c>
      <c r="Z15" s="19">
        <v>0</v>
      </c>
      <c r="AA15" s="19">
        <v>4</v>
      </c>
      <c r="AB15" t="str">
        <f>VLOOKUP(E:E,笔记匹配!A:N,3,FALSE)</f>
        <v>Sophia大大</v>
      </c>
      <c r="AC15" t="str">
        <f>VLOOKUP(E:E,笔记匹配!A:N,2,FALSE)</f>
        <v>筋膜枪</v>
      </c>
      <c r="AD15" t="str">
        <f>VLOOKUP(E:E,笔记匹配!A:N,4,FALSE)</f>
        <v>云麦cc</v>
      </c>
      <c r="AE15" t="str">
        <f>VLOOKUP(E:E,笔记匹配!A:N,14,FALSE)</f>
        <v>云麦筋膜枪cc</v>
      </c>
      <c r="AF15" t="str">
        <f>VLOOKUP(E:E,笔记匹配!A:N,6,FALSE)</f>
        <v>162 46|我悟了！翘臀不粗腿的训练方法!</v>
      </c>
    </row>
    <row r="16" spans="1:32">
      <c r="A16" s="18" t="s">
        <v>18</v>
      </c>
      <c r="B16" s="18" t="s">
        <v>657</v>
      </c>
      <c r="C16" s="19">
        <v>14438876</v>
      </c>
      <c r="D16" s="18" t="s">
        <v>209</v>
      </c>
      <c r="E16" s="18" t="s">
        <v>518</v>
      </c>
      <c r="F16" s="18" t="s">
        <v>1016</v>
      </c>
      <c r="G16" s="19">
        <v>2918813</v>
      </c>
      <c r="H16" s="18" t="s">
        <v>1016</v>
      </c>
      <c r="I16" s="19">
        <v>2325078</v>
      </c>
      <c r="J16" s="18" t="s">
        <v>1015</v>
      </c>
      <c r="K16" s="19">
        <v>92.83</v>
      </c>
      <c r="L16" s="19">
        <v>7872</v>
      </c>
      <c r="M16" s="19">
        <v>490</v>
      </c>
      <c r="N16" s="20">
        <v>0.0622</v>
      </c>
      <c r="O16" s="19">
        <v>0.19</v>
      </c>
      <c r="P16" s="19">
        <v>11.79</v>
      </c>
      <c r="Q16" s="19">
        <v>14</v>
      </c>
      <c r="R16" s="19">
        <v>2</v>
      </c>
      <c r="S16" s="19">
        <v>24</v>
      </c>
      <c r="T16" s="19">
        <v>12</v>
      </c>
      <c r="U16" s="19">
        <v>3</v>
      </c>
      <c r="V16" s="19">
        <v>55</v>
      </c>
      <c r="W16" s="19">
        <v>1.69</v>
      </c>
      <c r="X16" s="19">
        <v>0</v>
      </c>
      <c r="Y16" s="20">
        <v>0</v>
      </c>
      <c r="Z16" s="19">
        <v>2</v>
      </c>
      <c r="AA16" s="19">
        <v>1</v>
      </c>
      <c r="AB16" t="str">
        <f>VLOOKUP(E:E,笔记匹配!A:N,3,FALSE)</f>
        <v>我是铁核桃也是小百合</v>
      </c>
      <c r="AC16" t="str">
        <f>VLOOKUP(E:E,笔记匹配!A:N,2,FALSE)</f>
        <v>体脂秤</v>
      </c>
      <c r="AD16" t="str">
        <f>VLOOKUP(E:E,笔记匹配!A:N,4,FALSE)</f>
        <v>云麦体脂秤3</v>
      </c>
      <c r="AE16" t="str">
        <f>VLOOKUP(E:E,笔记匹配!A:N,14,FALSE)</f>
        <v>云麦体脂秤3</v>
      </c>
      <c r="AF16" t="str">
        <f>VLOOKUP(E:E,笔记匹配!A:N,6,FALSE)</f>
        <v>产后5大阶段恢复必做事‼️错过多花3年补‼️</v>
      </c>
    </row>
    <row r="17" spans="1:32">
      <c r="A17" s="18" t="s">
        <v>18</v>
      </c>
      <c r="B17" s="18" t="s">
        <v>664</v>
      </c>
      <c r="C17" s="19">
        <v>14438997</v>
      </c>
      <c r="D17" s="18" t="s">
        <v>209</v>
      </c>
      <c r="E17" s="18" t="s">
        <v>520</v>
      </c>
      <c r="F17" s="18" t="s">
        <v>1017</v>
      </c>
      <c r="G17" s="19">
        <v>2918831</v>
      </c>
      <c r="H17" s="18" t="s">
        <v>1017</v>
      </c>
      <c r="I17" s="19">
        <v>2325093</v>
      </c>
      <c r="J17" s="18" t="s">
        <v>1015</v>
      </c>
      <c r="K17" s="19">
        <v>8.96</v>
      </c>
      <c r="L17" s="19">
        <v>1103</v>
      </c>
      <c r="M17" s="19">
        <v>83</v>
      </c>
      <c r="N17" s="20">
        <v>0.0752</v>
      </c>
      <c r="O17" s="19">
        <v>0.11</v>
      </c>
      <c r="P17" s="19">
        <v>8.12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20">
        <v>0</v>
      </c>
      <c r="Z17" s="19">
        <v>0</v>
      </c>
      <c r="AA17" s="19">
        <v>0</v>
      </c>
      <c r="AB17" t="str">
        <f>VLOOKUP(E:E,笔记匹配!A:N,3,FALSE)</f>
        <v>沁儿你好哇</v>
      </c>
      <c r="AC17" t="str">
        <f>VLOOKUP(E:E,笔记匹配!A:N,2,FALSE)</f>
        <v>体脂秤</v>
      </c>
      <c r="AD17" t="str">
        <f>VLOOKUP(E:E,笔记匹配!A:N,4,FALSE)</f>
        <v>云麦体脂秤3mini</v>
      </c>
      <c r="AE17" t="str">
        <f>VLOOKUP(E:E,笔记匹配!A:N,14,FALSE)</f>
        <v>云麦体脂秤3mini</v>
      </c>
      <c r="AF17" t="str">
        <f>VLOOKUP(E:E,笔记匹配!A:N,6,FALSE)</f>
        <v>居家瘦肚子｜燃烧腹部脂肪紧致腰线get马甲线</v>
      </c>
    </row>
    <row r="18" spans="1:32">
      <c r="A18" s="18" t="s">
        <v>18</v>
      </c>
      <c r="B18" s="18" t="s">
        <v>646</v>
      </c>
      <c r="C18" s="19">
        <v>14439020</v>
      </c>
      <c r="D18" s="18" t="s">
        <v>209</v>
      </c>
      <c r="E18" s="18" t="s">
        <v>519</v>
      </c>
      <c r="F18" s="18" t="s">
        <v>1017</v>
      </c>
      <c r="G18" s="19">
        <v>2918831</v>
      </c>
      <c r="H18" s="18" t="s">
        <v>1017</v>
      </c>
      <c r="I18" s="19">
        <v>2325093</v>
      </c>
      <c r="J18" s="18" t="s">
        <v>1015</v>
      </c>
      <c r="K18" s="19">
        <v>174.01</v>
      </c>
      <c r="L18" s="19">
        <v>28089</v>
      </c>
      <c r="M18" s="19">
        <v>2490</v>
      </c>
      <c r="N18" s="20">
        <v>0.0886</v>
      </c>
      <c r="O18" s="19">
        <v>0.07</v>
      </c>
      <c r="P18" s="19">
        <v>6.19</v>
      </c>
      <c r="Q18" s="19">
        <v>47</v>
      </c>
      <c r="R18" s="19">
        <v>0</v>
      </c>
      <c r="S18" s="19">
        <v>45</v>
      </c>
      <c r="T18" s="19">
        <v>8</v>
      </c>
      <c r="U18" s="19">
        <v>4</v>
      </c>
      <c r="V18" s="19">
        <v>104</v>
      </c>
      <c r="W18" s="19">
        <v>1.67</v>
      </c>
      <c r="X18" s="19">
        <v>2</v>
      </c>
      <c r="Y18" s="20">
        <v>0.0008</v>
      </c>
      <c r="Z18" s="19">
        <v>0</v>
      </c>
      <c r="AA18" s="19">
        <v>0</v>
      </c>
      <c r="AB18" t="str">
        <f>VLOOKUP(E:E,笔记匹配!A:N,3,FALSE)</f>
        <v>大敏敏的蜕变日记</v>
      </c>
      <c r="AC18" t="str">
        <f>VLOOKUP(E:E,笔记匹配!A:N,2,FALSE)</f>
        <v>体脂秤</v>
      </c>
      <c r="AD18" t="str">
        <f>VLOOKUP(E:E,笔记匹配!A:N,4,FALSE)</f>
        <v>云麦3mini</v>
      </c>
      <c r="AE18" t="str">
        <f>VLOOKUP(E:E,笔记匹配!A:N,14,FALSE)</f>
        <v>云麦体脂秤3mini</v>
      </c>
      <c r="AF18" t="str">
        <f>VLOOKUP(E:E,笔记匹配!A:N,6,FALSE)</f>
        <v>刘畊宏女孩的21天虐腹计划‼谁练谁瘦💪</v>
      </c>
    </row>
    <row r="19" spans="1:32">
      <c r="A19" s="18" t="s">
        <v>19</v>
      </c>
      <c r="B19" s="18" t="s">
        <v>661</v>
      </c>
      <c r="C19" s="19">
        <v>14438625</v>
      </c>
      <c r="D19" s="18" t="s">
        <v>209</v>
      </c>
      <c r="E19" s="18" t="s">
        <v>553</v>
      </c>
      <c r="F19" s="18" t="s">
        <v>1014</v>
      </c>
      <c r="G19" s="19">
        <v>2918793</v>
      </c>
      <c r="H19" s="18" t="s">
        <v>1014</v>
      </c>
      <c r="I19" s="19">
        <v>2325045</v>
      </c>
      <c r="J19" s="18" t="s">
        <v>1015</v>
      </c>
      <c r="K19" s="19">
        <v>276.55</v>
      </c>
      <c r="L19" s="19">
        <v>34344</v>
      </c>
      <c r="M19" s="19">
        <v>3433</v>
      </c>
      <c r="N19" s="20">
        <v>0.1</v>
      </c>
      <c r="O19" s="19">
        <v>0.08</v>
      </c>
      <c r="P19" s="19">
        <v>8.05</v>
      </c>
      <c r="Q19" s="19">
        <v>85</v>
      </c>
      <c r="R19" s="19">
        <v>0</v>
      </c>
      <c r="S19" s="19">
        <v>37</v>
      </c>
      <c r="T19" s="19">
        <v>0</v>
      </c>
      <c r="U19" s="19">
        <v>1</v>
      </c>
      <c r="V19" s="19">
        <v>123</v>
      </c>
      <c r="W19" s="19">
        <v>2.25</v>
      </c>
      <c r="X19" s="19">
        <v>0</v>
      </c>
      <c r="Y19" s="20">
        <v>0</v>
      </c>
      <c r="Z19" s="19">
        <v>9</v>
      </c>
      <c r="AA19" s="19">
        <v>28</v>
      </c>
      <c r="AB19" t="str">
        <f>VLOOKUP(E:E,笔记匹配!A:N,3,FALSE)</f>
        <v>圆又圆超爱笑</v>
      </c>
      <c r="AC19" t="str">
        <f>VLOOKUP(E:E,笔记匹配!A:N,2,FALSE)</f>
        <v>筋膜枪</v>
      </c>
      <c r="AD19" t="str">
        <f>VLOOKUP(E:E,笔记匹配!A:N,4,FALSE)</f>
        <v>云麦筋膜枪cc</v>
      </c>
      <c r="AE19" t="str">
        <f>VLOOKUP(E:E,笔记匹配!A:N,14,FALSE)</f>
        <v>云麦筋膜枪cc</v>
      </c>
      <c r="AF19" t="str">
        <f>VLOOKUP(E:E,笔记匹配!A:N,6,FALSE)</f>
        <v>大二女生梨形粗腿逆袭✨这3步带你优化腿型</v>
      </c>
    </row>
    <row r="20" spans="1:32">
      <c r="A20" s="18" t="s">
        <v>19</v>
      </c>
      <c r="B20" s="18" t="s">
        <v>654</v>
      </c>
      <c r="C20" s="19">
        <v>14438656</v>
      </c>
      <c r="D20" s="18" t="s">
        <v>209</v>
      </c>
      <c r="E20" s="18" t="s">
        <v>444</v>
      </c>
      <c r="F20" s="18" t="s">
        <v>1014</v>
      </c>
      <c r="G20" s="19">
        <v>2918793</v>
      </c>
      <c r="H20" s="18" t="s">
        <v>1014</v>
      </c>
      <c r="I20" s="19">
        <v>2325045</v>
      </c>
      <c r="J20" s="18" t="s">
        <v>1015</v>
      </c>
      <c r="K20" s="19">
        <v>83.45</v>
      </c>
      <c r="L20" s="19">
        <v>10872</v>
      </c>
      <c r="M20" s="19">
        <v>1181</v>
      </c>
      <c r="N20" s="20">
        <v>0.1086</v>
      </c>
      <c r="O20" s="19">
        <v>0.07</v>
      </c>
      <c r="P20" s="19">
        <v>7.68</v>
      </c>
      <c r="Q20" s="19">
        <v>16</v>
      </c>
      <c r="R20" s="19">
        <v>0</v>
      </c>
      <c r="S20" s="19">
        <v>19</v>
      </c>
      <c r="T20" s="19">
        <v>1</v>
      </c>
      <c r="U20" s="19">
        <v>1</v>
      </c>
      <c r="V20" s="19">
        <v>37</v>
      </c>
      <c r="W20" s="19">
        <v>2.26</v>
      </c>
      <c r="X20" s="19">
        <v>0</v>
      </c>
      <c r="Y20" s="20">
        <v>0</v>
      </c>
      <c r="Z20" s="19">
        <v>5</v>
      </c>
      <c r="AA20" s="19">
        <v>9</v>
      </c>
      <c r="AB20" t="str">
        <f>VLOOKUP(E:E,笔记匹配!A:N,3,FALSE)</f>
        <v>Sophia大大</v>
      </c>
      <c r="AC20" t="str">
        <f>VLOOKUP(E:E,笔记匹配!A:N,2,FALSE)</f>
        <v>筋膜枪</v>
      </c>
      <c r="AD20" t="str">
        <f>VLOOKUP(E:E,笔记匹配!A:N,4,FALSE)</f>
        <v>云麦cc</v>
      </c>
      <c r="AE20" t="str">
        <f>VLOOKUP(E:E,笔记匹配!A:N,14,FALSE)</f>
        <v>云麦筋膜枪cc</v>
      </c>
      <c r="AF20" t="str">
        <f>VLOOKUP(E:E,笔记匹配!A:N,6,FALSE)</f>
        <v>162 46|我悟了！翘臀不粗腿的训练方法!</v>
      </c>
    </row>
    <row r="21" spans="1:32">
      <c r="A21" s="18" t="s">
        <v>19</v>
      </c>
      <c r="B21" s="18" t="s">
        <v>657</v>
      </c>
      <c r="C21" s="19">
        <v>14438876</v>
      </c>
      <c r="D21" s="18" t="s">
        <v>209</v>
      </c>
      <c r="E21" s="18" t="s">
        <v>518</v>
      </c>
      <c r="F21" s="18" t="s">
        <v>1016</v>
      </c>
      <c r="G21" s="19">
        <v>2918813</v>
      </c>
      <c r="H21" s="18" t="s">
        <v>1016</v>
      </c>
      <c r="I21" s="19">
        <v>2325078</v>
      </c>
      <c r="J21" s="18" t="s">
        <v>1015</v>
      </c>
      <c r="K21" s="19">
        <v>68.05</v>
      </c>
      <c r="L21" s="19">
        <v>4108</v>
      </c>
      <c r="M21" s="19">
        <v>272</v>
      </c>
      <c r="N21" s="20">
        <v>0.0662</v>
      </c>
      <c r="O21" s="19">
        <v>0.25</v>
      </c>
      <c r="P21" s="19">
        <v>16.57</v>
      </c>
      <c r="Q21" s="19">
        <v>14</v>
      </c>
      <c r="R21" s="19">
        <v>0</v>
      </c>
      <c r="S21" s="19">
        <v>19</v>
      </c>
      <c r="T21" s="19">
        <v>10</v>
      </c>
      <c r="U21" s="19">
        <v>0</v>
      </c>
      <c r="V21" s="19">
        <v>43</v>
      </c>
      <c r="W21" s="19">
        <v>1.58</v>
      </c>
      <c r="X21" s="19">
        <v>0</v>
      </c>
      <c r="Y21" s="20">
        <v>0</v>
      </c>
      <c r="Z21" s="19">
        <v>0</v>
      </c>
      <c r="AA21" s="19">
        <v>0</v>
      </c>
      <c r="AB21" t="str">
        <f>VLOOKUP(E:E,笔记匹配!A:N,3,FALSE)</f>
        <v>我是铁核桃也是小百合</v>
      </c>
      <c r="AC21" t="str">
        <f>VLOOKUP(E:E,笔记匹配!A:N,2,FALSE)</f>
        <v>体脂秤</v>
      </c>
      <c r="AD21" t="str">
        <f>VLOOKUP(E:E,笔记匹配!A:N,4,FALSE)</f>
        <v>云麦体脂秤3</v>
      </c>
      <c r="AE21" t="str">
        <f>VLOOKUP(E:E,笔记匹配!A:N,14,FALSE)</f>
        <v>云麦体脂秤3</v>
      </c>
      <c r="AF21" t="str">
        <f>VLOOKUP(E:E,笔记匹配!A:N,6,FALSE)</f>
        <v>产后5大阶段恢复必做事‼️错过多花3年补‼️</v>
      </c>
    </row>
    <row r="22" spans="1:32">
      <c r="A22" s="18" t="s">
        <v>19</v>
      </c>
      <c r="B22" s="18" t="s">
        <v>664</v>
      </c>
      <c r="C22" s="19">
        <v>14438997</v>
      </c>
      <c r="D22" s="18" t="s">
        <v>209</v>
      </c>
      <c r="E22" s="18" t="s">
        <v>520</v>
      </c>
      <c r="F22" s="18" t="s">
        <v>1017</v>
      </c>
      <c r="G22" s="19">
        <v>2918831</v>
      </c>
      <c r="H22" s="18" t="s">
        <v>1017</v>
      </c>
      <c r="I22" s="19">
        <v>2325093</v>
      </c>
      <c r="J22" s="18" t="s">
        <v>1015</v>
      </c>
      <c r="K22" s="19">
        <v>2.34</v>
      </c>
      <c r="L22" s="19">
        <v>469</v>
      </c>
      <c r="M22" s="19">
        <v>33</v>
      </c>
      <c r="N22" s="20">
        <v>0.0704</v>
      </c>
      <c r="O22" s="19">
        <v>0.07</v>
      </c>
      <c r="P22" s="19">
        <v>4.99</v>
      </c>
      <c r="Q22" s="19">
        <v>1</v>
      </c>
      <c r="R22" s="19">
        <v>0</v>
      </c>
      <c r="S22" s="19">
        <v>0</v>
      </c>
      <c r="T22" s="19">
        <v>0</v>
      </c>
      <c r="U22" s="19">
        <v>0</v>
      </c>
      <c r="V22" s="19">
        <v>1</v>
      </c>
      <c r="W22" s="19">
        <v>2.34</v>
      </c>
      <c r="X22" s="19">
        <v>0</v>
      </c>
      <c r="Y22" s="20">
        <v>0</v>
      </c>
      <c r="Z22" s="19">
        <v>0</v>
      </c>
      <c r="AA22" s="19">
        <v>0</v>
      </c>
      <c r="AB22" t="str">
        <f>VLOOKUP(E:E,笔记匹配!A:N,3,FALSE)</f>
        <v>沁儿你好哇</v>
      </c>
      <c r="AC22" t="str">
        <f>VLOOKUP(E:E,笔记匹配!A:N,2,FALSE)</f>
        <v>体脂秤</v>
      </c>
      <c r="AD22" t="str">
        <f>VLOOKUP(E:E,笔记匹配!A:N,4,FALSE)</f>
        <v>云麦体脂秤3mini</v>
      </c>
      <c r="AE22" t="str">
        <f>VLOOKUP(E:E,笔记匹配!A:N,14,FALSE)</f>
        <v>云麦体脂秤3mini</v>
      </c>
      <c r="AF22" t="str">
        <f>VLOOKUP(E:E,笔记匹配!A:N,6,FALSE)</f>
        <v>居家瘦肚子｜燃烧腹部脂肪紧致腰线get马甲线</v>
      </c>
    </row>
    <row r="23" spans="1:32">
      <c r="A23" s="18" t="s">
        <v>19</v>
      </c>
      <c r="B23" s="18" t="s">
        <v>646</v>
      </c>
      <c r="C23" s="19">
        <v>14439020</v>
      </c>
      <c r="D23" s="18" t="s">
        <v>209</v>
      </c>
      <c r="E23" s="18" t="s">
        <v>519</v>
      </c>
      <c r="F23" s="18" t="s">
        <v>1017</v>
      </c>
      <c r="G23" s="19">
        <v>2918831</v>
      </c>
      <c r="H23" s="18" t="s">
        <v>1017</v>
      </c>
      <c r="I23" s="19">
        <v>2325093</v>
      </c>
      <c r="J23" s="18" t="s">
        <v>1015</v>
      </c>
      <c r="K23" s="19">
        <v>154.07</v>
      </c>
      <c r="L23" s="19">
        <v>25905</v>
      </c>
      <c r="M23" s="19">
        <v>2347</v>
      </c>
      <c r="N23" s="20">
        <v>0.0906</v>
      </c>
      <c r="O23" s="19">
        <v>0.07</v>
      </c>
      <c r="P23" s="19">
        <v>5.95</v>
      </c>
      <c r="Q23" s="19">
        <v>46</v>
      </c>
      <c r="R23" s="19">
        <v>1</v>
      </c>
      <c r="S23" s="19">
        <v>42</v>
      </c>
      <c r="T23" s="19">
        <v>5</v>
      </c>
      <c r="U23" s="19">
        <v>4</v>
      </c>
      <c r="V23" s="19">
        <v>98</v>
      </c>
      <c r="W23" s="19">
        <v>1.57</v>
      </c>
      <c r="X23" s="19">
        <v>0</v>
      </c>
      <c r="Y23" s="20">
        <v>0</v>
      </c>
      <c r="Z23" s="19">
        <v>0</v>
      </c>
      <c r="AA23" s="19">
        <v>0</v>
      </c>
      <c r="AB23" t="str">
        <f>VLOOKUP(E:E,笔记匹配!A:N,3,FALSE)</f>
        <v>大敏敏的蜕变日记</v>
      </c>
      <c r="AC23" t="str">
        <f>VLOOKUP(E:E,笔记匹配!A:N,2,FALSE)</f>
        <v>体脂秤</v>
      </c>
      <c r="AD23" t="str">
        <f>VLOOKUP(E:E,笔记匹配!A:N,4,FALSE)</f>
        <v>云麦3mini</v>
      </c>
      <c r="AE23" t="str">
        <f>VLOOKUP(E:E,笔记匹配!A:N,14,FALSE)</f>
        <v>云麦体脂秤3mini</v>
      </c>
      <c r="AF23" t="str">
        <f>VLOOKUP(E:E,笔记匹配!A:N,6,FALSE)</f>
        <v>刘畊宏女孩的21天虐腹计划‼谁练谁瘦💪</v>
      </c>
    </row>
    <row r="24" spans="1:32">
      <c r="A24" s="18" t="s">
        <v>20</v>
      </c>
      <c r="B24" s="18" t="s">
        <v>661</v>
      </c>
      <c r="C24" s="19">
        <v>14438625</v>
      </c>
      <c r="D24" s="18" t="s">
        <v>209</v>
      </c>
      <c r="E24" s="18" t="s">
        <v>553</v>
      </c>
      <c r="F24" s="18" t="s">
        <v>1014</v>
      </c>
      <c r="G24" s="19">
        <v>2918793</v>
      </c>
      <c r="H24" s="18" t="s">
        <v>1014</v>
      </c>
      <c r="I24" s="19">
        <v>2325045</v>
      </c>
      <c r="J24" s="18" t="s">
        <v>1015</v>
      </c>
      <c r="K24" s="19">
        <v>113.01</v>
      </c>
      <c r="L24" s="19">
        <v>25538</v>
      </c>
      <c r="M24" s="19">
        <v>2419</v>
      </c>
      <c r="N24" s="20">
        <v>0.0947</v>
      </c>
      <c r="O24" s="19">
        <v>0.05</v>
      </c>
      <c r="P24" s="19">
        <v>4.43</v>
      </c>
      <c r="Q24" s="19">
        <v>50</v>
      </c>
      <c r="R24" s="19">
        <v>0</v>
      </c>
      <c r="S24" s="19">
        <v>44</v>
      </c>
      <c r="T24" s="19">
        <v>3</v>
      </c>
      <c r="U24" s="19">
        <v>1</v>
      </c>
      <c r="V24" s="19">
        <v>98</v>
      </c>
      <c r="W24" s="19">
        <v>1.15</v>
      </c>
      <c r="X24" s="19">
        <v>0</v>
      </c>
      <c r="Y24" s="20">
        <v>0</v>
      </c>
      <c r="Z24" s="19">
        <v>7</v>
      </c>
      <c r="AA24" s="19">
        <v>11</v>
      </c>
      <c r="AB24" t="str">
        <f>VLOOKUP(E:E,笔记匹配!A:N,3,FALSE)</f>
        <v>圆又圆超爱笑</v>
      </c>
      <c r="AC24" t="str">
        <f>VLOOKUP(E:E,笔记匹配!A:N,2,FALSE)</f>
        <v>筋膜枪</v>
      </c>
      <c r="AD24" t="str">
        <f>VLOOKUP(E:E,笔记匹配!A:N,4,FALSE)</f>
        <v>云麦筋膜枪cc</v>
      </c>
      <c r="AE24" t="str">
        <f>VLOOKUP(E:E,笔记匹配!A:N,14,FALSE)</f>
        <v>云麦筋膜枪cc</v>
      </c>
      <c r="AF24" t="str">
        <f>VLOOKUP(E:E,笔记匹配!A:N,6,FALSE)</f>
        <v>大二女生梨形粗腿逆袭✨这3步带你优化腿型</v>
      </c>
    </row>
    <row r="25" spans="1:32">
      <c r="A25" s="18" t="s">
        <v>20</v>
      </c>
      <c r="B25" s="18" t="s">
        <v>654</v>
      </c>
      <c r="C25" s="19">
        <v>14438656</v>
      </c>
      <c r="D25" s="18" t="s">
        <v>209</v>
      </c>
      <c r="E25" s="18" t="s">
        <v>444</v>
      </c>
      <c r="F25" s="18" t="s">
        <v>1014</v>
      </c>
      <c r="G25" s="19">
        <v>2918793</v>
      </c>
      <c r="H25" s="18" t="s">
        <v>1014</v>
      </c>
      <c r="I25" s="19">
        <v>2325045</v>
      </c>
      <c r="J25" s="18" t="s">
        <v>1015</v>
      </c>
      <c r="K25" s="19">
        <v>31.85</v>
      </c>
      <c r="L25" s="19">
        <v>6178</v>
      </c>
      <c r="M25" s="19">
        <v>722</v>
      </c>
      <c r="N25" s="20">
        <v>0.1169</v>
      </c>
      <c r="O25" s="19">
        <v>0.04</v>
      </c>
      <c r="P25" s="19">
        <v>5.16</v>
      </c>
      <c r="Q25" s="19">
        <v>7</v>
      </c>
      <c r="R25" s="19">
        <v>1</v>
      </c>
      <c r="S25" s="19">
        <v>4</v>
      </c>
      <c r="T25" s="19">
        <v>2</v>
      </c>
      <c r="U25" s="19">
        <v>0</v>
      </c>
      <c r="V25" s="19">
        <v>14</v>
      </c>
      <c r="W25" s="19">
        <v>2.28</v>
      </c>
      <c r="X25" s="19">
        <v>0</v>
      </c>
      <c r="Y25" s="20">
        <v>0</v>
      </c>
      <c r="Z25" s="19">
        <v>0</v>
      </c>
      <c r="AA25" s="19">
        <v>5</v>
      </c>
      <c r="AB25" t="str">
        <f>VLOOKUP(E:E,笔记匹配!A:N,3,FALSE)</f>
        <v>Sophia大大</v>
      </c>
      <c r="AC25" t="str">
        <f>VLOOKUP(E:E,笔记匹配!A:N,2,FALSE)</f>
        <v>筋膜枪</v>
      </c>
      <c r="AD25" t="str">
        <f>VLOOKUP(E:E,笔记匹配!A:N,4,FALSE)</f>
        <v>云麦cc</v>
      </c>
      <c r="AE25" t="str">
        <f>VLOOKUP(E:E,笔记匹配!A:N,14,FALSE)</f>
        <v>云麦筋膜枪cc</v>
      </c>
      <c r="AF25" t="str">
        <f>VLOOKUP(E:E,笔记匹配!A:N,6,FALSE)</f>
        <v>162 46|我悟了！翘臀不粗腿的训练方法!</v>
      </c>
    </row>
    <row r="26" spans="1:32">
      <c r="A26" s="18" t="s">
        <v>20</v>
      </c>
      <c r="B26" s="18" t="s">
        <v>657</v>
      </c>
      <c r="C26" s="19">
        <v>14438876</v>
      </c>
      <c r="D26" s="18" t="s">
        <v>209</v>
      </c>
      <c r="E26" s="18" t="s">
        <v>518</v>
      </c>
      <c r="F26" s="18" t="s">
        <v>1016</v>
      </c>
      <c r="G26" s="19">
        <v>2918813</v>
      </c>
      <c r="H26" s="18" t="s">
        <v>1016</v>
      </c>
      <c r="I26" s="19">
        <v>2325078</v>
      </c>
      <c r="J26" s="18" t="s">
        <v>1015</v>
      </c>
      <c r="K26" s="19">
        <v>16.87</v>
      </c>
      <c r="L26" s="19">
        <v>1360</v>
      </c>
      <c r="M26" s="19">
        <v>83</v>
      </c>
      <c r="N26" s="20">
        <v>0.061</v>
      </c>
      <c r="O26" s="19">
        <v>0.2</v>
      </c>
      <c r="P26" s="19">
        <v>12.4</v>
      </c>
      <c r="Q26" s="19">
        <v>6</v>
      </c>
      <c r="R26" s="19">
        <v>0</v>
      </c>
      <c r="S26" s="19">
        <v>5</v>
      </c>
      <c r="T26" s="19">
        <v>5</v>
      </c>
      <c r="U26" s="19">
        <v>2</v>
      </c>
      <c r="V26" s="19">
        <v>18</v>
      </c>
      <c r="W26" s="19">
        <v>0.94</v>
      </c>
      <c r="X26" s="19">
        <v>0</v>
      </c>
      <c r="Y26" s="20">
        <v>0</v>
      </c>
      <c r="Z26" s="19">
        <v>0</v>
      </c>
      <c r="AA26" s="19">
        <v>0</v>
      </c>
      <c r="AB26" t="str">
        <f>VLOOKUP(E:E,笔记匹配!A:N,3,FALSE)</f>
        <v>我是铁核桃也是小百合</v>
      </c>
      <c r="AC26" t="str">
        <f>VLOOKUP(E:E,笔记匹配!A:N,2,FALSE)</f>
        <v>体脂秤</v>
      </c>
      <c r="AD26" t="str">
        <f>VLOOKUP(E:E,笔记匹配!A:N,4,FALSE)</f>
        <v>云麦体脂秤3</v>
      </c>
      <c r="AE26" t="str">
        <f>VLOOKUP(E:E,笔记匹配!A:N,14,FALSE)</f>
        <v>云麦体脂秤3</v>
      </c>
      <c r="AF26" t="str">
        <f>VLOOKUP(E:E,笔记匹配!A:N,6,FALSE)</f>
        <v>产后5大阶段恢复必做事‼️错过多花3年补‼️</v>
      </c>
    </row>
    <row r="27" spans="1:32">
      <c r="A27" s="18" t="s">
        <v>20</v>
      </c>
      <c r="B27" s="18" t="s">
        <v>664</v>
      </c>
      <c r="C27" s="19">
        <v>14438997</v>
      </c>
      <c r="D27" s="18" t="s">
        <v>209</v>
      </c>
      <c r="E27" s="18" t="s">
        <v>520</v>
      </c>
      <c r="F27" s="18" t="s">
        <v>1017</v>
      </c>
      <c r="G27" s="19">
        <v>2918831</v>
      </c>
      <c r="H27" s="18" t="s">
        <v>1017</v>
      </c>
      <c r="I27" s="19">
        <v>2325093</v>
      </c>
      <c r="J27" s="18" t="s">
        <v>1015</v>
      </c>
      <c r="K27" s="19">
        <v>0.71</v>
      </c>
      <c r="L27" s="19">
        <v>198</v>
      </c>
      <c r="M27" s="19">
        <v>11</v>
      </c>
      <c r="N27" s="20">
        <v>0.0556</v>
      </c>
      <c r="O27" s="19">
        <v>0.06</v>
      </c>
      <c r="P27" s="19">
        <v>3.59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20">
        <v>0</v>
      </c>
      <c r="Z27" s="19">
        <v>0</v>
      </c>
      <c r="AA27" s="19">
        <v>0</v>
      </c>
      <c r="AB27" t="str">
        <f>VLOOKUP(E:E,笔记匹配!A:N,3,FALSE)</f>
        <v>沁儿你好哇</v>
      </c>
      <c r="AC27" t="str">
        <f>VLOOKUP(E:E,笔记匹配!A:N,2,FALSE)</f>
        <v>体脂秤</v>
      </c>
      <c r="AD27" t="str">
        <f>VLOOKUP(E:E,笔记匹配!A:N,4,FALSE)</f>
        <v>云麦体脂秤3mini</v>
      </c>
      <c r="AE27" t="str">
        <f>VLOOKUP(E:E,笔记匹配!A:N,14,FALSE)</f>
        <v>云麦体脂秤3mini</v>
      </c>
      <c r="AF27" t="str">
        <f>VLOOKUP(E:E,笔记匹配!A:N,6,FALSE)</f>
        <v>居家瘦肚子｜燃烧腹部脂肪紧致腰线get马甲线</v>
      </c>
    </row>
    <row r="28" spans="1:32">
      <c r="A28" s="18" t="s">
        <v>20</v>
      </c>
      <c r="B28" s="18" t="s">
        <v>646</v>
      </c>
      <c r="C28" s="19">
        <v>14439020</v>
      </c>
      <c r="D28" s="18" t="s">
        <v>209</v>
      </c>
      <c r="E28" s="18" t="s">
        <v>519</v>
      </c>
      <c r="F28" s="18" t="s">
        <v>1017</v>
      </c>
      <c r="G28" s="19">
        <v>2918831</v>
      </c>
      <c r="H28" s="18" t="s">
        <v>1017</v>
      </c>
      <c r="I28" s="19">
        <v>2325093</v>
      </c>
      <c r="J28" s="18" t="s">
        <v>1015</v>
      </c>
      <c r="K28" s="19">
        <v>36.4</v>
      </c>
      <c r="L28" s="19">
        <v>6341</v>
      </c>
      <c r="M28" s="19">
        <v>592</v>
      </c>
      <c r="N28" s="20">
        <v>0.0934</v>
      </c>
      <c r="O28" s="19">
        <v>0.06</v>
      </c>
      <c r="P28" s="19">
        <v>5.74</v>
      </c>
      <c r="Q28" s="19">
        <v>12</v>
      </c>
      <c r="R28" s="19">
        <v>0</v>
      </c>
      <c r="S28" s="19">
        <v>14</v>
      </c>
      <c r="T28" s="19">
        <v>4</v>
      </c>
      <c r="U28" s="19">
        <v>0</v>
      </c>
      <c r="V28" s="19">
        <v>30</v>
      </c>
      <c r="W28" s="19">
        <v>1.21</v>
      </c>
      <c r="X28" s="19">
        <v>0</v>
      </c>
      <c r="Y28" s="20">
        <v>0</v>
      </c>
      <c r="Z28" s="19">
        <v>0</v>
      </c>
      <c r="AA28" s="19">
        <v>0</v>
      </c>
      <c r="AB28" t="str">
        <f>VLOOKUP(E:E,笔记匹配!A:N,3,FALSE)</f>
        <v>大敏敏的蜕变日记</v>
      </c>
      <c r="AC28" t="str">
        <f>VLOOKUP(E:E,笔记匹配!A:N,2,FALSE)</f>
        <v>体脂秤</v>
      </c>
      <c r="AD28" t="str">
        <f>VLOOKUP(E:E,笔记匹配!A:N,4,FALSE)</f>
        <v>云麦3mini</v>
      </c>
      <c r="AE28" t="str">
        <f>VLOOKUP(E:E,笔记匹配!A:N,14,FALSE)</f>
        <v>云麦体脂秤3mini</v>
      </c>
      <c r="AF28" t="str">
        <f>VLOOKUP(E:E,笔记匹配!A:N,6,FALSE)</f>
        <v>刘畊宏女孩的21天虐腹计划‼谁练谁瘦💪</v>
      </c>
    </row>
    <row r="29" spans="1:32">
      <c r="A29" s="18" t="s">
        <v>21</v>
      </c>
      <c r="B29" s="18" t="s">
        <v>1018</v>
      </c>
      <c r="C29" s="19">
        <v>14752018</v>
      </c>
      <c r="D29" s="18" t="s">
        <v>209</v>
      </c>
      <c r="E29" s="18" t="s">
        <v>516</v>
      </c>
      <c r="F29" s="18" t="s">
        <v>1019</v>
      </c>
      <c r="G29" s="19">
        <v>2959750</v>
      </c>
      <c r="H29" s="18" t="s">
        <v>1020</v>
      </c>
      <c r="I29" s="19">
        <v>2362546</v>
      </c>
      <c r="J29" s="18" t="s">
        <v>1015</v>
      </c>
      <c r="K29" s="19">
        <v>285.91</v>
      </c>
      <c r="L29" s="19">
        <v>40542</v>
      </c>
      <c r="M29" s="19">
        <v>3929</v>
      </c>
      <c r="N29" s="20">
        <v>0.0969</v>
      </c>
      <c r="O29" s="19">
        <v>0.07</v>
      </c>
      <c r="P29" s="19">
        <v>7.05</v>
      </c>
      <c r="Q29" s="19">
        <v>70</v>
      </c>
      <c r="R29" s="19">
        <v>8</v>
      </c>
      <c r="S29" s="19">
        <v>41</v>
      </c>
      <c r="T29" s="19">
        <v>6</v>
      </c>
      <c r="U29" s="19">
        <v>9</v>
      </c>
      <c r="V29" s="19">
        <v>134</v>
      </c>
      <c r="W29" s="19">
        <v>2.13</v>
      </c>
      <c r="X29" s="19">
        <v>0</v>
      </c>
      <c r="Y29" s="20">
        <v>0</v>
      </c>
      <c r="Z29" s="19">
        <v>7</v>
      </c>
      <c r="AA29" s="19">
        <v>0</v>
      </c>
      <c r="AB29" t="str">
        <f>VLOOKUP(E:E,笔记匹配!A:N,3,FALSE)</f>
        <v>爱跳绳的粥粥</v>
      </c>
      <c r="AC29" t="str">
        <f>VLOOKUP(E:E,笔记匹配!A:N,2,FALSE)</f>
        <v>跳绳</v>
      </c>
      <c r="AD29" t="str">
        <f>VLOOKUP(E:E,笔记匹配!A:N,4,FALSE)</f>
        <v>云麦跳绳心率款</v>
      </c>
      <c r="AE29" t="str">
        <f>VLOOKUP(E:E,笔记匹配!A:N,14,FALSE)</f>
        <v>云麦心率跳绳</v>
      </c>
      <c r="AF29" t="str">
        <f>VLOOKUP(E:E,笔记匹配!A:N,6,FALSE)</f>
        <v>坚持跳绳瘦24斤这个高效跳绳组合你一定要跳</v>
      </c>
    </row>
    <row r="30" spans="1:32">
      <c r="A30" s="18" t="s">
        <v>21</v>
      </c>
      <c r="B30" s="18" t="s">
        <v>1021</v>
      </c>
      <c r="C30" s="19">
        <v>14752172</v>
      </c>
      <c r="D30" s="18" t="s">
        <v>196</v>
      </c>
      <c r="E30" s="18" t="s">
        <v>518</v>
      </c>
      <c r="F30" s="18" t="s">
        <v>1022</v>
      </c>
      <c r="G30" s="19">
        <v>2959778</v>
      </c>
      <c r="H30" s="18" t="s">
        <v>1022</v>
      </c>
      <c r="I30" s="19">
        <v>2362558</v>
      </c>
      <c r="J30" s="18" t="s">
        <v>1015</v>
      </c>
      <c r="K30" s="19">
        <v>4.08</v>
      </c>
      <c r="L30" s="19">
        <v>328</v>
      </c>
      <c r="M30" s="19">
        <v>10</v>
      </c>
      <c r="N30" s="20">
        <v>0.0305</v>
      </c>
      <c r="O30" s="19">
        <v>0.41</v>
      </c>
      <c r="P30" s="19">
        <v>12.44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20">
        <v>0</v>
      </c>
      <c r="Z30" s="19">
        <v>0</v>
      </c>
      <c r="AA30" s="19">
        <v>0</v>
      </c>
      <c r="AB30" t="str">
        <f>VLOOKUP(E:E,笔记匹配!A:N,3,FALSE)</f>
        <v>我是铁核桃也是小百合</v>
      </c>
      <c r="AC30" t="str">
        <f>VLOOKUP(E:E,笔记匹配!A:N,2,FALSE)</f>
        <v>体脂秤</v>
      </c>
      <c r="AD30" t="str">
        <f>VLOOKUP(E:E,笔记匹配!A:N,4,FALSE)</f>
        <v>云麦体脂秤3</v>
      </c>
      <c r="AE30" t="str">
        <f>VLOOKUP(E:E,笔记匹配!A:N,14,FALSE)</f>
        <v>云麦体脂秤3</v>
      </c>
      <c r="AF30" t="str">
        <f>VLOOKUP(E:E,笔记匹配!A:N,6,FALSE)</f>
        <v>产后5大阶段恢复必做事‼️错过多花3年补‼️</v>
      </c>
    </row>
    <row r="31" spans="1:32">
      <c r="A31" s="18" t="s">
        <v>21</v>
      </c>
      <c r="B31" s="18" t="s">
        <v>1023</v>
      </c>
      <c r="C31" s="19">
        <v>14752300</v>
      </c>
      <c r="D31" s="18" t="s">
        <v>196</v>
      </c>
      <c r="E31" s="18" t="s">
        <v>312</v>
      </c>
      <c r="F31" s="18" t="s">
        <v>1024</v>
      </c>
      <c r="G31" s="19">
        <v>2959797</v>
      </c>
      <c r="H31" s="18" t="s">
        <v>1025</v>
      </c>
      <c r="I31" s="19">
        <v>2362567</v>
      </c>
      <c r="J31" s="18" t="s">
        <v>1015</v>
      </c>
      <c r="K31" s="19">
        <v>65.07</v>
      </c>
      <c r="L31" s="19">
        <v>2307</v>
      </c>
      <c r="M31" s="19">
        <v>141</v>
      </c>
      <c r="N31" s="20">
        <v>0.0611</v>
      </c>
      <c r="O31" s="19">
        <v>0.46</v>
      </c>
      <c r="P31" s="19">
        <v>28.21</v>
      </c>
      <c r="Q31" s="19">
        <v>4</v>
      </c>
      <c r="R31" s="19">
        <v>0</v>
      </c>
      <c r="S31" s="19">
        <v>7</v>
      </c>
      <c r="T31" s="19">
        <v>1</v>
      </c>
      <c r="U31" s="19">
        <v>0</v>
      </c>
      <c r="V31" s="19">
        <v>12</v>
      </c>
      <c r="W31" s="19">
        <v>5.42</v>
      </c>
      <c r="X31" s="19">
        <v>0</v>
      </c>
      <c r="Y31" s="20">
        <v>0</v>
      </c>
      <c r="Z31" s="19">
        <v>0</v>
      </c>
      <c r="AA31" s="19">
        <v>0</v>
      </c>
      <c r="AB31" t="str">
        <f>VLOOKUP(E:E,笔记匹配!A:N,3,FALSE)</f>
        <v>郝有金</v>
      </c>
      <c r="AC31" t="str">
        <f>VLOOKUP(E:E,笔记匹配!A:N,2,FALSE)</f>
        <v>筋膜枪</v>
      </c>
      <c r="AD31" t="str">
        <f>VLOOKUP(E:E,笔记匹配!A:N,4,FALSE)</f>
        <v>云麦cc筋膜枪</v>
      </c>
      <c r="AE31" t="str">
        <f>VLOOKUP(E:E,笔记匹配!A:N,14,FALSE)</f>
        <v>云麦筋膜枪cc</v>
      </c>
      <c r="AF31" t="str">
        <f>VLOOKUP(E:E,笔记匹配!A:N,6,FALSE)</f>
        <v>别用错❗️筋膜枪正确使用方法，不同肌肉部位放松大全</v>
      </c>
    </row>
    <row r="32" spans="1:32">
      <c r="A32" s="18" t="s">
        <v>21</v>
      </c>
      <c r="B32" s="18" t="s">
        <v>1026</v>
      </c>
      <c r="C32" s="19">
        <v>14752488</v>
      </c>
      <c r="D32" s="18" t="s">
        <v>196</v>
      </c>
      <c r="E32" s="18" t="s">
        <v>312</v>
      </c>
      <c r="F32" s="18" t="s">
        <v>1027</v>
      </c>
      <c r="G32" s="19">
        <v>2959816</v>
      </c>
      <c r="H32" s="18" t="s">
        <v>1025</v>
      </c>
      <c r="I32" s="19">
        <v>2362567</v>
      </c>
      <c r="J32" s="18" t="s">
        <v>1015</v>
      </c>
      <c r="K32" s="19">
        <v>0</v>
      </c>
      <c r="L32" s="19">
        <v>4</v>
      </c>
      <c r="M32" s="19">
        <v>0</v>
      </c>
      <c r="N32" s="20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20">
        <v>0</v>
      </c>
      <c r="Z32" s="19">
        <v>0</v>
      </c>
      <c r="AA32" s="19">
        <v>0</v>
      </c>
      <c r="AB32" t="str">
        <f>VLOOKUP(E:E,笔记匹配!A:N,3,FALSE)</f>
        <v>郝有金</v>
      </c>
      <c r="AC32" t="str">
        <f>VLOOKUP(E:E,笔记匹配!A:N,2,FALSE)</f>
        <v>筋膜枪</v>
      </c>
      <c r="AD32" t="str">
        <f>VLOOKUP(E:E,笔记匹配!A:N,4,FALSE)</f>
        <v>云麦cc筋膜枪</v>
      </c>
      <c r="AE32" t="str">
        <f>VLOOKUP(E:E,笔记匹配!A:N,14,FALSE)</f>
        <v>云麦筋膜枪cc</v>
      </c>
      <c r="AF32" t="str">
        <f>VLOOKUP(E:E,笔记匹配!A:N,6,FALSE)</f>
        <v>别用错❗️筋膜枪正确使用方法，不同肌肉部位放松大全</v>
      </c>
    </row>
    <row r="33" spans="1:32">
      <c r="A33" s="18" t="s">
        <v>21</v>
      </c>
      <c r="B33" s="18" t="s">
        <v>661</v>
      </c>
      <c r="C33" s="19">
        <v>14752576</v>
      </c>
      <c r="D33" s="18" t="s">
        <v>196</v>
      </c>
      <c r="E33" s="18" t="s">
        <v>553</v>
      </c>
      <c r="F33" s="18" t="s">
        <v>1028</v>
      </c>
      <c r="G33" s="19">
        <v>2959820</v>
      </c>
      <c r="H33" s="18" t="s">
        <v>1029</v>
      </c>
      <c r="I33" s="19">
        <v>2362578</v>
      </c>
      <c r="J33" s="18" t="s">
        <v>1015</v>
      </c>
      <c r="K33" s="19">
        <v>112.47</v>
      </c>
      <c r="L33" s="19">
        <v>2914</v>
      </c>
      <c r="M33" s="19">
        <v>226</v>
      </c>
      <c r="N33" s="20">
        <v>0.0776</v>
      </c>
      <c r="O33" s="19">
        <v>0.5</v>
      </c>
      <c r="P33" s="19">
        <v>38.6</v>
      </c>
      <c r="Q33" s="19">
        <v>8</v>
      </c>
      <c r="R33" s="19">
        <v>0</v>
      </c>
      <c r="S33" s="19">
        <v>6</v>
      </c>
      <c r="T33" s="19">
        <v>0</v>
      </c>
      <c r="U33" s="19">
        <v>0</v>
      </c>
      <c r="V33" s="19">
        <v>14</v>
      </c>
      <c r="W33" s="19">
        <v>8.03</v>
      </c>
      <c r="X33" s="19">
        <v>0</v>
      </c>
      <c r="Y33" s="20">
        <v>0</v>
      </c>
      <c r="Z33" s="19">
        <v>0</v>
      </c>
      <c r="AA33" s="19">
        <v>0</v>
      </c>
      <c r="AB33" t="str">
        <f>VLOOKUP(E:E,笔记匹配!A:N,3,FALSE)</f>
        <v>圆又圆超爱笑</v>
      </c>
      <c r="AC33" t="str">
        <f>VLOOKUP(E:E,笔记匹配!A:N,2,FALSE)</f>
        <v>筋膜枪</v>
      </c>
      <c r="AD33" t="str">
        <f>VLOOKUP(E:E,笔记匹配!A:N,4,FALSE)</f>
        <v>云麦筋膜枪cc</v>
      </c>
      <c r="AE33" t="str">
        <f>VLOOKUP(E:E,笔记匹配!A:N,14,FALSE)</f>
        <v>云麦筋膜枪cc</v>
      </c>
      <c r="AF33" t="str">
        <f>VLOOKUP(E:E,笔记匹配!A:N,6,FALSE)</f>
        <v>大二女生梨形粗腿逆袭✨这3步带你优化腿型</v>
      </c>
    </row>
    <row r="34" spans="1:32">
      <c r="A34" s="18" t="s">
        <v>21</v>
      </c>
      <c r="B34" s="18" t="s">
        <v>1030</v>
      </c>
      <c r="C34" s="19">
        <v>14752715</v>
      </c>
      <c r="D34" s="18" t="s">
        <v>209</v>
      </c>
      <c r="E34" s="18" t="s">
        <v>459</v>
      </c>
      <c r="F34" s="18" t="s">
        <v>1031</v>
      </c>
      <c r="G34" s="19">
        <v>2959834</v>
      </c>
      <c r="H34" s="18" t="s">
        <v>1031</v>
      </c>
      <c r="I34" s="19">
        <v>2362586</v>
      </c>
      <c r="J34" s="18" t="s">
        <v>1015</v>
      </c>
      <c r="K34" s="19">
        <v>189.27</v>
      </c>
      <c r="L34" s="19">
        <v>22155</v>
      </c>
      <c r="M34" s="19">
        <v>2620</v>
      </c>
      <c r="N34" s="20">
        <v>0.1183</v>
      </c>
      <c r="O34" s="19">
        <v>0.07</v>
      </c>
      <c r="P34" s="19">
        <v>8.54</v>
      </c>
      <c r="Q34" s="19">
        <v>19</v>
      </c>
      <c r="R34" s="19">
        <v>0</v>
      </c>
      <c r="S34" s="19">
        <v>18</v>
      </c>
      <c r="T34" s="19">
        <v>9</v>
      </c>
      <c r="U34" s="19">
        <v>3</v>
      </c>
      <c r="V34" s="19">
        <v>49</v>
      </c>
      <c r="W34" s="19">
        <v>3.86</v>
      </c>
      <c r="X34" s="19">
        <v>0</v>
      </c>
      <c r="Y34" s="20">
        <v>0</v>
      </c>
      <c r="Z34" s="19">
        <v>1</v>
      </c>
      <c r="AA34" s="19">
        <v>2</v>
      </c>
      <c r="AB34" t="str">
        <f>VLOOKUP(E:E,笔记匹配!A:N,3,FALSE)</f>
        <v>热锅上的蚂蚁</v>
      </c>
      <c r="AC34" t="str">
        <f>VLOOKUP(E:E,笔记匹配!A:N,2,FALSE)</f>
        <v>筋膜枪</v>
      </c>
      <c r="AD34" t="str">
        <f>VLOOKUP(E:E,笔记匹配!A:N,4,FALSE)</f>
        <v>云麦cc筋膜枪</v>
      </c>
      <c r="AE34" t="str">
        <f>VLOOKUP(E:E,笔记匹配!A:N,14,FALSE)</f>
        <v>云麦筋膜枪cc</v>
      </c>
      <c r="AF34" t="str">
        <f>VLOOKUP(E:E,笔记匹配!A:N,6,FALSE)</f>
        <v>暴汗燃脂毽子操|拉伸放松与筋膜枪按摩</v>
      </c>
    </row>
    <row r="35" spans="1:32">
      <c r="A35" s="18" t="s">
        <v>21</v>
      </c>
      <c r="B35" s="18" t="s">
        <v>1032</v>
      </c>
      <c r="C35" s="19">
        <v>14752831</v>
      </c>
      <c r="D35" s="18" t="s">
        <v>196</v>
      </c>
      <c r="E35" s="18" t="s">
        <v>234</v>
      </c>
      <c r="F35" s="18" t="s">
        <v>1033</v>
      </c>
      <c r="G35" s="19">
        <v>2959849</v>
      </c>
      <c r="H35" s="18" t="s">
        <v>1034</v>
      </c>
      <c r="I35" s="19">
        <v>2362592</v>
      </c>
      <c r="J35" s="18" t="s">
        <v>1015</v>
      </c>
      <c r="K35" s="19">
        <v>60.74</v>
      </c>
      <c r="L35" s="19">
        <v>828</v>
      </c>
      <c r="M35" s="19">
        <v>98</v>
      </c>
      <c r="N35" s="20">
        <v>0.1184</v>
      </c>
      <c r="O35" s="19">
        <v>0.62</v>
      </c>
      <c r="P35" s="19">
        <v>73.36</v>
      </c>
      <c r="Q35" s="19">
        <v>1</v>
      </c>
      <c r="R35" s="19">
        <v>0</v>
      </c>
      <c r="S35" s="19">
        <v>1</v>
      </c>
      <c r="T35" s="19">
        <v>0</v>
      </c>
      <c r="U35" s="19">
        <v>0</v>
      </c>
      <c r="V35" s="19">
        <v>2</v>
      </c>
      <c r="W35" s="19">
        <v>30.37</v>
      </c>
      <c r="X35" s="19">
        <v>0</v>
      </c>
      <c r="Y35" s="20">
        <v>0</v>
      </c>
      <c r="Z35" s="19">
        <v>0</v>
      </c>
      <c r="AA35" s="19">
        <v>0</v>
      </c>
      <c r="AB35" t="str">
        <f>VLOOKUP(E:E,笔记匹配!A:N,3,FALSE)</f>
        <v>pp</v>
      </c>
      <c r="AC35" t="str">
        <f>VLOOKUP(E:E,笔记匹配!A:N,2,FALSE)</f>
        <v>体脂秤</v>
      </c>
      <c r="AD35" t="str">
        <f>VLOOKUP(E:E,笔记匹配!A:N,4,FALSE)</f>
        <v>云麦体脂秤3mini</v>
      </c>
      <c r="AE35" t="str">
        <f>VLOOKUP(E:E,笔记匹配!A:N,14,FALSE)</f>
        <v>云麦体脂秤3mini</v>
      </c>
      <c r="AF35" t="str">
        <f>VLOOKUP(E:E,笔记匹配!A:N,6,FALSE)</f>
        <v>110到88 一些减肥小建议｜如何正确运动</v>
      </c>
    </row>
    <row r="36" spans="1:32">
      <c r="A36" s="18" t="s">
        <v>21</v>
      </c>
      <c r="B36" s="18" t="s">
        <v>1035</v>
      </c>
      <c r="C36" s="19">
        <v>14752924</v>
      </c>
      <c r="D36" s="18" t="s">
        <v>196</v>
      </c>
      <c r="E36" s="18" t="s">
        <v>519</v>
      </c>
      <c r="F36" s="18" t="s">
        <v>1036</v>
      </c>
      <c r="G36" s="19">
        <v>2959861</v>
      </c>
      <c r="H36" s="18" t="s">
        <v>1037</v>
      </c>
      <c r="I36" s="19">
        <v>2362601</v>
      </c>
      <c r="J36" s="18" t="s">
        <v>1015</v>
      </c>
      <c r="K36" s="19">
        <v>5.61</v>
      </c>
      <c r="L36" s="19">
        <v>577</v>
      </c>
      <c r="M36" s="19">
        <v>10</v>
      </c>
      <c r="N36" s="20">
        <v>0.0173</v>
      </c>
      <c r="O36" s="19">
        <v>0.56</v>
      </c>
      <c r="P36" s="19">
        <v>9.72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20">
        <v>0</v>
      </c>
      <c r="Z36" s="19">
        <v>0</v>
      </c>
      <c r="AA36" s="19">
        <v>0</v>
      </c>
      <c r="AB36" t="str">
        <f>VLOOKUP(E:E,笔记匹配!A:N,3,FALSE)</f>
        <v>大敏敏的蜕变日记</v>
      </c>
      <c r="AC36" t="str">
        <f>VLOOKUP(E:E,笔记匹配!A:N,2,FALSE)</f>
        <v>体脂秤</v>
      </c>
      <c r="AD36" t="str">
        <f>VLOOKUP(E:E,笔记匹配!A:N,4,FALSE)</f>
        <v>云麦3mini</v>
      </c>
      <c r="AE36" t="str">
        <f>VLOOKUP(E:E,笔记匹配!A:N,14,FALSE)</f>
        <v>云麦体脂秤3mini</v>
      </c>
      <c r="AF36" t="str">
        <f>VLOOKUP(E:E,笔记匹配!A:N,6,FALSE)</f>
        <v>刘畊宏女孩的21天虐腹计划‼谁练谁瘦💪</v>
      </c>
    </row>
    <row r="37" spans="1:32">
      <c r="A37" s="18" t="s">
        <v>21</v>
      </c>
      <c r="B37" s="18" t="s">
        <v>1038</v>
      </c>
      <c r="C37" s="19">
        <v>14753100</v>
      </c>
      <c r="D37" s="18" t="s">
        <v>209</v>
      </c>
      <c r="E37" s="18" t="s">
        <v>514</v>
      </c>
      <c r="F37" s="18" t="s">
        <v>1039</v>
      </c>
      <c r="G37" s="19">
        <v>2959880</v>
      </c>
      <c r="H37" s="18" t="s">
        <v>1039</v>
      </c>
      <c r="I37" s="19">
        <v>2362615</v>
      </c>
      <c r="J37" s="18" t="s">
        <v>1015</v>
      </c>
      <c r="K37" s="19">
        <v>188.12</v>
      </c>
      <c r="L37" s="19">
        <v>29213</v>
      </c>
      <c r="M37" s="19">
        <v>2202</v>
      </c>
      <c r="N37" s="20">
        <v>0.0754</v>
      </c>
      <c r="O37" s="19">
        <v>0.09</v>
      </c>
      <c r="P37" s="19">
        <v>6.44</v>
      </c>
      <c r="Q37" s="19">
        <v>83</v>
      </c>
      <c r="R37" s="19">
        <v>0</v>
      </c>
      <c r="S37" s="19">
        <v>40</v>
      </c>
      <c r="T37" s="19">
        <v>1</v>
      </c>
      <c r="U37" s="19">
        <v>1</v>
      </c>
      <c r="V37" s="19">
        <v>125</v>
      </c>
      <c r="W37" s="19">
        <v>1.5</v>
      </c>
      <c r="X37" s="19">
        <v>0</v>
      </c>
      <c r="Y37" s="20">
        <v>0</v>
      </c>
      <c r="Z37" s="19">
        <v>1</v>
      </c>
      <c r="AA37" s="19">
        <v>3</v>
      </c>
      <c r="AB37">
        <f>VLOOKUP(E:E,笔记匹配!A:N,3,FALSE)</f>
        <v>-77</v>
      </c>
      <c r="AC37" t="str">
        <f>VLOOKUP(E:E,笔记匹配!A:N,2,FALSE)</f>
        <v>体脂秤</v>
      </c>
      <c r="AD37" t="str">
        <f>VLOOKUP(E:E,笔记匹配!A:N,4,FALSE)</f>
        <v>云麦3mini</v>
      </c>
      <c r="AE37" t="str">
        <f>VLOOKUP(E:E,笔记匹配!A:N,14,FALSE)</f>
        <v>云麦体脂秤3mini</v>
      </c>
      <c r="AF37" t="str">
        <f>VLOOKUP(E:E,笔记匹配!A:N,6,FALSE)</f>
        <v>睡前8min瘦大腿内外侧</v>
      </c>
    </row>
    <row r="38" spans="1:32">
      <c r="A38" s="18" t="s">
        <v>22</v>
      </c>
      <c r="B38" s="18" t="s">
        <v>1018</v>
      </c>
      <c r="C38" s="19">
        <v>14752018</v>
      </c>
      <c r="D38" s="18" t="s">
        <v>209</v>
      </c>
      <c r="E38" s="18" t="s">
        <v>516</v>
      </c>
      <c r="F38" s="18" t="s">
        <v>1019</v>
      </c>
      <c r="G38" s="19">
        <v>2959750</v>
      </c>
      <c r="H38" s="18" t="s">
        <v>1020</v>
      </c>
      <c r="I38" s="19">
        <v>2362546</v>
      </c>
      <c r="J38" s="18" t="s">
        <v>1015</v>
      </c>
      <c r="K38" s="19">
        <v>293.5</v>
      </c>
      <c r="L38" s="19">
        <v>43386</v>
      </c>
      <c r="M38" s="19">
        <v>3942</v>
      </c>
      <c r="N38" s="20">
        <v>0.0909</v>
      </c>
      <c r="O38" s="19">
        <v>0.07</v>
      </c>
      <c r="P38" s="19">
        <v>6.76</v>
      </c>
      <c r="Q38" s="19">
        <v>98</v>
      </c>
      <c r="R38" s="19">
        <v>2</v>
      </c>
      <c r="S38" s="19">
        <v>43</v>
      </c>
      <c r="T38" s="19">
        <v>12</v>
      </c>
      <c r="U38" s="19">
        <v>9</v>
      </c>
      <c r="V38" s="19">
        <v>164</v>
      </c>
      <c r="W38" s="19">
        <v>1.79</v>
      </c>
      <c r="X38" s="19">
        <v>0</v>
      </c>
      <c r="Y38" s="20">
        <v>0</v>
      </c>
      <c r="Z38" s="19">
        <v>5</v>
      </c>
      <c r="AA38" s="19">
        <v>3</v>
      </c>
      <c r="AB38" t="str">
        <f>VLOOKUP(E:E,笔记匹配!A:N,3,FALSE)</f>
        <v>爱跳绳的粥粥</v>
      </c>
      <c r="AC38" t="str">
        <f>VLOOKUP(E:E,笔记匹配!A:N,2,FALSE)</f>
        <v>跳绳</v>
      </c>
      <c r="AD38" t="str">
        <f>VLOOKUP(E:E,笔记匹配!A:N,4,FALSE)</f>
        <v>云麦跳绳心率款</v>
      </c>
      <c r="AE38" t="str">
        <f>VLOOKUP(E:E,笔记匹配!A:N,14,FALSE)</f>
        <v>云麦心率跳绳</v>
      </c>
      <c r="AF38" t="str">
        <f>VLOOKUP(E:E,笔记匹配!A:N,6,FALSE)</f>
        <v>坚持跳绳瘦24斤这个高效跳绳组合你一定要跳</v>
      </c>
    </row>
    <row r="39" spans="1:32">
      <c r="A39" s="18" t="s">
        <v>22</v>
      </c>
      <c r="B39" s="18" t="s">
        <v>1023</v>
      </c>
      <c r="C39" s="19">
        <v>14752300</v>
      </c>
      <c r="D39" s="18" t="s">
        <v>196</v>
      </c>
      <c r="E39" s="18" t="s">
        <v>312</v>
      </c>
      <c r="F39" s="18" t="s">
        <v>1024</v>
      </c>
      <c r="G39" s="19">
        <v>2959797</v>
      </c>
      <c r="H39" s="18" t="s">
        <v>1025</v>
      </c>
      <c r="I39" s="19">
        <v>2362567</v>
      </c>
      <c r="J39" s="18" t="s">
        <v>1015</v>
      </c>
      <c r="K39" s="19">
        <v>56.86</v>
      </c>
      <c r="L39" s="19">
        <v>1641</v>
      </c>
      <c r="M39" s="19">
        <v>102</v>
      </c>
      <c r="N39" s="20">
        <v>0.0622</v>
      </c>
      <c r="O39" s="19">
        <v>0.56</v>
      </c>
      <c r="P39" s="19">
        <v>34.65</v>
      </c>
      <c r="Q39" s="19">
        <v>3</v>
      </c>
      <c r="R39" s="19">
        <v>0</v>
      </c>
      <c r="S39" s="19">
        <v>7</v>
      </c>
      <c r="T39" s="19">
        <v>0</v>
      </c>
      <c r="U39" s="19">
        <v>1</v>
      </c>
      <c r="V39" s="19">
        <v>11</v>
      </c>
      <c r="W39" s="19">
        <v>5.17</v>
      </c>
      <c r="X39" s="19">
        <v>0</v>
      </c>
      <c r="Y39" s="20">
        <v>0</v>
      </c>
      <c r="Z39" s="19">
        <v>0</v>
      </c>
      <c r="AA39" s="19">
        <v>0</v>
      </c>
      <c r="AB39" t="str">
        <f>VLOOKUP(E:E,笔记匹配!A:N,3,FALSE)</f>
        <v>郝有金</v>
      </c>
      <c r="AC39" t="str">
        <f>VLOOKUP(E:E,笔记匹配!A:N,2,FALSE)</f>
        <v>筋膜枪</v>
      </c>
      <c r="AD39" t="str">
        <f>VLOOKUP(E:E,笔记匹配!A:N,4,FALSE)</f>
        <v>云麦cc筋膜枪</v>
      </c>
      <c r="AE39" t="str">
        <f>VLOOKUP(E:E,笔记匹配!A:N,14,FALSE)</f>
        <v>云麦筋膜枪cc</v>
      </c>
      <c r="AF39" t="str">
        <f>VLOOKUP(E:E,笔记匹配!A:N,6,FALSE)</f>
        <v>别用错❗️筋膜枪正确使用方法，不同肌肉部位放松大全</v>
      </c>
    </row>
    <row r="40" spans="1:32">
      <c r="A40" s="18" t="s">
        <v>22</v>
      </c>
      <c r="B40" s="18" t="s">
        <v>661</v>
      </c>
      <c r="C40" s="19">
        <v>14752576</v>
      </c>
      <c r="D40" s="18" t="s">
        <v>196</v>
      </c>
      <c r="E40" s="18" t="s">
        <v>553</v>
      </c>
      <c r="F40" s="18" t="s">
        <v>1028</v>
      </c>
      <c r="G40" s="19">
        <v>2959820</v>
      </c>
      <c r="H40" s="18" t="s">
        <v>1029</v>
      </c>
      <c r="I40" s="19">
        <v>2362578</v>
      </c>
      <c r="J40" s="18" t="s">
        <v>1015</v>
      </c>
      <c r="K40" s="19">
        <v>107.59</v>
      </c>
      <c r="L40" s="19">
        <v>2744</v>
      </c>
      <c r="M40" s="19">
        <v>204</v>
      </c>
      <c r="N40" s="20">
        <v>0.0743</v>
      </c>
      <c r="O40" s="19">
        <v>0.53</v>
      </c>
      <c r="P40" s="19">
        <v>39.21</v>
      </c>
      <c r="Q40" s="19">
        <v>3</v>
      </c>
      <c r="R40" s="19">
        <v>0</v>
      </c>
      <c r="S40" s="19">
        <v>4</v>
      </c>
      <c r="T40" s="19">
        <v>0</v>
      </c>
      <c r="U40" s="19">
        <v>0</v>
      </c>
      <c r="V40" s="19">
        <v>7</v>
      </c>
      <c r="W40" s="19">
        <v>15.37</v>
      </c>
      <c r="X40" s="19">
        <v>0</v>
      </c>
      <c r="Y40" s="20">
        <v>0</v>
      </c>
      <c r="Z40" s="19">
        <v>2</v>
      </c>
      <c r="AA40" s="19">
        <v>0</v>
      </c>
      <c r="AB40" t="str">
        <f>VLOOKUP(E:E,笔记匹配!A:N,3,FALSE)</f>
        <v>圆又圆超爱笑</v>
      </c>
      <c r="AC40" t="str">
        <f>VLOOKUP(E:E,笔记匹配!A:N,2,FALSE)</f>
        <v>筋膜枪</v>
      </c>
      <c r="AD40" t="str">
        <f>VLOOKUP(E:E,笔记匹配!A:N,4,FALSE)</f>
        <v>云麦筋膜枪cc</v>
      </c>
      <c r="AE40" t="str">
        <f>VLOOKUP(E:E,笔记匹配!A:N,14,FALSE)</f>
        <v>云麦筋膜枪cc</v>
      </c>
      <c r="AF40" t="str">
        <f>VLOOKUP(E:E,笔记匹配!A:N,6,FALSE)</f>
        <v>大二女生梨形粗腿逆袭✨这3步带你优化腿型</v>
      </c>
    </row>
    <row r="41" spans="1:32">
      <c r="A41" s="18" t="s">
        <v>22</v>
      </c>
      <c r="B41" s="18" t="s">
        <v>1030</v>
      </c>
      <c r="C41" s="19">
        <v>14752715</v>
      </c>
      <c r="D41" s="18" t="s">
        <v>209</v>
      </c>
      <c r="E41" s="18" t="s">
        <v>459</v>
      </c>
      <c r="F41" s="18" t="s">
        <v>1031</v>
      </c>
      <c r="G41" s="19">
        <v>2959834</v>
      </c>
      <c r="H41" s="18" t="s">
        <v>1031</v>
      </c>
      <c r="I41" s="19">
        <v>2362586</v>
      </c>
      <c r="J41" s="18" t="s">
        <v>1015</v>
      </c>
      <c r="K41" s="19">
        <v>0.78</v>
      </c>
      <c r="L41" s="19">
        <v>91</v>
      </c>
      <c r="M41" s="19">
        <v>9</v>
      </c>
      <c r="N41" s="20">
        <v>0.0989</v>
      </c>
      <c r="O41" s="19">
        <v>0.09</v>
      </c>
      <c r="P41" s="19">
        <v>8.57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20">
        <v>0</v>
      </c>
      <c r="Z41" s="19">
        <v>0</v>
      </c>
      <c r="AA41" s="19">
        <v>0</v>
      </c>
      <c r="AB41" t="str">
        <f>VLOOKUP(E:E,笔记匹配!A:N,3,FALSE)</f>
        <v>热锅上的蚂蚁</v>
      </c>
      <c r="AC41" t="str">
        <f>VLOOKUP(E:E,笔记匹配!A:N,2,FALSE)</f>
        <v>筋膜枪</v>
      </c>
      <c r="AD41" t="str">
        <f>VLOOKUP(E:E,笔记匹配!A:N,4,FALSE)</f>
        <v>云麦cc筋膜枪</v>
      </c>
      <c r="AE41" t="str">
        <f>VLOOKUP(E:E,笔记匹配!A:N,14,FALSE)</f>
        <v>云麦筋膜枪cc</v>
      </c>
      <c r="AF41" t="str">
        <f>VLOOKUP(E:E,笔记匹配!A:N,6,FALSE)</f>
        <v>暴汗燃脂毽子操|拉伸放松与筋膜枪按摩</v>
      </c>
    </row>
    <row r="42" spans="1:32">
      <c r="A42" s="18" t="s">
        <v>22</v>
      </c>
      <c r="B42" s="18" t="s">
        <v>1032</v>
      </c>
      <c r="C42" s="19">
        <v>14752831</v>
      </c>
      <c r="D42" s="18" t="s">
        <v>196</v>
      </c>
      <c r="E42" s="18" t="s">
        <v>234</v>
      </c>
      <c r="F42" s="18" t="s">
        <v>1033</v>
      </c>
      <c r="G42" s="19">
        <v>2959849</v>
      </c>
      <c r="H42" s="18" t="s">
        <v>1034</v>
      </c>
      <c r="I42" s="19">
        <v>2362592</v>
      </c>
      <c r="J42" s="18" t="s">
        <v>1015</v>
      </c>
      <c r="K42" s="19">
        <v>0</v>
      </c>
      <c r="L42" s="19">
        <v>8</v>
      </c>
      <c r="M42" s="19">
        <v>0</v>
      </c>
      <c r="N42" s="20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20">
        <v>0</v>
      </c>
      <c r="Z42" s="19">
        <v>0</v>
      </c>
      <c r="AA42" s="19">
        <v>0</v>
      </c>
      <c r="AB42" t="str">
        <f>VLOOKUP(E:E,笔记匹配!A:N,3,FALSE)</f>
        <v>pp</v>
      </c>
      <c r="AC42" t="str">
        <f>VLOOKUP(E:E,笔记匹配!A:N,2,FALSE)</f>
        <v>体脂秤</v>
      </c>
      <c r="AD42" t="str">
        <f>VLOOKUP(E:E,笔记匹配!A:N,4,FALSE)</f>
        <v>云麦体脂秤3mini</v>
      </c>
      <c r="AE42" t="str">
        <f>VLOOKUP(E:E,笔记匹配!A:N,14,FALSE)</f>
        <v>云麦体脂秤3mini</v>
      </c>
      <c r="AF42" t="str">
        <f>VLOOKUP(E:E,笔记匹配!A:N,6,FALSE)</f>
        <v>110到88 一些减肥小建议｜如何正确运动</v>
      </c>
    </row>
    <row r="43" spans="1:32">
      <c r="A43" s="18" t="s">
        <v>22</v>
      </c>
      <c r="B43" s="18" t="s">
        <v>1035</v>
      </c>
      <c r="C43" s="19">
        <v>14752924</v>
      </c>
      <c r="D43" s="18" t="s">
        <v>196</v>
      </c>
      <c r="E43" s="18" t="s">
        <v>519</v>
      </c>
      <c r="F43" s="18" t="s">
        <v>1036</v>
      </c>
      <c r="G43" s="19">
        <v>2959861</v>
      </c>
      <c r="H43" s="18" t="s">
        <v>1037</v>
      </c>
      <c r="I43" s="19">
        <v>2362601</v>
      </c>
      <c r="J43" s="18" t="s">
        <v>1015</v>
      </c>
      <c r="K43" s="19">
        <v>5.8</v>
      </c>
      <c r="L43" s="19">
        <v>868</v>
      </c>
      <c r="M43" s="19">
        <v>21</v>
      </c>
      <c r="N43" s="20">
        <v>0.0242</v>
      </c>
      <c r="O43" s="19">
        <v>0.28</v>
      </c>
      <c r="P43" s="19">
        <v>6.68</v>
      </c>
      <c r="Q43" s="19">
        <v>1</v>
      </c>
      <c r="R43" s="19">
        <v>0</v>
      </c>
      <c r="S43" s="19">
        <v>1</v>
      </c>
      <c r="T43" s="19">
        <v>0</v>
      </c>
      <c r="U43" s="19">
        <v>0</v>
      </c>
      <c r="V43" s="19">
        <v>2</v>
      </c>
      <c r="W43" s="19">
        <v>2.9</v>
      </c>
      <c r="X43" s="19">
        <v>0</v>
      </c>
      <c r="Y43" s="20">
        <v>0</v>
      </c>
      <c r="Z43" s="19">
        <v>0</v>
      </c>
      <c r="AA43" s="19">
        <v>0</v>
      </c>
      <c r="AB43" t="str">
        <f>VLOOKUP(E:E,笔记匹配!A:N,3,FALSE)</f>
        <v>大敏敏的蜕变日记</v>
      </c>
      <c r="AC43" t="str">
        <f>VLOOKUP(E:E,笔记匹配!A:N,2,FALSE)</f>
        <v>体脂秤</v>
      </c>
      <c r="AD43" t="str">
        <f>VLOOKUP(E:E,笔记匹配!A:N,4,FALSE)</f>
        <v>云麦3mini</v>
      </c>
      <c r="AE43" t="str">
        <f>VLOOKUP(E:E,笔记匹配!A:N,14,FALSE)</f>
        <v>云麦体脂秤3mini</v>
      </c>
      <c r="AF43" t="str">
        <f>VLOOKUP(E:E,笔记匹配!A:N,6,FALSE)</f>
        <v>刘畊宏女孩的21天虐腹计划‼谁练谁瘦💪</v>
      </c>
    </row>
    <row r="44" spans="1:32">
      <c r="A44" s="18" t="s">
        <v>22</v>
      </c>
      <c r="B44" s="18" t="s">
        <v>1038</v>
      </c>
      <c r="C44" s="19">
        <v>14753100</v>
      </c>
      <c r="D44" s="18" t="s">
        <v>209</v>
      </c>
      <c r="E44" s="18" t="s">
        <v>514</v>
      </c>
      <c r="F44" s="18" t="s">
        <v>1039</v>
      </c>
      <c r="G44" s="19">
        <v>2959880</v>
      </c>
      <c r="H44" s="18" t="s">
        <v>1039</v>
      </c>
      <c r="I44" s="19">
        <v>2362615</v>
      </c>
      <c r="J44" s="18" t="s">
        <v>1015</v>
      </c>
      <c r="K44" s="19">
        <v>187.29</v>
      </c>
      <c r="L44" s="19">
        <v>32321</v>
      </c>
      <c r="M44" s="19">
        <v>2133</v>
      </c>
      <c r="N44" s="20">
        <v>0.066</v>
      </c>
      <c r="O44" s="19">
        <v>0.09</v>
      </c>
      <c r="P44" s="19">
        <v>5.79</v>
      </c>
      <c r="Q44" s="19">
        <v>74</v>
      </c>
      <c r="R44" s="19">
        <v>0</v>
      </c>
      <c r="S44" s="19">
        <v>56</v>
      </c>
      <c r="T44" s="19">
        <v>6</v>
      </c>
      <c r="U44" s="19">
        <v>1</v>
      </c>
      <c r="V44" s="19">
        <v>137</v>
      </c>
      <c r="W44" s="19">
        <v>1.37</v>
      </c>
      <c r="X44" s="19">
        <v>0</v>
      </c>
      <c r="Y44" s="20">
        <v>0</v>
      </c>
      <c r="Z44" s="19">
        <v>0</v>
      </c>
      <c r="AA44" s="19">
        <v>6</v>
      </c>
      <c r="AB44">
        <f>VLOOKUP(E:E,笔记匹配!A:N,3,FALSE)</f>
        <v>-77</v>
      </c>
      <c r="AC44" t="str">
        <f>VLOOKUP(E:E,笔记匹配!A:N,2,FALSE)</f>
        <v>体脂秤</v>
      </c>
      <c r="AD44" t="str">
        <f>VLOOKUP(E:E,笔记匹配!A:N,4,FALSE)</f>
        <v>云麦3mini</v>
      </c>
      <c r="AE44" t="str">
        <f>VLOOKUP(E:E,笔记匹配!A:N,14,FALSE)</f>
        <v>云麦体脂秤3mini</v>
      </c>
      <c r="AF44" t="str">
        <f>VLOOKUP(E:E,笔记匹配!A:N,6,FALSE)</f>
        <v>睡前8min瘦大腿内外侧</v>
      </c>
    </row>
    <row r="45" spans="1:32">
      <c r="A45" s="18" t="s">
        <v>22</v>
      </c>
      <c r="B45" s="18" t="s">
        <v>1040</v>
      </c>
      <c r="C45" s="19">
        <v>14794680</v>
      </c>
      <c r="D45" s="18" t="s">
        <v>209</v>
      </c>
      <c r="E45" s="18" t="s">
        <v>234</v>
      </c>
      <c r="F45" s="18" t="s">
        <v>1041</v>
      </c>
      <c r="G45" s="19">
        <v>2966106</v>
      </c>
      <c r="H45" s="18" t="s">
        <v>1041</v>
      </c>
      <c r="I45" s="19">
        <v>2368633</v>
      </c>
      <c r="J45" s="18" t="s">
        <v>1015</v>
      </c>
      <c r="K45" s="19">
        <v>470.03</v>
      </c>
      <c r="L45" s="19">
        <v>110046</v>
      </c>
      <c r="M45" s="19">
        <v>7772</v>
      </c>
      <c r="N45" s="20">
        <v>0.0706</v>
      </c>
      <c r="O45" s="19">
        <v>0.06</v>
      </c>
      <c r="P45" s="19">
        <v>4.27</v>
      </c>
      <c r="Q45" s="19">
        <v>62</v>
      </c>
      <c r="R45" s="19">
        <v>4</v>
      </c>
      <c r="S45" s="19">
        <v>30</v>
      </c>
      <c r="T45" s="19">
        <v>9</v>
      </c>
      <c r="U45" s="19">
        <v>1</v>
      </c>
      <c r="V45" s="19">
        <v>106</v>
      </c>
      <c r="W45" s="19">
        <v>4.43</v>
      </c>
      <c r="X45" s="19">
        <v>0</v>
      </c>
      <c r="Y45" s="20">
        <v>0</v>
      </c>
      <c r="Z45" s="19">
        <v>6</v>
      </c>
      <c r="AA45" s="19">
        <v>2</v>
      </c>
      <c r="AB45" t="str">
        <f>VLOOKUP(E:E,笔记匹配!A:N,3,FALSE)</f>
        <v>pp</v>
      </c>
      <c r="AC45" t="str">
        <f>VLOOKUP(E:E,笔记匹配!A:N,2,FALSE)</f>
        <v>体脂秤</v>
      </c>
      <c r="AD45" t="str">
        <f>VLOOKUP(E:E,笔记匹配!A:N,4,FALSE)</f>
        <v>云麦体脂秤3mini</v>
      </c>
      <c r="AE45" t="str">
        <f>VLOOKUP(E:E,笔记匹配!A:N,14,FALSE)</f>
        <v>云麦体脂秤3mini</v>
      </c>
      <c r="AF45" t="str">
        <f>VLOOKUP(E:E,笔记匹配!A:N,6,FALSE)</f>
        <v>110到88 一些减肥小建议｜如何正确运动</v>
      </c>
    </row>
    <row r="46" spans="1:32">
      <c r="A46" s="18" t="s">
        <v>22</v>
      </c>
      <c r="B46" s="18" t="s">
        <v>1042</v>
      </c>
      <c r="C46" s="19">
        <v>14794969</v>
      </c>
      <c r="D46" s="18" t="s">
        <v>209</v>
      </c>
      <c r="E46" s="18" t="s">
        <v>444</v>
      </c>
      <c r="F46" s="18" t="s">
        <v>1043</v>
      </c>
      <c r="G46" s="19">
        <v>2966132</v>
      </c>
      <c r="H46" s="18" t="s">
        <v>1043</v>
      </c>
      <c r="I46" s="19">
        <v>2368658</v>
      </c>
      <c r="J46" s="18" t="s">
        <v>1015</v>
      </c>
      <c r="K46" s="19">
        <v>282.27</v>
      </c>
      <c r="L46" s="19">
        <v>28676</v>
      </c>
      <c r="M46" s="19">
        <v>3868</v>
      </c>
      <c r="N46" s="20">
        <v>0.1349</v>
      </c>
      <c r="O46" s="19">
        <v>0.07</v>
      </c>
      <c r="P46" s="19">
        <v>9.84</v>
      </c>
      <c r="Q46" s="19">
        <v>46</v>
      </c>
      <c r="R46" s="19">
        <v>1</v>
      </c>
      <c r="S46" s="19">
        <v>41</v>
      </c>
      <c r="T46" s="19">
        <v>8</v>
      </c>
      <c r="U46" s="19">
        <v>1</v>
      </c>
      <c r="V46" s="19">
        <v>97</v>
      </c>
      <c r="W46" s="19">
        <v>2.91</v>
      </c>
      <c r="X46" s="19">
        <v>0</v>
      </c>
      <c r="Y46" s="20">
        <v>0</v>
      </c>
      <c r="Z46" s="19">
        <v>6</v>
      </c>
      <c r="AA46" s="19">
        <v>29</v>
      </c>
      <c r="AB46" t="str">
        <f>VLOOKUP(E:E,笔记匹配!A:N,3,FALSE)</f>
        <v>Sophia大大</v>
      </c>
      <c r="AC46" t="str">
        <f>VLOOKUP(E:E,笔记匹配!A:N,2,FALSE)</f>
        <v>筋膜枪</v>
      </c>
      <c r="AD46" t="str">
        <f>VLOOKUP(E:E,笔记匹配!A:N,4,FALSE)</f>
        <v>云麦cc</v>
      </c>
      <c r="AE46" t="str">
        <f>VLOOKUP(E:E,笔记匹配!A:N,14,FALSE)</f>
        <v>云麦筋膜枪cc</v>
      </c>
      <c r="AF46" t="str">
        <f>VLOOKUP(E:E,笔记匹配!A:N,6,FALSE)</f>
        <v>162 46|我悟了！翘臀不粗腿的训练方法!</v>
      </c>
    </row>
    <row r="47" spans="1:32">
      <c r="A47" s="18" t="s">
        <v>23</v>
      </c>
      <c r="B47" s="18" t="s">
        <v>1018</v>
      </c>
      <c r="C47" s="19">
        <v>14752018</v>
      </c>
      <c r="D47" s="18" t="s">
        <v>209</v>
      </c>
      <c r="E47" s="18" t="s">
        <v>516</v>
      </c>
      <c r="F47" s="18" t="s">
        <v>1019</v>
      </c>
      <c r="G47" s="19">
        <v>2959750</v>
      </c>
      <c r="H47" s="18" t="s">
        <v>1020</v>
      </c>
      <c r="I47" s="19">
        <v>2362546</v>
      </c>
      <c r="J47" s="18" t="s">
        <v>1015</v>
      </c>
      <c r="K47" s="19">
        <v>277.58</v>
      </c>
      <c r="L47" s="19">
        <v>45357</v>
      </c>
      <c r="M47" s="19">
        <v>5064</v>
      </c>
      <c r="N47" s="20">
        <v>0.1116</v>
      </c>
      <c r="O47" s="19">
        <v>0.05</v>
      </c>
      <c r="P47" s="19">
        <v>6.12</v>
      </c>
      <c r="Q47" s="19">
        <v>90</v>
      </c>
      <c r="R47" s="19">
        <v>1</v>
      </c>
      <c r="S47" s="19">
        <v>33</v>
      </c>
      <c r="T47" s="19">
        <v>2</v>
      </c>
      <c r="U47" s="19">
        <v>8</v>
      </c>
      <c r="V47" s="19">
        <v>134</v>
      </c>
      <c r="W47" s="19">
        <v>2.07</v>
      </c>
      <c r="X47" s="19">
        <v>0</v>
      </c>
      <c r="Y47" s="20">
        <v>0</v>
      </c>
      <c r="Z47" s="19">
        <v>1</v>
      </c>
      <c r="AA47" s="19">
        <v>4</v>
      </c>
      <c r="AB47" t="str">
        <f>VLOOKUP(E:E,笔记匹配!A:N,3,FALSE)</f>
        <v>爱跳绳的粥粥</v>
      </c>
      <c r="AC47" t="str">
        <f>VLOOKUP(E:E,笔记匹配!A:N,2,FALSE)</f>
        <v>跳绳</v>
      </c>
      <c r="AD47" t="str">
        <f>VLOOKUP(E:E,笔记匹配!A:N,4,FALSE)</f>
        <v>云麦跳绳心率款</v>
      </c>
      <c r="AE47" t="str">
        <f>VLOOKUP(E:E,笔记匹配!A:N,14,FALSE)</f>
        <v>云麦心率跳绳</v>
      </c>
      <c r="AF47" t="str">
        <f>VLOOKUP(E:E,笔记匹配!A:N,6,FALSE)</f>
        <v>坚持跳绳瘦24斤这个高效跳绳组合你一定要跳</v>
      </c>
    </row>
    <row r="48" spans="1:32">
      <c r="A48" s="18" t="s">
        <v>23</v>
      </c>
      <c r="B48" s="18" t="s">
        <v>1023</v>
      </c>
      <c r="C48" s="19">
        <v>14752300</v>
      </c>
      <c r="D48" s="18" t="s">
        <v>196</v>
      </c>
      <c r="E48" s="18" t="s">
        <v>312</v>
      </c>
      <c r="F48" s="18" t="s">
        <v>1024</v>
      </c>
      <c r="G48" s="19">
        <v>2959797</v>
      </c>
      <c r="H48" s="18" t="s">
        <v>1025</v>
      </c>
      <c r="I48" s="19">
        <v>2362567</v>
      </c>
      <c r="J48" s="18" t="s">
        <v>1015</v>
      </c>
      <c r="K48" s="19">
        <v>402.77</v>
      </c>
      <c r="L48" s="19">
        <v>10718</v>
      </c>
      <c r="M48" s="19">
        <v>984</v>
      </c>
      <c r="N48" s="20">
        <v>0.0918</v>
      </c>
      <c r="O48" s="19">
        <v>0.41</v>
      </c>
      <c r="P48" s="19">
        <v>37.58</v>
      </c>
      <c r="Q48" s="19">
        <v>41</v>
      </c>
      <c r="R48" s="19">
        <v>0</v>
      </c>
      <c r="S48" s="19">
        <v>39</v>
      </c>
      <c r="T48" s="19">
        <v>4</v>
      </c>
      <c r="U48" s="19">
        <v>7</v>
      </c>
      <c r="V48" s="19">
        <v>91</v>
      </c>
      <c r="W48" s="19">
        <v>4.43</v>
      </c>
      <c r="X48" s="19">
        <v>0</v>
      </c>
      <c r="Y48" s="20">
        <v>0</v>
      </c>
      <c r="Z48" s="19">
        <v>2</v>
      </c>
      <c r="AA48" s="19">
        <v>1</v>
      </c>
      <c r="AB48" t="str">
        <f>VLOOKUP(E:E,笔记匹配!A:N,3,FALSE)</f>
        <v>郝有金</v>
      </c>
      <c r="AC48" t="str">
        <f>VLOOKUP(E:E,笔记匹配!A:N,2,FALSE)</f>
        <v>筋膜枪</v>
      </c>
      <c r="AD48" t="str">
        <f>VLOOKUP(E:E,笔记匹配!A:N,4,FALSE)</f>
        <v>云麦cc筋膜枪</v>
      </c>
      <c r="AE48" t="str">
        <f>VLOOKUP(E:E,笔记匹配!A:N,14,FALSE)</f>
        <v>云麦筋膜枪cc</v>
      </c>
      <c r="AF48" t="str">
        <f>VLOOKUP(E:E,笔记匹配!A:N,6,FALSE)</f>
        <v>别用错❗️筋膜枪正确使用方法，不同肌肉部位放松大全</v>
      </c>
    </row>
    <row r="49" spans="1:32">
      <c r="A49" s="18" t="s">
        <v>23</v>
      </c>
      <c r="B49" s="18" t="s">
        <v>661</v>
      </c>
      <c r="C49" s="19">
        <v>14752576</v>
      </c>
      <c r="D49" s="18" t="s">
        <v>196</v>
      </c>
      <c r="E49" s="18" t="s">
        <v>553</v>
      </c>
      <c r="F49" s="18" t="s">
        <v>1028</v>
      </c>
      <c r="G49" s="19">
        <v>2959820</v>
      </c>
      <c r="H49" s="18" t="s">
        <v>1029</v>
      </c>
      <c r="I49" s="19">
        <v>2362578</v>
      </c>
      <c r="J49" s="18" t="s">
        <v>1015</v>
      </c>
      <c r="K49" s="19">
        <v>510.08</v>
      </c>
      <c r="L49" s="19">
        <v>14283</v>
      </c>
      <c r="M49" s="19">
        <v>1160</v>
      </c>
      <c r="N49" s="20">
        <v>0.0812</v>
      </c>
      <c r="O49" s="19">
        <v>0.44</v>
      </c>
      <c r="P49" s="19">
        <v>35.71</v>
      </c>
      <c r="Q49" s="19">
        <v>35</v>
      </c>
      <c r="R49" s="19">
        <v>0</v>
      </c>
      <c r="S49" s="19">
        <v>20</v>
      </c>
      <c r="T49" s="19">
        <v>1</v>
      </c>
      <c r="U49" s="19">
        <v>3</v>
      </c>
      <c r="V49" s="19">
        <v>59</v>
      </c>
      <c r="W49" s="19">
        <v>8.65</v>
      </c>
      <c r="X49" s="19">
        <v>0</v>
      </c>
      <c r="Y49" s="20">
        <v>0</v>
      </c>
      <c r="Z49" s="19">
        <v>3</v>
      </c>
      <c r="AA49" s="19">
        <v>4</v>
      </c>
      <c r="AB49" t="str">
        <f>VLOOKUP(E:E,笔记匹配!A:N,3,FALSE)</f>
        <v>圆又圆超爱笑</v>
      </c>
      <c r="AC49" t="str">
        <f>VLOOKUP(E:E,笔记匹配!A:N,2,FALSE)</f>
        <v>筋膜枪</v>
      </c>
      <c r="AD49" t="str">
        <f>VLOOKUP(E:E,笔记匹配!A:N,4,FALSE)</f>
        <v>云麦筋膜枪cc</v>
      </c>
      <c r="AE49" t="str">
        <f>VLOOKUP(E:E,笔记匹配!A:N,14,FALSE)</f>
        <v>云麦筋膜枪cc</v>
      </c>
      <c r="AF49" t="str">
        <f>VLOOKUP(E:E,笔记匹配!A:N,6,FALSE)</f>
        <v>大二女生梨形粗腿逆袭✨这3步带你优化腿型</v>
      </c>
    </row>
    <row r="50" spans="1:32">
      <c r="A50" s="18" t="s">
        <v>23</v>
      </c>
      <c r="B50" s="18" t="s">
        <v>1035</v>
      </c>
      <c r="C50" s="19">
        <v>14752924</v>
      </c>
      <c r="D50" s="18" t="s">
        <v>196</v>
      </c>
      <c r="E50" s="18" t="s">
        <v>519</v>
      </c>
      <c r="F50" s="18" t="s">
        <v>1036</v>
      </c>
      <c r="G50" s="19">
        <v>2959861</v>
      </c>
      <c r="H50" s="18" t="s">
        <v>1037</v>
      </c>
      <c r="I50" s="19">
        <v>2362601</v>
      </c>
      <c r="J50" s="18" t="s">
        <v>1015</v>
      </c>
      <c r="K50" s="19">
        <v>106.3</v>
      </c>
      <c r="L50" s="19">
        <v>11802</v>
      </c>
      <c r="M50" s="19">
        <v>277</v>
      </c>
      <c r="N50" s="20">
        <v>0.0235</v>
      </c>
      <c r="O50" s="19">
        <v>0.38</v>
      </c>
      <c r="P50" s="19">
        <v>9.01</v>
      </c>
      <c r="Q50" s="19">
        <v>3</v>
      </c>
      <c r="R50" s="19">
        <v>0</v>
      </c>
      <c r="S50" s="19">
        <v>6</v>
      </c>
      <c r="T50" s="19">
        <v>1</v>
      </c>
      <c r="U50" s="19">
        <v>0</v>
      </c>
      <c r="V50" s="19">
        <v>10</v>
      </c>
      <c r="W50" s="19">
        <v>10.63</v>
      </c>
      <c r="X50" s="19">
        <v>0</v>
      </c>
      <c r="Y50" s="20">
        <v>0</v>
      </c>
      <c r="Z50" s="19">
        <v>0</v>
      </c>
      <c r="AA50" s="19">
        <v>0</v>
      </c>
      <c r="AB50" t="str">
        <f>VLOOKUP(E:E,笔记匹配!A:N,3,FALSE)</f>
        <v>大敏敏的蜕变日记</v>
      </c>
      <c r="AC50" t="str">
        <f>VLOOKUP(E:E,笔记匹配!A:N,2,FALSE)</f>
        <v>体脂秤</v>
      </c>
      <c r="AD50" t="str">
        <f>VLOOKUP(E:E,笔记匹配!A:N,4,FALSE)</f>
        <v>云麦3mini</v>
      </c>
      <c r="AE50" t="str">
        <f>VLOOKUP(E:E,笔记匹配!A:N,14,FALSE)</f>
        <v>云麦体脂秤3mini</v>
      </c>
      <c r="AF50" t="str">
        <f>VLOOKUP(E:E,笔记匹配!A:N,6,FALSE)</f>
        <v>刘畊宏女孩的21天虐腹计划‼谁练谁瘦💪</v>
      </c>
    </row>
    <row r="51" spans="1:32">
      <c r="A51" s="18" t="s">
        <v>23</v>
      </c>
      <c r="B51" s="18" t="s">
        <v>1038</v>
      </c>
      <c r="C51" s="19">
        <v>14753100</v>
      </c>
      <c r="D51" s="18" t="s">
        <v>209</v>
      </c>
      <c r="E51" s="18" t="s">
        <v>514</v>
      </c>
      <c r="F51" s="18" t="s">
        <v>1039</v>
      </c>
      <c r="G51" s="19">
        <v>2959880</v>
      </c>
      <c r="H51" s="18" t="s">
        <v>1039</v>
      </c>
      <c r="I51" s="19">
        <v>2362615</v>
      </c>
      <c r="J51" s="18" t="s">
        <v>1015</v>
      </c>
      <c r="K51" s="19">
        <v>184.75</v>
      </c>
      <c r="L51" s="19">
        <v>32382</v>
      </c>
      <c r="M51" s="19">
        <v>2398</v>
      </c>
      <c r="N51" s="20">
        <v>0.0741</v>
      </c>
      <c r="O51" s="19">
        <v>0.08</v>
      </c>
      <c r="P51" s="19">
        <v>5.71</v>
      </c>
      <c r="Q51" s="19">
        <v>110</v>
      </c>
      <c r="R51" s="19">
        <v>2</v>
      </c>
      <c r="S51" s="19">
        <v>53</v>
      </c>
      <c r="T51" s="19">
        <v>5</v>
      </c>
      <c r="U51" s="19">
        <v>0</v>
      </c>
      <c r="V51" s="19">
        <v>170</v>
      </c>
      <c r="W51" s="19">
        <v>1.09</v>
      </c>
      <c r="X51" s="19">
        <v>0</v>
      </c>
      <c r="Y51" s="20">
        <v>0</v>
      </c>
      <c r="Z51" s="19">
        <v>0</v>
      </c>
      <c r="AA51" s="19">
        <v>3</v>
      </c>
      <c r="AB51">
        <f>VLOOKUP(E:E,笔记匹配!A:N,3,FALSE)</f>
        <v>-77</v>
      </c>
      <c r="AC51" t="str">
        <f>VLOOKUP(E:E,笔记匹配!A:N,2,FALSE)</f>
        <v>体脂秤</v>
      </c>
      <c r="AD51" t="str">
        <f>VLOOKUP(E:E,笔记匹配!A:N,4,FALSE)</f>
        <v>云麦3mini</v>
      </c>
      <c r="AE51" t="str">
        <f>VLOOKUP(E:E,笔记匹配!A:N,14,FALSE)</f>
        <v>云麦体脂秤3mini</v>
      </c>
      <c r="AF51" t="str">
        <f>VLOOKUP(E:E,笔记匹配!A:N,6,FALSE)</f>
        <v>睡前8min瘦大腿内外侧</v>
      </c>
    </row>
    <row r="52" spans="1:32">
      <c r="A52" s="18" t="s">
        <v>23</v>
      </c>
      <c r="B52" s="18" t="s">
        <v>1040</v>
      </c>
      <c r="C52" s="19">
        <v>14794680</v>
      </c>
      <c r="D52" s="18" t="s">
        <v>209</v>
      </c>
      <c r="E52" s="18" t="s">
        <v>234</v>
      </c>
      <c r="F52" s="18" t="s">
        <v>1041</v>
      </c>
      <c r="G52" s="19">
        <v>2966106</v>
      </c>
      <c r="H52" s="18" t="s">
        <v>1041</v>
      </c>
      <c r="I52" s="19">
        <v>2368633</v>
      </c>
      <c r="J52" s="18" t="s">
        <v>1015</v>
      </c>
      <c r="K52" s="19">
        <v>462.84</v>
      </c>
      <c r="L52" s="19">
        <v>105531</v>
      </c>
      <c r="M52" s="19">
        <v>7329</v>
      </c>
      <c r="N52" s="20">
        <v>0.0694</v>
      </c>
      <c r="O52" s="19">
        <v>0.06</v>
      </c>
      <c r="P52" s="19">
        <v>4.39</v>
      </c>
      <c r="Q52" s="19">
        <v>71</v>
      </c>
      <c r="R52" s="19">
        <v>4</v>
      </c>
      <c r="S52" s="19">
        <v>21</v>
      </c>
      <c r="T52" s="19">
        <v>7</v>
      </c>
      <c r="U52" s="19">
        <v>1</v>
      </c>
      <c r="V52" s="19">
        <v>104</v>
      </c>
      <c r="W52" s="19">
        <v>4.45</v>
      </c>
      <c r="X52" s="19">
        <v>0</v>
      </c>
      <c r="Y52" s="20">
        <v>0</v>
      </c>
      <c r="Z52" s="19">
        <v>5</v>
      </c>
      <c r="AA52" s="19">
        <v>4</v>
      </c>
      <c r="AB52" t="str">
        <f>VLOOKUP(E:E,笔记匹配!A:N,3,FALSE)</f>
        <v>pp</v>
      </c>
      <c r="AC52" t="str">
        <f>VLOOKUP(E:E,笔记匹配!A:N,2,FALSE)</f>
        <v>体脂秤</v>
      </c>
      <c r="AD52" t="str">
        <f>VLOOKUP(E:E,笔记匹配!A:N,4,FALSE)</f>
        <v>云麦体脂秤3mini</v>
      </c>
      <c r="AE52" t="str">
        <f>VLOOKUP(E:E,笔记匹配!A:N,14,FALSE)</f>
        <v>云麦体脂秤3mini</v>
      </c>
      <c r="AF52" t="str">
        <f>VLOOKUP(E:E,笔记匹配!A:N,6,FALSE)</f>
        <v>110到88 一些减肥小建议｜如何正确运动</v>
      </c>
    </row>
    <row r="53" spans="1:32">
      <c r="A53" s="18" t="s">
        <v>23</v>
      </c>
      <c r="B53" s="18" t="s">
        <v>1042</v>
      </c>
      <c r="C53" s="19">
        <v>14794969</v>
      </c>
      <c r="D53" s="18" t="s">
        <v>209</v>
      </c>
      <c r="E53" s="18" t="s">
        <v>444</v>
      </c>
      <c r="F53" s="18" t="s">
        <v>1043</v>
      </c>
      <c r="G53" s="19">
        <v>2966132</v>
      </c>
      <c r="H53" s="18" t="s">
        <v>1043</v>
      </c>
      <c r="I53" s="19">
        <v>2368658</v>
      </c>
      <c r="J53" s="18" t="s">
        <v>1015</v>
      </c>
      <c r="K53" s="19">
        <v>276.07</v>
      </c>
      <c r="L53" s="19">
        <v>33828</v>
      </c>
      <c r="M53" s="19">
        <v>4289</v>
      </c>
      <c r="N53" s="20">
        <v>0.1268</v>
      </c>
      <c r="O53" s="19">
        <v>0.06</v>
      </c>
      <c r="P53" s="19">
        <v>8.16</v>
      </c>
      <c r="Q53" s="19">
        <v>54</v>
      </c>
      <c r="R53" s="19">
        <v>2</v>
      </c>
      <c r="S53" s="19">
        <v>48</v>
      </c>
      <c r="T53" s="19">
        <v>12</v>
      </c>
      <c r="U53" s="19">
        <v>3</v>
      </c>
      <c r="V53" s="19">
        <v>119</v>
      </c>
      <c r="W53" s="19">
        <v>2.32</v>
      </c>
      <c r="X53" s="19">
        <v>0</v>
      </c>
      <c r="Y53" s="20">
        <v>0</v>
      </c>
      <c r="Z53" s="19">
        <v>15</v>
      </c>
      <c r="AA53" s="19">
        <v>26</v>
      </c>
      <c r="AB53" t="str">
        <f>VLOOKUP(E:E,笔记匹配!A:N,3,FALSE)</f>
        <v>Sophia大大</v>
      </c>
      <c r="AC53" t="str">
        <f>VLOOKUP(E:E,笔记匹配!A:N,2,FALSE)</f>
        <v>筋膜枪</v>
      </c>
      <c r="AD53" t="str">
        <f>VLOOKUP(E:E,笔记匹配!A:N,4,FALSE)</f>
        <v>云麦cc</v>
      </c>
      <c r="AE53" t="str">
        <f>VLOOKUP(E:E,笔记匹配!A:N,14,FALSE)</f>
        <v>云麦筋膜枪cc</v>
      </c>
      <c r="AF53" t="str">
        <f>VLOOKUP(E:E,笔记匹配!A:N,6,FALSE)</f>
        <v>162 46|我悟了！翘臀不粗腿的训练方法!</v>
      </c>
    </row>
    <row r="54" spans="1:32">
      <c r="A54" s="18" t="s">
        <v>24</v>
      </c>
      <c r="B54" s="18" t="s">
        <v>1018</v>
      </c>
      <c r="C54" s="19">
        <v>14752018</v>
      </c>
      <c r="D54" s="18" t="s">
        <v>209</v>
      </c>
      <c r="E54" s="18" t="s">
        <v>516</v>
      </c>
      <c r="F54" s="18" t="s">
        <v>1019</v>
      </c>
      <c r="G54" s="19">
        <v>2959750</v>
      </c>
      <c r="H54" s="18" t="s">
        <v>1020</v>
      </c>
      <c r="I54" s="19">
        <v>2362546</v>
      </c>
      <c r="J54" s="18" t="s">
        <v>1015</v>
      </c>
      <c r="K54" s="19">
        <v>275.36</v>
      </c>
      <c r="L54" s="19">
        <v>56289</v>
      </c>
      <c r="M54" s="19">
        <v>6315</v>
      </c>
      <c r="N54" s="20">
        <v>0.1122</v>
      </c>
      <c r="O54" s="19">
        <v>0.04</v>
      </c>
      <c r="P54" s="19">
        <v>4.89</v>
      </c>
      <c r="Q54" s="19">
        <v>71</v>
      </c>
      <c r="R54" s="19">
        <v>7</v>
      </c>
      <c r="S54" s="19">
        <v>47</v>
      </c>
      <c r="T54" s="19">
        <v>8</v>
      </c>
      <c r="U54" s="19">
        <v>8</v>
      </c>
      <c r="V54" s="19">
        <v>141</v>
      </c>
      <c r="W54" s="19">
        <v>1.95</v>
      </c>
      <c r="X54" s="19">
        <v>0</v>
      </c>
      <c r="Y54" s="20">
        <v>0</v>
      </c>
      <c r="Z54" s="19">
        <v>1</v>
      </c>
      <c r="AA54" s="19">
        <v>7</v>
      </c>
      <c r="AB54" t="str">
        <f>VLOOKUP(E:E,笔记匹配!A:N,3,FALSE)</f>
        <v>爱跳绳的粥粥</v>
      </c>
      <c r="AC54" t="str">
        <f>VLOOKUP(E:E,笔记匹配!A:N,2,FALSE)</f>
        <v>跳绳</v>
      </c>
      <c r="AD54" t="str">
        <f>VLOOKUP(E:E,笔记匹配!A:N,4,FALSE)</f>
        <v>云麦跳绳心率款</v>
      </c>
      <c r="AE54" t="str">
        <f>VLOOKUP(E:E,笔记匹配!A:N,14,FALSE)</f>
        <v>云麦心率跳绳</v>
      </c>
      <c r="AF54" t="str">
        <f>VLOOKUP(E:E,笔记匹配!A:N,6,FALSE)</f>
        <v>坚持跳绳瘦24斤这个高效跳绳组合你一定要跳</v>
      </c>
    </row>
    <row r="55" spans="1:32">
      <c r="A55" s="18" t="s">
        <v>24</v>
      </c>
      <c r="B55" s="18" t="s">
        <v>1023</v>
      </c>
      <c r="C55" s="19">
        <v>14752300</v>
      </c>
      <c r="D55" s="18" t="s">
        <v>196</v>
      </c>
      <c r="E55" s="18" t="s">
        <v>312</v>
      </c>
      <c r="F55" s="18" t="s">
        <v>1024</v>
      </c>
      <c r="G55" s="19">
        <v>2959797</v>
      </c>
      <c r="H55" s="18" t="s">
        <v>1025</v>
      </c>
      <c r="I55" s="19">
        <v>2362567</v>
      </c>
      <c r="J55" s="18" t="s">
        <v>1015</v>
      </c>
      <c r="K55" s="19">
        <v>404.53</v>
      </c>
      <c r="L55" s="19">
        <v>7633</v>
      </c>
      <c r="M55" s="19">
        <v>785</v>
      </c>
      <c r="N55" s="20">
        <v>0.1028</v>
      </c>
      <c r="O55" s="19">
        <v>0.52</v>
      </c>
      <c r="P55" s="19">
        <v>53</v>
      </c>
      <c r="Q55" s="19">
        <v>37</v>
      </c>
      <c r="R55" s="19">
        <v>0</v>
      </c>
      <c r="S55" s="19">
        <v>34</v>
      </c>
      <c r="T55" s="19">
        <v>2</v>
      </c>
      <c r="U55" s="19">
        <v>1</v>
      </c>
      <c r="V55" s="19">
        <v>74</v>
      </c>
      <c r="W55" s="19">
        <v>5.47</v>
      </c>
      <c r="X55" s="19">
        <v>0</v>
      </c>
      <c r="Y55" s="20">
        <v>0</v>
      </c>
      <c r="Z55" s="19">
        <v>2</v>
      </c>
      <c r="AA55" s="19">
        <v>0</v>
      </c>
      <c r="AB55" t="str">
        <f>VLOOKUP(E:E,笔记匹配!A:N,3,FALSE)</f>
        <v>郝有金</v>
      </c>
      <c r="AC55" t="str">
        <f>VLOOKUP(E:E,笔记匹配!A:N,2,FALSE)</f>
        <v>筋膜枪</v>
      </c>
      <c r="AD55" t="str">
        <f>VLOOKUP(E:E,笔记匹配!A:N,4,FALSE)</f>
        <v>云麦cc筋膜枪</v>
      </c>
      <c r="AE55" t="str">
        <f>VLOOKUP(E:E,笔记匹配!A:N,14,FALSE)</f>
        <v>云麦筋膜枪cc</v>
      </c>
      <c r="AF55" t="str">
        <f>VLOOKUP(E:E,笔记匹配!A:N,6,FALSE)</f>
        <v>别用错❗️筋膜枪正确使用方法，不同肌肉部位放松大全</v>
      </c>
    </row>
    <row r="56" spans="1:32">
      <c r="A56" s="18" t="s">
        <v>24</v>
      </c>
      <c r="B56" s="18" t="s">
        <v>661</v>
      </c>
      <c r="C56" s="19">
        <v>14752576</v>
      </c>
      <c r="D56" s="18" t="s">
        <v>196</v>
      </c>
      <c r="E56" s="18" t="s">
        <v>553</v>
      </c>
      <c r="F56" s="18" t="s">
        <v>1028</v>
      </c>
      <c r="G56" s="19">
        <v>2959820</v>
      </c>
      <c r="H56" s="18" t="s">
        <v>1029</v>
      </c>
      <c r="I56" s="19">
        <v>2362578</v>
      </c>
      <c r="J56" s="18" t="s">
        <v>1015</v>
      </c>
      <c r="K56" s="19">
        <v>502.44</v>
      </c>
      <c r="L56" s="19">
        <v>13063</v>
      </c>
      <c r="M56" s="19">
        <v>1003</v>
      </c>
      <c r="N56" s="20">
        <v>0.0768</v>
      </c>
      <c r="O56" s="19">
        <v>0.5</v>
      </c>
      <c r="P56" s="19">
        <v>38.46</v>
      </c>
      <c r="Q56" s="19">
        <v>28</v>
      </c>
      <c r="R56" s="19">
        <v>0</v>
      </c>
      <c r="S56" s="19">
        <v>20</v>
      </c>
      <c r="T56" s="19">
        <v>1</v>
      </c>
      <c r="U56" s="19">
        <v>1</v>
      </c>
      <c r="V56" s="19">
        <v>50</v>
      </c>
      <c r="W56" s="19">
        <v>10.05</v>
      </c>
      <c r="X56" s="19">
        <v>0</v>
      </c>
      <c r="Y56" s="20">
        <v>0</v>
      </c>
      <c r="Z56" s="19">
        <v>5</v>
      </c>
      <c r="AA56" s="19">
        <v>3</v>
      </c>
      <c r="AB56" t="str">
        <f>VLOOKUP(E:E,笔记匹配!A:N,3,FALSE)</f>
        <v>圆又圆超爱笑</v>
      </c>
      <c r="AC56" t="str">
        <f>VLOOKUP(E:E,笔记匹配!A:N,2,FALSE)</f>
        <v>筋膜枪</v>
      </c>
      <c r="AD56" t="str">
        <f>VLOOKUP(E:E,笔记匹配!A:N,4,FALSE)</f>
        <v>云麦筋膜枪cc</v>
      </c>
      <c r="AE56" t="str">
        <f>VLOOKUP(E:E,笔记匹配!A:N,14,FALSE)</f>
        <v>云麦筋膜枪cc</v>
      </c>
      <c r="AF56" t="str">
        <f>VLOOKUP(E:E,笔记匹配!A:N,6,FALSE)</f>
        <v>大二女生梨形粗腿逆袭✨这3步带你优化腿型</v>
      </c>
    </row>
    <row r="57" spans="1:32">
      <c r="A57" s="18" t="s">
        <v>24</v>
      </c>
      <c r="B57" s="18" t="s">
        <v>1030</v>
      </c>
      <c r="C57" s="19">
        <v>14752715</v>
      </c>
      <c r="D57" s="18" t="s">
        <v>209</v>
      </c>
      <c r="E57" s="18" t="s">
        <v>459</v>
      </c>
      <c r="F57" s="18" t="s">
        <v>1031</v>
      </c>
      <c r="G57" s="19">
        <v>2959834</v>
      </c>
      <c r="H57" s="18" t="s">
        <v>1031</v>
      </c>
      <c r="I57" s="19">
        <v>2362586</v>
      </c>
      <c r="J57" s="18" t="s">
        <v>1015</v>
      </c>
      <c r="K57" s="19">
        <v>0</v>
      </c>
      <c r="L57" s="19">
        <v>0</v>
      </c>
      <c r="M57" s="19">
        <v>0</v>
      </c>
      <c r="N57" s="20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20">
        <v>0</v>
      </c>
      <c r="Z57" s="19">
        <v>0</v>
      </c>
      <c r="AA57" s="19">
        <v>0</v>
      </c>
      <c r="AB57" t="str">
        <f>VLOOKUP(E:E,笔记匹配!A:N,3,FALSE)</f>
        <v>热锅上的蚂蚁</v>
      </c>
      <c r="AC57" t="str">
        <f>VLOOKUP(E:E,笔记匹配!A:N,2,FALSE)</f>
        <v>筋膜枪</v>
      </c>
      <c r="AD57" t="str">
        <f>VLOOKUP(E:E,笔记匹配!A:N,4,FALSE)</f>
        <v>云麦cc筋膜枪</v>
      </c>
      <c r="AE57" t="str">
        <f>VLOOKUP(E:E,笔记匹配!A:N,14,FALSE)</f>
        <v>云麦筋膜枪cc</v>
      </c>
      <c r="AF57" t="str">
        <f>VLOOKUP(E:E,笔记匹配!A:N,6,FALSE)</f>
        <v>暴汗燃脂毽子操|拉伸放松与筋膜枪按摩</v>
      </c>
    </row>
    <row r="58" spans="1:32">
      <c r="A58" s="18" t="s">
        <v>24</v>
      </c>
      <c r="B58" s="18" t="s">
        <v>1035</v>
      </c>
      <c r="C58" s="19">
        <v>14752924</v>
      </c>
      <c r="D58" s="18" t="s">
        <v>196</v>
      </c>
      <c r="E58" s="18" t="s">
        <v>519</v>
      </c>
      <c r="F58" s="18" t="s">
        <v>1036</v>
      </c>
      <c r="G58" s="19">
        <v>2959861</v>
      </c>
      <c r="H58" s="18" t="s">
        <v>1037</v>
      </c>
      <c r="I58" s="19">
        <v>2362601</v>
      </c>
      <c r="J58" s="18" t="s">
        <v>1015</v>
      </c>
      <c r="K58" s="19">
        <v>137.64</v>
      </c>
      <c r="L58" s="19">
        <v>13294</v>
      </c>
      <c r="M58" s="19">
        <v>348</v>
      </c>
      <c r="N58" s="20">
        <v>0.0262</v>
      </c>
      <c r="O58" s="19">
        <v>0.4</v>
      </c>
      <c r="P58" s="19">
        <v>10.35</v>
      </c>
      <c r="Q58" s="19">
        <v>8</v>
      </c>
      <c r="R58" s="19">
        <v>0</v>
      </c>
      <c r="S58" s="19">
        <v>4</v>
      </c>
      <c r="T58" s="19">
        <v>0</v>
      </c>
      <c r="U58" s="19">
        <v>0</v>
      </c>
      <c r="V58" s="19">
        <v>12</v>
      </c>
      <c r="W58" s="19">
        <v>11.47</v>
      </c>
      <c r="X58" s="19">
        <v>0</v>
      </c>
      <c r="Y58" s="20">
        <v>0</v>
      </c>
      <c r="Z58" s="19">
        <v>0</v>
      </c>
      <c r="AA58" s="19">
        <v>0</v>
      </c>
      <c r="AB58" t="str">
        <f>VLOOKUP(E:E,笔记匹配!A:N,3,FALSE)</f>
        <v>大敏敏的蜕变日记</v>
      </c>
      <c r="AC58" t="str">
        <f>VLOOKUP(E:E,笔记匹配!A:N,2,FALSE)</f>
        <v>体脂秤</v>
      </c>
      <c r="AD58" t="str">
        <f>VLOOKUP(E:E,笔记匹配!A:N,4,FALSE)</f>
        <v>云麦3mini</v>
      </c>
      <c r="AE58" t="str">
        <f>VLOOKUP(E:E,笔记匹配!A:N,14,FALSE)</f>
        <v>云麦体脂秤3mini</v>
      </c>
      <c r="AF58" t="str">
        <f>VLOOKUP(E:E,笔记匹配!A:N,6,FALSE)</f>
        <v>刘畊宏女孩的21天虐腹计划‼谁练谁瘦💪</v>
      </c>
    </row>
    <row r="59" spans="1:32">
      <c r="A59" s="18" t="s">
        <v>24</v>
      </c>
      <c r="B59" s="18" t="s">
        <v>1038</v>
      </c>
      <c r="C59" s="19">
        <v>14753100</v>
      </c>
      <c r="D59" s="18" t="s">
        <v>209</v>
      </c>
      <c r="E59" s="18" t="s">
        <v>514</v>
      </c>
      <c r="F59" s="18" t="s">
        <v>1039</v>
      </c>
      <c r="G59" s="19">
        <v>2959880</v>
      </c>
      <c r="H59" s="18" t="s">
        <v>1039</v>
      </c>
      <c r="I59" s="19">
        <v>2362615</v>
      </c>
      <c r="J59" s="18" t="s">
        <v>1015</v>
      </c>
      <c r="K59" s="19">
        <v>182.98</v>
      </c>
      <c r="L59" s="19">
        <v>23788</v>
      </c>
      <c r="M59" s="19">
        <v>2299</v>
      </c>
      <c r="N59" s="20">
        <v>0.0966</v>
      </c>
      <c r="O59" s="19">
        <v>0.08</v>
      </c>
      <c r="P59" s="19">
        <v>7.69</v>
      </c>
      <c r="Q59" s="19">
        <v>88</v>
      </c>
      <c r="R59" s="19">
        <v>1</v>
      </c>
      <c r="S59" s="19">
        <v>44</v>
      </c>
      <c r="T59" s="19">
        <v>5</v>
      </c>
      <c r="U59" s="19">
        <v>1</v>
      </c>
      <c r="V59" s="19">
        <v>139</v>
      </c>
      <c r="W59" s="19">
        <v>1.32</v>
      </c>
      <c r="X59" s="19">
        <v>0</v>
      </c>
      <c r="Y59" s="20">
        <v>0</v>
      </c>
      <c r="Z59" s="19">
        <v>0</v>
      </c>
      <c r="AA59" s="19">
        <v>6</v>
      </c>
      <c r="AB59">
        <f>VLOOKUP(E:E,笔记匹配!A:N,3,FALSE)</f>
        <v>-77</v>
      </c>
      <c r="AC59" t="str">
        <f>VLOOKUP(E:E,笔记匹配!A:N,2,FALSE)</f>
        <v>体脂秤</v>
      </c>
      <c r="AD59" t="str">
        <f>VLOOKUP(E:E,笔记匹配!A:N,4,FALSE)</f>
        <v>云麦3mini</v>
      </c>
      <c r="AE59" t="str">
        <f>VLOOKUP(E:E,笔记匹配!A:N,14,FALSE)</f>
        <v>云麦体脂秤3mini</v>
      </c>
      <c r="AF59" t="str">
        <f>VLOOKUP(E:E,笔记匹配!A:N,6,FALSE)</f>
        <v>睡前8min瘦大腿内外侧</v>
      </c>
    </row>
    <row r="60" spans="1:32">
      <c r="A60" s="18" t="s">
        <v>24</v>
      </c>
      <c r="B60" s="18" t="s">
        <v>1040</v>
      </c>
      <c r="C60" s="19">
        <v>14794680</v>
      </c>
      <c r="D60" s="18" t="s">
        <v>209</v>
      </c>
      <c r="E60" s="18" t="s">
        <v>234</v>
      </c>
      <c r="F60" s="18" t="s">
        <v>1041</v>
      </c>
      <c r="G60" s="19">
        <v>2966106</v>
      </c>
      <c r="H60" s="18" t="s">
        <v>1041</v>
      </c>
      <c r="I60" s="19">
        <v>2368633</v>
      </c>
      <c r="J60" s="18" t="s">
        <v>1015</v>
      </c>
      <c r="K60" s="19">
        <v>459.63</v>
      </c>
      <c r="L60" s="19">
        <v>88856</v>
      </c>
      <c r="M60" s="19">
        <v>6325</v>
      </c>
      <c r="N60" s="20">
        <v>0.0712</v>
      </c>
      <c r="O60" s="19">
        <v>0.07</v>
      </c>
      <c r="P60" s="19">
        <v>5.17</v>
      </c>
      <c r="Q60" s="19">
        <v>66</v>
      </c>
      <c r="R60" s="19">
        <v>4</v>
      </c>
      <c r="S60" s="19">
        <v>22</v>
      </c>
      <c r="T60" s="19">
        <v>5</v>
      </c>
      <c r="U60" s="19">
        <v>1</v>
      </c>
      <c r="V60" s="19">
        <v>98</v>
      </c>
      <c r="W60" s="19">
        <v>4.69</v>
      </c>
      <c r="X60" s="19">
        <v>0</v>
      </c>
      <c r="Y60" s="20">
        <v>0</v>
      </c>
      <c r="Z60" s="19">
        <v>5</v>
      </c>
      <c r="AA60" s="19">
        <v>2</v>
      </c>
      <c r="AB60" t="str">
        <f>VLOOKUP(E:E,笔记匹配!A:N,3,FALSE)</f>
        <v>pp</v>
      </c>
      <c r="AC60" t="str">
        <f>VLOOKUP(E:E,笔记匹配!A:N,2,FALSE)</f>
        <v>体脂秤</v>
      </c>
      <c r="AD60" t="str">
        <f>VLOOKUP(E:E,笔记匹配!A:N,4,FALSE)</f>
        <v>云麦体脂秤3mini</v>
      </c>
      <c r="AE60" t="str">
        <f>VLOOKUP(E:E,笔记匹配!A:N,14,FALSE)</f>
        <v>云麦体脂秤3mini</v>
      </c>
      <c r="AF60" t="str">
        <f>VLOOKUP(E:E,笔记匹配!A:N,6,FALSE)</f>
        <v>110到88 一些减肥小建议｜如何正确运动</v>
      </c>
    </row>
    <row r="61" spans="1:32">
      <c r="A61" s="18" t="s">
        <v>24</v>
      </c>
      <c r="B61" s="18" t="s">
        <v>1042</v>
      </c>
      <c r="C61" s="19">
        <v>14794969</v>
      </c>
      <c r="D61" s="18" t="s">
        <v>209</v>
      </c>
      <c r="E61" s="18" t="s">
        <v>444</v>
      </c>
      <c r="F61" s="18" t="s">
        <v>1043</v>
      </c>
      <c r="G61" s="19">
        <v>2966132</v>
      </c>
      <c r="H61" s="18" t="s">
        <v>1043</v>
      </c>
      <c r="I61" s="19">
        <v>2368658</v>
      </c>
      <c r="J61" s="18" t="s">
        <v>1015</v>
      </c>
      <c r="K61" s="19">
        <v>276.64</v>
      </c>
      <c r="L61" s="19">
        <v>41360</v>
      </c>
      <c r="M61" s="19">
        <v>4696</v>
      </c>
      <c r="N61" s="20">
        <v>0.1135</v>
      </c>
      <c r="O61" s="19">
        <v>0.06</v>
      </c>
      <c r="P61" s="19">
        <v>6.69</v>
      </c>
      <c r="Q61" s="19">
        <v>89</v>
      </c>
      <c r="R61" s="19">
        <v>6</v>
      </c>
      <c r="S61" s="19">
        <v>55</v>
      </c>
      <c r="T61" s="19">
        <v>1</v>
      </c>
      <c r="U61" s="19">
        <v>6</v>
      </c>
      <c r="V61" s="19">
        <v>157</v>
      </c>
      <c r="W61" s="19">
        <v>1.76</v>
      </c>
      <c r="X61" s="19">
        <v>0</v>
      </c>
      <c r="Y61" s="20">
        <v>0</v>
      </c>
      <c r="Z61" s="19">
        <v>9</v>
      </c>
      <c r="AA61" s="19">
        <v>22</v>
      </c>
      <c r="AB61" t="str">
        <f>VLOOKUP(E:E,笔记匹配!A:N,3,FALSE)</f>
        <v>Sophia大大</v>
      </c>
      <c r="AC61" t="str">
        <f>VLOOKUP(E:E,笔记匹配!A:N,2,FALSE)</f>
        <v>筋膜枪</v>
      </c>
      <c r="AD61" t="str">
        <f>VLOOKUP(E:E,笔记匹配!A:N,4,FALSE)</f>
        <v>云麦cc</v>
      </c>
      <c r="AE61" t="str">
        <f>VLOOKUP(E:E,笔记匹配!A:N,14,FALSE)</f>
        <v>云麦筋膜枪cc</v>
      </c>
      <c r="AF61" t="str">
        <f>VLOOKUP(E:E,笔记匹配!A:N,6,FALSE)</f>
        <v>162 46|我悟了！翘臀不粗腿的训练方法!</v>
      </c>
    </row>
    <row r="62" spans="1:32">
      <c r="A62" s="18" t="s">
        <v>25</v>
      </c>
      <c r="B62" s="18" t="s">
        <v>646</v>
      </c>
      <c r="C62" s="19">
        <v>14439020</v>
      </c>
      <c r="D62" s="18" t="s">
        <v>209</v>
      </c>
      <c r="E62" s="18" t="s">
        <v>519</v>
      </c>
      <c r="F62" s="18" t="s">
        <v>1017</v>
      </c>
      <c r="G62" s="19">
        <v>2918831</v>
      </c>
      <c r="H62" s="18" t="s">
        <v>1017</v>
      </c>
      <c r="I62" s="19">
        <v>2325093</v>
      </c>
      <c r="J62" s="18" t="s">
        <v>1015</v>
      </c>
      <c r="K62" s="19">
        <v>0</v>
      </c>
      <c r="L62" s="19">
        <v>0</v>
      </c>
      <c r="M62" s="19">
        <v>0</v>
      </c>
      <c r="N62" s="20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20">
        <v>0</v>
      </c>
      <c r="Z62" s="19">
        <v>0</v>
      </c>
      <c r="AA62" s="19">
        <v>0</v>
      </c>
      <c r="AB62" t="str">
        <f>VLOOKUP(E:E,笔记匹配!A:N,3,FALSE)</f>
        <v>大敏敏的蜕变日记</v>
      </c>
      <c r="AC62" t="str">
        <f>VLOOKUP(E:E,笔记匹配!A:N,2,FALSE)</f>
        <v>体脂秤</v>
      </c>
      <c r="AD62" t="str">
        <f>VLOOKUP(E:E,笔记匹配!A:N,4,FALSE)</f>
        <v>云麦3mini</v>
      </c>
      <c r="AE62" t="str">
        <f>VLOOKUP(E:E,笔记匹配!A:N,14,FALSE)</f>
        <v>云麦体脂秤3mini</v>
      </c>
      <c r="AF62" t="str">
        <f>VLOOKUP(E:E,笔记匹配!A:N,6,FALSE)</f>
        <v>刘畊宏女孩的21天虐腹计划‼谁练谁瘦💪</v>
      </c>
    </row>
    <row r="63" spans="1:32">
      <c r="A63" s="18" t="s">
        <v>25</v>
      </c>
      <c r="B63" s="18" t="s">
        <v>1018</v>
      </c>
      <c r="C63" s="19">
        <v>14752018</v>
      </c>
      <c r="D63" s="18" t="s">
        <v>209</v>
      </c>
      <c r="E63" s="18" t="s">
        <v>516</v>
      </c>
      <c r="F63" s="18" t="s">
        <v>1019</v>
      </c>
      <c r="G63" s="19">
        <v>2959750</v>
      </c>
      <c r="H63" s="18" t="s">
        <v>1020</v>
      </c>
      <c r="I63" s="19">
        <v>2362546</v>
      </c>
      <c r="J63" s="18" t="s">
        <v>1015</v>
      </c>
      <c r="K63" s="19">
        <v>191.7</v>
      </c>
      <c r="L63" s="19">
        <v>34061</v>
      </c>
      <c r="M63" s="19">
        <v>3582</v>
      </c>
      <c r="N63" s="20">
        <v>0.1052</v>
      </c>
      <c r="O63" s="19">
        <v>0.05</v>
      </c>
      <c r="P63" s="19">
        <v>5.63</v>
      </c>
      <c r="Q63" s="19">
        <v>46</v>
      </c>
      <c r="R63" s="19">
        <v>0</v>
      </c>
      <c r="S63" s="19">
        <v>28</v>
      </c>
      <c r="T63" s="19">
        <v>4</v>
      </c>
      <c r="U63" s="19">
        <v>4</v>
      </c>
      <c r="V63" s="19">
        <v>82</v>
      </c>
      <c r="W63" s="19">
        <v>2.34</v>
      </c>
      <c r="X63" s="19">
        <v>0</v>
      </c>
      <c r="Y63" s="20">
        <v>0</v>
      </c>
      <c r="Z63" s="19">
        <v>1</v>
      </c>
      <c r="AA63" s="19">
        <v>1</v>
      </c>
      <c r="AB63" t="str">
        <f>VLOOKUP(E:E,笔记匹配!A:N,3,FALSE)</f>
        <v>爱跳绳的粥粥</v>
      </c>
      <c r="AC63" t="str">
        <f>VLOOKUP(E:E,笔记匹配!A:N,2,FALSE)</f>
        <v>跳绳</v>
      </c>
      <c r="AD63" t="str">
        <f>VLOOKUP(E:E,笔记匹配!A:N,4,FALSE)</f>
        <v>云麦跳绳心率款</v>
      </c>
      <c r="AE63" t="str">
        <f>VLOOKUP(E:E,笔记匹配!A:N,14,FALSE)</f>
        <v>云麦心率跳绳</v>
      </c>
      <c r="AF63" t="str">
        <f>VLOOKUP(E:E,笔记匹配!A:N,6,FALSE)</f>
        <v>坚持跳绳瘦24斤这个高效跳绳组合你一定要跳</v>
      </c>
    </row>
    <row r="64" spans="1:32">
      <c r="A64" s="18" t="s">
        <v>25</v>
      </c>
      <c r="B64" s="18" t="s">
        <v>1023</v>
      </c>
      <c r="C64" s="19">
        <v>14752300</v>
      </c>
      <c r="D64" s="18" t="s">
        <v>196</v>
      </c>
      <c r="E64" s="18" t="s">
        <v>312</v>
      </c>
      <c r="F64" s="18" t="s">
        <v>1024</v>
      </c>
      <c r="G64" s="19">
        <v>2959797</v>
      </c>
      <c r="H64" s="18" t="s">
        <v>1025</v>
      </c>
      <c r="I64" s="19">
        <v>2362567</v>
      </c>
      <c r="J64" s="18" t="s">
        <v>1015</v>
      </c>
      <c r="K64" s="19">
        <v>407.8</v>
      </c>
      <c r="L64" s="19">
        <v>10128</v>
      </c>
      <c r="M64" s="19">
        <v>942</v>
      </c>
      <c r="N64" s="20">
        <v>0.093</v>
      </c>
      <c r="O64" s="19">
        <v>0.43</v>
      </c>
      <c r="P64" s="19">
        <v>40.26</v>
      </c>
      <c r="Q64" s="19">
        <v>49</v>
      </c>
      <c r="R64" s="19">
        <v>0</v>
      </c>
      <c r="S64" s="19">
        <v>25</v>
      </c>
      <c r="T64" s="19">
        <v>2</v>
      </c>
      <c r="U64" s="19">
        <v>1</v>
      </c>
      <c r="V64" s="19">
        <v>77</v>
      </c>
      <c r="W64" s="19">
        <v>5.3</v>
      </c>
      <c r="X64" s="19">
        <v>0</v>
      </c>
      <c r="Y64" s="20">
        <v>0</v>
      </c>
      <c r="Z64" s="19">
        <v>5</v>
      </c>
      <c r="AA64" s="19">
        <v>0</v>
      </c>
      <c r="AB64" t="str">
        <f>VLOOKUP(E:E,笔记匹配!A:N,3,FALSE)</f>
        <v>郝有金</v>
      </c>
      <c r="AC64" t="str">
        <f>VLOOKUP(E:E,笔记匹配!A:N,2,FALSE)</f>
        <v>筋膜枪</v>
      </c>
      <c r="AD64" t="str">
        <f>VLOOKUP(E:E,笔记匹配!A:N,4,FALSE)</f>
        <v>云麦cc筋膜枪</v>
      </c>
      <c r="AE64" t="str">
        <f>VLOOKUP(E:E,笔记匹配!A:N,14,FALSE)</f>
        <v>云麦筋膜枪cc</v>
      </c>
      <c r="AF64" t="str">
        <f>VLOOKUP(E:E,笔记匹配!A:N,6,FALSE)</f>
        <v>别用错❗️筋膜枪正确使用方法，不同肌肉部位放松大全</v>
      </c>
    </row>
    <row r="65" spans="1:32">
      <c r="A65" s="18" t="s">
        <v>25</v>
      </c>
      <c r="B65" s="18" t="s">
        <v>661</v>
      </c>
      <c r="C65" s="19">
        <v>14752576</v>
      </c>
      <c r="D65" s="18" t="s">
        <v>196</v>
      </c>
      <c r="E65" s="18" t="s">
        <v>553</v>
      </c>
      <c r="F65" s="18" t="s">
        <v>1028</v>
      </c>
      <c r="G65" s="19">
        <v>2959820</v>
      </c>
      <c r="H65" s="18" t="s">
        <v>1029</v>
      </c>
      <c r="I65" s="19">
        <v>2362578</v>
      </c>
      <c r="J65" s="18" t="s">
        <v>1015</v>
      </c>
      <c r="K65" s="19">
        <v>135.68</v>
      </c>
      <c r="L65" s="19">
        <v>4007</v>
      </c>
      <c r="M65" s="19">
        <v>320</v>
      </c>
      <c r="N65" s="20">
        <v>0.0799</v>
      </c>
      <c r="O65" s="19">
        <v>0.42</v>
      </c>
      <c r="P65" s="19">
        <v>33.86</v>
      </c>
      <c r="Q65" s="19">
        <v>8</v>
      </c>
      <c r="R65" s="19">
        <v>0</v>
      </c>
      <c r="S65" s="19">
        <v>6</v>
      </c>
      <c r="T65" s="19">
        <v>0</v>
      </c>
      <c r="U65" s="19">
        <v>1</v>
      </c>
      <c r="V65" s="19">
        <v>15</v>
      </c>
      <c r="W65" s="19">
        <v>9.05</v>
      </c>
      <c r="X65" s="19">
        <v>0</v>
      </c>
      <c r="Y65" s="20">
        <v>0</v>
      </c>
      <c r="Z65" s="19">
        <v>2</v>
      </c>
      <c r="AA65" s="19">
        <v>4</v>
      </c>
      <c r="AB65" t="str">
        <f>VLOOKUP(E:E,笔记匹配!A:N,3,FALSE)</f>
        <v>圆又圆超爱笑</v>
      </c>
      <c r="AC65" t="str">
        <f>VLOOKUP(E:E,笔记匹配!A:N,2,FALSE)</f>
        <v>筋膜枪</v>
      </c>
      <c r="AD65" t="str">
        <f>VLOOKUP(E:E,笔记匹配!A:N,4,FALSE)</f>
        <v>云麦筋膜枪cc</v>
      </c>
      <c r="AE65" t="str">
        <f>VLOOKUP(E:E,笔记匹配!A:N,14,FALSE)</f>
        <v>云麦筋膜枪cc</v>
      </c>
      <c r="AF65" t="str">
        <f>VLOOKUP(E:E,笔记匹配!A:N,6,FALSE)</f>
        <v>大二女生梨形粗腿逆袭✨这3步带你优化腿型</v>
      </c>
    </row>
    <row r="66" spans="1:32">
      <c r="A66" s="18" t="s">
        <v>25</v>
      </c>
      <c r="B66" s="18" t="s">
        <v>1035</v>
      </c>
      <c r="C66" s="19">
        <v>14752924</v>
      </c>
      <c r="D66" s="18" t="s">
        <v>196</v>
      </c>
      <c r="E66" s="18" t="s">
        <v>519</v>
      </c>
      <c r="F66" s="18" t="s">
        <v>1036</v>
      </c>
      <c r="G66" s="19">
        <v>2959861</v>
      </c>
      <c r="H66" s="18" t="s">
        <v>1037</v>
      </c>
      <c r="I66" s="19">
        <v>2362601</v>
      </c>
      <c r="J66" s="18" t="s">
        <v>1015</v>
      </c>
      <c r="K66" s="19">
        <v>0</v>
      </c>
      <c r="L66" s="19">
        <v>32</v>
      </c>
      <c r="M66" s="19">
        <v>0</v>
      </c>
      <c r="N66" s="20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20">
        <v>0</v>
      </c>
      <c r="Z66" s="19">
        <v>0</v>
      </c>
      <c r="AA66" s="19">
        <v>0</v>
      </c>
      <c r="AB66" t="str">
        <f>VLOOKUP(E:E,笔记匹配!A:N,3,FALSE)</f>
        <v>大敏敏的蜕变日记</v>
      </c>
      <c r="AC66" t="str">
        <f>VLOOKUP(E:E,笔记匹配!A:N,2,FALSE)</f>
        <v>体脂秤</v>
      </c>
      <c r="AD66" t="str">
        <f>VLOOKUP(E:E,笔记匹配!A:N,4,FALSE)</f>
        <v>云麦3mini</v>
      </c>
      <c r="AE66" t="str">
        <f>VLOOKUP(E:E,笔记匹配!A:N,14,FALSE)</f>
        <v>云麦体脂秤3mini</v>
      </c>
      <c r="AF66" t="str">
        <f>VLOOKUP(E:E,笔记匹配!A:N,6,FALSE)</f>
        <v>刘畊宏女孩的21天虐腹计划‼谁练谁瘦💪</v>
      </c>
    </row>
    <row r="67" spans="1:32">
      <c r="A67" s="18" t="s">
        <v>25</v>
      </c>
      <c r="B67" s="18" t="s">
        <v>1038</v>
      </c>
      <c r="C67" s="19">
        <v>14753100</v>
      </c>
      <c r="D67" s="18" t="s">
        <v>209</v>
      </c>
      <c r="E67" s="18" t="s">
        <v>514</v>
      </c>
      <c r="F67" s="18" t="s">
        <v>1039</v>
      </c>
      <c r="G67" s="19">
        <v>2959880</v>
      </c>
      <c r="H67" s="18" t="s">
        <v>1039</v>
      </c>
      <c r="I67" s="19">
        <v>2362615</v>
      </c>
      <c r="J67" s="18" t="s">
        <v>1015</v>
      </c>
      <c r="K67" s="19">
        <v>0</v>
      </c>
      <c r="L67" s="19">
        <v>4</v>
      </c>
      <c r="M67" s="19">
        <v>0</v>
      </c>
      <c r="N67" s="20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20">
        <v>0</v>
      </c>
      <c r="Z67" s="19">
        <v>0</v>
      </c>
      <c r="AA67" s="19">
        <v>0</v>
      </c>
      <c r="AB67">
        <f>VLOOKUP(E:E,笔记匹配!A:N,3,FALSE)</f>
        <v>-77</v>
      </c>
      <c r="AC67" t="str">
        <f>VLOOKUP(E:E,笔记匹配!A:N,2,FALSE)</f>
        <v>体脂秤</v>
      </c>
      <c r="AD67" t="str">
        <f>VLOOKUP(E:E,笔记匹配!A:N,4,FALSE)</f>
        <v>云麦3mini</v>
      </c>
      <c r="AE67" t="str">
        <f>VLOOKUP(E:E,笔记匹配!A:N,14,FALSE)</f>
        <v>云麦体脂秤3mini</v>
      </c>
      <c r="AF67" t="str">
        <f>VLOOKUP(E:E,笔记匹配!A:N,6,FALSE)</f>
        <v>睡前8min瘦大腿内外侧</v>
      </c>
    </row>
    <row r="68" spans="1:32">
      <c r="A68" s="18" t="s">
        <v>25</v>
      </c>
      <c r="B68" s="18" t="s">
        <v>1040</v>
      </c>
      <c r="C68" s="19">
        <v>14794680</v>
      </c>
      <c r="D68" s="18" t="s">
        <v>209</v>
      </c>
      <c r="E68" s="18" t="s">
        <v>234</v>
      </c>
      <c r="F68" s="18" t="s">
        <v>1041</v>
      </c>
      <c r="G68" s="19">
        <v>2966106</v>
      </c>
      <c r="H68" s="18" t="s">
        <v>1041</v>
      </c>
      <c r="I68" s="19">
        <v>2368633</v>
      </c>
      <c r="J68" s="18" t="s">
        <v>1015</v>
      </c>
      <c r="K68" s="19">
        <v>218.19</v>
      </c>
      <c r="L68" s="19">
        <v>44553</v>
      </c>
      <c r="M68" s="19">
        <v>3112</v>
      </c>
      <c r="N68" s="20">
        <v>0.0698</v>
      </c>
      <c r="O68" s="19">
        <v>0.07</v>
      </c>
      <c r="P68" s="19">
        <v>4.9</v>
      </c>
      <c r="Q68" s="19">
        <v>28</v>
      </c>
      <c r="R68" s="19">
        <v>3</v>
      </c>
      <c r="S68" s="19">
        <v>5</v>
      </c>
      <c r="T68" s="19">
        <v>3</v>
      </c>
      <c r="U68" s="19">
        <v>1</v>
      </c>
      <c r="V68" s="19">
        <v>40</v>
      </c>
      <c r="W68" s="19">
        <v>5.45</v>
      </c>
      <c r="X68" s="19">
        <v>0</v>
      </c>
      <c r="Y68" s="20">
        <v>0</v>
      </c>
      <c r="Z68" s="19">
        <v>0</v>
      </c>
      <c r="AA68" s="19">
        <v>0</v>
      </c>
      <c r="AB68" t="str">
        <f>VLOOKUP(E:E,笔记匹配!A:N,3,FALSE)</f>
        <v>pp</v>
      </c>
      <c r="AC68" t="str">
        <f>VLOOKUP(E:E,笔记匹配!A:N,2,FALSE)</f>
        <v>体脂秤</v>
      </c>
      <c r="AD68" t="str">
        <f>VLOOKUP(E:E,笔记匹配!A:N,4,FALSE)</f>
        <v>云麦体脂秤3mini</v>
      </c>
      <c r="AE68" t="str">
        <f>VLOOKUP(E:E,笔记匹配!A:N,14,FALSE)</f>
        <v>云麦体脂秤3mini</v>
      </c>
      <c r="AF68" t="str">
        <f>VLOOKUP(E:E,笔记匹配!A:N,6,FALSE)</f>
        <v>110到88 一些减肥小建议｜如何正确运动</v>
      </c>
    </row>
    <row r="69" spans="1:32">
      <c r="A69" s="18" t="s">
        <v>25</v>
      </c>
      <c r="B69" s="18" t="s">
        <v>1042</v>
      </c>
      <c r="C69" s="19">
        <v>14794969</v>
      </c>
      <c r="D69" s="18" t="s">
        <v>209</v>
      </c>
      <c r="E69" s="18" t="s">
        <v>444</v>
      </c>
      <c r="F69" s="18" t="s">
        <v>1043</v>
      </c>
      <c r="G69" s="19">
        <v>2966132</v>
      </c>
      <c r="H69" s="18" t="s">
        <v>1043</v>
      </c>
      <c r="I69" s="19">
        <v>2368658</v>
      </c>
      <c r="J69" s="18" t="s">
        <v>1015</v>
      </c>
      <c r="K69" s="19">
        <v>581.37</v>
      </c>
      <c r="L69" s="19">
        <v>52558</v>
      </c>
      <c r="M69" s="19">
        <v>5903</v>
      </c>
      <c r="N69" s="20">
        <v>0.1123</v>
      </c>
      <c r="O69" s="19">
        <v>0.1</v>
      </c>
      <c r="P69" s="19">
        <v>11.06</v>
      </c>
      <c r="Q69" s="19">
        <v>88</v>
      </c>
      <c r="R69" s="19">
        <v>2</v>
      </c>
      <c r="S69" s="19">
        <v>70</v>
      </c>
      <c r="T69" s="19">
        <v>14</v>
      </c>
      <c r="U69" s="19">
        <v>7</v>
      </c>
      <c r="V69" s="19">
        <v>181</v>
      </c>
      <c r="W69" s="19">
        <v>3.21</v>
      </c>
      <c r="X69" s="19">
        <v>0</v>
      </c>
      <c r="Y69" s="20">
        <v>0</v>
      </c>
      <c r="Z69" s="19">
        <v>9</v>
      </c>
      <c r="AA69" s="19">
        <v>37</v>
      </c>
      <c r="AB69" t="str">
        <f>VLOOKUP(E:E,笔记匹配!A:N,3,FALSE)</f>
        <v>Sophia大大</v>
      </c>
      <c r="AC69" t="str">
        <f>VLOOKUP(E:E,笔记匹配!A:N,2,FALSE)</f>
        <v>筋膜枪</v>
      </c>
      <c r="AD69" t="str">
        <f>VLOOKUP(E:E,笔记匹配!A:N,4,FALSE)</f>
        <v>云麦cc</v>
      </c>
      <c r="AE69" t="str">
        <f>VLOOKUP(E:E,笔记匹配!A:N,14,FALSE)</f>
        <v>云麦筋膜枪cc</v>
      </c>
      <c r="AF69" t="str">
        <f>VLOOKUP(E:E,笔记匹配!A:N,6,FALSE)</f>
        <v>162 46|我悟了！翘臀不粗腿的训练方法!</v>
      </c>
    </row>
    <row r="70" spans="1:32">
      <c r="A70" s="18" t="s">
        <v>25</v>
      </c>
      <c r="B70" s="18" t="s">
        <v>1044</v>
      </c>
      <c r="C70" s="19">
        <v>14795201</v>
      </c>
      <c r="D70" s="18" t="s">
        <v>209</v>
      </c>
      <c r="E70" s="18" t="s">
        <v>518</v>
      </c>
      <c r="F70" s="18" t="s">
        <v>1045</v>
      </c>
      <c r="G70" s="19">
        <v>2966196</v>
      </c>
      <c r="H70" s="18" t="s">
        <v>1046</v>
      </c>
      <c r="I70" s="19">
        <v>2368701</v>
      </c>
      <c r="J70" s="18" t="s">
        <v>1015</v>
      </c>
      <c r="K70" s="19">
        <v>35.44</v>
      </c>
      <c r="L70" s="19">
        <v>1314</v>
      </c>
      <c r="M70" s="19">
        <v>85</v>
      </c>
      <c r="N70" s="20">
        <v>0.0647</v>
      </c>
      <c r="O70" s="19">
        <v>0.42</v>
      </c>
      <c r="P70" s="19">
        <v>26.97</v>
      </c>
      <c r="Q70" s="19">
        <v>5</v>
      </c>
      <c r="R70" s="19">
        <v>0</v>
      </c>
      <c r="S70" s="19">
        <v>6</v>
      </c>
      <c r="T70" s="19">
        <v>2</v>
      </c>
      <c r="U70" s="19">
        <v>0</v>
      </c>
      <c r="V70" s="19">
        <v>13</v>
      </c>
      <c r="W70" s="19">
        <v>2.73</v>
      </c>
      <c r="X70" s="19">
        <v>0</v>
      </c>
      <c r="Y70" s="20">
        <v>0</v>
      </c>
      <c r="Z70" s="19">
        <v>0</v>
      </c>
      <c r="AA70" s="19">
        <v>0</v>
      </c>
      <c r="AB70" t="str">
        <f>VLOOKUP(E:E,笔记匹配!A:N,3,FALSE)</f>
        <v>我是铁核桃也是小百合</v>
      </c>
      <c r="AC70" t="str">
        <f>VLOOKUP(E:E,笔记匹配!A:N,2,FALSE)</f>
        <v>体脂秤</v>
      </c>
      <c r="AD70" t="str">
        <f>VLOOKUP(E:E,笔记匹配!A:N,4,FALSE)</f>
        <v>云麦体脂秤3</v>
      </c>
      <c r="AE70" t="str">
        <f>VLOOKUP(E:E,笔记匹配!A:N,14,FALSE)</f>
        <v>云麦体脂秤3</v>
      </c>
      <c r="AF70" t="str">
        <f>VLOOKUP(E:E,笔记匹配!A:N,6,FALSE)</f>
        <v>产后5大阶段恢复必做事‼️错过多花3年补‼️</v>
      </c>
    </row>
    <row r="71" spans="1:32">
      <c r="A71" s="18" t="s">
        <v>25</v>
      </c>
      <c r="B71" s="18" t="s">
        <v>1047</v>
      </c>
      <c r="C71" s="19">
        <v>14932478</v>
      </c>
      <c r="D71" s="18" t="s">
        <v>196</v>
      </c>
      <c r="E71" s="18" t="s">
        <v>514</v>
      </c>
      <c r="F71" s="18" t="s">
        <v>1048</v>
      </c>
      <c r="G71" s="19">
        <v>2978792</v>
      </c>
      <c r="H71" s="18" t="s">
        <v>1049</v>
      </c>
      <c r="I71" s="19">
        <v>2380738</v>
      </c>
      <c r="J71" s="18" t="s">
        <v>1015</v>
      </c>
      <c r="K71" s="19">
        <v>270.79</v>
      </c>
      <c r="L71" s="19">
        <v>14397</v>
      </c>
      <c r="M71" s="19">
        <v>354</v>
      </c>
      <c r="N71" s="20">
        <v>0.0246</v>
      </c>
      <c r="O71" s="19">
        <v>0.76</v>
      </c>
      <c r="P71" s="19">
        <v>18.81</v>
      </c>
      <c r="Q71" s="19">
        <v>12</v>
      </c>
      <c r="R71" s="19">
        <v>0</v>
      </c>
      <c r="S71" s="19">
        <v>11</v>
      </c>
      <c r="T71" s="19">
        <v>1</v>
      </c>
      <c r="U71" s="19">
        <v>0</v>
      </c>
      <c r="V71" s="19">
        <v>24</v>
      </c>
      <c r="W71" s="19">
        <v>11.28</v>
      </c>
      <c r="X71" s="19">
        <v>0</v>
      </c>
      <c r="Y71" s="20">
        <v>0</v>
      </c>
      <c r="Z71" s="19">
        <v>0</v>
      </c>
      <c r="AA71" s="19">
        <v>0</v>
      </c>
      <c r="AB71">
        <f>VLOOKUP(E:E,笔记匹配!A:N,3,FALSE)</f>
        <v>-77</v>
      </c>
      <c r="AC71" t="str">
        <f>VLOOKUP(E:E,笔记匹配!A:N,2,FALSE)</f>
        <v>体脂秤</v>
      </c>
      <c r="AD71" t="str">
        <f>VLOOKUP(E:E,笔记匹配!A:N,4,FALSE)</f>
        <v>云麦3mini</v>
      </c>
      <c r="AE71" t="str">
        <f>VLOOKUP(E:E,笔记匹配!A:N,14,FALSE)</f>
        <v>云麦体脂秤3mini</v>
      </c>
      <c r="AF71" t="str">
        <f>VLOOKUP(E:E,笔记匹配!A:N,6,FALSE)</f>
        <v>睡前8min瘦大腿内外侧</v>
      </c>
    </row>
    <row r="72" spans="1:32">
      <c r="A72" s="18" t="s">
        <v>25</v>
      </c>
      <c r="B72" s="18" t="s">
        <v>1050</v>
      </c>
      <c r="C72" s="19">
        <v>14932581</v>
      </c>
      <c r="D72" s="18" t="s">
        <v>209</v>
      </c>
      <c r="E72" s="18" t="s">
        <v>513</v>
      </c>
      <c r="F72" s="18" t="s">
        <v>1051</v>
      </c>
      <c r="G72" s="19">
        <v>2978801</v>
      </c>
      <c r="H72" s="18" t="s">
        <v>1051</v>
      </c>
      <c r="I72" s="19">
        <v>2380750</v>
      </c>
      <c r="J72" s="18" t="s">
        <v>1015</v>
      </c>
      <c r="K72" s="19">
        <v>276.28</v>
      </c>
      <c r="L72" s="19">
        <v>21229</v>
      </c>
      <c r="M72" s="19">
        <v>5910</v>
      </c>
      <c r="N72" s="20">
        <v>0.2784</v>
      </c>
      <c r="O72" s="19">
        <v>0.05</v>
      </c>
      <c r="P72" s="19">
        <v>13.01</v>
      </c>
      <c r="Q72" s="19">
        <v>29</v>
      </c>
      <c r="R72" s="19">
        <v>10</v>
      </c>
      <c r="S72" s="19">
        <v>5</v>
      </c>
      <c r="T72" s="19">
        <v>5</v>
      </c>
      <c r="U72" s="19">
        <v>3</v>
      </c>
      <c r="V72" s="19">
        <v>52</v>
      </c>
      <c r="W72" s="19">
        <v>5.31</v>
      </c>
      <c r="X72" s="19">
        <v>1</v>
      </c>
      <c r="Y72" s="20">
        <v>0.0002</v>
      </c>
      <c r="Z72" s="19">
        <v>13</v>
      </c>
      <c r="AA72" s="19">
        <v>20</v>
      </c>
      <c r="AB72" t="str">
        <f>VLOOKUP(E:E,笔记匹配!A:N,3,FALSE)</f>
        <v>大桐yoto</v>
      </c>
      <c r="AC72" t="str">
        <f>VLOOKUP(E:E,笔记匹配!A:N,2,FALSE)</f>
        <v>跳绳</v>
      </c>
      <c r="AD72" t="str">
        <f>VLOOKUP(E:E,笔记匹配!A:N,4,FALSE)</f>
        <v>云麦3mini</v>
      </c>
      <c r="AE72" t="str">
        <f>VLOOKUP(E:E,笔记匹配!A:N,14,FALSE)</f>
        <v>云麦体脂秤3mini</v>
      </c>
      <c r="AF72" t="str">
        <f>VLOOKUP(E:E,笔记匹配!A:N,6,FALSE)</f>
        <v>减肥就是要饿｜饮食和运动的完整计划在这里</v>
      </c>
    </row>
    <row r="73" spans="1:32">
      <c r="A73" s="18" t="s">
        <v>25</v>
      </c>
      <c r="B73" s="18" t="s">
        <v>1052</v>
      </c>
      <c r="C73" s="19">
        <v>14932668</v>
      </c>
      <c r="D73" s="18" t="s">
        <v>209</v>
      </c>
      <c r="E73" s="18" t="s">
        <v>512</v>
      </c>
      <c r="F73" s="18" t="s">
        <v>1053</v>
      </c>
      <c r="G73" s="19">
        <v>2978810</v>
      </c>
      <c r="H73" s="18" t="s">
        <v>1053</v>
      </c>
      <c r="I73" s="19">
        <v>2380758</v>
      </c>
      <c r="J73" s="18" t="s">
        <v>1015</v>
      </c>
      <c r="K73" s="19">
        <v>291.74</v>
      </c>
      <c r="L73" s="19">
        <v>36399</v>
      </c>
      <c r="M73" s="19">
        <v>1781</v>
      </c>
      <c r="N73" s="20">
        <v>0.0489</v>
      </c>
      <c r="O73" s="19">
        <v>0.16</v>
      </c>
      <c r="P73" s="19">
        <v>8.02</v>
      </c>
      <c r="Q73" s="19">
        <v>99</v>
      </c>
      <c r="R73" s="19">
        <v>0</v>
      </c>
      <c r="S73" s="19">
        <v>121</v>
      </c>
      <c r="T73" s="19">
        <v>5</v>
      </c>
      <c r="U73" s="19">
        <v>4</v>
      </c>
      <c r="V73" s="19">
        <v>229</v>
      </c>
      <c r="W73" s="19">
        <v>1.27</v>
      </c>
      <c r="X73" s="19">
        <v>0</v>
      </c>
      <c r="Y73" s="20">
        <v>0</v>
      </c>
      <c r="Z73" s="19">
        <v>0</v>
      </c>
      <c r="AA73" s="19">
        <v>0</v>
      </c>
      <c r="AB73" t="str">
        <f>VLOOKUP(E:E,笔记匹配!A:N,3,FALSE)</f>
        <v>爱上健身的Amy</v>
      </c>
      <c r="AC73" t="str">
        <f>VLOOKUP(E:E,笔记匹配!A:N,2,FALSE)</f>
        <v>体脂秤</v>
      </c>
      <c r="AD73" t="str">
        <f>VLOOKUP(E:E,笔记匹配!A:N,4,FALSE)</f>
        <v>云麦体脂秤3mini</v>
      </c>
      <c r="AE73" t="str">
        <f>VLOOKUP(E:E,笔记匹配!A:N,14,FALSE)</f>
        <v>云麦体脂秤3mini</v>
      </c>
      <c r="AF73" t="str">
        <f>VLOOKUP(E:E,笔记匹配!A:N,6,FALSE)</f>
        <v>玛丽姐6分钟快速瘦肚子🔥腰围已瘦8cm</v>
      </c>
    </row>
    <row r="74" spans="1:32">
      <c r="A74" s="18" t="s">
        <v>26</v>
      </c>
      <c r="B74" s="18" t="s">
        <v>1018</v>
      </c>
      <c r="C74" s="19">
        <v>14752018</v>
      </c>
      <c r="D74" s="18" t="s">
        <v>209</v>
      </c>
      <c r="E74" s="18" t="s">
        <v>516</v>
      </c>
      <c r="F74" s="18" t="s">
        <v>1019</v>
      </c>
      <c r="G74" s="19">
        <v>2959750</v>
      </c>
      <c r="H74" s="18" t="s">
        <v>1020</v>
      </c>
      <c r="I74" s="19">
        <v>2362546</v>
      </c>
      <c r="J74" s="18" t="s">
        <v>1015</v>
      </c>
      <c r="K74" s="19">
        <v>16.19</v>
      </c>
      <c r="L74" s="19">
        <v>1758</v>
      </c>
      <c r="M74" s="19">
        <v>270</v>
      </c>
      <c r="N74" s="20">
        <v>0.1536</v>
      </c>
      <c r="O74" s="19">
        <v>0.06</v>
      </c>
      <c r="P74" s="19">
        <v>9.21</v>
      </c>
      <c r="Q74" s="19">
        <v>4</v>
      </c>
      <c r="R74" s="19">
        <v>0</v>
      </c>
      <c r="S74" s="19">
        <v>3</v>
      </c>
      <c r="T74" s="19">
        <v>1</v>
      </c>
      <c r="U74" s="19">
        <v>0</v>
      </c>
      <c r="V74" s="19">
        <v>8</v>
      </c>
      <c r="W74" s="19">
        <v>2.02</v>
      </c>
      <c r="X74" s="19">
        <v>0</v>
      </c>
      <c r="Y74" s="20">
        <v>0</v>
      </c>
      <c r="Z74" s="19">
        <v>0</v>
      </c>
      <c r="AA74" s="19">
        <v>1</v>
      </c>
      <c r="AB74" t="str">
        <f>VLOOKUP(E:E,笔记匹配!A:N,3,FALSE)</f>
        <v>爱跳绳的粥粥</v>
      </c>
      <c r="AC74" t="str">
        <f>VLOOKUP(E:E,笔记匹配!A:N,2,FALSE)</f>
        <v>跳绳</v>
      </c>
      <c r="AD74" t="str">
        <f>VLOOKUP(E:E,笔记匹配!A:N,4,FALSE)</f>
        <v>云麦跳绳心率款</v>
      </c>
      <c r="AE74" t="str">
        <f>VLOOKUP(E:E,笔记匹配!A:N,14,FALSE)</f>
        <v>云麦心率跳绳</v>
      </c>
      <c r="AF74" t="str">
        <f>VLOOKUP(E:E,笔记匹配!A:N,6,FALSE)</f>
        <v>坚持跳绳瘦24斤这个高效跳绳组合你一定要跳</v>
      </c>
    </row>
    <row r="75" spans="1:32">
      <c r="A75" s="18" t="s">
        <v>26</v>
      </c>
      <c r="B75" s="18" t="s">
        <v>1023</v>
      </c>
      <c r="C75" s="19">
        <v>14752300</v>
      </c>
      <c r="D75" s="18" t="s">
        <v>196</v>
      </c>
      <c r="E75" s="18" t="s">
        <v>312</v>
      </c>
      <c r="F75" s="18" t="s">
        <v>1024</v>
      </c>
      <c r="G75" s="19">
        <v>2959797</v>
      </c>
      <c r="H75" s="18" t="s">
        <v>1025</v>
      </c>
      <c r="I75" s="19">
        <v>2362567</v>
      </c>
      <c r="J75" s="18" t="s">
        <v>1015</v>
      </c>
      <c r="K75" s="19">
        <v>512.81</v>
      </c>
      <c r="L75" s="19">
        <v>6272</v>
      </c>
      <c r="M75" s="19">
        <v>483</v>
      </c>
      <c r="N75" s="20">
        <v>0.077</v>
      </c>
      <c r="O75" s="19">
        <v>1.06</v>
      </c>
      <c r="P75" s="19">
        <v>81.76</v>
      </c>
      <c r="Q75" s="19">
        <v>22</v>
      </c>
      <c r="R75" s="19">
        <v>0</v>
      </c>
      <c r="S75" s="19">
        <v>24</v>
      </c>
      <c r="T75" s="19">
        <v>0</v>
      </c>
      <c r="U75" s="19">
        <v>3</v>
      </c>
      <c r="V75" s="19">
        <v>49</v>
      </c>
      <c r="W75" s="19">
        <v>10.47</v>
      </c>
      <c r="X75" s="19">
        <v>0</v>
      </c>
      <c r="Y75" s="20">
        <v>0</v>
      </c>
      <c r="Z75" s="19">
        <v>1</v>
      </c>
      <c r="AA75" s="19">
        <v>1</v>
      </c>
      <c r="AB75" t="str">
        <f>VLOOKUP(E:E,笔记匹配!A:N,3,FALSE)</f>
        <v>郝有金</v>
      </c>
      <c r="AC75" t="str">
        <f>VLOOKUP(E:E,笔记匹配!A:N,2,FALSE)</f>
        <v>筋膜枪</v>
      </c>
      <c r="AD75" t="str">
        <f>VLOOKUP(E:E,笔记匹配!A:N,4,FALSE)</f>
        <v>云麦cc筋膜枪</v>
      </c>
      <c r="AE75" t="str">
        <f>VLOOKUP(E:E,笔记匹配!A:N,14,FALSE)</f>
        <v>云麦筋膜枪cc</v>
      </c>
      <c r="AF75" t="str">
        <f>VLOOKUP(E:E,笔记匹配!A:N,6,FALSE)</f>
        <v>别用错❗️筋膜枪正确使用方法，不同肌肉部位放松大全</v>
      </c>
    </row>
    <row r="76" spans="1:32">
      <c r="A76" s="18" t="s">
        <v>26</v>
      </c>
      <c r="B76" s="18" t="s">
        <v>661</v>
      </c>
      <c r="C76" s="19">
        <v>14752576</v>
      </c>
      <c r="D76" s="18" t="s">
        <v>196</v>
      </c>
      <c r="E76" s="18" t="s">
        <v>553</v>
      </c>
      <c r="F76" s="18" t="s">
        <v>1028</v>
      </c>
      <c r="G76" s="19">
        <v>2959820</v>
      </c>
      <c r="H76" s="18" t="s">
        <v>1029</v>
      </c>
      <c r="I76" s="19">
        <v>2362578</v>
      </c>
      <c r="J76" s="18" t="s">
        <v>1015</v>
      </c>
      <c r="K76" s="19">
        <v>716.17</v>
      </c>
      <c r="L76" s="19">
        <v>20565</v>
      </c>
      <c r="M76" s="19">
        <v>1674</v>
      </c>
      <c r="N76" s="20">
        <v>0.0814</v>
      </c>
      <c r="O76" s="19">
        <v>0.43</v>
      </c>
      <c r="P76" s="19">
        <v>34.82</v>
      </c>
      <c r="Q76" s="19">
        <v>28</v>
      </c>
      <c r="R76" s="19">
        <v>2</v>
      </c>
      <c r="S76" s="19">
        <v>21</v>
      </c>
      <c r="T76" s="19">
        <v>1</v>
      </c>
      <c r="U76" s="19">
        <v>0</v>
      </c>
      <c r="V76" s="19">
        <v>52</v>
      </c>
      <c r="W76" s="19">
        <v>13.77</v>
      </c>
      <c r="X76" s="19">
        <v>0</v>
      </c>
      <c r="Y76" s="20">
        <v>0</v>
      </c>
      <c r="Z76" s="19">
        <v>0</v>
      </c>
      <c r="AA76" s="19">
        <v>4</v>
      </c>
      <c r="AB76" t="str">
        <f>VLOOKUP(E:E,笔记匹配!A:N,3,FALSE)</f>
        <v>圆又圆超爱笑</v>
      </c>
      <c r="AC76" t="str">
        <f>VLOOKUP(E:E,笔记匹配!A:N,2,FALSE)</f>
        <v>筋膜枪</v>
      </c>
      <c r="AD76" t="str">
        <f>VLOOKUP(E:E,笔记匹配!A:N,4,FALSE)</f>
        <v>云麦筋膜枪cc</v>
      </c>
      <c r="AE76" t="str">
        <f>VLOOKUP(E:E,笔记匹配!A:N,14,FALSE)</f>
        <v>云麦筋膜枪cc</v>
      </c>
      <c r="AF76" t="str">
        <f>VLOOKUP(E:E,笔记匹配!A:N,6,FALSE)</f>
        <v>大二女生梨形粗腿逆袭✨这3步带你优化腿型</v>
      </c>
    </row>
    <row r="77" spans="1:32">
      <c r="A77" s="18" t="s">
        <v>26</v>
      </c>
      <c r="B77" s="18" t="s">
        <v>1040</v>
      </c>
      <c r="C77" s="19">
        <v>14794680</v>
      </c>
      <c r="D77" s="18" t="s">
        <v>209</v>
      </c>
      <c r="E77" s="18" t="s">
        <v>234</v>
      </c>
      <c r="F77" s="18" t="s">
        <v>1041</v>
      </c>
      <c r="G77" s="19">
        <v>2966106</v>
      </c>
      <c r="H77" s="18" t="s">
        <v>1041</v>
      </c>
      <c r="I77" s="19">
        <v>2368633</v>
      </c>
      <c r="J77" s="18" t="s">
        <v>1015</v>
      </c>
      <c r="K77" s="19">
        <v>1872.02</v>
      </c>
      <c r="L77" s="19">
        <v>185341</v>
      </c>
      <c r="M77" s="19">
        <v>10984</v>
      </c>
      <c r="N77" s="20">
        <v>0.0593</v>
      </c>
      <c r="O77" s="19">
        <v>0.17</v>
      </c>
      <c r="P77" s="19">
        <v>10.1</v>
      </c>
      <c r="Q77" s="19">
        <v>152</v>
      </c>
      <c r="R77" s="19">
        <v>6</v>
      </c>
      <c r="S77" s="19">
        <v>37</v>
      </c>
      <c r="T77" s="19">
        <v>14</v>
      </c>
      <c r="U77" s="19">
        <v>2</v>
      </c>
      <c r="V77" s="19">
        <v>211</v>
      </c>
      <c r="W77" s="19">
        <v>8.87</v>
      </c>
      <c r="X77" s="19">
        <v>0</v>
      </c>
      <c r="Y77" s="20">
        <v>0</v>
      </c>
      <c r="Z77" s="19">
        <v>7</v>
      </c>
      <c r="AA77" s="19">
        <v>1</v>
      </c>
      <c r="AB77" t="str">
        <f>VLOOKUP(E:E,笔记匹配!A:N,3,FALSE)</f>
        <v>pp</v>
      </c>
      <c r="AC77" t="str">
        <f>VLOOKUP(E:E,笔记匹配!A:N,2,FALSE)</f>
        <v>体脂秤</v>
      </c>
      <c r="AD77" t="str">
        <f>VLOOKUP(E:E,笔记匹配!A:N,4,FALSE)</f>
        <v>云麦体脂秤3mini</v>
      </c>
      <c r="AE77" t="str">
        <f>VLOOKUP(E:E,笔记匹配!A:N,14,FALSE)</f>
        <v>云麦体脂秤3mini</v>
      </c>
      <c r="AF77" t="str">
        <f>VLOOKUP(E:E,笔记匹配!A:N,6,FALSE)</f>
        <v>110到88 一些减肥小建议｜如何正确运动</v>
      </c>
    </row>
    <row r="78" spans="1:32">
      <c r="A78" s="18" t="s">
        <v>26</v>
      </c>
      <c r="B78" s="18" t="s">
        <v>1042</v>
      </c>
      <c r="C78" s="19">
        <v>14794969</v>
      </c>
      <c r="D78" s="18" t="s">
        <v>209</v>
      </c>
      <c r="E78" s="18" t="s">
        <v>444</v>
      </c>
      <c r="F78" s="18" t="s">
        <v>1043</v>
      </c>
      <c r="G78" s="19">
        <v>2966132</v>
      </c>
      <c r="H78" s="18" t="s">
        <v>1043</v>
      </c>
      <c r="I78" s="19">
        <v>2368658</v>
      </c>
      <c r="J78" s="18" t="s">
        <v>1015</v>
      </c>
      <c r="K78" s="19">
        <v>1914.24</v>
      </c>
      <c r="L78" s="19">
        <v>147665</v>
      </c>
      <c r="M78" s="19">
        <v>14816</v>
      </c>
      <c r="N78" s="20">
        <v>0.1003</v>
      </c>
      <c r="O78" s="19">
        <v>0.13</v>
      </c>
      <c r="P78" s="19">
        <v>12.96</v>
      </c>
      <c r="Q78" s="19">
        <v>407</v>
      </c>
      <c r="R78" s="19">
        <v>10</v>
      </c>
      <c r="S78" s="19">
        <v>239</v>
      </c>
      <c r="T78" s="19">
        <v>35</v>
      </c>
      <c r="U78" s="19">
        <v>17</v>
      </c>
      <c r="V78" s="19">
        <v>708</v>
      </c>
      <c r="W78" s="19">
        <v>2.7</v>
      </c>
      <c r="X78" s="19">
        <v>0</v>
      </c>
      <c r="Y78" s="20">
        <v>0</v>
      </c>
      <c r="Z78" s="19">
        <v>43</v>
      </c>
      <c r="AA78" s="19">
        <v>117</v>
      </c>
      <c r="AB78" t="str">
        <f>VLOOKUP(E:E,笔记匹配!A:N,3,FALSE)</f>
        <v>Sophia大大</v>
      </c>
      <c r="AC78" t="str">
        <f>VLOOKUP(E:E,笔记匹配!A:N,2,FALSE)</f>
        <v>筋膜枪</v>
      </c>
      <c r="AD78" t="str">
        <f>VLOOKUP(E:E,笔记匹配!A:N,4,FALSE)</f>
        <v>云麦cc</v>
      </c>
      <c r="AE78" t="str">
        <f>VLOOKUP(E:E,笔记匹配!A:N,14,FALSE)</f>
        <v>云麦筋膜枪cc</v>
      </c>
      <c r="AF78" t="str">
        <f>VLOOKUP(E:E,笔记匹配!A:N,6,FALSE)</f>
        <v>162 46|我悟了！翘臀不粗腿的训练方法!</v>
      </c>
    </row>
    <row r="79" spans="1:32">
      <c r="A79" s="18" t="s">
        <v>26</v>
      </c>
      <c r="B79" s="18" t="s">
        <v>1044</v>
      </c>
      <c r="C79" s="19">
        <v>14795201</v>
      </c>
      <c r="D79" s="18" t="s">
        <v>209</v>
      </c>
      <c r="E79" s="18" t="s">
        <v>518</v>
      </c>
      <c r="F79" s="18" t="s">
        <v>1045</v>
      </c>
      <c r="G79" s="19">
        <v>2966196</v>
      </c>
      <c r="H79" s="18" t="s">
        <v>1046</v>
      </c>
      <c r="I79" s="19">
        <v>2368701</v>
      </c>
      <c r="J79" s="18" t="s">
        <v>1015</v>
      </c>
      <c r="K79" s="19">
        <v>2.59</v>
      </c>
      <c r="L79" s="19">
        <v>44</v>
      </c>
      <c r="M79" s="19">
        <v>4</v>
      </c>
      <c r="N79" s="20">
        <v>0.0909</v>
      </c>
      <c r="O79" s="19">
        <v>0.65</v>
      </c>
      <c r="P79" s="19">
        <v>58.86</v>
      </c>
      <c r="Q79" s="19">
        <v>0</v>
      </c>
      <c r="R79" s="19">
        <v>0</v>
      </c>
      <c r="S79" s="19">
        <v>1</v>
      </c>
      <c r="T79" s="19">
        <v>0</v>
      </c>
      <c r="U79" s="19">
        <v>0</v>
      </c>
      <c r="V79" s="19">
        <v>1</v>
      </c>
      <c r="W79" s="19">
        <v>2.59</v>
      </c>
      <c r="X79" s="19">
        <v>0</v>
      </c>
      <c r="Y79" s="20">
        <v>0</v>
      </c>
      <c r="Z79" s="19">
        <v>0</v>
      </c>
      <c r="AA79" s="19">
        <v>0</v>
      </c>
      <c r="AB79" t="str">
        <f>VLOOKUP(E:E,笔记匹配!A:N,3,FALSE)</f>
        <v>我是铁核桃也是小百合</v>
      </c>
      <c r="AC79" t="str">
        <f>VLOOKUP(E:E,笔记匹配!A:N,2,FALSE)</f>
        <v>体脂秤</v>
      </c>
      <c r="AD79" t="str">
        <f>VLOOKUP(E:E,笔记匹配!A:N,4,FALSE)</f>
        <v>云麦体脂秤3</v>
      </c>
      <c r="AE79" t="str">
        <f>VLOOKUP(E:E,笔记匹配!A:N,14,FALSE)</f>
        <v>云麦体脂秤3</v>
      </c>
      <c r="AF79" t="str">
        <f>VLOOKUP(E:E,笔记匹配!A:N,6,FALSE)</f>
        <v>产后5大阶段恢复必做事‼️错过多花3年补‼️</v>
      </c>
    </row>
    <row r="80" spans="1:32">
      <c r="A80" s="18" t="s">
        <v>26</v>
      </c>
      <c r="B80" s="18" t="s">
        <v>1047</v>
      </c>
      <c r="C80" s="19">
        <v>14932478</v>
      </c>
      <c r="D80" s="18" t="s">
        <v>196</v>
      </c>
      <c r="E80" s="18" t="s">
        <v>514</v>
      </c>
      <c r="F80" s="18" t="s">
        <v>1048</v>
      </c>
      <c r="G80" s="19">
        <v>2978792</v>
      </c>
      <c r="H80" s="18" t="s">
        <v>1049</v>
      </c>
      <c r="I80" s="19">
        <v>2380738</v>
      </c>
      <c r="J80" s="18" t="s">
        <v>1015</v>
      </c>
      <c r="K80" s="19">
        <v>169.56</v>
      </c>
      <c r="L80" s="19">
        <v>12815</v>
      </c>
      <c r="M80" s="19">
        <v>244</v>
      </c>
      <c r="N80" s="20">
        <v>0.019</v>
      </c>
      <c r="O80" s="19">
        <v>0.69</v>
      </c>
      <c r="P80" s="19">
        <v>13.23</v>
      </c>
      <c r="Q80" s="19">
        <v>12</v>
      </c>
      <c r="R80" s="19">
        <v>0</v>
      </c>
      <c r="S80" s="19">
        <v>6</v>
      </c>
      <c r="T80" s="19">
        <v>1</v>
      </c>
      <c r="U80" s="19">
        <v>0</v>
      </c>
      <c r="V80" s="19">
        <v>19</v>
      </c>
      <c r="W80" s="19">
        <v>8.92</v>
      </c>
      <c r="X80" s="19">
        <v>0</v>
      </c>
      <c r="Y80" s="20">
        <v>0</v>
      </c>
      <c r="Z80" s="19">
        <v>0</v>
      </c>
      <c r="AA80" s="19">
        <v>0</v>
      </c>
      <c r="AB80">
        <f>VLOOKUP(E:E,笔记匹配!A:N,3,FALSE)</f>
        <v>-77</v>
      </c>
      <c r="AC80" t="str">
        <f>VLOOKUP(E:E,笔记匹配!A:N,2,FALSE)</f>
        <v>体脂秤</v>
      </c>
      <c r="AD80" t="str">
        <f>VLOOKUP(E:E,笔记匹配!A:N,4,FALSE)</f>
        <v>云麦3mini</v>
      </c>
      <c r="AE80" t="str">
        <f>VLOOKUP(E:E,笔记匹配!A:N,14,FALSE)</f>
        <v>云麦体脂秤3mini</v>
      </c>
      <c r="AF80" t="str">
        <f>VLOOKUP(E:E,笔记匹配!A:N,6,FALSE)</f>
        <v>睡前8min瘦大腿内外侧</v>
      </c>
    </row>
    <row r="81" spans="1:32">
      <c r="A81" s="18" t="s">
        <v>26</v>
      </c>
      <c r="B81" s="18" t="s">
        <v>1050</v>
      </c>
      <c r="C81" s="19">
        <v>14932581</v>
      </c>
      <c r="D81" s="18" t="s">
        <v>209</v>
      </c>
      <c r="E81" s="18" t="s">
        <v>513</v>
      </c>
      <c r="F81" s="18" t="s">
        <v>1051</v>
      </c>
      <c r="G81" s="19">
        <v>2978801</v>
      </c>
      <c r="H81" s="18" t="s">
        <v>1051</v>
      </c>
      <c r="I81" s="19">
        <v>2380750</v>
      </c>
      <c r="J81" s="18" t="s">
        <v>1015</v>
      </c>
      <c r="K81" s="19">
        <v>0.06</v>
      </c>
      <c r="L81" s="19">
        <v>10</v>
      </c>
      <c r="M81" s="19">
        <v>1</v>
      </c>
      <c r="N81" s="20">
        <v>0.1</v>
      </c>
      <c r="O81" s="19">
        <v>0.06</v>
      </c>
      <c r="P81" s="19">
        <v>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20">
        <v>0</v>
      </c>
      <c r="Z81" s="19">
        <v>0</v>
      </c>
      <c r="AA81" s="19">
        <v>0</v>
      </c>
      <c r="AB81" t="str">
        <f>VLOOKUP(E:E,笔记匹配!A:N,3,FALSE)</f>
        <v>大桐yoto</v>
      </c>
      <c r="AC81" t="str">
        <f>VLOOKUP(E:E,笔记匹配!A:N,2,FALSE)</f>
        <v>跳绳</v>
      </c>
      <c r="AD81" t="str">
        <f>VLOOKUP(E:E,笔记匹配!A:N,4,FALSE)</f>
        <v>云麦3mini</v>
      </c>
      <c r="AE81" t="str">
        <f>VLOOKUP(E:E,笔记匹配!A:N,14,FALSE)</f>
        <v>云麦体脂秤3mini</v>
      </c>
      <c r="AF81" t="str">
        <f>VLOOKUP(E:E,笔记匹配!A:N,6,FALSE)</f>
        <v>减肥就是要饿｜饮食和运动的完整计划在这里</v>
      </c>
    </row>
    <row r="82" spans="1:32">
      <c r="A82" s="18" t="s">
        <v>26</v>
      </c>
      <c r="B82" s="18" t="s">
        <v>1052</v>
      </c>
      <c r="C82" s="19">
        <v>14932668</v>
      </c>
      <c r="D82" s="18" t="s">
        <v>209</v>
      </c>
      <c r="E82" s="18" t="s">
        <v>512</v>
      </c>
      <c r="F82" s="18" t="s">
        <v>1053</v>
      </c>
      <c r="G82" s="19">
        <v>2978810</v>
      </c>
      <c r="H82" s="18" t="s">
        <v>1053</v>
      </c>
      <c r="I82" s="19">
        <v>2380758</v>
      </c>
      <c r="J82" s="18" t="s">
        <v>1015</v>
      </c>
      <c r="K82" s="19">
        <v>0.97</v>
      </c>
      <c r="L82" s="19">
        <v>97</v>
      </c>
      <c r="M82" s="19">
        <v>3</v>
      </c>
      <c r="N82" s="20">
        <v>0.0309</v>
      </c>
      <c r="O82" s="19">
        <v>0.32</v>
      </c>
      <c r="P82" s="19">
        <v>10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20">
        <v>0</v>
      </c>
      <c r="Z82" s="19">
        <v>0</v>
      </c>
      <c r="AA82" s="19">
        <v>0</v>
      </c>
      <c r="AB82" t="str">
        <f>VLOOKUP(E:E,笔记匹配!A:N,3,FALSE)</f>
        <v>爱上健身的Amy</v>
      </c>
      <c r="AC82" t="str">
        <f>VLOOKUP(E:E,笔记匹配!A:N,2,FALSE)</f>
        <v>体脂秤</v>
      </c>
      <c r="AD82" t="str">
        <f>VLOOKUP(E:E,笔记匹配!A:N,4,FALSE)</f>
        <v>云麦体脂秤3mini</v>
      </c>
      <c r="AE82" t="str">
        <f>VLOOKUP(E:E,笔记匹配!A:N,14,FALSE)</f>
        <v>云麦体脂秤3mini</v>
      </c>
      <c r="AF82" t="str">
        <f>VLOOKUP(E:E,笔记匹配!A:N,6,FALSE)</f>
        <v>玛丽姐6分钟快速瘦肚子🔥腰围已瘦8cm</v>
      </c>
    </row>
    <row r="83" spans="1:32">
      <c r="A83" s="18" t="s">
        <v>26</v>
      </c>
      <c r="B83" s="18" t="s">
        <v>1054</v>
      </c>
      <c r="C83" s="19">
        <v>14976457</v>
      </c>
      <c r="D83" s="18" t="s">
        <v>209</v>
      </c>
      <c r="E83" s="18" t="s">
        <v>510</v>
      </c>
      <c r="F83" s="18" t="s">
        <v>1055</v>
      </c>
      <c r="G83" s="19">
        <v>2984115</v>
      </c>
      <c r="H83" s="18" t="s">
        <v>1056</v>
      </c>
      <c r="I83" s="19">
        <v>2385895</v>
      </c>
      <c r="J83" s="18" t="s">
        <v>1015</v>
      </c>
      <c r="K83" s="19">
        <v>0</v>
      </c>
      <c r="L83" s="19">
        <v>1</v>
      </c>
      <c r="M83" s="19">
        <v>0</v>
      </c>
      <c r="N83" s="20">
        <v>0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20">
        <v>0</v>
      </c>
      <c r="Z83" s="19">
        <v>0</v>
      </c>
      <c r="AA83" s="19">
        <v>0</v>
      </c>
      <c r="AB83" t="str">
        <f>VLOOKUP(E:E,笔记匹配!A:N,3,FALSE)</f>
        <v>白白</v>
      </c>
      <c r="AC83" t="str">
        <f>VLOOKUP(E:E,笔记匹配!A:N,2,FALSE)</f>
        <v>跳绳</v>
      </c>
      <c r="AD83" t="str">
        <f>VLOOKUP(E:E,笔记匹配!A:N,4,FALSE)</f>
        <v>云麦心率跳绳</v>
      </c>
      <c r="AE83" t="str">
        <f>VLOOKUP(E:E,笔记匹配!A:N,14,FALSE)</f>
        <v>云麦心率跳绳</v>
      </c>
      <c r="AF83" t="str">
        <f>VLOOKUP(E:E,笔记匹配!A:N,6,FALSE)</f>
        <v>大腿围42 | 瘦腿还得要跳绳！</v>
      </c>
    </row>
    <row r="84" spans="1:32">
      <c r="A84" s="18" t="s">
        <v>26</v>
      </c>
      <c r="B84" s="18" t="s">
        <v>1057</v>
      </c>
      <c r="C84" s="19">
        <v>14976642</v>
      </c>
      <c r="D84" s="18" t="s">
        <v>209</v>
      </c>
      <c r="E84" s="18" t="s">
        <v>509</v>
      </c>
      <c r="F84" s="18" t="s">
        <v>1058</v>
      </c>
      <c r="G84" s="19">
        <v>2984144</v>
      </c>
      <c r="H84" s="18" t="s">
        <v>1059</v>
      </c>
      <c r="I84" s="19">
        <v>2385921</v>
      </c>
      <c r="J84" s="18" t="s">
        <v>1015</v>
      </c>
      <c r="K84" s="19">
        <v>67.49</v>
      </c>
      <c r="L84" s="19">
        <v>10185</v>
      </c>
      <c r="M84" s="19">
        <v>615</v>
      </c>
      <c r="N84" s="20">
        <v>0.0604</v>
      </c>
      <c r="O84" s="19">
        <v>0.11</v>
      </c>
      <c r="P84" s="19">
        <v>6.63</v>
      </c>
      <c r="Q84" s="19">
        <v>15</v>
      </c>
      <c r="R84" s="19">
        <v>2</v>
      </c>
      <c r="S84" s="19">
        <v>18</v>
      </c>
      <c r="T84" s="19">
        <v>6</v>
      </c>
      <c r="U84" s="19">
        <v>3</v>
      </c>
      <c r="V84" s="19">
        <v>44</v>
      </c>
      <c r="W84" s="19">
        <v>1.53</v>
      </c>
      <c r="X84" s="19">
        <v>0</v>
      </c>
      <c r="Y84" s="20">
        <v>0</v>
      </c>
      <c r="Z84" s="19">
        <v>0</v>
      </c>
      <c r="AA84" s="19">
        <v>0</v>
      </c>
      <c r="AB84" t="str">
        <f>VLOOKUP(E:E,笔记匹配!A:N,3,FALSE)</f>
        <v>小小李</v>
      </c>
      <c r="AC84" t="str">
        <f>VLOOKUP(E:E,笔记匹配!A:N,2,FALSE)</f>
        <v>跳绳</v>
      </c>
      <c r="AD84" t="str">
        <f>VLOOKUP(E:E,笔记匹配!A:N,4,FALSE)</f>
        <v>云麦心率跳绳</v>
      </c>
      <c r="AE84" t="str">
        <f>VLOOKUP(E:E,笔记匹配!A:N,14,FALSE)</f>
        <v>云麦心率跳绳</v>
      </c>
      <c r="AF84" t="str">
        <f>VLOOKUP(E:E,笔记匹配!A:N,6,FALSE)</f>
        <v>4分钟跳绳TABATA | 居家高效燃脂瘦全身</v>
      </c>
    </row>
    <row r="85" spans="1:32">
      <c r="A85" s="18" t="s">
        <v>26</v>
      </c>
      <c r="B85" s="18" t="s">
        <v>686</v>
      </c>
      <c r="C85" s="19">
        <v>14977271</v>
      </c>
      <c r="D85" s="18" t="s">
        <v>209</v>
      </c>
      <c r="E85" s="18" t="s">
        <v>510</v>
      </c>
      <c r="F85" s="18" t="s">
        <v>1058</v>
      </c>
      <c r="G85" s="19">
        <v>2984144</v>
      </c>
      <c r="H85" s="18" t="s">
        <v>1059</v>
      </c>
      <c r="I85" s="19">
        <v>2385921</v>
      </c>
      <c r="J85" s="18" t="s">
        <v>1015</v>
      </c>
      <c r="K85" s="19">
        <v>155.8</v>
      </c>
      <c r="L85" s="19">
        <v>23279</v>
      </c>
      <c r="M85" s="19">
        <v>2278</v>
      </c>
      <c r="N85" s="20">
        <v>0.0979</v>
      </c>
      <c r="O85" s="19">
        <v>0.07</v>
      </c>
      <c r="P85" s="19">
        <v>6.69</v>
      </c>
      <c r="Q85" s="19">
        <v>5</v>
      </c>
      <c r="R85" s="19">
        <v>1</v>
      </c>
      <c r="S85" s="19">
        <v>4</v>
      </c>
      <c r="T85" s="19">
        <v>3</v>
      </c>
      <c r="U85" s="19">
        <v>1</v>
      </c>
      <c r="V85" s="19">
        <v>14</v>
      </c>
      <c r="W85" s="19">
        <v>11.13</v>
      </c>
      <c r="X85" s="19">
        <v>0</v>
      </c>
      <c r="Y85" s="20">
        <v>0</v>
      </c>
      <c r="Z85" s="19">
        <v>1</v>
      </c>
      <c r="AA85" s="19">
        <v>3</v>
      </c>
      <c r="AB85" t="str">
        <f>VLOOKUP(E:E,笔记匹配!A:N,3,FALSE)</f>
        <v>白白</v>
      </c>
      <c r="AC85" t="str">
        <f>VLOOKUP(E:E,笔记匹配!A:N,2,FALSE)</f>
        <v>跳绳</v>
      </c>
      <c r="AD85" t="str">
        <f>VLOOKUP(E:E,笔记匹配!A:N,4,FALSE)</f>
        <v>云麦心率跳绳</v>
      </c>
      <c r="AE85" t="str">
        <f>VLOOKUP(E:E,笔记匹配!A:N,14,FALSE)</f>
        <v>云麦心率跳绳</v>
      </c>
      <c r="AF85" t="str">
        <f>VLOOKUP(E:E,笔记匹配!A:N,6,FALSE)</f>
        <v>大腿围42 | 瘦腿还得要跳绳！</v>
      </c>
    </row>
    <row r="86" spans="1:32">
      <c r="A86" s="18" t="s">
        <v>26</v>
      </c>
      <c r="B86" s="18" t="s">
        <v>667</v>
      </c>
      <c r="C86" s="19">
        <v>14977272</v>
      </c>
      <c r="D86" s="18" t="s">
        <v>209</v>
      </c>
      <c r="E86" s="18" t="s">
        <v>516</v>
      </c>
      <c r="F86" s="18" t="s">
        <v>1058</v>
      </c>
      <c r="G86" s="19">
        <v>2984144</v>
      </c>
      <c r="H86" s="18" t="s">
        <v>1059</v>
      </c>
      <c r="I86" s="19">
        <v>2385921</v>
      </c>
      <c r="J86" s="18" t="s">
        <v>1015</v>
      </c>
      <c r="K86" s="19">
        <v>1249.65</v>
      </c>
      <c r="L86" s="19">
        <v>127547</v>
      </c>
      <c r="M86" s="19">
        <v>17778</v>
      </c>
      <c r="N86" s="20">
        <v>0.1394</v>
      </c>
      <c r="O86" s="19">
        <v>0.07</v>
      </c>
      <c r="P86" s="19">
        <v>9.8</v>
      </c>
      <c r="Q86" s="19">
        <v>496</v>
      </c>
      <c r="R86" s="19">
        <v>21</v>
      </c>
      <c r="S86" s="19">
        <v>224</v>
      </c>
      <c r="T86" s="19">
        <v>30</v>
      </c>
      <c r="U86" s="19">
        <v>43</v>
      </c>
      <c r="V86" s="19">
        <v>814</v>
      </c>
      <c r="W86" s="19">
        <v>1.54</v>
      </c>
      <c r="X86" s="19">
        <v>0</v>
      </c>
      <c r="Y86" s="20">
        <v>0</v>
      </c>
      <c r="Z86" s="19">
        <v>13</v>
      </c>
      <c r="AA86" s="19">
        <v>9</v>
      </c>
      <c r="AB86" t="str">
        <f>VLOOKUP(E:E,笔记匹配!A:N,3,FALSE)</f>
        <v>爱跳绳的粥粥</v>
      </c>
      <c r="AC86" t="str">
        <f>VLOOKUP(E:E,笔记匹配!A:N,2,FALSE)</f>
        <v>跳绳</v>
      </c>
      <c r="AD86" t="str">
        <f>VLOOKUP(E:E,笔记匹配!A:N,4,FALSE)</f>
        <v>云麦跳绳心率款</v>
      </c>
      <c r="AE86" t="str">
        <f>VLOOKUP(E:E,笔记匹配!A:N,14,FALSE)</f>
        <v>云麦心率跳绳</v>
      </c>
      <c r="AF86" t="str">
        <f>VLOOKUP(E:E,笔记匹配!A:N,6,FALSE)</f>
        <v>坚持跳绳瘦24斤这个高效跳绳组合你一定要跳</v>
      </c>
    </row>
    <row r="87" spans="1:32">
      <c r="A87" s="18" t="s">
        <v>26</v>
      </c>
      <c r="B87" s="18" t="s">
        <v>689</v>
      </c>
      <c r="C87" s="19">
        <v>14977367</v>
      </c>
      <c r="D87" s="18" t="s">
        <v>209</v>
      </c>
      <c r="E87" s="18" t="s">
        <v>504</v>
      </c>
      <c r="F87" s="18" t="s">
        <v>1060</v>
      </c>
      <c r="G87" s="19">
        <v>2984271</v>
      </c>
      <c r="H87" s="18" t="s">
        <v>1061</v>
      </c>
      <c r="I87" s="19">
        <v>2385975</v>
      </c>
      <c r="J87" s="18" t="s">
        <v>1015</v>
      </c>
      <c r="K87" s="19">
        <v>192.68</v>
      </c>
      <c r="L87" s="19">
        <v>14137</v>
      </c>
      <c r="M87" s="19">
        <v>689</v>
      </c>
      <c r="N87" s="20">
        <v>0.0487</v>
      </c>
      <c r="O87" s="19">
        <v>0.28</v>
      </c>
      <c r="P87" s="19">
        <v>13.63</v>
      </c>
      <c r="Q87" s="19">
        <v>29</v>
      </c>
      <c r="R87" s="19">
        <v>0</v>
      </c>
      <c r="S87" s="19">
        <v>53</v>
      </c>
      <c r="T87" s="19">
        <v>5</v>
      </c>
      <c r="U87" s="19">
        <v>4</v>
      </c>
      <c r="V87" s="19">
        <v>91</v>
      </c>
      <c r="W87" s="19">
        <v>2.12</v>
      </c>
      <c r="X87" s="19">
        <v>0</v>
      </c>
      <c r="Y87" s="20">
        <v>0</v>
      </c>
      <c r="Z87" s="19">
        <v>4</v>
      </c>
      <c r="AA87" s="19">
        <v>2</v>
      </c>
      <c r="AB87" t="str">
        <f>VLOOKUP(E:E,笔记匹配!A:N,3,FALSE)</f>
        <v>小菜包超幸运</v>
      </c>
      <c r="AC87" t="str">
        <f>VLOOKUP(E:E,笔记匹配!A:N,2,FALSE)</f>
        <v>体脂秤</v>
      </c>
      <c r="AD87" t="str">
        <f>VLOOKUP(E:E,笔记匹配!A:N,4,FALSE)</f>
        <v>云麦体脂秤3</v>
      </c>
      <c r="AE87" t="str">
        <f>VLOOKUP(E:E,笔记匹配!A:N,14,FALSE)</f>
        <v>云麦体脂秤3</v>
      </c>
      <c r="AF87" t="str">
        <f>VLOOKUP(E:E,笔记匹配!A:N,6,FALSE)</f>
        <v>超全产后修复攻略✅三个阶段恢复少女身材</v>
      </c>
    </row>
    <row r="88" spans="1:32">
      <c r="A88" s="18" t="s">
        <v>26</v>
      </c>
      <c r="B88" s="18" t="s">
        <v>692</v>
      </c>
      <c r="C88" s="19">
        <v>14977409</v>
      </c>
      <c r="D88" s="18" t="s">
        <v>209</v>
      </c>
      <c r="E88" s="18" t="s">
        <v>507</v>
      </c>
      <c r="F88" s="18" t="s">
        <v>1060</v>
      </c>
      <c r="G88" s="19">
        <v>2984271</v>
      </c>
      <c r="H88" s="18" t="s">
        <v>1061</v>
      </c>
      <c r="I88" s="19">
        <v>2385975</v>
      </c>
      <c r="J88" s="18" t="s">
        <v>1015</v>
      </c>
      <c r="K88" s="19">
        <v>85.84</v>
      </c>
      <c r="L88" s="19">
        <v>9696</v>
      </c>
      <c r="M88" s="19">
        <v>423</v>
      </c>
      <c r="N88" s="20">
        <v>0.0436</v>
      </c>
      <c r="O88" s="19">
        <v>0.2</v>
      </c>
      <c r="P88" s="19">
        <v>8.85</v>
      </c>
      <c r="Q88" s="19">
        <v>15</v>
      </c>
      <c r="R88" s="19">
        <v>0</v>
      </c>
      <c r="S88" s="19">
        <v>13</v>
      </c>
      <c r="T88" s="19">
        <v>0</v>
      </c>
      <c r="U88" s="19">
        <v>0</v>
      </c>
      <c r="V88" s="19">
        <v>28</v>
      </c>
      <c r="W88" s="19">
        <v>3.07</v>
      </c>
      <c r="X88" s="19">
        <v>0</v>
      </c>
      <c r="Y88" s="20">
        <v>0</v>
      </c>
      <c r="Z88" s="19">
        <v>0</v>
      </c>
      <c r="AA88" s="19">
        <v>1</v>
      </c>
      <c r="AB88" t="str">
        <f>VLOOKUP(E:E,笔记匹配!A:N,3,FALSE)</f>
        <v>Candy yoga</v>
      </c>
      <c r="AC88" t="str">
        <f>VLOOKUP(E:E,笔记匹配!A:N,2,FALSE)</f>
        <v>体脂秤</v>
      </c>
      <c r="AD88" t="str">
        <f>VLOOKUP(E:E,笔记匹配!A:N,4,FALSE)</f>
        <v>云麦体脂秤3</v>
      </c>
      <c r="AE88" t="str">
        <f>VLOOKUP(E:E,笔记匹配!A:N,14,FALSE)</f>
        <v>云麦体脂秤3</v>
      </c>
      <c r="AF88" t="str">
        <f>VLOOKUP(E:E,笔记匹配!A:N,6,FALSE)</f>
        <v>根源性告别妈妈臀‼️/12种臀部训练解析</v>
      </c>
    </row>
    <row r="89" spans="1:32">
      <c r="A89" s="18" t="s">
        <v>26</v>
      </c>
      <c r="B89" s="18" t="s">
        <v>657</v>
      </c>
      <c r="C89" s="19">
        <v>14977423</v>
      </c>
      <c r="D89" s="18" t="s">
        <v>209</v>
      </c>
      <c r="E89" s="18" t="s">
        <v>518</v>
      </c>
      <c r="F89" s="18" t="s">
        <v>1060</v>
      </c>
      <c r="G89" s="19">
        <v>2984271</v>
      </c>
      <c r="H89" s="18" t="s">
        <v>1061</v>
      </c>
      <c r="I89" s="19">
        <v>2385975</v>
      </c>
      <c r="J89" s="18" t="s">
        <v>1015</v>
      </c>
      <c r="K89" s="19">
        <v>26.16</v>
      </c>
      <c r="L89" s="19">
        <v>1534</v>
      </c>
      <c r="M89" s="19">
        <v>96</v>
      </c>
      <c r="N89" s="20">
        <v>0.0626</v>
      </c>
      <c r="O89" s="19">
        <v>0.27</v>
      </c>
      <c r="P89" s="19">
        <v>17.05</v>
      </c>
      <c r="Q89" s="19">
        <v>6</v>
      </c>
      <c r="R89" s="19">
        <v>0</v>
      </c>
      <c r="S89" s="19">
        <v>7</v>
      </c>
      <c r="T89" s="19">
        <v>0</v>
      </c>
      <c r="U89" s="19">
        <v>0</v>
      </c>
      <c r="V89" s="19">
        <v>13</v>
      </c>
      <c r="W89" s="19">
        <v>2.01</v>
      </c>
      <c r="X89" s="19">
        <v>0</v>
      </c>
      <c r="Y89" s="20">
        <v>0</v>
      </c>
      <c r="Z89" s="19">
        <v>0</v>
      </c>
      <c r="AA89" s="19">
        <v>0</v>
      </c>
      <c r="AB89" t="str">
        <f>VLOOKUP(E:E,笔记匹配!A:N,3,FALSE)</f>
        <v>我是铁核桃也是小百合</v>
      </c>
      <c r="AC89" t="str">
        <f>VLOOKUP(E:E,笔记匹配!A:N,2,FALSE)</f>
        <v>体脂秤</v>
      </c>
      <c r="AD89" t="str">
        <f>VLOOKUP(E:E,笔记匹配!A:N,4,FALSE)</f>
        <v>云麦体脂秤3</v>
      </c>
      <c r="AE89" t="str">
        <f>VLOOKUP(E:E,笔记匹配!A:N,14,FALSE)</f>
        <v>云麦体脂秤3</v>
      </c>
      <c r="AF89" t="str">
        <f>VLOOKUP(E:E,笔记匹配!A:N,6,FALSE)</f>
        <v>产后5大阶段恢复必做事‼️错过多花3年补‼️</v>
      </c>
    </row>
    <row r="90" spans="1:32">
      <c r="A90" s="18" t="s">
        <v>26</v>
      </c>
      <c r="B90" s="18" t="s">
        <v>587</v>
      </c>
      <c r="C90" s="19">
        <v>14977748</v>
      </c>
      <c r="D90" s="18" t="s">
        <v>196</v>
      </c>
      <c r="E90" s="18" t="s">
        <v>400</v>
      </c>
      <c r="F90" s="18" t="s">
        <v>1028</v>
      </c>
      <c r="G90" s="19">
        <v>2959820</v>
      </c>
      <c r="H90" s="18" t="s">
        <v>1029</v>
      </c>
      <c r="I90" s="19">
        <v>2362578</v>
      </c>
      <c r="J90" s="18" t="s">
        <v>1015</v>
      </c>
      <c r="K90" s="19">
        <v>314.95</v>
      </c>
      <c r="L90" s="19">
        <v>14497</v>
      </c>
      <c r="M90" s="19">
        <v>713</v>
      </c>
      <c r="N90" s="20">
        <v>0.0492</v>
      </c>
      <c r="O90" s="19">
        <v>0.44</v>
      </c>
      <c r="P90" s="19">
        <v>21.73</v>
      </c>
      <c r="Q90" s="19">
        <v>30</v>
      </c>
      <c r="R90" s="19">
        <v>0</v>
      </c>
      <c r="S90" s="19">
        <v>21</v>
      </c>
      <c r="T90" s="19">
        <v>1</v>
      </c>
      <c r="U90" s="19">
        <v>0</v>
      </c>
      <c r="V90" s="19">
        <v>52</v>
      </c>
      <c r="W90" s="19">
        <v>6.06</v>
      </c>
      <c r="X90" s="19">
        <v>0</v>
      </c>
      <c r="Y90" s="20">
        <v>0</v>
      </c>
      <c r="Z90" s="19">
        <v>2</v>
      </c>
      <c r="AA90" s="19">
        <v>0</v>
      </c>
      <c r="AB90" t="str">
        <f>VLOOKUP(E:E,笔记匹配!A:N,3,FALSE)</f>
        <v>小雪教瑜伽</v>
      </c>
      <c r="AC90" t="str">
        <f>VLOOKUP(E:E,笔记匹配!A:N,2,FALSE)</f>
        <v>筋膜枪</v>
      </c>
      <c r="AD90" t="str">
        <f>VLOOKUP(E:E,笔记匹配!A:N,4,FALSE)</f>
        <v>云麦筋膜枪cc</v>
      </c>
      <c r="AE90" t="str">
        <f>VLOOKUP(E:E,笔记匹配!A:N,14,FALSE)</f>
        <v>云麦筋膜枪cc</v>
      </c>
      <c r="AF90" t="str">
        <f>VLOOKUP(E:E,笔记匹配!A:N,6,FALSE)</f>
        <v>瘦肌肉腿必备&amp;筋膜枪按摩跟练教程</v>
      </c>
    </row>
    <row r="91" spans="1:32">
      <c r="A91" s="18" t="s">
        <v>26</v>
      </c>
      <c r="B91" s="18" t="s">
        <v>680</v>
      </c>
      <c r="C91" s="19">
        <v>14978184</v>
      </c>
      <c r="D91" s="18" t="s">
        <v>209</v>
      </c>
      <c r="E91" s="18" t="s">
        <v>513</v>
      </c>
      <c r="F91" s="18" t="s">
        <v>1062</v>
      </c>
      <c r="G91" s="19">
        <v>2984400</v>
      </c>
      <c r="H91" s="18" t="s">
        <v>1062</v>
      </c>
      <c r="I91" s="19">
        <v>2386169</v>
      </c>
      <c r="J91" s="18" t="s">
        <v>1015</v>
      </c>
      <c r="K91" s="19">
        <v>286.55</v>
      </c>
      <c r="L91" s="19">
        <v>32318</v>
      </c>
      <c r="M91" s="19">
        <v>7288</v>
      </c>
      <c r="N91" s="20">
        <v>0.2255</v>
      </c>
      <c r="O91" s="19">
        <v>0.04</v>
      </c>
      <c r="P91" s="19">
        <v>8.87</v>
      </c>
      <c r="Q91" s="19">
        <v>72</v>
      </c>
      <c r="R91" s="19">
        <v>5</v>
      </c>
      <c r="S91" s="19">
        <v>16</v>
      </c>
      <c r="T91" s="19">
        <v>13</v>
      </c>
      <c r="U91" s="19">
        <v>4</v>
      </c>
      <c r="V91" s="19">
        <v>110</v>
      </c>
      <c r="W91" s="19">
        <v>2.6</v>
      </c>
      <c r="X91" s="19">
        <v>0</v>
      </c>
      <c r="Y91" s="20">
        <v>0</v>
      </c>
      <c r="Z91" s="19">
        <v>5</v>
      </c>
      <c r="AA91" s="19">
        <v>22</v>
      </c>
      <c r="AB91" t="str">
        <f>VLOOKUP(E:E,笔记匹配!A:N,3,FALSE)</f>
        <v>大桐yoto</v>
      </c>
      <c r="AC91" t="str">
        <f>VLOOKUP(E:E,笔记匹配!A:N,2,FALSE)</f>
        <v>跳绳</v>
      </c>
      <c r="AD91" t="str">
        <f>VLOOKUP(E:E,笔记匹配!A:N,4,FALSE)</f>
        <v>云麦3mini</v>
      </c>
      <c r="AE91" t="str">
        <f>VLOOKUP(E:E,笔记匹配!A:N,14,FALSE)</f>
        <v>云麦体脂秤3mini</v>
      </c>
      <c r="AF91" t="str">
        <f>VLOOKUP(E:E,笔记匹配!A:N,6,FALSE)</f>
        <v>减肥就是要饿｜饮食和运动的完整计划在这里</v>
      </c>
    </row>
    <row r="92" spans="1:32">
      <c r="A92" s="18" t="s">
        <v>27</v>
      </c>
      <c r="B92" s="18" t="s">
        <v>1018</v>
      </c>
      <c r="C92" s="19">
        <v>14752018</v>
      </c>
      <c r="D92" s="18" t="s">
        <v>209</v>
      </c>
      <c r="E92" s="18" t="s">
        <v>516</v>
      </c>
      <c r="F92" s="18" t="s">
        <v>1019</v>
      </c>
      <c r="G92" s="19">
        <v>2959750</v>
      </c>
      <c r="H92" s="18" t="s">
        <v>1020</v>
      </c>
      <c r="I92" s="19">
        <v>2362546</v>
      </c>
      <c r="J92" s="18" t="s">
        <v>1015</v>
      </c>
      <c r="K92" s="19">
        <v>0</v>
      </c>
      <c r="L92" s="19">
        <v>0</v>
      </c>
      <c r="M92" s="19">
        <v>0</v>
      </c>
      <c r="N92" s="20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20">
        <v>0</v>
      </c>
      <c r="Z92" s="19">
        <v>0</v>
      </c>
      <c r="AA92" s="19">
        <v>0</v>
      </c>
      <c r="AB92" t="str">
        <f>VLOOKUP(E:E,笔记匹配!A:N,3,FALSE)</f>
        <v>爱跳绳的粥粥</v>
      </c>
      <c r="AC92" t="str">
        <f>VLOOKUP(E:E,笔记匹配!A:N,2,FALSE)</f>
        <v>跳绳</v>
      </c>
      <c r="AD92" t="str">
        <f>VLOOKUP(E:E,笔记匹配!A:N,4,FALSE)</f>
        <v>云麦跳绳心率款</v>
      </c>
      <c r="AE92" t="str">
        <f>VLOOKUP(E:E,笔记匹配!A:N,14,FALSE)</f>
        <v>云麦心率跳绳</v>
      </c>
      <c r="AF92" t="str">
        <f>VLOOKUP(E:E,笔记匹配!A:N,6,FALSE)</f>
        <v>坚持跳绳瘦24斤这个高效跳绳组合你一定要跳</v>
      </c>
    </row>
    <row r="93" spans="1:32">
      <c r="A93" s="18" t="s">
        <v>27</v>
      </c>
      <c r="B93" s="18" t="s">
        <v>661</v>
      </c>
      <c r="C93" s="19">
        <v>14752576</v>
      </c>
      <c r="D93" s="18" t="s">
        <v>196</v>
      </c>
      <c r="E93" s="18" t="s">
        <v>553</v>
      </c>
      <c r="F93" s="18" t="s">
        <v>1028</v>
      </c>
      <c r="G93" s="19">
        <v>2959820</v>
      </c>
      <c r="H93" s="18" t="s">
        <v>1029</v>
      </c>
      <c r="I93" s="19">
        <v>2362578</v>
      </c>
      <c r="J93" s="18" t="s">
        <v>1015</v>
      </c>
      <c r="K93" s="19">
        <v>1014.98</v>
      </c>
      <c r="L93" s="19">
        <v>25447</v>
      </c>
      <c r="M93" s="19">
        <v>2215</v>
      </c>
      <c r="N93" s="20">
        <v>0.087</v>
      </c>
      <c r="O93" s="19">
        <v>0.46</v>
      </c>
      <c r="P93" s="19">
        <v>39.89</v>
      </c>
      <c r="Q93" s="19">
        <v>44</v>
      </c>
      <c r="R93" s="19">
        <v>0</v>
      </c>
      <c r="S93" s="19">
        <v>25</v>
      </c>
      <c r="T93" s="19">
        <v>5</v>
      </c>
      <c r="U93" s="19">
        <v>2</v>
      </c>
      <c r="V93" s="19">
        <v>76</v>
      </c>
      <c r="W93" s="19">
        <v>13.36</v>
      </c>
      <c r="X93" s="19">
        <v>0</v>
      </c>
      <c r="Y93" s="20">
        <v>0</v>
      </c>
      <c r="Z93" s="19">
        <v>9</v>
      </c>
      <c r="AA93" s="19">
        <v>7</v>
      </c>
      <c r="AB93" t="str">
        <f>VLOOKUP(E:E,笔记匹配!A:N,3,FALSE)</f>
        <v>圆又圆超爱笑</v>
      </c>
      <c r="AC93" t="str">
        <f>VLOOKUP(E:E,笔记匹配!A:N,2,FALSE)</f>
        <v>筋膜枪</v>
      </c>
      <c r="AD93" t="str">
        <f>VLOOKUP(E:E,笔记匹配!A:N,4,FALSE)</f>
        <v>云麦筋膜枪cc</v>
      </c>
      <c r="AE93" t="str">
        <f>VLOOKUP(E:E,笔记匹配!A:N,14,FALSE)</f>
        <v>云麦筋膜枪cc</v>
      </c>
      <c r="AF93" t="str">
        <f>VLOOKUP(E:E,笔记匹配!A:N,6,FALSE)</f>
        <v>大二女生梨形粗腿逆袭✨这3步带你优化腿型</v>
      </c>
    </row>
    <row r="94" spans="1:32">
      <c r="A94" s="18" t="s">
        <v>27</v>
      </c>
      <c r="B94" s="18" t="s">
        <v>1040</v>
      </c>
      <c r="C94" s="19">
        <v>14794680</v>
      </c>
      <c r="D94" s="18" t="s">
        <v>209</v>
      </c>
      <c r="E94" s="18" t="s">
        <v>234</v>
      </c>
      <c r="F94" s="18" t="s">
        <v>1041</v>
      </c>
      <c r="G94" s="19">
        <v>2966106</v>
      </c>
      <c r="H94" s="18" t="s">
        <v>1041</v>
      </c>
      <c r="I94" s="19">
        <v>2368633</v>
      </c>
      <c r="J94" s="18" t="s">
        <v>1015</v>
      </c>
      <c r="K94" s="19">
        <v>2774.72</v>
      </c>
      <c r="L94" s="19">
        <v>255271</v>
      </c>
      <c r="M94" s="19">
        <v>14074</v>
      </c>
      <c r="N94" s="20">
        <v>0.0551</v>
      </c>
      <c r="O94" s="19">
        <v>0.2</v>
      </c>
      <c r="P94" s="19">
        <v>10.87</v>
      </c>
      <c r="Q94" s="19">
        <v>163</v>
      </c>
      <c r="R94" s="19">
        <v>9</v>
      </c>
      <c r="S94" s="19">
        <v>68</v>
      </c>
      <c r="T94" s="19">
        <v>18</v>
      </c>
      <c r="U94" s="19">
        <v>3</v>
      </c>
      <c r="V94" s="19">
        <v>261</v>
      </c>
      <c r="W94" s="19">
        <v>10.63</v>
      </c>
      <c r="X94" s="19">
        <v>0</v>
      </c>
      <c r="Y94" s="20">
        <v>0</v>
      </c>
      <c r="Z94" s="19">
        <v>7</v>
      </c>
      <c r="AA94" s="19">
        <v>4</v>
      </c>
      <c r="AB94" t="str">
        <f>VLOOKUP(E:E,笔记匹配!A:N,3,FALSE)</f>
        <v>pp</v>
      </c>
      <c r="AC94" t="str">
        <f>VLOOKUP(E:E,笔记匹配!A:N,2,FALSE)</f>
        <v>体脂秤</v>
      </c>
      <c r="AD94" t="str">
        <f>VLOOKUP(E:E,笔记匹配!A:N,4,FALSE)</f>
        <v>云麦体脂秤3mini</v>
      </c>
      <c r="AE94" t="str">
        <f>VLOOKUP(E:E,笔记匹配!A:N,14,FALSE)</f>
        <v>云麦体脂秤3mini</v>
      </c>
      <c r="AF94" t="str">
        <f>VLOOKUP(E:E,笔记匹配!A:N,6,FALSE)</f>
        <v>110到88 一些减肥小建议｜如何正确运动</v>
      </c>
    </row>
    <row r="95" spans="1:32">
      <c r="A95" s="18" t="s">
        <v>27</v>
      </c>
      <c r="B95" s="18" t="s">
        <v>1042</v>
      </c>
      <c r="C95" s="19">
        <v>14794969</v>
      </c>
      <c r="D95" s="18" t="s">
        <v>209</v>
      </c>
      <c r="E95" s="18" t="s">
        <v>444</v>
      </c>
      <c r="F95" s="18" t="s">
        <v>1043</v>
      </c>
      <c r="G95" s="19">
        <v>2966132</v>
      </c>
      <c r="H95" s="18" t="s">
        <v>1043</v>
      </c>
      <c r="I95" s="19">
        <v>2368658</v>
      </c>
      <c r="J95" s="18" t="s">
        <v>1015</v>
      </c>
      <c r="K95" s="19">
        <v>2972.72</v>
      </c>
      <c r="L95" s="19">
        <v>214093</v>
      </c>
      <c r="M95" s="19">
        <v>19836</v>
      </c>
      <c r="N95" s="20">
        <v>0.0927</v>
      </c>
      <c r="O95" s="19">
        <v>0.15</v>
      </c>
      <c r="P95" s="19">
        <v>13.89</v>
      </c>
      <c r="Q95" s="19">
        <v>563</v>
      </c>
      <c r="R95" s="19">
        <v>16</v>
      </c>
      <c r="S95" s="19">
        <v>366</v>
      </c>
      <c r="T95" s="19">
        <v>46</v>
      </c>
      <c r="U95" s="19">
        <v>26</v>
      </c>
      <c r="V95" s="19">
        <v>1017</v>
      </c>
      <c r="W95" s="19">
        <v>2.92</v>
      </c>
      <c r="X95" s="19">
        <v>0</v>
      </c>
      <c r="Y95" s="20">
        <v>0</v>
      </c>
      <c r="Z95" s="19">
        <v>67</v>
      </c>
      <c r="AA95" s="19">
        <v>177</v>
      </c>
      <c r="AB95" t="str">
        <f>VLOOKUP(E:E,笔记匹配!A:N,3,FALSE)</f>
        <v>Sophia大大</v>
      </c>
      <c r="AC95" t="str">
        <f>VLOOKUP(E:E,笔记匹配!A:N,2,FALSE)</f>
        <v>筋膜枪</v>
      </c>
      <c r="AD95" t="str">
        <f>VLOOKUP(E:E,笔记匹配!A:N,4,FALSE)</f>
        <v>云麦cc</v>
      </c>
      <c r="AE95" t="str">
        <f>VLOOKUP(E:E,笔记匹配!A:N,14,FALSE)</f>
        <v>云麦筋膜枪cc</v>
      </c>
      <c r="AF95" t="str">
        <f>VLOOKUP(E:E,笔记匹配!A:N,6,FALSE)</f>
        <v>162 46|我悟了！翘臀不粗腿的训练方法!</v>
      </c>
    </row>
    <row r="96" spans="1:32">
      <c r="A96" s="18" t="s">
        <v>27</v>
      </c>
      <c r="B96" s="18" t="s">
        <v>1047</v>
      </c>
      <c r="C96" s="19">
        <v>14932478</v>
      </c>
      <c r="D96" s="18" t="s">
        <v>196</v>
      </c>
      <c r="E96" s="18" t="s">
        <v>514</v>
      </c>
      <c r="F96" s="18" t="s">
        <v>1048</v>
      </c>
      <c r="G96" s="19">
        <v>2978792</v>
      </c>
      <c r="H96" s="18" t="s">
        <v>1049</v>
      </c>
      <c r="I96" s="19">
        <v>2380738</v>
      </c>
      <c r="J96" s="18" t="s">
        <v>1015</v>
      </c>
      <c r="K96" s="19">
        <v>19.82</v>
      </c>
      <c r="L96" s="19">
        <v>765</v>
      </c>
      <c r="M96" s="19">
        <v>23</v>
      </c>
      <c r="N96" s="20">
        <v>0.0301</v>
      </c>
      <c r="O96" s="19">
        <v>0.86</v>
      </c>
      <c r="P96" s="19">
        <v>25.91</v>
      </c>
      <c r="Q96" s="19">
        <v>1</v>
      </c>
      <c r="R96" s="19">
        <v>0</v>
      </c>
      <c r="S96" s="19">
        <v>0</v>
      </c>
      <c r="T96" s="19">
        <v>0</v>
      </c>
      <c r="U96" s="19">
        <v>0</v>
      </c>
      <c r="V96" s="19">
        <v>1</v>
      </c>
      <c r="W96" s="19">
        <v>19.82</v>
      </c>
      <c r="X96" s="19">
        <v>0</v>
      </c>
      <c r="Y96" s="20">
        <v>0</v>
      </c>
      <c r="Z96" s="19">
        <v>0</v>
      </c>
      <c r="AA96" s="19">
        <v>0</v>
      </c>
      <c r="AB96">
        <f>VLOOKUP(E:E,笔记匹配!A:N,3,FALSE)</f>
        <v>-77</v>
      </c>
      <c r="AC96" t="str">
        <f>VLOOKUP(E:E,笔记匹配!A:N,2,FALSE)</f>
        <v>体脂秤</v>
      </c>
      <c r="AD96" t="str">
        <f>VLOOKUP(E:E,笔记匹配!A:N,4,FALSE)</f>
        <v>云麦3mini</v>
      </c>
      <c r="AE96" t="str">
        <f>VLOOKUP(E:E,笔记匹配!A:N,14,FALSE)</f>
        <v>云麦体脂秤3mini</v>
      </c>
      <c r="AF96" t="str">
        <f>VLOOKUP(E:E,笔记匹配!A:N,6,FALSE)</f>
        <v>睡前8min瘦大腿内外侧</v>
      </c>
    </row>
    <row r="97" spans="1:32">
      <c r="A97" s="18" t="s">
        <v>27</v>
      </c>
      <c r="B97" s="18" t="s">
        <v>1057</v>
      </c>
      <c r="C97" s="19">
        <v>14976642</v>
      </c>
      <c r="D97" s="18" t="s">
        <v>209</v>
      </c>
      <c r="E97" s="18" t="s">
        <v>509</v>
      </c>
      <c r="F97" s="18" t="s">
        <v>1058</v>
      </c>
      <c r="G97" s="19">
        <v>2984144</v>
      </c>
      <c r="H97" s="18" t="s">
        <v>1059</v>
      </c>
      <c r="I97" s="19">
        <v>2385921</v>
      </c>
      <c r="J97" s="18" t="s">
        <v>1015</v>
      </c>
      <c r="K97" s="19">
        <v>764.32</v>
      </c>
      <c r="L97" s="19">
        <v>76651</v>
      </c>
      <c r="M97" s="19">
        <v>3768</v>
      </c>
      <c r="N97" s="20">
        <v>0.0492</v>
      </c>
      <c r="O97" s="19">
        <v>0.2</v>
      </c>
      <c r="P97" s="19">
        <v>9.97</v>
      </c>
      <c r="Q97" s="19">
        <v>186</v>
      </c>
      <c r="R97" s="19">
        <v>4</v>
      </c>
      <c r="S97" s="19">
        <v>156</v>
      </c>
      <c r="T97" s="19">
        <v>25</v>
      </c>
      <c r="U97" s="19">
        <v>16</v>
      </c>
      <c r="V97" s="19">
        <v>387</v>
      </c>
      <c r="W97" s="19">
        <v>1.97</v>
      </c>
      <c r="X97" s="19">
        <v>0</v>
      </c>
      <c r="Y97" s="20">
        <v>0</v>
      </c>
      <c r="Z97" s="19">
        <v>6</v>
      </c>
      <c r="AA97" s="19">
        <v>0</v>
      </c>
      <c r="AB97" t="str">
        <f>VLOOKUP(E:E,笔记匹配!A:N,3,FALSE)</f>
        <v>小小李</v>
      </c>
      <c r="AC97" t="str">
        <f>VLOOKUP(E:E,笔记匹配!A:N,2,FALSE)</f>
        <v>跳绳</v>
      </c>
      <c r="AD97" t="str">
        <f>VLOOKUP(E:E,笔记匹配!A:N,4,FALSE)</f>
        <v>云麦心率跳绳</v>
      </c>
      <c r="AE97" t="str">
        <f>VLOOKUP(E:E,笔记匹配!A:N,14,FALSE)</f>
        <v>云麦心率跳绳</v>
      </c>
      <c r="AF97" t="str">
        <f>VLOOKUP(E:E,笔记匹配!A:N,6,FALSE)</f>
        <v>4分钟跳绳TABATA | 居家高效燃脂瘦全身</v>
      </c>
    </row>
    <row r="98" spans="1:32">
      <c r="A98" s="18" t="s">
        <v>27</v>
      </c>
      <c r="B98" s="18" t="s">
        <v>686</v>
      </c>
      <c r="C98" s="19">
        <v>14977271</v>
      </c>
      <c r="D98" s="18" t="s">
        <v>209</v>
      </c>
      <c r="E98" s="18" t="s">
        <v>510</v>
      </c>
      <c r="F98" s="18" t="s">
        <v>1058</v>
      </c>
      <c r="G98" s="19">
        <v>2984144</v>
      </c>
      <c r="H98" s="18" t="s">
        <v>1059</v>
      </c>
      <c r="I98" s="19">
        <v>2385921</v>
      </c>
      <c r="J98" s="18" t="s">
        <v>1015</v>
      </c>
      <c r="K98" s="19">
        <v>0.03</v>
      </c>
      <c r="L98" s="19">
        <v>31</v>
      </c>
      <c r="M98" s="19">
        <v>1</v>
      </c>
      <c r="N98" s="20">
        <v>0.0323</v>
      </c>
      <c r="O98" s="19">
        <v>0.03</v>
      </c>
      <c r="P98" s="19">
        <v>0.97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20">
        <v>0</v>
      </c>
      <c r="Z98" s="19">
        <v>0</v>
      </c>
      <c r="AA98" s="19">
        <v>0</v>
      </c>
      <c r="AB98" t="str">
        <f>VLOOKUP(E:E,笔记匹配!A:N,3,FALSE)</f>
        <v>白白</v>
      </c>
      <c r="AC98" t="str">
        <f>VLOOKUP(E:E,笔记匹配!A:N,2,FALSE)</f>
        <v>跳绳</v>
      </c>
      <c r="AD98" t="str">
        <f>VLOOKUP(E:E,笔记匹配!A:N,4,FALSE)</f>
        <v>云麦心率跳绳</v>
      </c>
      <c r="AE98" t="str">
        <f>VLOOKUP(E:E,笔记匹配!A:N,14,FALSE)</f>
        <v>云麦心率跳绳</v>
      </c>
      <c r="AF98" t="str">
        <f>VLOOKUP(E:E,笔记匹配!A:N,6,FALSE)</f>
        <v>大腿围42 | 瘦腿还得要跳绳！</v>
      </c>
    </row>
    <row r="99" spans="1:32">
      <c r="A99" s="18" t="s">
        <v>27</v>
      </c>
      <c r="B99" s="18" t="s">
        <v>667</v>
      </c>
      <c r="C99" s="19">
        <v>14977272</v>
      </c>
      <c r="D99" s="18" t="s">
        <v>209</v>
      </c>
      <c r="E99" s="18" t="s">
        <v>516</v>
      </c>
      <c r="F99" s="18" t="s">
        <v>1058</v>
      </c>
      <c r="G99" s="19">
        <v>2984144</v>
      </c>
      <c r="H99" s="18" t="s">
        <v>1059</v>
      </c>
      <c r="I99" s="19">
        <v>2385921</v>
      </c>
      <c r="J99" s="18" t="s">
        <v>1015</v>
      </c>
      <c r="K99" s="19">
        <v>2.07</v>
      </c>
      <c r="L99" s="19">
        <v>403</v>
      </c>
      <c r="M99" s="19">
        <v>41</v>
      </c>
      <c r="N99" s="20">
        <v>0.1017</v>
      </c>
      <c r="O99" s="19">
        <v>0.05</v>
      </c>
      <c r="P99" s="19">
        <v>5.14</v>
      </c>
      <c r="Q99" s="19">
        <v>1</v>
      </c>
      <c r="R99" s="19">
        <v>0</v>
      </c>
      <c r="S99" s="19">
        <v>0</v>
      </c>
      <c r="T99" s="19">
        <v>0</v>
      </c>
      <c r="U99" s="19">
        <v>0</v>
      </c>
      <c r="V99" s="19">
        <v>1</v>
      </c>
      <c r="W99" s="19">
        <v>2.07</v>
      </c>
      <c r="X99" s="19">
        <v>0</v>
      </c>
      <c r="Y99" s="20">
        <v>0</v>
      </c>
      <c r="Z99" s="19">
        <v>0</v>
      </c>
      <c r="AA99" s="19">
        <v>0</v>
      </c>
      <c r="AB99" t="str">
        <f>VLOOKUP(E:E,笔记匹配!A:N,3,FALSE)</f>
        <v>爱跳绳的粥粥</v>
      </c>
      <c r="AC99" t="str">
        <f>VLOOKUP(E:E,笔记匹配!A:N,2,FALSE)</f>
        <v>跳绳</v>
      </c>
      <c r="AD99" t="str">
        <f>VLOOKUP(E:E,笔记匹配!A:N,4,FALSE)</f>
        <v>云麦跳绳心率款</v>
      </c>
      <c r="AE99" t="str">
        <f>VLOOKUP(E:E,笔记匹配!A:N,14,FALSE)</f>
        <v>云麦心率跳绳</v>
      </c>
      <c r="AF99" t="str">
        <f>VLOOKUP(E:E,笔记匹配!A:N,6,FALSE)</f>
        <v>坚持跳绳瘦24斤这个高效跳绳组合你一定要跳</v>
      </c>
    </row>
    <row r="100" spans="1:32">
      <c r="A100" s="18" t="s">
        <v>27</v>
      </c>
      <c r="B100" s="18" t="s">
        <v>689</v>
      </c>
      <c r="C100" s="19">
        <v>14977367</v>
      </c>
      <c r="D100" s="18" t="s">
        <v>209</v>
      </c>
      <c r="E100" s="18" t="s">
        <v>504</v>
      </c>
      <c r="F100" s="18" t="s">
        <v>1060</v>
      </c>
      <c r="G100" s="19">
        <v>2984271</v>
      </c>
      <c r="H100" s="18" t="s">
        <v>1061</v>
      </c>
      <c r="I100" s="19">
        <v>2385975</v>
      </c>
      <c r="J100" s="18" t="s">
        <v>1015</v>
      </c>
      <c r="K100" s="19">
        <v>219.05</v>
      </c>
      <c r="L100" s="19">
        <v>15697</v>
      </c>
      <c r="M100" s="19">
        <v>797</v>
      </c>
      <c r="N100" s="20">
        <v>0.0508</v>
      </c>
      <c r="O100" s="19">
        <v>0.27</v>
      </c>
      <c r="P100" s="19">
        <v>13.95</v>
      </c>
      <c r="Q100" s="19">
        <v>21</v>
      </c>
      <c r="R100" s="19">
        <v>0</v>
      </c>
      <c r="S100" s="19">
        <v>30</v>
      </c>
      <c r="T100" s="19">
        <v>6</v>
      </c>
      <c r="U100" s="19">
        <v>3</v>
      </c>
      <c r="V100" s="19">
        <v>60</v>
      </c>
      <c r="W100" s="19">
        <v>3.65</v>
      </c>
      <c r="X100" s="19">
        <v>0</v>
      </c>
      <c r="Y100" s="20">
        <v>0</v>
      </c>
      <c r="Z100" s="19">
        <v>1</v>
      </c>
      <c r="AA100" s="19">
        <v>3</v>
      </c>
      <c r="AB100" t="str">
        <f>VLOOKUP(E:E,笔记匹配!A:N,3,FALSE)</f>
        <v>小菜包超幸运</v>
      </c>
      <c r="AC100" t="str">
        <f>VLOOKUP(E:E,笔记匹配!A:N,2,FALSE)</f>
        <v>体脂秤</v>
      </c>
      <c r="AD100" t="str">
        <f>VLOOKUP(E:E,笔记匹配!A:N,4,FALSE)</f>
        <v>云麦体脂秤3</v>
      </c>
      <c r="AE100" t="str">
        <f>VLOOKUP(E:E,笔记匹配!A:N,14,FALSE)</f>
        <v>云麦体脂秤3</v>
      </c>
      <c r="AF100" t="str">
        <f>VLOOKUP(E:E,笔记匹配!A:N,6,FALSE)</f>
        <v>超全产后修复攻略✅三个阶段恢复少女身材</v>
      </c>
    </row>
    <row r="101" spans="1:32">
      <c r="A101" s="18" t="s">
        <v>27</v>
      </c>
      <c r="B101" s="18" t="s">
        <v>692</v>
      </c>
      <c r="C101" s="19">
        <v>14977409</v>
      </c>
      <c r="D101" s="18" t="s">
        <v>209</v>
      </c>
      <c r="E101" s="18" t="s">
        <v>507</v>
      </c>
      <c r="F101" s="18" t="s">
        <v>1060</v>
      </c>
      <c r="G101" s="19">
        <v>2984271</v>
      </c>
      <c r="H101" s="18" t="s">
        <v>1061</v>
      </c>
      <c r="I101" s="19">
        <v>2385975</v>
      </c>
      <c r="J101" s="18" t="s">
        <v>1015</v>
      </c>
      <c r="K101" s="19">
        <v>0.79</v>
      </c>
      <c r="L101" s="19">
        <v>79</v>
      </c>
      <c r="M101" s="19">
        <v>4</v>
      </c>
      <c r="N101" s="20">
        <v>0.0506</v>
      </c>
      <c r="O101" s="19">
        <v>0.2</v>
      </c>
      <c r="P101" s="19">
        <v>10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20">
        <v>0</v>
      </c>
      <c r="Z101" s="19">
        <v>0</v>
      </c>
      <c r="AA101" s="19">
        <v>0</v>
      </c>
      <c r="AB101" t="str">
        <f>VLOOKUP(E:E,笔记匹配!A:N,3,FALSE)</f>
        <v>Candy yoga</v>
      </c>
      <c r="AC101" t="str">
        <f>VLOOKUP(E:E,笔记匹配!A:N,2,FALSE)</f>
        <v>体脂秤</v>
      </c>
      <c r="AD101" t="str">
        <f>VLOOKUP(E:E,笔记匹配!A:N,4,FALSE)</f>
        <v>云麦体脂秤3</v>
      </c>
      <c r="AE101" t="str">
        <f>VLOOKUP(E:E,笔记匹配!A:N,14,FALSE)</f>
        <v>云麦体脂秤3</v>
      </c>
      <c r="AF101" t="str">
        <f>VLOOKUP(E:E,笔记匹配!A:N,6,FALSE)</f>
        <v>根源性告别妈妈臀‼️/12种臀部训练解析</v>
      </c>
    </row>
    <row r="102" spans="1:32">
      <c r="A102" s="18" t="s">
        <v>27</v>
      </c>
      <c r="B102" s="18" t="s">
        <v>657</v>
      </c>
      <c r="C102" s="19">
        <v>14977423</v>
      </c>
      <c r="D102" s="18" t="s">
        <v>209</v>
      </c>
      <c r="E102" s="18" t="s">
        <v>518</v>
      </c>
      <c r="F102" s="18" t="s">
        <v>1060</v>
      </c>
      <c r="G102" s="19">
        <v>2984271</v>
      </c>
      <c r="H102" s="18" t="s">
        <v>1061</v>
      </c>
      <c r="I102" s="19">
        <v>2385975</v>
      </c>
      <c r="J102" s="18" t="s">
        <v>1015</v>
      </c>
      <c r="K102" s="19">
        <v>0.2</v>
      </c>
      <c r="L102" s="19">
        <v>9</v>
      </c>
      <c r="M102" s="19">
        <v>1</v>
      </c>
      <c r="N102" s="20">
        <v>0.1111</v>
      </c>
      <c r="O102" s="19">
        <v>0.2</v>
      </c>
      <c r="P102" s="19">
        <v>22.22</v>
      </c>
      <c r="Q102" s="19">
        <v>0</v>
      </c>
      <c r="R102" s="19">
        <v>0</v>
      </c>
      <c r="S102" s="19">
        <v>1</v>
      </c>
      <c r="T102" s="19">
        <v>0</v>
      </c>
      <c r="U102" s="19">
        <v>0</v>
      </c>
      <c r="V102" s="19">
        <v>1</v>
      </c>
      <c r="W102" s="19">
        <v>0.2</v>
      </c>
      <c r="X102" s="19">
        <v>0</v>
      </c>
      <c r="Y102" s="20">
        <v>0</v>
      </c>
      <c r="Z102" s="19">
        <v>0</v>
      </c>
      <c r="AA102" s="19">
        <v>0</v>
      </c>
      <c r="AB102" t="str">
        <f>VLOOKUP(E:E,笔记匹配!A:N,3,FALSE)</f>
        <v>我是铁核桃也是小百合</v>
      </c>
      <c r="AC102" t="str">
        <f>VLOOKUP(E:E,笔记匹配!A:N,2,FALSE)</f>
        <v>体脂秤</v>
      </c>
      <c r="AD102" t="str">
        <f>VLOOKUP(E:E,笔记匹配!A:N,4,FALSE)</f>
        <v>云麦体脂秤3</v>
      </c>
      <c r="AE102" t="str">
        <f>VLOOKUP(E:E,笔记匹配!A:N,14,FALSE)</f>
        <v>云麦体脂秤3</v>
      </c>
      <c r="AF102" t="str">
        <f>VLOOKUP(E:E,笔记匹配!A:N,6,FALSE)</f>
        <v>产后5大阶段恢复必做事‼️错过多花3年补‼️</v>
      </c>
    </row>
    <row r="103" spans="1:32">
      <c r="A103" s="18" t="s">
        <v>27</v>
      </c>
      <c r="B103" s="18" t="s">
        <v>680</v>
      </c>
      <c r="C103" s="19">
        <v>14978184</v>
      </c>
      <c r="D103" s="18" t="s">
        <v>209</v>
      </c>
      <c r="E103" s="18" t="s">
        <v>513</v>
      </c>
      <c r="F103" s="18" t="s">
        <v>1062</v>
      </c>
      <c r="G103" s="19">
        <v>2984400</v>
      </c>
      <c r="H103" s="18" t="s">
        <v>1062</v>
      </c>
      <c r="I103" s="19">
        <v>2386169</v>
      </c>
      <c r="J103" s="18" t="s">
        <v>1015</v>
      </c>
      <c r="K103" s="19">
        <v>671.42</v>
      </c>
      <c r="L103" s="19">
        <v>91270</v>
      </c>
      <c r="M103" s="19">
        <v>17437</v>
      </c>
      <c r="N103" s="20">
        <v>0.191</v>
      </c>
      <c r="O103" s="19">
        <v>0.04</v>
      </c>
      <c r="P103" s="19">
        <v>7.36</v>
      </c>
      <c r="Q103" s="19">
        <v>65</v>
      </c>
      <c r="R103" s="19">
        <v>22</v>
      </c>
      <c r="S103" s="19">
        <v>9</v>
      </c>
      <c r="T103" s="19">
        <v>12</v>
      </c>
      <c r="U103" s="19">
        <v>10</v>
      </c>
      <c r="V103" s="19">
        <v>118</v>
      </c>
      <c r="W103" s="19">
        <v>5.69</v>
      </c>
      <c r="X103" s="19">
        <v>0</v>
      </c>
      <c r="Y103" s="20">
        <v>0</v>
      </c>
      <c r="Z103" s="19">
        <v>13</v>
      </c>
      <c r="AA103" s="19">
        <v>21</v>
      </c>
      <c r="AB103" t="str">
        <f>VLOOKUP(E:E,笔记匹配!A:N,3,FALSE)</f>
        <v>大桐yoto</v>
      </c>
      <c r="AC103" t="str">
        <f>VLOOKUP(E:E,笔记匹配!A:N,2,FALSE)</f>
        <v>跳绳</v>
      </c>
      <c r="AD103" t="str">
        <f>VLOOKUP(E:E,笔记匹配!A:N,4,FALSE)</f>
        <v>云麦3mini</v>
      </c>
      <c r="AE103" t="str">
        <f>VLOOKUP(E:E,笔记匹配!A:N,14,FALSE)</f>
        <v>云麦体脂秤3mini</v>
      </c>
      <c r="AF103" t="str">
        <f>VLOOKUP(E:E,笔记匹配!A:N,6,FALSE)</f>
        <v>减肥就是要饿｜饮食和运动的完整计划在这里</v>
      </c>
    </row>
    <row r="104" spans="1:32">
      <c r="A104" s="18" t="s">
        <v>27</v>
      </c>
      <c r="B104" s="18" t="s">
        <v>587</v>
      </c>
      <c r="C104" s="19">
        <v>15042179</v>
      </c>
      <c r="D104" s="18" t="s">
        <v>196</v>
      </c>
      <c r="E104" s="18" t="s">
        <v>400</v>
      </c>
      <c r="F104" s="18" t="s">
        <v>1063</v>
      </c>
      <c r="G104" s="19">
        <v>2993851</v>
      </c>
      <c r="H104" s="18" t="s">
        <v>1064</v>
      </c>
      <c r="I104" s="19">
        <v>2394430</v>
      </c>
      <c r="J104" s="18" t="s">
        <v>1015</v>
      </c>
      <c r="K104" s="19">
        <v>556.41</v>
      </c>
      <c r="L104" s="19">
        <v>15178</v>
      </c>
      <c r="M104" s="19">
        <v>946</v>
      </c>
      <c r="N104" s="20">
        <v>0.0623</v>
      </c>
      <c r="O104" s="19">
        <v>0.59</v>
      </c>
      <c r="P104" s="19">
        <v>36.66</v>
      </c>
      <c r="Q104" s="19">
        <v>30</v>
      </c>
      <c r="R104" s="19">
        <v>0</v>
      </c>
      <c r="S104" s="19">
        <v>25</v>
      </c>
      <c r="T104" s="19">
        <v>1</v>
      </c>
      <c r="U104" s="19">
        <v>1</v>
      </c>
      <c r="V104" s="19">
        <v>57</v>
      </c>
      <c r="W104" s="19">
        <v>9.76</v>
      </c>
      <c r="X104" s="19">
        <v>0</v>
      </c>
      <c r="Y104" s="20">
        <v>0</v>
      </c>
      <c r="Z104" s="19">
        <v>3</v>
      </c>
      <c r="AA104" s="19">
        <v>0</v>
      </c>
      <c r="AB104" t="str">
        <f>VLOOKUP(E:E,笔记匹配!A:N,3,FALSE)</f>
        <v>小雪教瑜伽</v>
      </c>
      <c r="AC104" t="str">
        <f>VLOOKUP(E:E,笔记匹配!A:N,2,FALSE)</f>
        <v>筋膜枪</v>
      </c>
      <c r="AD104" t="str">
        <f>VLOOKUP(E:E,笔记匹配!A:N,4,FALSE)</f>
        <v>云麦筋膜枪cc</v>
      </c>
      <c r="AE104" t="str">
        <f>VLOOKUP(E:E,笔记匹配!A:N,14,FALSE)</f>
        <v>云麦筋膜枪cc</v>
      </c>
      <c r="AF104" t="str">
        <f>VLOOKUP(E:E,笔记匹配!A:N,6,FALSE)</f>
        <v>瘦肌肉腿必备&amp;筋膜枪按摩跟练教程</v>
      </c>
    </row>
    <row r="105" spans="1:32">
      <c r="A105" s="18" t="s">
        <v>28</v>
      </c>
      <c r="B105" s="18" t="s">
        <v>646</v>
      </c>
      <c r="C105" s="19">
        <v>14439020</v>
      </c>
      <c r="D105" s="18" t="s">
        <v>209</v>
      </c>
      <c r="E105" s="18" t="s">
        <v>519</v>
      </c>
      <c r="F105" s="18" t="s">
        <v>1017</v>
      </c>
      <c r="G105" s="19">
        <v>2918831</v>
      </c>
      <c r="H105" s="18" t="s">
        <v>1017</v>
      </c>
      <c r="I105" s="19">
        <v>2325093</v>
      </c>
      <c r="J105" s="18" t="s">
        <v>1015</v>
      </c>
      <c r="K105" s="19">
        <v>0</v>
      </c>
      <c r="L105" s="19">
        <v>0</v>
      </c>
      <c r="M105" s="19">
        <v>0</v>
      </c>
      <c r="N105" s="20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1</v>
      </c>
      <c r="V105" s="19">
        <v>1</v>
      </c>
      <c r="W105" s="19">
        <v>0</v>
      </c>
      <c r="X105" s="19">
        <v>0</v>
      </c>
      <c r="Y105" s="20">
        <v>0</v>
      </c>
      <c r="Z105" s="19">
        <v>0</v>
      </c>
      <c r="AA105" s="19">
        <v>0</v>
      </c>
      <c r="AB105" t="str">
        <f>VLOOKUP(E:E,笔记匹配!A:N,3,FALSE)</f>
        <v>大敏敏的蜕变日记</v>
      </c>
      <c r="AC105" t="str">
        <f>VLOOKUP(E:E,笔记匹配!A:N,2,FALSE)</f>
        <v>体脂秤</v>
      </c>
      <c r="AD105" t="str">
        <f>VLOOKUP(E:E,笔记匹配!A:N,4,FALSE)</f>
        <v>云麦3mini</v>
      </c>
      <c r="AE105" t="str">
        <f>VLOOKUP(E:E,笔记匹配!A:N,14,FALSE)</f>
        <v>云麦体脂秤3mini</v>
      </c>
      <c r="AF105" t="str">
        <f>VLOOKUP(E:E,笔记匹配!A:N,6,FALSE)</f>
        <v>刘畊宏女孩的21天虐腹计划‼谁练谁瘦💪</v>
      </c>
    </row>
    <row r="106" spans="1:32">
      <c r="A106" s="18" t="s">
        <v>28</v>
      </c>
      <c r="B106" s="18" t="s">
        <v>1018</v>
      </c>
      <c r="C106" s="19">
        <v>14752018</v>
      </c>
      <c r="D106" s="18" t="s">
        <v>209</v>
      </c>
      <c r="E106" s="18" t="s">
        <v>516</v>
      </c>
      <c r="F106" s="18" t="s">
        <v>1019</v>
      </c>
      <c r="G106" s="19">
        <v>2959750</v>
      </c>
      <c r="H106" s="18" t="s">
        <v>1020</v>
      </c>
      <c r="I106" s="19">
        <v>2362546</v>
      </c>
      <c r="J106" s="18" t="s">
        <v>1015</v>
      </c>
      <c r="K106" s="19">
        <v>0</v>
      </c>
      <c r="L106" s="19">
        <v>0</v>
      </c>
      <c r="M106" s="19">
        <v>0</v>
      </c>
      <c r="N106" s="20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0</v>
      </c>
      <c r="Y106" s="20">
        <v>0</v>
      </c>
      <c r="Z106" s="19">
        <v>0</v>
      </c>
      <c r="AA106" s="19">
        <v>0</v>
      </c>
      <c r="AB106" t="str">
        <f>VLOOKUP(E:E,笔记匹配!A:N,3,FALSE)</f>
        <v>爱跳绳的粥粥</v>
      </c>
      <c r="AC106" t="str">
        <f>VLOOKUP(E:E,笔记匹配!A:N,2,FALSE)</f>
        <v>跳绳</v>
      </c>
      <c r="AD106" t="str">
        <f>VLOOKUP(E:E,笔记匹配!A:N,4,FALSE)</f>
        <v>云麦跳绳心率款</v>
      </c>
      <c r="AE106" t="str">
        <f>VLOOKUP(E:E,笔记匹配!A:N,14,FALSE)</f>
        <v>云麦心率跳绳</v>
      </c>
      <c r="AF106" t="str">
        <f>VLOOKUP(E:E,笔记匹配!A:N,6,FALSE)</f>
        <v>坚持跳绳瘦24斤这个高效跳绳组合你一定要跳</v>
      </c>
    </row>
    <row r="107" spans="1:32">
      <c r="A107" s="18" t="s">
        <v>28</v>
      </c>
      <c r="B107" s="18" t="s">
        <v>661</v>
      </c>
      <c r="C107" s="19">
        <v>14752576</v>
      </c>
      <c r="D107" s="18" t="s">
        <v>196</v>
      </c>
      <c r="E107" s="18" t="s">
        <v>553</v>
      </c>
      <c r="F107" s="18" t="s">
        <v>1028</v>
      </c>
      <c r="G107" s="19">
        <v>2959820</v>
      </c>
      <c r="H107" s="18" t="s">
        <v>1029</v>
      </c>
      <c r="I107" s="19">
        <v>2362578</v>
      </c>
      <c r="J107" s="18" t="s">
        <v>1015</v>
      </c>
      <c r="K107" s="19">
        <v>1027.22</v>
      </c>
      <c r="L107" s="19">
        <v>22514</v>
      </c>
      <c r="M107" s="19">
        <v>1934</v>
      </c>
      <c r="N107" s="20">
        <v>0.0859</v>
      </c>
      <c r="O107" s="19">
        <v>0.53</v>
      </c>
      <c r="P107" s="19">
        <v>45.63</v>
      </c>
      <c r="Q107" s="19">
        <v>46</v>
      </c>
      <c r="R107" s="19">
        <v>0</v>
      </c>
      <c r="S107" s="19">
        <v>19</v>
      </c>
      <c r="T107" s="19">
        <v>2</v>
      </c>
      <c r="U107" s="19">
        <v>0</v>
      </c>
      <c r="V107" s="19">
        <v>67</v>
      </c>
      <c r="W107" s="19">
        <v>15.33</v>
      </c>
      <c r="X107" s="19">
        <v>0</v>
      </c>
      <c r="Y107" s="20">
        <v>0</v>
      </c>
      <c r="Z107" s="19">
        <v>3</v>
      </c>
      <c r="AA107" s="19">
        <v>6</v>
      </c>
      <c r="AB107" t="str">
        <f>VLOOKUP(E:E,笔记匹配!A:N,3,FALSE)</f>
        <v>圆又圆超爱笑</v>
      </c>
      <c r="AC107" t="str">
        <f>VLOOKUP(E:E,笔记匹配!A:N,2,FALSE)</f>
        <v>筋膜枪</v>
      </c>
      <c r="AD107" t="str">
        <f>VLOOKUP(E:E,笔记匹配!A:N,4,FALSE)</f>
        <v>云麦筋膜枪cc</v>
      </c>
      <c r="AE107" t="str">
        <f>VLOOKUP(E:E,笔记匹配!A:N,14,FALSE)</f>
        <v>云麦筋膜枪cc</v>
      </c>
      <c r="AF107" t="str">
        <f>VLOOKUP(E:E,笔记匹配!A:N,6,FALSE)</f>
        <v>大二女生梨形粗腿逆袭✨这3步带你优化腿型</v>
      </c>
    </row>
    <row r="108" spans="1:32">
      <c r="A108" s="18" t="s">
        <v>28</v>
      </c>
      <c r="B108" s="18" t="s">
        <v>1040</v>
      </c>
      <c r="C108" s="19">
        <v>14794680</v>
      </c>
      <c r="D108" s="18" t="s">
        <v>209</v>
      </c>
      <c r="E108" s="18" t="s">
        <v>234</v>
      </c>
      <c r="F108" s="18" t="s">
        <v>1041</v>
      </c>
      <c r="G108" s="19">
        <v>2966106</v>
      </c>
      <c r="H108" s="18" t="s">
        <v>1041</v>
      </c>
      <c r="I108" s="19">
        <v>2368633</v>
      </c>
      <c r="J108" s="18" t="s">
        <v>1015</v>
      </c>
      <c r="K108" s="19">
        <v>57.14</v>
      </c>
      <c r="L108" s="19">
        <v>3214</v>
      </c>
      <c r="M108" s="19">
        <v>265</v>
      </c>
      <c r="N108" s="20">
        <v>0.0825</v>
      </c>
      <c r="O108" s="19">
        <v>0.22</v>
      </c>
      <c r="P108" s="19">
        <v>17.78</v>
      </c>
      <c r="Q108" s="19">
        <v>5</v>
      </c>
      <c r="R108" s="19">
        <v>0</v>
      </c>
      <c r="S108" s="19">
        <v>2</v>
      </c>
      <c r="T108" s="19">
        <v>1</v>
      </c>
      <c r="U108" s="19">
        <v>1</v>
      </c>
      <c r="V108" s="19">
        <v>9</v>
      </c>
      <c r="W108" s="19">
        <v>6.35</v>
      </c>
      <c r="X108" s="19">
        <v>0</v>
      </c>
      <c r="Y108" s="20">
        <v>0</v>
      </c>
      <c r="Z108" s="19">
        <v>0</v>
      </c>
      <c r="AA108" s="19">
        <v>0</v>
      </c>
      <c r="AB108" t="str">
        <f>VLOOKUP(E:E,笔记匹配!A:N,3,FALSE)</f>
        <v>pp</v>
      </c>
      <c r="AC108" t="str">
        <f>VLOOKUP(E:E,笔记匹配!A:N,2,FALSE)</f>
        <v>体脂秤</v>
      </c>
      <c r="AD108" t="str">
        <f>VLOOKUP(E:E,笔记匹配!A:N,4,FALSE)</f>
        <v>云麦体脂秤3mini</v>
      </c>
      <c r="AE108" t="str">
        <f>VLOOKUP(E:E,笔记匹配!A:N,14,FALSE)</f>
        <v>云麦体脂秤3mini</v>
      </c>
      <c r="AF108" t="str">
        <f>VLOOKUP(E:E,笔记匹配!A:N,6,FALSE)</f>
        <v>110到88 一些减肥小建议｜如何正确运动</v>
      </c>
    </row>
    <row r="109" spans="1:32">
      <c r="A109" s="18" t="s">
        <v>28</v>
      </c>
      <c r="B109" s="18" t="s">
        <v>1042</v>
      </c>
      <c r="C109" s="19">
        <v>14794969</v>
      </c>
      <c r="D109" s="18" t="s">
        <v>209</v>
      </c>
      <c r="E109" s="18" t="s">
        <v>444</v>
      </c>
      <c r="F109" s="18" t="s">
        <v>1043</v>
      </c>
      <c r="G109" s="19">
        <v>2966132</v>
      </c>
      <c r="H109" s="18" t="s">
        <v>1043</v>
      </c>
      <c r="I109" s="19">
        <v>2368658</v>
      </c>
      <c r="J109" s="18" t="s">
        <v>1015</v>
      </c>
      <c r="K109" s="19">
        <v>54.84</v>
      </c>
      <c r="L109" s="19">
        <v>2848</v>
      </c>
      <c r="M109" s="19">
        <v>386</v>
      </c>
      <c r="N109" s="20">
        <v>0.1355</v>
      </c>
      <c r="O109" s="19">
        <v>0.14</v>
      </c>
      <c r="P109" s="19">
        <v>19.26</v>
      </c>
      <c r="Q109" s="19">
        <v>17</v>
      </c>
      <c r="R109" s="19">
        <v>0</v>
      </c>
      <c r="S109" s="19">
        <v>15</v>
      </c>
      <c r="T109" s="19">
        <v>3</v>
      </c>
      <c r="U109" s="19">
        <v>1</v>
      </c>
      <c r="V109" s="19">
        <v>36</v>
      </c>
      <c r="W109" s="19">
        <v>1.52</v>
      </c>
      <c r="X109" s="19">
        <v>0</v>
      </c>
      <c r="Y109" s="20">
        <v>0</v>
      </c>
      <c r="Z109" s="19">
        <v>1</v>
      </c>
      <c r="AA109" s="19">
        <v>1</v>
      </c>
      <c r="AB109" t="str">
        <f>VLOOKUP(E:E,笔记匹配!A:N,3,FALSE)</f>
        <v>Sophia大大</v>
      </c>
      <c r="AC109" t="str">
        <f>VLOOKUP(E:E,笔记匹配!A:N,2,FALSE)</f>
        <v>筋膜枪</v>
      </c>
      <c r="AD109" t="str">
        <f>VLOOKUP(E:E,笔记匹配!A:N,4,FALSE)</f>
        <v>云麦cc</v>
      </c>
      <c r="AE109" t="str">
        <f>VLOOKUP(E:E,笔记匹配!A:N,14,FALSE)</f>
        <v>云麦筋膜枪cc</v>
      </c>
      <c r="AF109" t="str">
        <f>VLOOKUP(E:E,笔记匹配!A:N,6,FALSE)</f>
        <v>162 46|我悟了！翘臀不粗腿的训练方法!</v>
      </c>
    </row>
    <row r="110" spans="1:32">
      <c r="A110" s="18" t="s">
        <v>28</v>
      </c>
      <c r="B110" s="18" t="s">
        <v>1047</v>
      </c>
      <c r="C110" s="19">
        <v>14932478</v>
      </c>
      <c r="D110" s="18" t="s">
        <v>196</v>
      </c>
      <c r="E110" s="18" t="s">
        <v>514</v>
      </c>
      <c r="F110" s="18" t="s">
        <v>1048</v>
      </c>
      <c r="G110" s="19">
        <v>2978792</v>
      </c>
      <c r="H110" s="18" t="s">
        <v>1049</v>
      </c>
      <c r="I110" s="19">
        <v>2380738</v>
      </c>
      <c r="J110" s="18" t="s">
        <v>1015</v>
      </c>
      <c r="K110" s="19">
        <v>7.31</v>
      </c>
      <c r="L110" s="19">
        <v>867</v>
      </c>
      <c r="M110" s="19">
        <v>13</v>
      </c>
      <c r="N110" s="20">
        <v>0.015</v>
      </c>
      <c r="O110" s="19">
        <v>0.56</v>
      </c>
      <c r="P110" s="19">
        <v>8.43</v>
      </c>
      <c r="Q110" s="19">
        <v>3</v>
      </c>
      <c r="R110" s="19">
        <v>0</v>
      </c>
      <c r="S110" s="19">
        <v>0</v>
      </c>
      <c r="T110" s="19">
        <v>0</v>
      </c>
      <c r="U110" s="19">
        <v>0</v>
      </c>
      <c r="V110" s="19">
        <v>3</v>
      </c>
      <c r="W110" s="19">
        <v>2.44</v>
      </c>
      <c r="X110" s="19">
        <v>0</v>
      </c>
      <c r="Y110" s="20">
        <v>0</v>
      </c>
      <c r="Z110" s="19">
        <v>0</v>
      </c>
      <c r="AA110" s="19">
        <v>0</v>
      </c>
      <c r="AB110">
        <f>VLOOKUP(E:E,笔记匹配!A:N,3,FALSE)</f>
        <v>-77</v>
      </c>
      <c r="AC110" t="str">
        <f>VLOOKUP(E:E,笔记匹配!A:N,2,FALSE)</f>
        <v>体脂秤</v>
      </c>
      <c r="AD110" t="str">
        <f>VLOOKUP(E:E,笔记匹配!A:N,4,FALSE)</f>
        <v>云麦3mini</v>
      </c>
      <c r="AE110" t="str">
        <f>VLOOKUP(E:E,笔记匹配!A:N,14,FALSE)</f>
        <v>云麦体脂秤3mini</v>
      </c>
      <c r="AF110" t="str">
        <f>VLOOKUP(E:E,笔记匹配!A:N,6,FALSE)</f>
        <v>睡前8min瘦大腿内外侧</v>
      </c>
    </row>
    <row r="111" spans="1:32">
      <c r="A111" s="18" t="s">
        <v>28</v>
      </c>
      <c r="B111" s="18" t="s">
        <v>1057</v>
      </c>
      <c r="C111" s="19">
        <v>14976642</v>
      </c>
      <c r="D111" s="18" t="s">
        <v>209</v>
      </c>
      <c r="E111" s="18" t="s">
        <v>509</v>
      </c>
      <c r="F111" s="18" t="s">
        <v>1058</v>
      </c>
      <c r="G111" s="19">
        <v>2984144</v>
      </c>
      <c r="H111" s="18" t="s">
        <v>1059</v>
      </c>
      <c r="I111" s="19">
        <v>2385921</v>
      </c>
      <c r="J111" s="18" t="s">
        <v>1015</v>
      </c>
      <c r="K111" s="19">
        <v>1292.01</v>
      </c>
      <c r="L111" s="19">
        <v>85353</v>
      </c>
      <c r="M111" s="19">
        <v>4854</v>
      </c>
      <c r="N111" s="20">
        <v>0.0569</v>
      </c>
      <c r="O111" s="19">
        <v>0.27</v>
      </c>
      <c r="P111" s="19">
        <v>15.14</v>
      </c>
      <c r="Q111" s="19">
        <v>256</v>
      </c>
      <c r="R111" s="19">
        <v>10</v>
      </c>
      <c r="S111" s="19">
        <v>245</v>
      </c>
      <c r="T111" s="19">
        <v>39</v>
      </c>
      <c r="U111" s="19">
        <v>19</v>
      </c>
      <c r="V111" s="19">
        <v>569</v>
      </c>
      <c r="W111" s="19">
        <v>2.27</v>
      </c>
      <c r="X111" s="19">
        <v>0</v>
      </c>
      <c r="Y111" s="20">
        <v>0</v>
      </c>
      <c r="Z111" s="19">
        <v>4</v>
      </c>
      <c r="AA111" s="19">
        <v>0</v>
      </c>
      <c r="AB111" t="str">
        <f>VLOOKUP(E:E,笔记匹配!A:N,3,FALSE)</f>
        <v>小小李</v>
      </c>
      <c r="AC111" t="str">
        <f>VLOOKUP(E:E,笔记匹配!A:N,2,FALSE)</f>
        <v>跳绳</v>
      </c>
      <c r="AD111" t="str">
        <f>VLOOKUP(E:E,笔记匹配!A:N,4,FALSE)</f>
        <v>云麦心率跳绳</v>
      </c>
      <c r="AE111" t="str">
        <f>VLOOKUP(E:E,笔记匹配!A:N,14,FALSE)</f>
        <v>云麦心率跳绳</v>
      </c>
      <c r="AF111" t="str">
        <f>VLOOKUP(E:E,笔记匹配!A:N,6,FALSE)</f>
        <v>4分钟跳绳TABATA | 居家高效燃脂瘦全身</v>
      </c>
    </row>
    <row r="112" spans="1:32">
      <c r="A112" s="18" t="s">
        <v>28</v>
      </c>
      <c r="B112" s="18" t="s">
        <v>667</v>
      </c>
      <c r="C112" s="19">
        <v>14977272</v>
      </c>
      <c r="D112" s="18" t="s">
        <v>209</v>
      </c>
      <c r="E112" s="18" t="s">
        <v>516</v>
      </c>
      <c r="F112" s="18" t="s">
        <v>1058</v>
      </c>
      <c r="G112" s="19">
        <v>2984144</v>
      </c>
      <c r="H112" s="18" t="s">
        <v>1059</v>
      </c>
      <c r="I112" s="19">
        <v>2385921</v>
      </c>
      <c r="J112" s="18" t="s">
        <v>1015</v>
      </c>
      <c r="K112" s="19">
        <v>0</v>
      </c>
      <c r="L112" s="19">
        <v>0</v>
      </c>
      <c r="M112" s="19">
        <v>0</v>
      </c>
      <c r="N112" s="20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20">
        <v>0</v>
      </c>
      <c r="Z112" s="19">
        <v>0</v>
      </c>
      <c r="AA112" s="19">
        <v>0</v>
      </c>
      <c r="AB112" t="str">
        <f>VLOOKUP(E:E,笔记匹配!A:N,3,FALSE)</f>
        <v>爱跳绳的粥粥</v>
      </c>
      <c r="AC112" t="str">
        <f>VLOOKUP(E:E,笔记匹配!A:N,2,FALSE)</f>
        <v>跳绳</v>
      </c>
      <c r="AD112" t="str">
        <f>VLOOKUP(E:E,笔记匹配!A:N,4,FALSE)</f>
        <v>云麦跳绳心率款</v>
      </c>
      <c r="AE112" t="str">
        <f>VLOOKUP(E:E,笔记匹配!A:N,14,FALSE)</f>
        <v>云麦心率跳绳</v>
      </c>
      <c r="AF112" t="str">
        <f>VLOOKUP(E:E,笔记匹配!A:N,6,FALSE)</f>
        <v>坚持跳绳瘦24斤这个高效跳绳组合你一定要跳</v>
      </c>
    </row>
    <row r="113" spans="1:32">
      <c r="A113" s="18" t="s">
        <v>28</v>
      </c>
      <c r="B113" s="18" t="s">
        <v>689</v>
      </c>
      <c r="C113" s="19">
        <v>14977367</v>
      </c>
      <c r="D113" s="18" t="s">
        <v>209</v>
      </c>
      <c r="E113" s="18" t="s">
        <v>504</v>
      </c>
      <c r="F113" s="18" t="s">
        <v>1060</v>
      </c>
      <c r="G113" s="19">
        <v>2984271</v>
      </c>
      <c r="H113" s="18" t="s">
        <v>1061</v>
      </c>
      <c r="I113" s="19">
        <v>2385975</v>
      </c>
      <c r="J113" s="18" t="s">
        <v>1015</v>
      </c>
      <c r="K113" s="19">
        <v>1514.56</v>
      </c>
      <c r="L113" s="19">
        <v>74754</v>
      </c>
      <c r="M113" s="19">
        <v>3853</v>
      </c>
      <c r="N113" s="20">
        <v>0.0515</v>
      </c>
      <c r="O113" s="19">
        <v>0.39</v>
      </c>
      <c r="P113" s="19">
        <v>20.26</v>
      </c>
      <c r="Q113" s="19">
        <v>128</v>
      </c>
      <c r="R113" s="19">
        <v>2</v>
      </c>
      <c r="S113" s="19">
        <v>177</v>
      </c>
      <c r="T113" s="19">
        <v>22</v>
      </c>
      <c r="U113" s="19">
        <v>16</v>
      </c>
      <c r="V113" s="19">
        <v>345</v>
      </c>
      <c r="W113" s="19">
        <v>4.39</v>
      </c>
      <c r="X113" s="19">
        <v>0</v>
      </c>
      <c r="Y113" s="20">
        <v>0</v>
      </c>
      <c r="Z113" s="19">
        <v>12</v>
      </c>
      <c r="AA113" s="19">
        <v>7</v>
      </c>
      <c r="AB113" t="str">
        <f>VLOOKUP(E:E,笔记匹配!A:N,3,FALSE)</f>
        <v>小菜包超幸运</v>
      </c>
      <c r="AC113" t="str">
        <f>VLOOKUP(E:E,笔记匹配!A:N,2,FALSE)</f>
        <v>体脂秤</v>
      </c>
      <c r="AD113" t="str">
        <f>VLOOKUP(E:E,笔记匹配!A:N,4,FALSE)</f>
        <v>云麦体脂秤3</v>
      </c>
      <c r="AE113" t="str">
        <f>VLOOKUP(E:E,笔记匹配!A:N,14,FALSE)</f>
        <v>云麦体脂秤3</v>
      </c>
      <c r="AF113" t="str">
        <f>VLOOKUP(E:E,笔记匹配!A:N,6,FALSE)</f>
        <v>超全产后修复攻略✅三个阶段恢复少女身材</v>
      </c>
    </row>
    <row r="114" spans="1:32">
      <c r="A114" s="18" t="s">
        <v>28</v>
      </c>
      <c r="B114" s="18" t="s">
        <v>680</v>
      </c>
      <c r="C114" s="19">
        <v>14978184</v>
      </c>
      <c r="D114" s="18" t="s">
        <v>209</v>
      </c>
      <c r="E114" s="18" t="s">
        <v>513</v>
      </c>
      <c r="F114" s="18" t="s">
        <v>1062</v>
      </c>
      <c r="G114" s="19">
        <v>2984400</v>
      </c>
      <c r="H114" s="18" t="s">
        <v>1062</v>
      </c>
      <c r="I114" s="19">
        <v>2386169</v>
      </c>
      <c r="J114" s="18" t="s">
        <v>1015</v>
      </c>
      <c r="K114" s="19">
        <v>2003.34</v>
      </c>
      <c r="L114" s="19">
        <v>325865</v>
      </c>
      <c r="M114" s="19">
        <v>59882</v>
      </c>
      <c r="N114" s="20">
        <v>0.1838</v>
      </c>
      <c r="O114" s="19">
        <v>0.03</v>
      </c>
      <c r="P114" s="19">
        <v>6.15</v>
      </c>
      <c r="Q114" s="19">
        <v>307</v>
      </c>
      <c r="R114" s="19">
        <v>70</v>
      </c>
      <c r="S114" s="19">
        <v>46</v>
      </c>
      <c r="T114" s="19">
        <v>70</v>
      </c>
      <c r="U114" s="19">
        <v>19</v>
      </c>
      <c r="V114" s="19">
        <v>512</v>
      </c>
      <c r="W114" s="19">
        <v>3.91</v>
      </c>
      <c r="X114" s="19">
        <v>7</v>
      </c>
      <c r="Y114" s="20">
        <v>0.0001</v>
      </c>
      <c r="Z114" s="19">
        <v>105</v>
      </c>
      <c r="AA114" s="19">
        <v>108</v>
      </c>
      <c r="AB114" t="str">
        <f>VLOOKUP(E:E,笔记匹配!A:N,3,FALSE)</f>
        <v>大桐yoto</v>
      </c>
      <c r="AC114" t="str">
        <f>VLOOKUP(E:E,笔记匹配!A:N,2,FALSE)</f>
        <v>跳绳</v>
      </c>
      <c r="AD114" t="str">
        <f>VLOOKUP(E:E,笔记匹配!A:N,4,FALSE)</f>
        <v>云麦3mini</v>
      </c>
      <c r="AE114" t="str">
        <f>VLOOKUP(E:E,笔记匹配!A:N,14,FALSE)</f>
        <v>云麦体脂秤3mini</v>
      </c>
      <c r="AF114" t="str">
        <f>VLOOKUP(E:E,笔记匹配!A:N,6,FALSE)</f>
        <v>减肥就是要饿｜饮食和运动的完整计划在这里</v>
      </c>
    </row>
    <row r="115" spans="1:32">
      <c r="A115" s="18" t="s">
        <v>28</v>
      </c>
      <c r="B115" s="18" t="s">
        <v>587</v>
      </c>
      <c r="C115" s="19">
        <v>15042179</v>
      </c>
      <c r="D115" s="18" t="s">
        <v>196</v>
      </c>
      <c r="E115" s="18" t="s">
        <v>400</v>
      </c>
      <c r="F115" s="18" t="s">
        <v>1063</v>
      </c>
      <c r="G115" s="19">
        <v>2993851</v>
      </c>
      <c r="H115" s="18" t="s">
        <v>1064</v>
      </c>
      <c r="I115" s="19">
        <v>2394430</v>
      </c>
      <c r="J115" s="18" t="s">
        <v>1015</v>
      </c>
      <c r="K115" s="19">
        <v>1752.41</v>
      </c>
      <c r="L115" s="19">
        <v>45875</v>
      </c>
      <c r="M115" s="19">
        <v>2949</v>
      </c>
      <c r="N115" s="20">
        <v>0.0643</v>
      </c>
      <c r="O115" s="19">
        <v>0.59</v>
      </c>
      <c r="P115" s="19">
        <v>38.2</v>
      </c>
      <c r="Q115" s="19">
        <v>76</v>
      </c>
      <c r="R115" s="19">
        <v>0</v>
      </c>
      <c r="S115" s="19">
        <v>76</v>
      </c>
      <c r="T115" s="19">
        <v>6</v>
      </c>
      <c r="U115" s="19">
        <v>2</v>
      </c>
      <c r="V115" s="19">
        <v>160</v>
      </c>
      <c r="W115" s="19">
        <v>10.95</v>
      </c>
      <c r="X115" s="19">
        <v>0</v>
      </c>
      <c r="Y115" s="20">
        <v>0</v>
      </c>
      <c r="Z115" s="19">
        <v>1</v>
      </c>
      <c r="AA115" s="19">
        <v>7</v>
      </c>
      <c r="AB115" t="str">
        <f>VLOOKUP(E:E,笔记匹配!A:N,3,FALSE)</f>
        <v>小雪教瑜伽</v>
      </c>
      <c r="AC115" t="str">
        <f>VLOOKUP(E:E,笔记匹配!A:N,2,FALSE)</f>
        <v>筋膜枪</v>
      </c>
      <c r="AD115" t="str">
        <f>VLOOKUP(E:E,笔记匹配!A:N,4,FALSE)</f>
        <v>云麦筋膜枪cc</v>
      </c>
      <c r="AE115" t="str">
        <f>VLOOKUP(E:E,笔记匹配!A:N,14,FALSE)</f>
        <v>云麦筋膜枪cc</v>
      </c>
      <c r="AF115" t="str">
        <f>VLOOKUP(E:E,笔记匹配!A:N,6,FALSE)</f>
        <v>瘦肌肉腿必备&amp;筋膜枪按摩跟练教程</v>
      </c>
    </row>
    <row r="116" spans="1:32">
      <c r="A116" s="18" t="s">
        <v>28</v>
      </c>
      <c r="B116" s="18" t="s">
        <v>1065</v>
      </c>
      <c r="C116" s="19">
        <v>15088586</v>
      </c>
      <c r="D116" s="18" t="s">
        <v>196</v>
      </c>
      <c r="E116" s="18" t="s">
        <v>234</v>
      </c>
      <c r="F116" s="18" t="s">
        <v>1048</v>
      </c>
      <c r="G116" s="19">
        <v>2978792</v>
      </c>
      <c r="H116" s="18" t="s">
        <v>1049</v>
      </c>
      <c r="I116" s="19">
        <v>2380738</v>
      </c>
      <c r="J116" s="18" t="s">
        <v>1015</v>
      </c>
      <c r="K116" s="19">
        <v>204.44</v>
      </c>
      <c r="L116" s="19">
        <v>4782</v>
      </c>
      <c r="M116" s="19">
        <v>454</v>
      </c>
      <c r="N116" s="20">
        <v>0.0949</v>
      </c>
      <c r="O116" s="19">
        <v>0.45</v>
      </c>
      <c r="P116" s="19">
        <v>42.75</v>
      </c>
      <c r="Q116" s="19">
        <v>4</v>
      </c>
      <c r="R116" s="19">
        <v>0</v>
      </c>
      <c r="S116" s="19">
        <v>0</v>
      </c>
      <c r="T116" s="19">
        <v>1</v>
      </c>
      <c r="U116" s="19">
        <v>0</v>
      </c>
      <c r="V116" s="19">
        <v>5</v>
      </c>
      <c r="W116" s="19">
        <v>40.89</v>
      </c>
      <c r="X116" s="19">
        <v>0</v>
      </c>
      <c r="Y116" s="20">
        <v>0</v>
      </c>
      <c r="Z116" s="19">
        <v>1</v>
      </c>
      <c r="AA116" s="19">
        <v>0</v>
      </c>
      <c r="AB116" t="str">
        <f>VLOOKUP(E:E,笔记匹配!A:N,3,FALSE)</f>
        <v>pp</v>
      </c>
      <c r="AC116" t="str">
        <f>VLOOKUP(E:E,笔记匹配!A:N,2,FALSE)</f>
        <v>体脂秤</v>
      </c>
      <c r="AD116" t="str">
        <f>VLOOKUP(E:E,笔记匹配!A:N,4,FALSE)</f>
        <v>云麦体脂秤3mini</v>
      </c>
      <c r="AE116" t="str">
        <f>VLOOKUP(E:E,笔记匹配!A:N,14,FALSE)</f>
        <v>云麦体脂秤3mini</v>
      </c>
      <c r="AF116" t="str">
        <f>VLOOKUP(E:E,笔记匹配!A:N,6,FALSE)</f>
        <v>110到88 一些减肥小建议｜如何正确运动</v>
      </c>
    </row>
    <row r="117" spans="1:32">
      <c r="A117" s="18" t="s">
        <v>28</v>
      </c>
      <c r="B117" s="18" t="s">
        <v>1066</v>
      </c>
      <c r="C117" s="19">
        <v>15088587</v>
      </c>
      <c r="D117" s="18" t="s">
        <v>196</v>
      </c>
      <c r="E117" s="18" t="s">
        <v>513</v>
      </c>
      <c r="F117" s="18" t="s">
        <v>1048</v>
      </c>
      <c r="G117" s="19">
        <v>2978792</v>
      </c>
      <c r="H117" s="18" t="s">
        <v>1049</v>
      </c>
      <c r="I117" s="19">
        <v>2380738</v>
      </c>
      <c r="J117" s="18" t="s">
        <v>1015</v>
      </c>
      <c r="K117" s="19">
        <v>93.65</v>
      </c>
      <c r="L117" s="19">
        <v>1846</v>
      </c>
      <c r="M117" s="19">
        <v>150</v>
      </c>
      <c r="N117" s="20">
        <v>0.0813</v>
      </c>
      <c r="O117" s="19">
        <v>0.62</v>
      </c>
      <c r="P117" s="19">
        <v>50.73</v>
      </c>
      <c r="Q117" s="19">
        <v>3</v>
      </c>
      <c r="R117" s="19">
        <v>0</v>
      </c>
      <c r="S117" s="19">
        <v>0</v>
      </c>
      <c r="T117" s="19">
        <v>0</v>
      </c>
      <c r="U117" s="19">
        <v>0</v>
      </c>
      <c r="V117" s="19">
        <v>3</v>
      </c>
      <c r="W117" s="19">
        <v>31.22</v>
      </c>
      <c r="X117" s="19">
        <v>0</v>
      </c>
      <c r="Y117" s="20">
        <v>0</v>
      </c>
      <c r="Z117" s="19">
        <v>0</v>
      </c>
      <c r="AA117" s="19">
        <v>0</v>
      </c>
      <c r="AB117" t="str">
        <f>VLOOKUP(E:E,笔记匹配!A:N,3,FALSE)</f>
        <v>大桐yoto</v>
      </c>
      <c r="AC117" t="str">
        <f>VLOOKUP(E:E,笔记匹配!A:N,2,FALSE)</f>
        <v>跳绳</v>
      </c>
      <c r="AD117" t="str">
        <f>VLOOKUP(E:E,笔记匹配!A:N,4,FALSE)</f>
        <v>云麦3mini</v>
      </c>
      <c r="AE117" t="str">
        <f>VLOOKUP(E:E,笔记匹配!A:N,14,FALSE)</f>
        <v>云麦体脂秤3mini</v>
      </c>
      <c r="AF117" t="str">
        <f>VLOOKUP(E:E,笔记匹配!A:N,6,FALSE)</f>
        <v>减肥就是要饿｜饮食和运动的完整计划在这里</v>
      </c>
    </row>
    <row r="118" spans="1:32">
      <c r="A118" s="18" t="s">
        <v>28</v>
      </c>
      <c r="B118" s="18" t="s">
        <v>587</v>
      </c>
      <c r="C118" s="19">
        <v>15088839</v>
      </c>
      <c r="D118" s="18" t="s">
        <v>209</v>
      </c>
      <c r="E118" s="18" t="s">
        <v>400</v>
      </c>
      <c r="F118" s="18" t="s">
        <v>1067</v>
      </c>
      <c r="G118" s="19">
        <v>3001667</v>
      </c>
      <c r="H118" s="18" t="s">
        <v>1068</v>
      </c>
      <c r="I118" s="19">
        <v>2400711</v>
      </c>
      <c r="J118" s="18" t="s">
        <v>1015</v>
      </c>
      <c r="K118" s="19">
        <v>1978.91</v>
      </c>
      <c r="L118" s="19">
        <v>237365</v>
      </c>
      <c r="M118" s="19">
        <v>13680</v>
      </c>
      <c r="N118" s="20">
        <v>0.0576</v>
      </c>
      <c r="O118" s="19">
        <v>0.14</v>
      </c>
      <c r="P118" s="19">
        <v>8.34</v>
      </c>
      <c r="Q118" s="19">
        <v>334</v>
      </c>
      <c r="R118" s="19">
        <v>11</v>
      </c>
      <c r="S118" s="19">
        <v>269</v>
      </c>
      <c r="T118" s="19">
        <v>35</v>
      </c>
      <c r="U118" s="19">
        <v>24</v>
      </c>
      <c r="V118" s="19">
        <v>673</v>
      </c>
      <c r="W118" s="19">
        <v>2.94</v>
      </c>
      <c r="X118" s="19">
        <v>0</v>
      </c>
      <c r="Y118" s="20">
        <v>0</v>
      </c>
      <c r="Z118" s="19">
        <v>17</v>
      </c>
      <c r="AA118" s="19">
        <v>11</v>
      </c>
      <c r="AB118" t="str">
        <f>VLOOKUP(E:E,笔记匹配!A:N,3,FALSE)</f>
        <v>小雪教瑜伽</v>
      </c>
      <c r="AC118" t="str">
        <f>VLOOKUP(E:E,笔记匹配!A:N,2,FALSE)</f>
        <v>筋膜枪</v>
      </c>
      <c r="AD118" t="str">
        <f>VLOOKUP(E:E,笔记匹配!A:N,4,FALSE)</f>
        <v>云麦筋膜枪cc</v>
      </c>
      <c r="AE118" t="str">
        <f>VLOOKUP(E:E,笔记匹配!A:N,14,FALSE)</f>
        <v>云麦筋膜枪cc</v>
      </c>
      <c r="AF118" t="str">
        <f>VLOOKUP(E:E,笔记匹配!A:N,6,FALSE)</f>
        <v>瘦肌肉腿必备&amp;筋膜枪按摩跟练教程</v>
      </c>
    </row>
    <row r="119" spans="1:32">
      <c r="A119" s="18" t="s">
        <v>28</v>
      </c>
      <c r="B119" s="18" t="s">
        <v>1069</v>
      </c>
      <c r="C119" s="19">
        <v>15089043</v>
      </c>
      <c r="D119" s="18" t="s">
        <v>209</v>
      </c>
      <c r="E119" s="18" t="s">
        <v>408</v>
      </c>
      <c r="F119" s="18" t="s">
        <v>1069</v>
      </c>
      <c r="G119" s="19">
        <v>3001688</v>
      </c>
      <c r="H119" s="18" t="s">
        <v>1069</v>
      </c>
      <c r="I119" s="19">
        <v>2400733</v>
      </c>
      <c r="J119" s="18" t="s">
        <v>1015</v>
      </c>
      <c r="K119" s="19">
        <v>192.93</v>
      </c>
      <c r="L119" s="19">
        <v>31919</v>
      </c>
      <c r="M119" s="19">
        <v>3418</v>
      </c>
      <c r="N119" s="20">
        <v>0.1071</v>
      </c>
      <c r="O119" s="19">
        <v>0.06</v>
      </c>
      <c r="P119" s="19">
        <v>6.04</v>
      </c>
      <c r="Q119" s="19">
        <v>42</v>
      </c>
      <c r="R119" s="19">
        <v>1</v>
      </c>
      <c r="S119" s="19">
        <v>7</v>
      </c>
      <c r="T119" s="19">
        <v>7</v>
      </c>
      <c r="U119" s="19">
        <v>1</v>
      </c>
      <c r="V119" s="19">
        <v>58</v>
      </c>
      <c r="W119" s="19">
        <v>3.33</v>
      </c>
      <c r="X119" s="19">
        <v>0</v>
      </c>
      <c r="Y119" s="20">
        <v>0</v>
      </c>
      <c r="Z119" s="19">
        <v>0</v>
      </c>
      <c r="AA119" s="19">
        <v>6</v>
      </c>
      <c r="AB119" t="str">
        <f>VLOOKUP(E:E,笔记匹配!A:N,3,FALSE)</f>
        <v>努力变好的yy</v>
      </c>
      <c r="AC119" t="str">
        <f>VLOOKUP(E:E,笔记匹配!A:N,2,FALSE)</f>
        <v>筋膜枪</v>
      </c>
      <c r="AD119" t="str">
        <f>VLOOKUP(E:E,笔记匹配!A:N,4,FALSE)</f>
        <v>云麦cc筋膜枪</v>
      </c>
      <c r="AE119" t="str">
        <f>VLOOKUP(E:E,笔记匹配!A:N,14,FALSE)</f>
        <v>云麦筋膜枪cc</v>
      </c>
      <c r="AF119" t="str">
        <f>VLOOKUP(E:E,笔记匹配!A:N,6,FALSE)</f>
        <v>筋膜枪➕泡沫轴｜运动后全套放松动作分享！！</v>
      </c>
    </row>
    <row r="120" spans="1:32">
      <c r="A120" s="18" t="s">
        <v>28</v>
      </c>
      <c r="B120" s="18" t="s">
        <v>1070</v>
      </c>
      <c r="C120" s="19">
        <v>15089317</v>
      </c>
      <c r="D120" s="18" t="s">
        <v>209</v>
      </c>
      <c r="E120" s="18" t="s">
        <v>499</v>
      </c>
      <c r="F120" s="18" t="s">
        <v>1071</v>
      </c>
      <c r="G120" s="19">
        <v>3001731</v>
      </c>
      <c r="H120" s="18" t="s">
        <v>1072</v>
      </c>
      <c r="I120" s="19">
        <v>2400767</v>
      </c>
      <c r="J120" s="18" t="s">
        <v>1015</v>
      </c>
      <c r="K120" s="19">
        <v>149.21</v>
      </c>
      <c r="L120" s="19">
        <v>33339</v>
      </c>
      <c r="M120" s="19">
        <v>1835</v>
      </c>
      <c r="N120" s="20">
        <v>0.055</v>
      </c>
      <c r="O120" s="19">
        <v>0.08</v>
      </c>
      <c r="P120" s="19">
        <v>4.48</v>
      </c>
      <c r="Q120" s="19">
        <v>13</v>
      </c>
      <c r="R120" s="19">
        <v>2</v>
      </c>
      <c r="S120" s="19">
        <v>0</v>
      </c>
      <c r="T120" s="19">
        <v>2</v>
      </c>
      <c r="U120" s="19">
        <v>0</v>
      </c>
      <c r="V120" s="19">
        <v>17</v>
      </c>
      <c r="W120" s="19">
        <v>8.78</v>
      </c>
      <c r="X120" s="19">
        <v>0</v>
      </c>
      <c r="Y120" s="20">
        <v>0</v>
      </c>
      <c r="Z120" s="19">
        <v>0</v>
      </c>
      <c r="AA120" s="19">
        <v>1</v>
      </c>
      <c r="AB120" t="str">
        <f>VLOOKUP(E:E,笔记匹配!A:N,3,FALSE)</f>
        <v>威风凛凛小队长</v>
      </c>
      <c r="AC120" t="str">
        <f>VLOOKUP(E:E,笔记匹配!A:N,2,FALSE)</f>
        <v>体脂秤</v>
      </c>
      <c r="AD120" t="str">
        <f>VLOOKUP(E:E,笔记匹配!A:N,4,FALSE)</f>
        <v>云麦体脂秤3</v>
      </c>
      <c r="AE120" t="str">
        <f>VLOOKUP(E:E,笔记匹配!A:N,14,FALSE)</f>
        <v>云麦体脂秤3</v>
      </c>
      <c r="AF120" t="str">
        <f>VLOOKUP(E:E,笔记匹配!A:N,6,FALSE)</f>
        <v>被你们形容的“肥美多脂”气哭了</v>
      </c>
    </row>
    <row r="121" spans="1:32">
      <c r="A121" s="18" t="s">
        <v>28</v>
      </c>
      <c r="B121" s="18" t="s">
        <v>698</v>
      </c>
      <c r="C121" s="19">
        <v>15089398</v>
      </c>
      <c r="D121" s="18" t="s">
        <v>209</v>
      </c>
      <c r="E121" s="18" t="s">
        <v>501</v>
      </c>
      <c r="F121" s="18" t="s">
        <v>1071</v>
      </c>
      <c r="G121" s="19">
        <v>3001731</v>
      </c>
      <c r="H121" s="18" t="s">
        <v>1072</v>
      </c>
      <c r="I121" s="19">
        <v>2400767</v>
      </c>
      <c r="J121" s="18" t="s">
        <v>1015</v>
      </c>
      <c r="K121" s="19">
        <v>231.19</v>
      </c>
      <c r="L121" s="19">
        <v>29745</v>
      </c>
      <c r="M121" s="19">
        <v>3283</v>
      </c>
      <c r="N121" s="20">
        <v>0.1104</v>
      </c>
      <c r="O121" s="19">
        <v>0.07</v>
      </c>
      <c r="P121" s="19">
        <v>7.77</v>
      </c>
      <c r="Q121" s="19">
        <v>18</v>
      </c>
      <c r="R121" s="19">
        <v>2</v>
      </c>
      <c r="S121" s="19">
        <v>2</v>
      </c>
      <c r="T121" s="19">
        <v>1</v>
      </c>
      <c r="U121" s="19">
        <v>1</v>
      </c>
      <c r="V121" s="19">
        <v>24</v>
      </c>
      <c r="W121" s="19">
        <v>9.63</v>
      </c>
      <c r="X121" s="19">
        <v>0</v>
      </c>
      <c r="Y121" s="20">
        <v>0</v>
      </c>
      <c r="Z121" s="19">
        <v>0</v>
      </c>
      <c r="AA121" s="19">
        <v>3</v>
      </c>
      <c r="AB121" t="str">
        <f>VLOOKUP(E:E,笔记匹配!A:N,3,FALSE)</f>
        <v>咕咕猪小短腿</v>
      </c>
      <c r="AC121" t="str">
        <f>VLOOKUP(E:E,笔记匹配!A:N,2,FALSE)</f>
        <v>体脂秤</v>
      </c>
      <c r="AD121" t="str">
        <f>VLOOKUP(E:E,笔记匹配!A:N,4,FALSE)</f>
        <v>云麦体脂秤3</v>
      </c>
      <c r="AE121" t="str">
        <f>VLOOKUP(E:E,笔记匹配!A:N,14,FALSE)</f>
        <v>云麦体脂秤3</v>
      </c>
      <c r="AF121" t="str">
        <f>VLOOKUP(E:E,笔记匹配!A:N,6,FALSE)</f>
        <v>笑死！一到称重就心虚到没耳朵</v>
      </c>
    </row>
    <row r="122" spans="1:32">
      <c r="A122" s="18" t="s">
        <v>28</v>
      </c>
      <c r="B122" s="18" t="s">
        <v>1066</v>
      </c>
      <c r="C122" s="19">
        <v>15089589</v>
      </c>
      <c r="D122" s="18" t="s">
        <v>209</v>
      </c>
      <c r="E122" s="18" t="s">
        <v>510</v>
      </c>
      <c r="F122" s="18" t="s">
        <v>1073</v>
      </c>
      <c r="G122" s="19">
        <v>3001791</v>
      </c>
      <c r="H122" s="18" t="s">
        <v>1073</v>
      </c>
      <c r="I122" s="19">
        <v>2400796</v>
      </c>
      <c r="J122" s="18" t="s">
        <v>1015</v>
      </c>
      <c r="K122" s="19">
        <v>376.07</v>
      </c>
      <c r="L122" s="19">
        <v>52708</v>
      </c>
      <c r="M122" s="19">
        <v>6362</v>
      </c>
      <c r="N122" s="20">
        <v>0.1207</v>
      </c>
      <c r="O122" s="19">
        <v>0.06</v>
      </c>
      <c r="P122" s="19">
        <v>7.13</v>
      </c>
      <c r="Q122" s="19">
        <v>25</v>
      </c>
      <c r="R122" s="19">
        <v>6</v>
      </c>
      <c r="S122" s="19">
        <v>11</v>
      </c>
      <c r="T122" s="19">
        <v>5</v>
      </c>
      <c r="U122" s="19">
        <v>2</v>
      </c>
      <c r="V122" s="19">
        <v>49</v>
      </c>
      <c r="W122" s="19">
        <v>7.67</v>
      </c>
      <c r="X122" s="19">
        <v>0</v>
      </c>
      <c r="Y122" s="20">
        <v>0</v>
      </c>
      <c r="Z122" s="19">
        <v>3</v>
      </c>
      <c r="AA122" s="19">
        <v>11</v>
      </c>
      <c r="AB122" t="str">
        <f>VLOOKUP(E:E,笔记匹配!A:N,3,FALSE)</f>
        <v>白白</v>
      </c>
      <c r="AC122" t="str">
        <f>VLOOKUP(E:E,笔记匹配!A:N,2,FALSE)</f>
        <v>跳绳</v>
      </c>
      <c r="AD122" t="str">
        <f>VLOOKUP(E:E,笔记匹配!A:N,4,FALSE)</f>
        <v>云麦心率跳绳</v>
      </c>
      <c r="AE122" t="str">
        <f>VLOOKUP(E:E,笔记匹配!A:N,14,FALSE)</f>
        <v>云麦心率跳绳</v>
      </c>
      <c r="AF122" t="str">
        <f>VLOOKUP(E:E,笔记匹配!A:N,6,FALSE)</f>
        <v>大腿围42 | 瘦腿还得要跳绳！</v>
      </c>
    </row>
    <row r="123" spans="1:32">
      <c r="A123" s="18" t="s">
        <v>29</v>
      </c>
      <c r="B123" s="18" t="s">
        <v>661</v>
      </c>
      <c r="C123" s="19">
        <v>14752576</v>
      </c>
      <c r="D123" s="18" t="s">
        <v>196</v>
      </c>
      <c r="E123" s="18" t="s">
        <v>553</v>
      </c>
      <c r="F123" s="18" t="s">
        <v>1028</v>
      </c>
      <c r="G123" s="19">
        <v>2959820</v>
      </c>
      <c r="H123" s="18" t="s">
        <v>1029</v>
      </c>
      <c r="I123" s="19">
        <v>2362578</v>
      </c>
      <c r="J123" s="18" t="s">
        <v>1015</v>
      </c>
      <c r="K123" s="19">
        <v>1010.62</v>
      </c>
      <c r="L123" s="19">
        <v>26991</v>
      </c>
      <c r="M123" s="19">
        <v>1944</v>
      </c>
      <c r="N123" s="20">
        <v>0.072</v>
      </c>
      <c r="O123" s="19">
        <v>0.52</v>
      </c>
      <c r="P123" s="19">
        <v>37.44</v>
      </c>
      <c r="Q123" s="19">
        <v>34</v>
      </c>
      <c r="R123" s="19">
        <v>1</v>
      </c>
      <c r="S123" s="19">
        <v>31</v>
      </c>
      <c r="T123" s="19">
        <v>2</v>
      </c>
      <c r="U123" s="19">
        <v>0</v>
      </c>
      <c r="V123" s="19">
        <v>68</v>
      </c>
      <c r="W123" s="19">
        <v>14.86</v>
      </c>
      <c r="X123" s="19">
        <v>0</v>
      </c>
      <c r="Y123" s="20">
        <v>0</v>
      </c>
      <c r="Z123" s="19">
        <v>4</v>
      </c>
      <c r="AA123" s="19">
        <v>12</v>
      </c>
      <c r="AB123" t="str">
        <f>VLOOKUP(E:E,笔记匹配!A:N,3,FALSE)</f>
        <v>圆又圆超爱笑</v>
      </c>
      <c r="AC123" t="str">
        <f>VLOOKUP(E:E,笔记匹配!A:N,2,FALSE)</f>
        <v>筋膜枪</v>
      </c>
      <c r="AD123" t="str">
        <f>VLOOKUP(E:E,笔记匹配!A:N,4,FALSE)</f>
        <v>云麦筋膜枪cc</v>
      </c>
      <c r="AE123" t="str">
        <f>VLOOKUP(E:E,笔记匹配!A:N,14,FALSE)</f>
        <v>云麦筋膜枪cc</v>
      </c>
      <c r="AF123" t="str">
        <f>VLOOKUP(E:E,笔记匹配!A:N,6,FALSE)</f>
        <v>大二女生梨形粗腿逆袭✨这3步带你优化腿型</v>
      </c>
    </row>
    <row r="124" spans="1:32">
      <c r="A124" s="18" t="s">
        <v>29</v>
      </c>
      <c r="B124" s="18" t="s">
        <v>1042</v>
      </c>
      <c r="C124" s="19">
        <v>14794969</v>
      </c>
      <c r="D124" s="18" t="s">
        <v>209</v>
      </c>
      <c r="E124" s="18" t="s">
        <v>444</v>
      </c>
      <c r="F124" s="18" t="s">
        <v>1043</v>
      </c>
      <c r="G124" s="19">
        <v>2966132</v>
      </c>
      <c r="H124" s="18" t="s">
        <v>1043</v>
      </c>
      <c r="I124" s="19">
        <v>2368658</v>
      </c>
      <c r="J124" s="18" t="s">
        <v>1015</v>
      </c>
      <c r="K124" s="19">
        <v>0</v>
      </c>
      <c r="L124" s="19">
        <v>0</v>
      </c>
      <c r="M124" s="19">
        <v>0</v>
      </c>
      <c r="N124" s="20">
        <v>0</v>
      </c>
      <c r="O124" s="19">
        <v>0</v>
      </c>
      <c r="P124" s="19">
        <v>0</v>
      </c>
      <c r="Q124" s="19">
        <v>0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20">
        <v>0</v>
      </c>
      <c r="Z124" s="19">
        <v>0</v>
      </c>
      <c r="AA124" s="19">
        <v>0</v>
      </c>
      <c r="AB124" t="str">
        <f>VLOOKUP(E:E,笔记匹配!A:N,3,FALSE)</f>
        <v>Sophia大大</v>
      </c>
      <c r="AC124" t="str">
        <f>VLOOKUP(E:E,笔记匹配!A:N,2,FALSE)</f>
        <v>筋膜枪</v>
      </c>
      <c r="AD124" t="str">
        <f>VLOOKUP(E:E,笔记匹配!A:N,4,FALSE)</f>
        <v>云麦cc</v>
      </c>
      <c r="AE124" t="str">
        <f>VLOOKUP(E:E,笔记匹配!A:N,14,FALSE)</f>
        <v>云麦筋膜枪cc</v>
      </c>
      <c r="AF124" t="str">
        <f>VLOOKUP(E:E,笔记匹配!A:N,6,FALSE)</f>
        <v>162 46|我悟了！翘臀不粗腿的训练方法!</v>
      </c>
    </row>
    <row r="125" spans="1:32">
      <c r="A125" s="18" t="s">
        <v>29</v>
      </c>
      <c r="B125" s="18" t="s">
        <v>1057</v>
      </c>
      <c r="C125" s="19">
        <v>14976642</v>
      </c>
      <c r="D125" s="18" t="s">
        <v>209</v>
      </c>
      <c r="E125" s="18" t="s">
        <v>509</v>
      </c>
      <c r="F125" s="18" t="s">
        <v>1058</v>
      </c>
      <c r="G125" s="19">
        <v>2984144</v>
      </c>
      <c r="H125" s="18" t="s">
        <v>1059</v>
      </c>
      <c r="I125" s="19">
        <v>2385921</v>
      </c>
      <c r="J125" s="18" t="s">
        <v>1015</v>
      </c>
      <c r="K125" s="19">
        <v>4006.54</v>
      </c>
      <c r="L125" s="19">
        <v>315487</v>
      </c>
      <c r="M125" s="19">
        <v>14880</v>
      </c>
      <c r="N125" s="20">
        <v>0.0472</v>
      </c>
      <c r="O125" s="19">
        <v>0.27</v>
      </c>
      <c r="P125" s="19">
        <v>12.7</v>
      </c>
      <c r="Q125" s="19">
        <v>741</v>
      </c>
      <c r="R125" s="19">
        <v>31</v>
      </c>
      <c r="S125" s="19">
        <v>689</v>
      </c>
      <c r="T125" s="19">
        <v>108</v>
      </c>
      <c r="U125" s="19">
        <v>46</v>
      </c>
      <c r="V125" s="19">
        <v>1615</v>
      </c>
      <c r="W125" s="19">
        <v>2.48</v>
      </c>
      <c r="X125" s="19">
        <v>1</v>
      </c>
      <c r="Y125" s="20">
        <v>0.0001</v>
      </c>
      <c r="Z125" s="19">
        <v>17</v>
      </c>
      <c r="AA125" s="19">
        <v>0</v>
      </c>
      <c r="AB125" t="str">
        <f>VLOOKUP(E:E,笔记匹配!A:N,3,FALSE)</f>
        <v>小小李</v>
      </c>
      <c r="AC125" t="str">
        <f>VLOOKUP(E:E,笔记匹配!A:N,2,FALSE)</f>
        <v>跳绳</v>
      </c>
      <c r="AD125" t="str">
        <f>VLOOKUP(E:E,笔记匹配!A:N,4,FALSE)</f>
        <v>云麦心率跳绳</v>
      </c>
      <c r="AE125" t="str">
        <f>VLOOKUP(E:E,笔记匹配!A:N,14,FALSE)</f>
        <v>云麦心率跳绳</v>
      </c>
      <c r="AF125" t="str">
        <f>VLOOKUP(E:E,笔记匹配!A:N,6,FALSE)</f>
        <v>4分钟跳绳TABATA | 居家高效燃脂瘦全身</v>
      </c>
    </row>
    <row r="126" spans="1:32">
      <c r="A126" s="18" t="s">
        <v>29</v>
      </c>
      <c r="B126" s="18" t="s">
        <v>667</v>
      </c>
      <c r="C126" s="19">
        <v>14977272</v>
      </c>
      <c r="D126" s="18" t="s">
        <v>209</v>
      </c>
      <c r="E126" s="18" t="s">
        <v>516</v>
      </c>
      <c r="F126" s="18" t="s">
        <v>1058</v>
      </c>
      <c r="G126" s="19">
        <v>2984144</v>
      </c>
      <c r="H126" s="18" t="s">
        <v>1059</v>
      </c>
      <c r="I126" s="19">
        <v>2385921</v>
      </c>
      <c r="J126" s="18" t="s">
        <v>1015</v>
      </c>
      <c r="K126" s="19">
        <v>0</v>
      </c>
      <c r="L126" s="19">
        <v>0</v>
      </c>
      <c r="M126" s="19">
        <v>0</v>
      </c>
      <c r="N126" s="20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20">
        <v>0</v>
      </c>
      <c r="Z126" s="19">
        <v>0</v>
      </c>
      <c r="AA126" s="19">
        <v>0</v>
      </c>
      <c r="AB126" t="str">
        <f>VLOOKUP(E:E,笔记匹配!A:N,3,FALSE)</f>
        <v>爱跳绳的粥粥</v>
      </c>
      <c r="AC126" t="str">
        <f>VLOOKUP(E:E,笔记匹配!A:N,2,FALSE)</f>
        <v>跳绳</v>
      </c>
      <c r="AD126" t="str">
        <f>VLOOKUP(E:E,笔记匹配!A:N,4,FALSE)</f>
        <v>云麦跳绳心率款</v>
      </c>
      <c r="AE126" t="str">
        <f>VLOOKUP(E:E,笔记匹配!A:N,14,FALSE)</f>
        <v>云麦心率跳绳</v>
      </c>
      <c r="AF126" t="str">
        <f>VLOOKUP(E:E,笔记匹配!A:N,6,FALSE)</f>
        <v>坚持跳绳瘦24斤这个高效跳绳组合你一定要跳</v>
      </c>
    </row>
    <row r="127" spans="1:32">
      <c r="A127" s="18" t="s">
        <v>29</v>
      </c>
      <c r="B127" s="18" t="s">
        <v>689</v>
      </c>
      <c r="C127" s="19">
        <v>14977367</v>
      </c>
      <c r="D127" s="18" t="s">
        <v>209</v>
      </c>
      <c r="E127" s="18" t="s">
        <v>504</v>
      </c>
      <c r="F127" s="18" t="s">
        <v>1060</v>
      </c>
      <c r="G127" s="19">
        <v>2984271</v>
      </c>
      <c r="H127" s="18" t="s">
        <v>1061</v>
      </c>
      <c r="I127" s="19">
        <v>2385975</v>
      </c>
      <c r="J127" s="18" t="s">
        <v>1015</v>
      </c>
      <c r="K127" s="19">
        <v>5.5</v>
      </c>
      <c r="L127" s="19">
        <v>354</v>
      </c>
      <c r="M127" s="19">
        <v>13</v>
      </c>
      <c r="N127" s="20">
        <v>0.0367</v>
      </c>
      <c r="O127" s="19">
        <v>0.42</v>
      </c>
      <c r="P127" s="19">
        <v>15.54</v>
      </c>
      <c r="Q127" s="19">
        <v>0</v>
      </c>
      <c r="R127" s="19">
        <v>0</v>
      </c>
      <c r="S127" s="19">
        <v>1</v>
      </c>
      <c r="T127" s="19">
        <v>0</v>
      </c>
      <c r="U127" s="19">
        <v>0</v>
      </c>
      <c r="V127" s="19">
        <v>1</v>
      </c>
      <c r="W127" s="19">
        <v>5.5</v>
      </c>
      <c r="X127" s="19">
        <v>0</v>
      </c>
      <c r="Y127" s="20">
        <v>0</v>
      </c>
      <c r="Z127" s="19">
        <v>0</v>
      </c>
      <c r="AA127" s="19">
        <v>0</v>
      </c>
      <c r="AB127" t="str">
        <f>VLOOKUP(E:E,笔记匹配!A:N,3,FALSE)</f>
        <v>小菜包超幸运</v>
      </c>
      <c r="AC127" t="str">
        <f>VLOOKUP(E:E,笔记匹配!A:N,2,FALSE)</f>
        <v>体脂秤</v>
      </c>
      <c r="AD127" t="str">
        <f>VLOOKUP(E:E,笔记匹配!A:N,4,FALSE)</f>
        <v>云麦体脂秤3</v>
      </c>
      <c r="AE127" t="str">
        <f>VLOOKUP(E:E,笔记匹配!A:N,14,FALSE)</f>
        <v>云麦体脂秤3</v>
      </c>
      <c r="AF127" t="str">
        <f>VLOOKUP(E:E,笔记匹配!A:N,6,FALSE)</f>
        <v>超全产后修复攻略✅三个阶段恢复少女身材</v>
      </c>
    </row>
    <row r="128" spans="1:32">
      <c r="A128" s="18" t="s">
        <v>29</v>
      </c>
      <c r="B128" s="18" t="s">
        <v>680</v>
      </c>
      <c r="C128" s="19">
        <v>14978184</v>
      </c>
      <c r="D128" s="18" t="s">
        <v>209</v>
      </c>
      <c r="E128" s="18" t="s">
        <v>513</v>
      </c>
      <c r="F128" s="18" t="s">
        <v>1062</v>
      </c>
      <c r="G128" s="19">
        <v>2984400</v>
      </c>
      <c r="H128" s="18" t="s">
        <v>1062</v>
      </c>
      <c r="I128" s="19">
        <v>2386169</v>
      </c>
      <c r="J128" s="18" t="s">
        <v>1015</v>
      </c>
      <c r="K128" s="19">
        <v>4028.36</v>
      </c>
      <c r="L128" s="19">
        <v>564779</v>
      </c>
      <c r="M128" s="19">
        <v>105286</v>
      </c>
      <c r="N128" s="20">
        <v>0.1864</v>
      </c>
      <c r="O128" s="19">
        <v>0.04</v>
      </c>
      <c r="P128" s="19">
        <v>7.13</v>
      </c>
      <c r="Q128" s="19">
        <v>1235</v>
      </c>
      <c r="R128" s="19">
        <v>152</v>
      </c>
      <c r="S128" s="19">
        <v>144</v>
      </c>
      <c r="T128" s="19">
        <v>256</v>
      </c>
      <c r="U128" s="19">
        <v>47</v>
      </c>
      <c r="V128" s="19">
        <v>1834</v>
      </c>
      <c r="W128" s="19">
        <v>2.2</v>
      </c>
      <c r="X128" s="19">
        <v>10</v>
      </c>
      <c r="Y128" s="20">
        <v>0.0001</v>
      </c>
      <c r="Z128" s="19">
        <v>71</v>
      </c>
      <c r="AA128" s="19">
        <v>218</v>
      </c>
      <c r="AB128" t="str">
        <f>VLOOKUP(E:E,笔记匹配!A:N,3,FALSE)</f>
        <v>大桐yoto</v>
      </c>
      <c r="AC128" t="str">
        <f>VLOOKUP(E:E,笔记匹配!A:N,2,FALSE)</f>
        <v>跳绳</v>
      </c>
      <c r="AD128" t="str">
        <f>VLOOKUP(E:E,笔记匹配!A:N,4,FALSE)</f>
        <v>云麦3mini</v>
      </c>
      <c r="AE128" t="str">
        <f>VLOOKUP(E:E,笔记匹配!A:N,14,FALSE)</f>
        <v>云麦体脂秤3mini</v>
      </c>
      <c r="AF128" t="str">
        <f>VLOOKUP(E:E,笔记匹配!A:N,6,FALSE)</f>
        <v>减肥就是要饿｜饮食和运动的完整计划在这里</v>
      </c>
    </row>
    <row r="129" spans="1:32">
      <c r="A129" s="18" t="s">
        <v>29</v>
      </c>
      <c r="B129" s="18" t="s">
        <v>587</v>
      </c>
      <c r="C129" s="19">
        <v>15042179</v>
      </c>
      <c r="D129" s="18" t="s">
        <v>196</v>
      </c>
      <c r="E129" s="18" t="s">
        <v>400</v>
      </c>
      <c r="F129" s="18" t="s">
        <v>1063</v>
      </c>
      <c r="G129" s="19">
        <v>2993851</v>
      </c>
      <c r="H129" s="18" t="s">
        <v>1064</v>
      </c>
      <c r="I129" s="19">
        <v>2394430</v>
      </c>
      <c r="J129" s="18" t="s">
        <v>1015</v>
      </c>
      <c r="K129" s="19">
        <v>2032.25</v>
      </c>
      <c r="L129" s="19">
        <v>51717</v>
      </c>
      <c r="M129" s="19">
        <v>3199</v>
      </c>
      <c r="N129" s="20">
        <v>0.0619</v>
      </c>
      <c r="O129" s="19">
        <v>0.64</v>
      </c>
      <c r="P129" s="19">
        <v>39.3</v>
      </c>
      <c r="Q129" s="19">
        <v>105</v>
      </c>
      <c r="R129" s="19">
        <v>2</v>
      </c>
      <c r="S129" s="19">
        <v>86</v>
      </c>
      <c r="T129" s="19">
        <v>6</v>
      </c>
      <c r="U129" s="19">
        <v>3</v>
      </c>
      <c r="V129" s="19">
        <v>202</v>
      </c>
      <c r="W129" s="19">
        <v>10.06</v>
      </c>
      <c r="X129" s="19">
        <v>0</v>
      </c>
      <c r="Y129" s="20">
        <v>0</v>
      </c>
      <c r="Z129" s="19">
        <v>3</v>
      </c>
      <c r="AA129" s="19">
        <v>1</v>
      </c>
      <c r="AB129" t="str">
        <f>VLOOKUP(E:E,笔记匹配!A:N,3,FALSE)</f>
        <v>小雪教瑜伽</v>
      </c>
      <c r="AC129" t="str">
        <f>VLOOKUP(E:E,笔记匹配!A:N,2,FALSE)</f>
        <v>筋膜枪</v>
      </c>
      <c r="AD129" t="str">
        <f>VLOOKUP(E:E,笔记匹配!A:N,4,FALSE)</f>
        <v>云麦筋膜枪cc</v>
      </c>
      <c r="AE129" t="str">
        <f>VLOOKUP(E:E,笔记匹配!A:N,14,FALSE)</f>
        <v>云麦筋膜枪cc</v>
      </c>
      <c r="AF129" t="str">
        <f>VLOOKUP(E:E,笔记匹配!A:N,6,FALSE)</f>
        <v>瘦肌肉腿必备&amp;筋膜枪按摩跟练教程</v>
      </c>
    </row>
    <row r="130" spans="1:32">
      <c r="A130" s="18" t="s">
        <v>29</v>
      </c>
      <c r="B130" s="18" t="s">
        <v>1065</v>
      </c>
      <c r="C130" s="19">
        <v>15088586</v>
      </c>
      <c r="D130" s="18" t="s">
        <v>196</v>
      </c>
      <c r="E130" s="18" t="s">
        <v>234</v>
      </c>
      <c r="F130" s="18" t="s">
        <v>1048</v>
      </c>
      <c r="G130" s="19">
        <v>2978792</v>
      </c>
      <c r="H130" s="18" t="s">
        <v>1049</v>
      </c>
      <c r="I130" s="19">
        <v>2380738</v>
      </c>
      <c r="J130" s="18" t="s">
        <v>1015</v>
      </c>
      <c r="K130" s="19">
        <v>302.11</v>
      </c>
      <c r="L130" s="19">
        <v>13749</v>
      </c>
      <c r="M130" s="19">
        <v>503</v>
      </c>
      <c r="N130" s="20">
        <v>0.0366</v>
      </c>
      <c r="O130" s="19">
        <v>0.6</v>
      </c>
      <c r="P130" s="19">
        <v>21.97</v>
      </c>
      <c r="Q130" s="19">
        <v>1</v>
      </c>
      <c r="R130" s="19">
        <v>0</v>
      </c>
      <c r="S130" s="19">
        <v>1</v>
      </c>
      <c r="T130" s="19">
        <v>1</v>
      </c>
      <c r="U130" s="19">
        <v>1</v>
      </c>
      <c r="V130" s="19">
        <v>4</v>
      </c>
      <c r="W130" s="19">
        <v>75.53</v>
      </c>
      <c r="X130" s="19">
        <v>0</v>
      </c>
      <c r="Y130" s="20">
        <v>0</v>
      </c>
      <c r="Z130" s="19">
        <v>1</v>
      </c>
      <c r="AA130" s="19">
        <v>0</v>
      </c>
      <c r="AB130" t="str">
        <f>VLOOKUP(E:E,笔记匹配!A:N,3,FALSE)</f>
        <v>pp</v>
      </c>
      <c r="AC130" t="str">
        <f>VLOOKUP(E:E,笔记匹配!A:N,2,FALSE)</f>
        <v>体脂秤</v>
      </c>
      <c r="AD130" t="str">
        <f>VLOOKUP(E:E,笔记匹配!A:N,4,FALSE)</f>
        <v>云麦体脂秤3mini</v>
      </c>
      <c r="AE130" t="str">
        <f>VLOOKUP(E:E,笔记匹配!A:N,14,FALSE)</f>
        <v>云麦体脂秤3mini</v>
      </c>
      <c r="AF130" t="str">
        <f>VLOOKUP(E:E,笔记匹配!A:N,6,FALSE)</f>
        <v>110到88 一些减肥小建议｜如何正确运动</v>
      </c>
    </row>
    <row r="131" spans="1:32">
      <c r="A131" s="18" t="s">
        <v>29</v>
      </c>
      <c r="B131" s="18" t="s">
        <v>1066</v>
      </c>
      <c r="C131" s="19">
        <v>15088587</v>
      </c>
      <c r="D131" s="18" t="s">
        <v>196</v>
      </c>
      <c r="E131" s="18" t="s">
        <v>513</v>
      </c>
      <c r="F131" s="18" t="s">
        <v>1048</v>
      </c>
      <c r="G131" s="19">
        <v>2978792</v>
      </c>
      <c r="H131" s="18" t="s">
        <v>1049</v>
      </c>
      <c r="I131" s="19">
        <v>2380738</v>
      </c>
      <c r="J131" s="18" t="s">
        <v>1015</v>
      </c>
      <c r="K131" s="19">
        <v>0</v>
      </c>
      <c r="L131" s="19">
        <v>1</v>
      </c>
      <c r="M131" s="19">
        <v>0</v>
      </c>
      <c r="N131" s="20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20">
        <v>0</v>
      </c>
      <c r="Z131" s="19">
        <v>0</v>
      </c>
      <c r="AA131" s="19">
        <v>0</v>
      </c>
      <c r="AB131" t="str">
        <f>VLOOKUP(E:E,笔记匹配!A:N,3,FALSE)</f>
        <v>大桐yoto</v>
      </c>
      <c r="AC131" t="str">
        <f>VLOOKUP(E:E,笔记匹配!A:N,2,FALSE)</f>
        <v>跳绳</v>
      </c>
      <c r="AD131" t="str">
        <f>VLOOKUP(E:E,笔记匹配!A:N,4,FALSE)</f>
        <v>云麦3mini</v>
      </c>
      <c r="AE131" t="str">
        <f>VLOOKUP(E:E,笔记匹配!A:N,14,FALSE)</f>
        <v>云麦体脂秤3mini</v>
      </c>
      <c r="AF131" t="str">
        <f>VLOOKUP(E:E,笔记匹配!A:N,6,FALSE)</f>
        <v>减肥就是要饿｜饮食和运动的完整计划在这里</v>
      </c>
    </row>
    <row r="132" spans="1:32">
      <c r="A132" s="18" t="s">
        <v>29</v>
      </c>
      <c r="B132" s="18" t="s">
        <v>587</v>
      </c>
      <c r="C132" s="19">
        <v>15088839</v>
      </c>
      <c r="D132" s="18" t="s">
        <v>209</v>
      </c>
      <c r="E132" s="18" t="s">
        <v>400</v>
      </c>
      <c r="F132" s="18" t="s">
        <v>1067</v>
      </c>
      <c r="G132" s="19">
        <v>3001667</v>
      </c>
      <c r="H132" s="18" t="s">
        <v>1068</v>
      </c>
      <c r="I132" s="19">
        <v>2400711</v>
      </c>
      <c r="J132" s="18" t="s">
        <v>1015</v>
      </c>
      <c r="K132" s="19">
        <v>1906.54</v>
      </c>
      <c r="L132" s="19">
        <v>136206</v>
      </c>
      <c r="M132" s="19">
        <v>9966</v>
      </c>
      <c r="N132" s="20">
        <v>0.0732</v>
      </c>
      <c r="O132" s="19">
        <v>0.19</v>
      </c>
      <c r="P132" s="19">
        <v>14</v>
      </c>
      <c r="Q132" s="19">
        <v>347</v>
      </c>
      <c r="R132" s="19">
        <v>6</v>
      </c>
      <c r="S132" s="19">
        <v>206</v>
      </c>
      <c r="T132" s="19">
        <v>24</v>
      </c>
      <c r="U132" s="19">
        <v>10</v>
      </c>
      <c r="V132" s="19">
        <v>593</v>
      </c>
      <c r="W132" s="19">
        <v>3.22</v>
      </c>
      <c r="X132" s="19">
        <v>0</v>
      </c>
      <c r="Y132" s="20">
        <v>0</v>
      </c>
      <c r="Z132" s="19">
        <v>5</v>
      </c>
      <c r="AA132" s="19">
        <v>2</v>
      </c>
      <c r="AB132" t="str">
        <f>VLOOKUP(E:E,笔记匹配!A:N,3,FALSE)</f>
        <v>小雪教瑜伽</v>
      </c>
      <c r="AC132" t="str">
        <f>VLOOKUP(E:E,笔记匹配!A:N,2,FALSE)</f>
        <v>筋膜枪</v>
      </c>
      <c r="AD132" t="str">
        <f>VLOOKUP(E:E,笔记匹配!A:N,4,FALSE)</f>
        <v>云麦筋膜枪cc</v>
      </c>
      <c r="AE132" t="str">
        <f>VLOOKUP(E:E,笔记匹配!A:N,14,FALSE)</f>
        <v>云麦筋膜枪cc</v>
      </c>
      <c r="AF132" t="str">
        <f>VLOOKUP(E:E,笔记匹配!A:N,6,FALSE)</f>
        <v>瘦肌肉腿必备&amp;筋膜枪按摩跟练教程</v>
      </c>
    </row>
    <row r="133" spans="1:32">
      <c r="A133" s="18" t="s">
        <v>29</v>
      </c>
      <c r="B133" s="18" t="s">
        <v>1069</v>
      </c>
      <c r="C133" s="19">
        <v>15089043</v>
      </c>
      <c r="D133" s="18" t="s">
        <v>209</v>
      </c>
      <c r="E133" s="18" t="s">
        <v>408</v>
      </c>
      <c r="F133" s="18" t="s">
        <v>1069</v>
      </c>
      <c r="G133" s="19">
        <v>3001688</v>
      </c>
      <c r="H133" s="18" t="s">
        <v>1069</v>
      </c>
      <c r="I133" s="19">
        <v>2400733</v>
      </c>
      <c r="J133" s="18" t="s">
        <v>1015</v>
      </c>
      <c r="K133" s="19">
        <v>100.06</v>
      </c>
      <c r="L133" s="19">
        <v>15277</v>
      </c>
      <c r="M133" s="19">
        <v>2090</v>
      </c>
      <c r="N133" s="20">
        <v>0.1368</v>
      </c>
      <c r="O133" s="19">
        <v>0.05</v>
      </c>
      <c r="P133" s="19">
        <v>6.55</v>
      </c>
      <c r="Q133" s="19">
        <v>15</v>
      </c>
      <c r="R133" s="19">
        <v>0</v>
      </c>
      <c r="S133" s="19">
        <v>6</v>
      </c>
      <c r="T133" s="19">
        <v>12</v>
      </c>
      <c r="U133" s="19">
        <v>1</v>
      </c>
      <c r="V133" s="19">
        <v>34</v>
      </c>
      <c r="W133" s="19">
        <v>2.94</v>
      </c>
      <c r="X133" s="19">
        <v>0</v>
      </c>
      <c r="Y133" s="20">
        <v>0</v>
      </c>
      <c r="Z133" s="19">
        <v>1</v>
      </c>
      <c r="AA133" s="19">
        <v>15</v>
      </c>
      <c r="AB133" t="str">
        <f>VLOOKUP(E:E,笔记匹配!A:N,3,FALSE)</f>
        <v>努力变好的yy</v>
      </c>
      <c r="AC133" t="str">
        <f>VLOOKUP(E:E,笔记匹配!A:N,2,FALSE)</f>
        <v>筋膜枪</v>
      </c>
      <c r="AD133" t="str">
        <f>VLOOKUP(E:E,笔记匹配!A:N,4,FALSE)</f>
        <v>云麦cc筋膜枪</v>
      </c>
      <c r="AE133" t="str">
        <f>VLOOKUP(E:E,笔记匹配!A:N,14,FALSE)</f>
        <v>云麦筋膜枪cc</v>
      </c>
      <c r="AF133" t="str">
        <f>VLOOKUP(E:E,笔记匹配!A:N,6,FALSE)</f>
        <v>筋膜枪➕泡沫轴｜运动后全套放松动作分享！！</v>
      </c>
    </row>
    <row r="134" spans="1:32">
      <c r="A134" s="18" t="s">
        <v>29</v>
      </c>
      <c r="B134" s="18" t="s">
        <v>1070</v>
      </c>
      <c r="C134" s="19">
        <v>15089317</v>
      </c>
      <c r="D134" s="18" t="s">
        <v>209</v>
      </c>
      <c r="E134" s="18" t="s">
        <v>499</v>
      </c>
      <c r="F134" s="18" t="s">
        <v>1071</v>
      </c>
      <c r="G134" s="19">
        <v>3001731</v>
      </c>
      <c r="H134" s="18" t="s">
        <v>1072</v>
      </c>
      <c r="I134" s="19">
        <v>2400767</v>
      </c>
      <c r="J134" s="18" t="s">
        <v>1015</v>
      </c>
      <c r="K134" s="19">
        <v>0.12</v>
      </c>
      <c r="L134" s="19">
        <v>87</v>
      </c>
      <c r="M134" s="19">
        <v>2</v>
      </c>
      <c r="N134" s="20">
        <v>0.023</v>
      </c>
      <c r="O134" s="19">
        <v>0.06</v>
      </c>
      <c r="P134" s="19">
        <v>1.38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20">
        <v>0</v>
      </c>
      <c r="Z134" s="19">
        <v>0</v>
      </c>
      <c r="AA134" s="19">
        <v>0</v>
      </c>
      <c r="AB134" t="str">
        <f>VLOOKUP(E:E,笔记匹配!A:N,3,FALSE)</f>
        <v>威风凛凛小队长</v>
      </c>
      <c r="AC134" t="str">
        <f>VLOOKUP(E:E,笔记匹配!A:N,2,FALSE)</f>
        <v>体脂秤</v>
      </c>
      <c r="AD134" t="str">
        <f>VLOOKUP(E:E,笔记匹配!A:N,4,FALSE)</f>
        <v>云麦体脂秤3</v>
      </c>
      <c r="AE134" t="str">
        <f>VLOOKUP(E:E,笔记匹配!A:N,14,FALSE)</f>
        <v>云麦体脂秤3</v>
      </c>
      <c r="AF134" t="str">
        <f>VLOOKUP(E:E,笔记匹配!A:N,6,FALSE)</f>
        <v>被你们形容的“肥美多脂”气哭了</v>
      </c>
    </row>
    <row r="135" spans="1:32">
      <c r="A135" s="18" t="s">
        <v>29</v>
      </c>
      <c r="B135" s="18" t="s">
        <v>698</v>
      </c>
      <c r="C135" s="19">
        <v>15089398</v>
      </c>
      <c r="D135" s="18" t="s">
        <v>209</v>
      </c>
      <c r="E135" s="18" t="s">
        <v>501</v>
      </c>
      <c r="F135" s="18" t="s">
        <v>1071</v>
      </c>
      <c r="G135" s="19">
        <v>3001731</v>
      </c>
      <c r="H135" s="18" t="s">
        <v>1072</v>
      </c>
      <c r="I135" s="19">
        <v>2400767</v>
      </c>
      <c r="J135" s="18" t="s">
        <v>1015</v>
      </c>
      <c r="K135" s="19">
        <v>528.64</v>
      </c>
      <c r="L135" s="19">
        <v>103759</v>
      </c>
      <c r="M135" s="19">
        <v>9098</v>
      </c>
      <c r="N135" s="20">
        <v>0.0877</v>
      </c>
      <c r="O135" s="19">
        <v>0.06</v>
      </c>
      <c r="P135" s="19">
        <v>5.09</v>
      </c>
      <c r="Q135" s="19">
        <v>59</v>
      </c>
      <c r="R135" s="19">
        <v>4</v>
      </c>
      <c r="S135" s="19">
        <v>6</v>
      </c>
      <c r="T135" s="19">
        <v>6</v>
      </c>
      <c r="U135" s="19">
        <v>4</v>
      </c>
      <c r="V135" s="19">
        <v>79</v>
      </c>
      <c r="W135" s="19">
        <v>6.69</v>
      </c>
      <c r="X135" s="19">
        <v>0</v>
      </c>
      <c r="Y135" s="20">
        <v>0</v>
      </c>
      <c r="Z135" s="19">
        <v>4</v>
      </c>
      <c r="AA135" s="19">
        <v>2</v>
      </c>
      <c r="AB135" t="str">
        <f>VLOOKUP(E:E,笔记匹配!A:N,3,FALSE)</f>
        <v>咕咕猪小短腿</v>
      </c>
      <c r="AC135" t="str">
        <f>VLOOKUP(E:E,笔记匹配!A:N,2,FALSE)</f>
        <v>体脂秤</v>
      </c>
      <c r="AD135" t="str">
        <f>VLOOKUP(E:E,笔记匹配!A:N,4,FALSE)</f>
        <v>云麦体脂秤3</v>
      </c>
      <c r="AE135" t="str">
        <f>VLOOKUP(E:E,笔记匹配!A:N,14,FALSE)</f>
        <v>云麦体脂秤3</v>
      </c>
      <c r="AF135" t="str">
        <f>VLOOKUP(E:E,笔记匹配!A:N,6,FALSE)</f>
        <v>笑死！一到称重就心虚到没耳朵</v>
      </c>
    </row>
    <row r="136" spans="1:32">
      <c r="A136" s="18" t="s">
        <v>29</v>
      </c>
      <c r="B136" s="18" t="s">
        <v>1066</v>
      </c>
      <c r="C136" s="19">
        <v>15089589</v>
      </c>
      <c r="D136" s="18" t="s">
        <v>209</v>
      </c>
      <c r="E136" s="18" t="s">
        <v>510</v>
      </c>
      <c r="F136" s="18" t="s">
        <v>1073</v>
      </c>
      <c r="G136" s="19">
        <v>3001791</v>
      </c>
      <c r="H136" s="18" t="s">
        <v>1073</v>
      </c>
      <c r="I136" s="19">
        <v>2400796</v>
      </c>
      <c r="J136" s="18" t="s">
        <v>1015</v>
      </c>
      <c r="K136" s="19">
        <v>203.95</v>
      </c>
      <c r="L136" s="19">
        <v>30860</v>
      </c>
      <c r="M136" s="19">
        <v>3293</v>
      </c>
      <c r="N136" s="20">
        <v>0.1067</v>
      </c>
      <c r="O136" s="19">
        <v>0.06</v>
      </c>
      <c r="P136" s="19">
        <v>6.61</v>
      </c>
      <c r="Q136" s="19">
        <v>23</v>
      </c>
      <c r="R136" s="19">
        <v>4</v>
      </c>
      <c r="S136" s="19">
        <v>7</v>
      </c>
      <c r="T136" s="19">
        <v>5</v>
      </c>
      <c r="U136" s="19">
        <v>0</v>
      </c>
      <c r="V136" s="19">
        <v>39</v>
      </c>
      <c r="W136" s="19">
        <v>5.23</v>
      </c>
      <c r="X136" s="19">
        <v>0</v>
      </c>
      <c r="Y136" s="20">
        <v>0</v>
      </c>
      <c r="Z136" s="19">
        <v>0</v>
      </c>
      <c r="AA136" s="19">
        <v>10</v>
      </c>
      <c r="AB136" t="str">
        <f>VLOOKUP(E:E,笔记匹配!A:N,3,FALSE)</f>
        <v>白白</v>
      </c>
      <c r="AC136" t="str">
        <f>VLOOKUP(E:E,笔记匹配!A:N,2,FALSE)</f>
        <v>跳绳</v>
      </c>
      <c r="AD136" t="str">
        <f>VLOOKUP(E:E,笔记匹配!A:N,4,FALSE)</f>
        <v>云麦心率跳绳</v>
      </c>
      <c r="AE136" t="str">
        <f>VLOOKUP(E:E,笔记匹配!A:N,14,FALSE)</f>
        <v>云麦心率跳绳</v>
      </c>
      <c r="AF136" t="str">
        <f>VLOOKUP(E:E,笔记匹配!A:N,6,FALSE)</f>
        <v>大腿围42 | 瘦腿还得要跳绳！</v>
      </c>
    </row>
    <row r="137" spans="1:32">
      <c r="A137" s="18" t="s">
        <v>30</v>
      </c>
      <c r="B137" s="18" t="s">
        <v>661</v>
      </c>
      <c r="C137" s="19">
        <v>14752576</v>
      </c>
      <c r="D137" s="18" t="s">
        <v>196</v>
      </c>
      <c r="E137" s="18" t="s">
        <v>553</v>
      </c>
      <c r="F137" s="18" t="s">
        <v>1028</v>
      </c>
      <c r="G137" s="19">
        <v>2959820</v>
      </c>
      <c r="H137" s="18" t="s">
        <v>1029</v>
      </c>
      <c r="I137" s="19">
        <v>2362578</v>
      </c>
      <c r="J137" s="18" t="s">
        <v>1015</v>
      </c>
      <c r="K137" s="19">
        <v>1016.74</v>
      </c>
      <c r="L137" s="19">
        <v>28663</v>
      </c>
      <c r="M137" s="19">
        <v>2053</v>
      </c>
      <c r="N137" s="20">
        <v>0.0716</v>
      </c>
      <c r="O137" s="19">
        <v>0.5</v>
      </c>
      <c r="P137" s="19">
        <v>35.47</v>
      </c>
      <c r="Q137" s="19">
        <v>44</v>
      </c>
      <c r="R137" s="19">
        <v>0</v>
      </c>
      <c r="S137" s="19">
        <v>25</v>
      </c>
      <c r="T137" s="19">
        <v>4</v>
      </c>
      <c r="U137" s="19">
        <v>1</v>
      </c>
      <c r="V137" s="19">
        <v>74</v>
      </c>
      <c r="W137" s="19">
        <v>13.74</v>
      </c>
      <c r="X137" s="19">
        <v>0</v>
      </c>
      <c r="Y137" s="20">
        <v>0</v>
      </c>
      <c r="Z137" s="19">
        <v>7</v>
      </c>
      <c r="AA137" s="19">
        <v>10</v>
      </c>
      <c r="AB137" t="str">
        <f>VLOOKUP(E:E,笔记匹配!A:N,3,FALSE)</f>
        <v>圆又圆超爱笑</v>
      </c>
      <c r="AC137" t="str">
        <f>VLOOKUP(E:E,笔记匹配!A:N,2,FALSE)</f>
        <v>筋膜枪</v>
      </c>
      <c r="AD137" t="str">
        <f>VLOOKUP(E:E,笔记匹配!A:N,4,FALSE)</f>
        <v>云麦筋膜枪cc</v>
      </c>
      <c r="AE137" t="str">
        <f>VLOOKUP(E:E,笔记匹配!A:N,14,FALSE)</f>
        <v>云麦筋膜枪cc</v>
      </c>
      <c r="AF137" t="str">
        <f>VLOOKUP(E:E,笔记匹配!A:N,6,FALSE)</f>
        <v>大二女生梨形粗腿逆袭✨这3步带你优化腿型</v>
      </c>
    </row>
    <row r="138" spans="1:32">
      <c r="A138" s="18" t="s">
        <v>30</v>
      </c>
      <c r="B138" s="18" t="s">
        <v>1035</v>
      </c>
      <c r="C138" s="19">
        <v>14752924</v>
      </c>
      <c r="D138" s="18" t="s">
        <v>196</v>
      </c>
      <c r="E138" s="18" t="s">
        <v>519</v>
      </c>
      <c r="F138" s="18" t="s">
        <v>1036</v>
      </c>
      <c r="G138" s="19">
        <v>2959861</v>
      </c>
      <c r="H138" s="18" t="s">
        <v>1037</v>
      </c>
      <c r="I138" s="19">
        <v>2362601</v>
      </c>
      <c r="J138" s="18" t="s">
        <v>1015</v>
      </c>
      <c r="K138" s="19">
        <v>0</v>
      </c>
      <c r="L138" s="19">
        <v>0</v>
      </c>
      <c r="M138" s="19">
        <v>0</v>
      </c>
      <c r="N138" s="20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20">
        <v>0</v>
      </c>
      <c r="Z138" s="19">
        <v>0</v>
      </c>
      <c r="AA138" s="19">
        <v>0</v>
      </c>
      <c r="AB138" t="str">
        <f>VLOOKUP(E:E,笔记匹配!A:N,3,FALSE)</f>
        <v>大敏敏的蜕变日记</v>
      </c>
      <c r="AC138" t="str">
        <f>VLOOKUP(E:E,笔记匹配!A:N,2,FALSE)</f>
        <v>体脂秤</v>
      </c>
      <c r="AD138" t="str">
        <f>VLOOKUP(E:E,笔记匹配!A:N,4,FALSE)</f>
        <v>云麦3mini</v>
      </c>
      <c r="AE138" t="str">
        <f>VLOOKUP(E:E,笔记匹配!A:N,14,FALSE)</f>
        <v>云麦体脂秤3mini</v>
      </c>
      <c r="AF138" t="str">
        <f>VLOOKUP(E:E,笔记匹配!A:N,6,FALSE)</f>
        <v>刘畊宏女孩的21天虐腹计划‼谁练谁瘦💪</v>
      </c>
    </row>
    <row r="139" spans="1:32">
      <c r="A139" s="18" t="s">
        <v>30</v>
      </c>
      <c r="B139" s="18" t="s">
        <v>1057</v>
      </c>
      <c r="C139" s="19">
        <v>14976642</v>
      </c>
      <c r="D139" s="18" t="s">
        <v>209</v>
      </c>
      <c r="E139" s="18" t="s">
        <v>509</v>
      </c>
      <c r="F139" s="18" t="s">
        <v>1058</v>
      </c>
      <c r="G139" s="19">
        <v>2984144</v>
      </c>
      <c r="H139" s="18" t="s">
        <v>1059</v>
      </c>
      <c r="I139" s="19">
        <v>2385921</v>
      </c>
      <c r="J139" s="18" t="s">
        <v>1015</v>
      </c>
      <c r="K139" s="19">
        <v>8064.3</v>
      </c>
      <c r="L139" s="19">
        <v>604683</v>
      </c>
      <c r="M139" s="19">
        <v>25292</v>
      </c>
      <c r="N139" s="20">
        <v>0.0418</v>
      </c>
      <c r="O139" s="19">
        <v>0.32</v>
      </c>
      <c r="P139" s="19">
        <v>13.34</v>
      </c>
      <c r="Q139" s="19">
        <v>1071</v>
      </c>
      <c r="R139" s="19">
        <v>53</v>
      </c>
      <c r="S139" s="19">
        <v>994</v>
      </c>
      <c r="T139" s="19">
        <v>192</v>
      </c>
      <c r="U139" s="19">
        <v>103</v>
      </c>
      <c r="V139" s="19">
        <v>2413</v>
      </c>
      <c r="W139" s="19">
        <v>3.34</v>
      </c>
      <c r="X139" s="19">
        <v>0</v>
      </c>
      <c r="Y139" s="20">
        <v>0</v>
      </c>
      <c r="Z139" s="19">
        <v>32</v>
      </c>
      <c r="AA139" s="19">
        <v>0</v>
      </c>
      <c r="AB139" t="str">
        <f>VLOOKUP(E:E,笔记匹配!A:N,3,FALSE)</f>
        <v>小小李</v>
      </c>
      <c r="AC139" t="str">
        <f>VLOOKUP(E:E,笔记匹配!A:N,2,FALSE)</f>
        <v>跳绳</v>
      </c>
      <c r="AD139" t="str">
        <f>VLOOKUP(E:E,笔记匹配!A:N,4,FALSE)</f>
        <v>云麦心率跳绳</v>
      </c>
      <c r="AE139" t="str">
        <f>VLOOKUP(E:E,笔记匹配!A:N,14,FALSE)</f>
        <v>云麦心率跳绳</v>
      </c>
      <c r="AF139" t="str">
        <f>VLOOKUP(E:E,笔记匹配!A:N,6,FALSE)</f>
        <v>4分钟跳绳TABATA | 居家高效燃脂瘦全身</v>
      </c>
    </row>
    <row r="140" spans="1:32">
      <c r="A140" s="18" t="s">
        <v>30</v>
      </c>
      <c r="B140" s="18" t="s">
        <v>667</v>
      </c>
      <c r="C140" s="19">
        <v>14977272</v>
      </c>
      <c r="D140" s="18" t="s">
        <v>209</v>
      </c>
      <c r="E140" s="18" t="s">
        <v>516</v>
      </c>
      <c r="F140" s="18" t="s">
        <v>1058</v>
      </c>
      <c r="G140" s="19">
        <v>2984144</v>
      </c>
      <c r="H140" s="18" t="s">
        <v>1059</v>
      </c>
      <c r="I140" s="19">
        <v>2385921</v>
      </c>
      <c r="J140" s="18" t="s">
        <v>1015</v>
      </c>
      <c r="K140" s="19">
        <v>0</v>
      </c>
      <c r="L140" s="19">
        <v>0</v>
      </c>
      <c r="M140" s="19">
        <v>0</v>
      </c>
      <c r="N140" s="20">
        <v>0</v>
      </c>
      <c r="O140" s="19">
        <v>0</v>
      </c>
      <c r="P140" s="19">
        <v>0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9">
        <v>0</v>
      </c>
      <c r="Y140" s="20">
        <v>0</v>
      </c>
      <c r="Z140" s="19">
        <v>0</v>
      </c>
      <c r="AA140" s="19">
        <v>1</v>
      </c>
      <c r="AB140" t="str">
        <f>VLOOKUP(E:E,笔记匹配!A:N,3,FALSE)</f>
        <v>爱跳绳的粥粥</v>
      </c>
      <c r="AC140" t="str">
        <f>VLOOKUP(E:E,笔记匹配!A:N,2,FALSE)</f>
        <v>跳绳</v>
      </c>
      <c r="AD140" t="str">
        <f>VLOOKUP(E:E,笔记匹配!A:N,4,FALSE)</f>
        <v>云麦跳绳心率款</v>
      </c>
      <c r="AE140" t="str">
        <f>VLOOKUP(E:E,笔记匹配!A:N,14,FALSE)</f>
        <v>云麦心率跳绳</v>
      </c>
      <c r="AF140" t="str">
        <f>VLOOKUP(E:E,笔记匹配!A:N,6,FALSE)</f>
        <v>坚持跳绳瘦24斤这个高效跳绳组合你一定要跳</v>
      </c>
    </row>
    <row r="141" spans="1:32">
      <c r="A141" s="18" t="s">
        <v>30</v>
      </c>
      <c r="B141" s="18" t="s">
        <v>689</v>
      </c>
      <c r="C141" s="19">
        <v>14977367</v>
      </c>
      <c r="D141" s="18" t="s">
        <v>209</v>
      </c>
      <c r="E141" s="18" t="s">
        <v>504</v>
      </c>
      <c r="F141" s="18" t="s">
        <v>1060</v>
      </c>
      <c r="G141" s="19">
        <v>2984271</v>
      </c>
      <c r="H141" s="18" t="s">
        <v>1061</v>
      </c>
      <c r="I141" s="19">
        <v>2385975</v>
      </c>
      <c r="J141" s="18" t="s">
        <v>1015</v>
      </c>
      <c r="K141" s="19">
        <v>0</v>
      </c>
      <c r="L141" s="19">
        <v>0</v>
      </c>
      <c r="M141" s="19">
        <v>0</v>
      </c>
      <c r="N141" s="20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20">
        <v>0</v>
      </c>
      <c r="Z141" s="19">
        <v>0</v>
      </c>
      <c r="AA141" s="19">
        <v>0</v>
      </c>
      <c r="AB141" t="str">
        <f>VLOOKUP(E:E,笔记匹配!A:N,3,FALSE)</f>
        <v>小菜包超幸运</v>
      </c>
      <c r="AC141" t="str">
        <f>VLOOKUP(E:E,笔记匹配!A:N,2,FALSE)</f>
        <v>体脂秤</v>
      </c>
      <c r="AD141" t="str">
        <f>VLOOKUP(E:E,笔记匹配!A:N,4,FALSE)</f>
        <v>云麦体脂秤3</v>
      </c>
      <c r="AE141" t="str">
        <f>VLOOKUP(E:E,笔记匹配!A:N,14,FALSE)</f>
        <v>云麦体脂秤3</v>
      </c>
      <c r="AF141" t="str">
        <f>VLOOKUP(E:E,笔记匹配!A:N,6,FALSE)</f>
        <v>超全产后修复攻略✅三个阶段恢复少女身材</v>
      </c>
    </row>
    <row r="142" spans="1:32">
      <c r="A142" s="18" t="s">
        <v>30</v>
      </c>
      <c r="B142" s="18" t="s">
        <v>680</v>
      </c>
      <c r="C142" s="19">
        <v>14978184</v>
      </c>
      <c r="D142" s="18" t="s">
        <v>209</v>
      </c>
      <c r="E142" s="18" t="s">
        <v>513</v>
      </c>
      <c r="F142" s="18" t="s">
        <v>1062</v>
      </c>
      <c r="G142" s="19">
        <v>2984400</v>
      </c>
      <c r="H142" s="18" t="s">
        <v>1062</v>
      </c>
      <c r="I142" s="19">
        <v>2386169</v>
      </c>
      <c r="J142" s="18" t="s">
        <v>1015</v>
      </c>
      <c r="K142" s="19">
        <v>6.47</v>
      </c>
      <c r="L142" s="19">
        <v>1354</v>
      </c>
      <c r="M142" s="19">
        <v>167</v>
      </c>
      <c r="N142" s="20">
        <v>0.1233</v>
      </c>
      <c r="O142" s="19">
        <v>0.04</v>
      </c>
      <c r="P142" s="19">
        <v>4.78</v>
      </c>
      <c r="Q142" s="19">
        <v>1</v>
      </c>
      <c r="R142" s="19">
        <v>0</v>
      </c>
      <c r="S142" s="19">
        <v>0</v>
      </c>
      <c r="T142" s="19">
        <v>1</v>
      </c>
      <c r="U142" s="19">
        <v>0</v>
      </c>
      <c r="V142" s="19">
        <v>2</v>
      </c>
      <c r="W142" s="19">
        <v>3.24</v>
      </c>
      <c r="X142" s="19">
        <v>0</v>
      </c>
      <c r="Y142" s="20">
        <v>0</v>
      </c>
      <c r="Z142" s="19">
        <v>1</v>
      </c>
      <c r="AA142" s="19">
        <v>0</v>
      </c>
      <c r="AB142" t="str">
        <f>VLOOKUP(E:E,笔记匹配!A:N,3,FALSE)</f>
        <v>大桐yoto</v>
      </c>
      <c r="AC142" t="str">
        <f>VLOOKUP(E:E,笔记匹配!A:N,2,FALSE)</f>
        <v>跳绳</v>
      </c>
      <c r="AD142" t="str">
        <f>VLOOKUP(E:E,笔记匹配!A:N,4,FALSE)</f>
        <v>云麦3mini</v>
      </c>
      <c r="AE142" t="str">
        <f>VLOOKUP(E:E,笔记匹配!A:N,14,FALSE)</f>
        <v>云麦体脂秤3mini</v>
      </c>
      <c r="AF142" t="str">
        <f>VLOOKUP(E:E,笔记匹配!A:N,6,FALSE)</f>
        <v>减肥就是要饿｜饮食和运动的完整计划在这里</v>
      </c>
    </row>
    <row r="143" spans="1:32">
      <c r="A143" s="18" t="s">
        <v>30</v>
      </c>
      <c r="B143" s="18" t="s">
        <v>587</v>
      </c>
      <c r="C143" s="19">
        <v>15042179</v>
      </c>
      <c r="D143" s="18" t="s">
        <v>196</v>
      </c>
      <c r="E143" s="18" t="s">
        <v>400</v>
      </c>
      <c r="F143" s="18" t="s">
        <v>1063</v>
      </c>
      <c r="G143" s="19">
        <v>2993851</v>
      </c>
      <c r="H143" s="18" t="s">
        <v>1064</v>
      </c>
      <c r="I143" s="19">
        <v>2394430</v>
      </c>
      <c r="J143" s="18" t="s">
        <v>1015</v>
      </c>
      <c r="K143" s="19">
        <v>2016.49</v>
      </c>
      <c r="L143" s="19">
        <v>52146</v>
      </c>
      <c r="M143" s="19">
        <v>3270</v>
      </c>
      <c r="N143" s="20">
        <v>0.0627</v>
      </c>
      <c r="O143" s="19">
        <v>0.62</v>
      </c>
      <c r="P143" s="19">
        <v>38.67</v>
      </c>
      <c r="Q143" s="19">
        <v>98</v>
      </c>
      <c r="R143" s="19">
        <v>0</v>
      </c>
      <c r="S143" s="19">
        <v>65</v>
      </c>
      <c r="T143" s="19">
        <v>4</v>
      </c>
      <c r="U143" s="19">
        <v>2</v>
      </c>
      <c r="V143" s="19">
        <v>169</v>
      </c>
      <c r="W143" s="19">
        <v>11.93</v>
      </c>
      <c r="X143" s="19">
        <v>0</v>
      </c>
      <c r="Y143" s="20">
        <v>0</v>
      </c>
      <c r="Z143" s="19">
        <v>6</v>
      </c>
      <c r="AA143" s="19">
        <v>5</v>
      </c>
      <c r="AB143" t="str">
        <f>VLOOKUP(E:E,笔记匹配!A:N,3,FALSE)</f>
        <v>小雪教瑜伽</v>
      </c>
      <c r="AC143" t="str">
        <f>VLOOKUP(E:E,笔记匹配!A:N,2,FALSE)</f>
        <v>筋膜枪</v>
      </c>
      <c r="AD143" t="str">
        <f>VLOOKUP(E:E,笔记匹配!A:N,4,FALSE)</f>
        <v>云麦筋膜枪cc</v>
      </c>
      <c r="AE143" t="str">
        <f>VLOOKUP(E:E,笔记匹配!A:N,14,FALSE)</f>
        <v>云麦筋膜枪cc</v>
      </c>
      <c r="AF143" t="str">
        <f>VLOOKUP(E:E,笔记匹配!A:N,6,FALSE)</f>
        <v>瘦肌肉腿必备&amp;筋膜枪按摩跟练教程</v>
      </c>
    </row>
    <row r="144" spans="1:32">
      <c r="A144" s="18" t="s">
        <v>30</v>
      </c>
      <c r="B144" s="18" t="s">
        <v>1065</v>
      </c>
      <c r="C144" s="19">
        <v>15088586</v>
      </c>
      <c r="D144" s="18" t="s">
        <v>196</v>
      </c>
      <c r="E144" s="18" t="s">
        <v>234</v>
      </c>
      <c r="F144" s="18" t="s">
        <v>1048</v>
      </c>
      <c r="G144" s="19">
        <v>2978792</v>
      </c>
      <c r="H144" s="18" t="s">
        <v>1049</v>
      </c>
      <c r="I144" s="19">
        <v>2380738</v>
      </c>
      <c r="J144" s="18" t="s">
        <v>1015</v>
      </c>
      <c r="K144" s="19">
        <v>304.08</v>
      </c>
      <c r="L144" s="19">
        <v>5672</v>
      </c>
      <c r="M144" s="19">
        <v>546</v>
      </c>
      <c r="N144" s="20">
        <v>0.0963</v>
      </c>
      <c r="O144" s="19">
        <v>0.56</v>
      </c>
      <c r="P144" s="19">
        <v>53.61</v>
      </c>
      <c r="Q144" s="19">
        <v>2</v>
      </c>
      <c r="R144" s="19">
        <v>0</v>
      </c>
      <c r="S144" s="19">
        <v>4</v>
      </c>
      <c r="T144" s="19">
        <v>1</v>
      </c>
      <c r="U144" s="19">
        <v>0</v>
      </c>
      <c r="V144" s="19">
        <v>7</v>
      </c>
      <c r="W144" s="19">
        <v>43.44</v>
      </c>
      <c r="X144" s="19">
        <v>0</v>
      </c>
      <c r="Y144" s="20">
        <v>0</v>
      </c>
      <c r="Z144" s="19">
        <v>1</v>
      </c>
      <c r="AA144" s="19">
        <v>0</v>
      </c>
      <c r="AB144" t="str">
        <f>VLOOKUP(E:E,笔记匹配!A:N,3,FALSE)</f>
        <v>pp</v>
      </c>
      <c r="AC144" t="str">
        <f>VLOOKUP(E:E,笔记匹配!A:N,2,FALSE)</f>
        <v>体脂秤</v>
      </c>
      <c r="AD144" t="str">
        <f>VLOOKUP(E:E,笔记匹配!A:N,4,FALSE)</f>
        <v>云麦体脂秤3mini</v>
      </c>
      <c r="AE144" t="str">
        <f>VLOOKUP(E:E,笔记匹配!A:N,14,FALSE)</f>
        <v>云麦体脂秤3mini</v>
      </c>
      <c r="AF144" t="str">
        <f>VLOOKUP(E:E,笔记匹配!A:N,6,FALSE)</f>
        <v>110到88 一些减肥小建议｜如何正确运动</v>
      </c>
    </row>
    <row r="145" spans="1:32">
      <c r="A145" s="18" t="s">
        <v>30</v>
      </c>
      <c r="B145" s="18" t="s">
        <v>587</v>
      </c>
      <c r="C145" s="19">
        <v>15088839</v>
      </c>
      <c r="D145" s="18" t="s">
        <v>209</v>
      </c>
      <c r="E145" s="18" t="s">
        <v>400</v>
      </c>
      <c r="F145" s="18" t="s">
        <v>1067</v>
      </c>
      <c r="G145" s="19">
        <v>3001667</v>
      </c>
      <c r="H145" s="18" t="s">
        <v>1068</v>
      </c>
      <c r="I145" s="19">
        <v>2400711</v>
      </c>
      <c r="J145" s="18" t="s">
        <v>1015</v>
      </c>
      <c r="K145" s="19">
        <v>0</v>
      </c>
      <c r="L145" s="19">
        <v>0</v>
      </c>
      <c r="M145" s="19">
        <v>0</v>
      </c>
      <c r="N145" s="20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20">
        <v>0</v>
      </c>
      <c r="Z145" s="19">
        <v>0</v>
      </c>
      <c r="AA145" s="19">
        <v>0</v>
      </c>
      <c r="AB145" t="str">
        <f>VLOOKUP(E:E,笔记匹配!A:N,3,FALSE)</f>
        <v>小雪教瑜伽</v>
      </c>
      <c r="AC145" t="str">
        <f>VLOOKUP(E:E,笔记匹配!A:N,2,FALSE)</f>
        <v>筋膜枪</v>
      </c>
      <c r="AD145" t="str">
        <f>VLOOKUP(E:E,笔记匹配!A:N,4,FALSE)</f>
        <v>云麦筋膜枪cc</v>
      </c>
      <c r="AE145" t="str">
        <f>VLOOKUP(E:E,笔记匹配!A:N,14,FALSE)</f>
        <v>云麦筋膜枪cc</v>
      </c>
      <c r="AF145" t="str">
        <f>VLOOKUP(E:E,笔记匹配!A:N,6,FALSE)</f>
        <v>瘦肌肉腿必备&amp;筋膜枪按摩跟练教程</v>
      </c>
    </row>
    <row r="146" spans="1:32">
      <c r="A146" s="18" t="s">
        <v>30</v>
      </c>
      <c r="B146" s="18" t="s">
        <v>1069</v>
      </c>
      <c r="C146" s="19">
        <v>15089043</v>
      </c>
      <c r="D146" s="18" t="s">
        <v>209</v>
      </c>
      <c r="E146" s="18" t="s">
        <v>408</v>
      </c>
      <c r="F146" s="18" t="s">
        <v>1069</v>
      </c>
      <c r="G146" s="19">
        <v>3001688</v>
      </c>
      <c r="H146" s="18" t="s">
        <v>1069</v>
      </c>
      <c r="I146" s="19">
        <v>2400733</v>
      </c>
      <c r="J146" s="18" t="s">
        <v>1015</v>
      </c>
      <c r="K146" s="19">
        <v>0</v>
      </c>
      <c r="L146" s="19">
        <v>0</v>
      </c>
      <c r="M146" s="19">
        <v>0</v>
      </c>
      <c r="N146" s="20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20">
        <v>0</v>
      </c>
      <c r="Z146" s="19">
        <v>0</v>
      </c>
      <c r="AA146" s="19">
        <v>0</v>
      </c>
      <c r="AB146" t="str">
        <f>VLOOKUP(E:E,笔记匹配!A:N,3,FALSE)</f>
        <v>努力变好的yy</v>
      </c>
      <c r="AC146" t="str">
        <f>VLOOKUP(E:E,笔记匹配!A:N,2,FALSE)</f>
        <v>筋膜枪</v>
      </c>
      <c r="AD146" t="str">
        <f>VLOOKUP(E:E,笔记匹配!A:N,4,FALSE)</f>
        <v>云麦cc筋膜枪</v>
      </c>
      <c r="AE146" t="str">
        <f>VLOOKUP(E:E,笔记匹配!A:N,14,FALSE)</f>
        <v>云麦筋膜枪cc</v>
      </c>
      <c r="AF146" t="str">
        <f>VLOOKUP(E:E,笔记匹配!A:N,6,FALSE)</f>
        <v>筋膜枪➕泡沫轴｜运动后全套放松动作分享！！</v>
      </c>
    </row>
    <row r="147" spans="1:32">
      <c r="A147" s="18" t="s">
        <v>30</v>
      </c>
      <c r="B147" s="18" t="s">
        <v>698</v>
      </c>
      <c r="C147" s="19">
        <v>15089398</v>
      </c>
      <c r="D147" s="18" t="s">
        <v>209</v>
      </c>
      <c r="E147" s="18" t="s">
        <v>501</v>
      </c>
      <c r="F147" s="18" t="s">
        <v>1071</v>
      </c>
      <c r="G147" s="19">
        <v>3001731</v>
      </c>
      <c r="H147" s="18" t="s">
        <v>1072</v>
      </c>
      <c r="I147" s="19">
        <v>2400767</v>
      </c>
      <c r="J147" s="18" t="s">
        <v>1015</v>
      </c>
      <c r="K147" s="19">
        <v>0</v>
      </c>
      <c r="L147" s="19">
        <v>0</v>
      </c>
      <c r="M147" s="19">
        <v>0</v>
      </c>
      <c r="N147" s="20">
        <v>0</v>
      </c>
      <c r="O147" s="19">
        <v>0</v>
      </c>
      <c r="P147" s="19">
        <v>0</v>
      </c>
      <c r="Q147" s="19">
        <v>0</v>
      </c>
      <c r="R147" s="19">
        <v>0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9">
        <v>0</v>
      </c>
      <c r="Y147" s="20">
        <v>0</v>
      </c>
      <c r="Z147" s="19">
        <v>0</v>
      </c>
      <c r="AA147" s="19">
        <v>0</v>
      </c>
      <c r="AB147" t="str">
        <f>VLOOKUP(E:E,笔记匹配!A:N,3,FALSE)</f>
        <v>咕咕猪小短腿</v>
      </c>
      <c r="AC147" t="str">
        <f>VLOOKUP(E:E,笔记匹配!A:N,2,FALSE)</f>
        <v>体脂秤</v>
      </c>
      <c r="AD147" t="str">
        <f>VLOOKUP(E:E,笔记匹配!A:N,4,FALSE)</f>
        <v>云麦体脂秤3</v>
      </c>
      <c r="AE147" t="str">
        <f>VLOOKUP(E:E,笔记匹配!A:N,14,FALSE)</f>
        <v>云麦体脂秤3</v>
      </c>
      <c r="AF147" t="str">
        <f>VLOOKUP(E:E,笔记匹配!A:N,6,FALSE)</f>
        <v>笑死！一到称重就心虚到没耳朵</v>
      </c>
    </row>
    <row r="148" spans="1:32">
      <c r="A148" s="18" t="s">
        <v>30</v>
      </c>
      <c r="B148" s="18" t="s">
        <v>1066</v>
      </c>
      <c r="C148" s="19">
        <v>15089589</v>
      </c>
      <c r="D148" s="18" t="s">
        <v>209</v>
      </c>
      <c r="E148" s="18" t="s">
        <v>510</v>
      </c>
      <c r="F148" s="18" t="s">
        <v>1073</v>
      </c>
      <c r="G148" s="19">
        <v>3001791</v>
      </c>
      <c r="H148" s="18" t="s">
        <v>1073</v>
      </c>
      <c r="I148" s="19">
        <v>2400796</v>
      </c>
      <c r="J148" s="18" t="s">
        <v>1015</v>
      </c>
      <c r="K148" s="19">
        <v>0</v>
      </c>
      <c r="L148" s="19">
        <v>0</v>
      </c>
      <c r="M148" s="19">
        <v>0</v>
      </c>
      <c r="N148" s="20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20">
        <v>0</v>
      </c>
      <c r="Z148" s="19">
        <v>0</v>
      </c>
      <c r="AA148" s="19">
        <v>0</v>
      </c>
      <c r="AB148" t="str">
        <f>VLOOKUP(E:E,笔记匹配!A:N,3,FALSE)</f>
        <v>白白</v>
      </c>
      <c r="AC148" t="str">
        <f>VLOOKUP(E:E,笔记匹配!A:N,2,FALSE)</f>
        <v>跳绳</v>
      </c>
      <c r="AD148" t="str">
        <f>VLOOKUP(E:E,笔记匹配!A:N,4,FALSE)</f>
        <v>云麦心率跳绳</v>
      </c>
      <c r="AE148" t="str">
        <f>VLOOKUP(E:E,笔记匹配!A:N,14,FALSE)</f>
        <v>云麦心率跳绳</v>
      </c>
      <c r="AF148" t="str">
        <f>VLOOKUP(E:E,笔记匹配!A:N,6,FALSE)</f>
        <v>大腿围42 | 瘦腿还得要跳绳！</v>
      </c>
    </row>
    <row r="149" spans="1:32">
      <c r="A149" s="18" t="s">
        <v>31</v>
      </c>
      <c r="B149" s="18" t="s">
        <v>1018</v>
      </c>
      <c r="C149" s="19">
        <v>14752018</v>
      </c>
      <c r="D149" s="18" t="s">
        <v>209</v>
      </c>
      <c r="E149" s="18" t="s">
        <v>516</v>
      </c>
      <c r="F149" s="18" t="s">
        <v>1019</v>
      </c>
      <c r="G149" s="19">
        <v>2959750</v>
      </c>
      <c r="H149" s="18" t="s">
        <v>1020</v>
      </c>
      <c r="I149" s="19">
        <v>2362546</v>
      </c>
      <c r="J149" s="18" t="s">
        <v>1015</v>
      </c>
      <c r="K149" s="19">
        <v>0</v>
      </c>
      <c r="L149" s="19">
        <v>0</v>
      </c>
      <c r="M149" s="19">
        <v>0</v>
      </c>
      <c r="N149" s="20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20">
        <v>0</v>
      </c>
      <c r="Z149" s="19">
        <v>0</v>
      </c>
      <c r="AA149" s="19">
        <v>0</v>
      </c>
      <c r="AB149" t="str">
        <f>VLOOKUP(E:E,笔记匹配!A:N,3,FALSE)</f>
        <v>爱跳绳的粥粥</v>
      </c>
      <c r="AC149" t="str">
        <f>VLOOKUP(E:E,笔记匹配!A:N,2,FALSE)</f>
        <v>跳绳</v>
      </c>
      <c r="AD149" t="str">
        <f>VLOOKUP(E:E,笔记匹配!A:N,4,FALSE)</f>
        <v>云麦跳绳心率款</v>
      </c>
      <c r="AE149" t="str">
        <f>VLOOKUP(E:E,笔记匹配!A:N,14,FALSE)</f>
        <v>云麦心率跳绳</v>
      </c>
      <c r="AF149" t="str">
        <f>VLOOKUP(E:E,笔记匹配!A:N,6,FALSE)</f>
        <v>坚持跳绳瘦24斤这个高效跳绳组合你一定要跳</v>
      </c>
    </row>
    <row r="150" spans="1:32">
      <c r="A150" s="18" t="s">
        <v>31</v>
      </c>
      <c r="B150" s="18" t="s">
        <v>661</v>
      </c>
      <c r="C150" s="19">
        <v>14752576</v>
      </c>
      <c r="D150" s="18" t="s">
        <v>196</v>
      </c>
      <c r="E150" s="18" t="s">
        <v>553</v>
      </c>
      <c r="F150" s="18" t="s">
        <v>1028</v>
      </c>
      <c r="G150" s="19">
        <v>2959820</v>
      </c>
      <c r="H150" s="18" t="s">
        <v>1029</v>
      </c>
      <c r="I150" s="19">
        <v>2362578</v>
      </c>
      <c r="J150" s="18" t="s">
        <v>1015</v>
      </c>
      <c r="K150" s="19">
        <v>1011.84</v>
      </c>
      <c r="L150" s="19">
        <v>26672</v>
      </c>
      <c r="M150" s="19">
        <v>2051</v>
      </c>
      <c r="N150" s="20">
        <v>0.0769</v>
      </c>
      <c r="O150" s="19">
        <v>0.49</v>
      </c>
      <c r="P150" s="19">
        <v>37.94</v>
      </c>
      <c r="Q150" s="19">
        <v>50</v>
      </c>
      <c r="R150" s="19">
        <v>1</v>
      </c>
      <c r="S150" s="19">
        <v>36</v>
      </c>
      <c r="T150" s="19">
        <v>1</v>
      </c>
      <c r="U150" s="19">
        <v>2</v>
      </c>
      <c r="V150" s="19">
        <v>90</v>
      </c>
      <c r="W150" s="19">
        <v>11.24</v>
      </c>
      <c r="X150" s="19">
        <v>0</v>
      </c>
      <c r="Y150" s="20">
        <v>0</v>
      </c>
      <c r="Z150" s="19">
        <v>11</v>
      </c>
      <c r="AA150" s="19">
        <v>7</v>
      </c>
      <c r="AB150" t="str">
        <f>VLOOKUP(E:E,笔记匹配!A:N,3,FALSE)</f>
        <v>圆又圆超爱笑</v>
      </c>
      <c r="AC150" t="str">
        <f>VLOOKUP(E:E,笔记匹配!A:N,2,FALSE)</f>
        <v>筋膜枪</v>
      </c>
      <c r="AD150" t="str">
        <f>VLOOKUP(E:E,笔记匹配!A:N,4,FALSE)</f>
        <v>云麦筋膜枪cc</v>
      </c>
      <c r="AE150" t="str">
        <f>VLOOKUP(E:E,笔记匹配!A:N,14,FALSE)</f>
        <v>云麦筋膜枪cc</v>
      </c>
      <c r="AF150" t="str">
        <f>VLOOKUP(E:E,笔记匹配!A:N,6,FALSE)</f>
        <v>大二女生梨形粗腿逆袭✨这3步带你优化腿型</v>
      </c>
    </row>
    <row r="151" spans="1:32">
      <c r="A151" s="18" t="s">
        <v>31</v>
      </c>
      <c r="B151" s="18" t="s">
        <v>1042</v>
      </c>
      <c r="C151" s="19">
        <v>14794969</v>
      </c>
      <c r="D151" s="18" t="s">
        <v>209</v>
      </c>
      <c r="E151" s="18" t="s">
        <v>444</v>
      </c>
      <c r="F151" s="18" t="s">
        <v>1043</v>
      </c>
      <c r="G151" s="19">
        <v>2966132</v>
      </c>
      <c r="H151" s="18" t="s">
        <v>1043</v>
      </c>
      <c r="I151" s="19">
        <v>2368658</v>
      </c>
      <c r="J151" s="18" t="s">
        <v>1015</v>
      </c>
      <c r="K151" s="19">
        <v>0</v>
      </c>
      <c r="L151" s="19">
        <v>0</v>
      </c>
      <c r="M151" s="19">
        <v>0</v>
      </c>
      <c r="N151" s="20">
        <v>0</v>
      </c>
      <c r="O151" s="19">
        <v>0</v>
      </c>
      <c r="P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20">
        <v>0</v>
      </c>
      <c r="Z151" s="19">
        <v>0</v>
      </c>
      <c r="AA151" s="19">
        <v>1</v>
      </c>
      <c r="AB151" t="str">
        <f>VLOOKUP(E:E,笔记匹配!A:N,3,FALSE)</f>
        <v>Sophia大大</v>
      </c>
      <c r="AC151" t="str">
        <f>VLOOKUP(E:E,笔记匹配!A:N,2,FALSE)</f>
        <v>筋膜枪</v>
      </c>
      <c r="AD151" t="str">
        <f>VLOOKUP(E:E,笔记匹配!A:N,4,FALSE)</f>
        <v>云麦cc</v>
      </c>
      <c r="AE151" t="str">
        <f>VLOOKUP(E:E,笔记匹配!A:N,14,FALSE)</f>
        <v>云麦筋膜枪cc</v>
      </c>
      <c r="AF151" t="str">
        <f>VLOOKUP(E:E,笔记匹配!A:N,6,FALSE)</f>
        <v>162 46|我悟了！翘臀不粗腿的训练方法!</v>
      </c>
    </row>
    <row r="152" spans="1:32">
      <c r="A152" s="18" t="s">
        <v>31</v>
      </c>
      <c r="B152" s="18" t="s">
        <v>1057</v>
      </c>
      <c r="C152" s="19">
        <v>14976642</v>
      </c>
      <c r="D152" s="18" t="s">
        <v>209</v>
      </c>
      <c r="E152" s="18" t="s">
        <v>509</v>
      </c>
      <c r="F152" s="18" t="s">
        <v>1058</v>
      </c>
      <c r="G152" s="19">
        <v>2984144</v>
      </c>
      <c r="H152" s="18" t="s">
        <v>1059</v>
      </c>
      <c r="I152" s="19">
        <v>2385921</v>
      </c>
      <c r="J152" s="18" t="s">
        <v>1015</v>
      </c>
      <c r="K152" s="19">
        <v>8104.35</v>
      </c>
      <c r="L152" s="19">
        <v>653853</v>
      </c>
      <c r="M152" s="19">
        <v>26178</v>
      </c>
      <c r="N152" s="20">
        <v>0.04</v>
      </c>
      <c r="O152" s="19">
        <v>0.31</v>
      </c>
      <c r="P152" s="19">
        <v>12.39</v>
      </c>
      <c r="Q152" s="19">
        <v>825</v>
      </c>
      <c r="R152" s="19">
        <v>12</v>
      </c>
      <c r="S152" s="19">
        <v>833</v>
      </c>
      <c r="T152" s="19">
        <v>184</v>
      </c>
      <c r="U152" s="19">
        <v>87</v>
      </c>
      <c r="V152" s="19">
        <v>1941</v>
      </c>
      <c r="W152" s="19">
        <v>4.18</v>
      </c>
      <c r="X152" s="19">
        <v>1</v>
      </c>
      <c r="Y152" s="20">
        <v>0</v>
      </c>
      <c r="Z152" s="19">
        <v>23</v>
      </c>
      <c r="AA152" s="19">
        <v>0</v>
      </c>
      <c r="AB152" t="str">
        <f>VLOOKUP(E:E,笔记匹配!A:N,3,FALSE)</f>
        <v>小小李</v>
      </c>
      <c r="AC152" t="str">
        <f>VLOOKUP(E:E,笔记匹配!A:N,2,FALSE)</f>
        <v>跳绳</v>
      </c>
      <c r="AD152" t="str">
        <f>VLOOKUP(E:E,笔记匹配!A:N,4,FALSE)</f>
        <v>云麦心率跳绳</v>
      </c>
      <c r="AE152" t="str">
        <f>VLOOKUP(E:E,笔记匹配!A:N,14,FALSE)</f>
        <v>云麦心率跳绳</v>
      </c>
      <c r="AF152" t="str">
        <f>VLOOKUP(E:E,笔记匹配!A:N,6,FALSE)</f>
        <v>4分钟跳绳TABATA | 居家高效燃脂瘦全身</v>
      </c>
    </row>
    <row r="153" spans="1:32">
      <c r="A153" s="18" t="s">
        <v>31</v>
      </c>
      <c r="B153" s="18" t="s">
        <v>689</v>
      </c>
      <c r="C153" s="19">
        <v>14977367</v>
      </c>
      <c r="D153" s="18" t="s">
        <v>209</v>
      </c>
      <c r="E153" s="18" t="s">
        <v>504</v>
      </c>
      <c r="F153" s="18" t="s">
        <v>1060</v>
      </c>
      <c r="G153" s="19">
        <v>2984271</v>
      </c>
      <c r="H153" s="18" t="s">
        <v>1061</v>
      </c>
      <c r="I153" s="19">
        <v>2385975</v>
      </c>
      <c r="J153" s="18" t="s">
        <v>1015</v>
      </c>
      <c r="K153" s="19">
        <v>0</v>
      </c>
      <c r="L153" s="19">
        <v>0</v>
      </c>
      <c r="M153" s="19">
        <v>0</v>
      </c>
      <c r="N153" s="20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20">
        <v>0</v>
      </c>
      <c r="Z153" s="19">
        <v>0</v>
      </c>
      <c r="AA153" s="19">
        <v>0</v>
      </c>
      <c r="AB153" t="str">
        <f>VLOOKUP(E:E,笔记匹配!A:N,3,FALSE)</f>
        <v>小菜包超幸运</v>
      </c>
      <c r="AC153" t="str">
        <f>VLOOKUP(E:E,笔记匹配!A:N,2,FALSE)</f>
        <v>体脂秤</v>
      </c>
      <c r="AD153" t="str">
        <f>VLOOKUP(E:E,笔记匹配!A:N,4,FALSE)</f>
        <v>云麦体脂秤3</v>
      </c>
      <c r="AE153" t="str">
        <f>VLOOKUP(E:E,笔记匹配!A:N,14,FALSE)</f>
        <v>云麦体脂秤3</v>
      </c>
      <c r="AF153" t="str">
        <f>VLOOKUP(E:E,笔记匹配!A:N,6,FALSE)</f>
        <v>超全产后修复攻略✅三个阶段恢复少女身材</v>
      </c>
    </row>
    <row r="154" spans="1:32">
      <c r="A154" s="18" t="s">
        <v>31</v>
      </c>
      <c r="B154" s="18" t="s">
        <v>680</v>
      </c>
      <c r="C154" s="19">
        <v>14978184</v>
      </c>
      <c r="D154" s="18" t="s">
        <v>209</v>
      </c>
      <c r="E154" s="18" t="s">
        <v>513</v>
      </c>
      <c r="F154" s="18" t="s">
        <v>1062</v>
      </c>
      <c r="G154" s="19">
        <v>2984400</v>
      </c>
      <c r="H154" s="18" t="s">
        <v>1062</v>
      </c>
      <c r="I154" s="19">
        <v>2386169</v>
      </c>
      <c r="J154" s="18" t="s">
        <v>1015</v>
      </c>
      <c r="K154" s="19">
        <v>0</v>
      </c>
      <c r="L154" s="19">
        <v>0</v>
      </c>
      <c r="M154" s="19">
        <v>0</v>
      </c>
      <c r="N154" s="20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20">
        <v>0</v>
      </c>
      <c r="Z154" s="19">
        <v>0</v>
      </c>
      <c r="AA154" s="19">
        <v>0</v>
      </c>
      <c r="AB154" t="str">
        <f>VLOOKUP(E:E,笔记匹配!A:N,3,FALSE)</f>
        <v>大桐yoto</v>
      </c>
      <c r="AC154" t="str">
        <f>VLOOKUP(E:E,笔记匹配!A:N,2,FALSE)</f>
        <v>跳绳</v>
      </c>
      <c r="AD154" t="str">
        <f>VLOOKUP(E:E,笔记匹配!A:N,4,FALSE)</f>
        <v>云麦3mini</v>
      </c>
      <c r="AE154" t="str">
        <f>VLOOKUP(E:E,笔记匹配!A:N,14,FALSE)</f>
        <v>云麦体脂秤3mini</v>
      </c>
      <c r="AF154" t="str">
        <f>VLOOKUP(E:E,笔记匹配!A:N,6,FALSE)</f>
        <v>减肥就是要饿｜饮食和运动的完整计划在这里</v>
      </c>
    </row>
    <row r="155" spans="1:32">
      <c r="A155" s="18" t="s">
        <v>31</v>
      </c>
      <c r="B155" s="18" t="s">
        <v>587</v>
      </c>
      <c r="C155" s="19">
        <v>15042179</v>
      </c>
      <c r="D155" s="18" t="s">
        <v>196</v>
      </c>
      <c r="E155" s="18" t="s">
        <v>400</v>
      </c>
      <c r="F155" s="18" t="s">
        <v>1063</v>
      </c>
      <c r="G155" s="19">
        <v>2993851</v>
      </c>
      <c r="H155" s="18" t="s">
        <v>1064</v>
      </c>
      <c r="I155" s="19">
        <v>2394430</v>
      </c>
      <c r="J155" s="18" t="s">
        <v>1015</v>
      </c>
      <c r="K155" s="19">
        <v>2028.43</v>
      </c>
      <c r="L155" s="19">
        <v>54231</v>
      </c>
      <c r="M155" s="19">
        <v>3477</v>
      </c>
      <c r="N155" s="20">
        <v>0.0641</v>
      </c>
      <c r="O155" s="19">
        <v>0.58</v>
      </c>
      <c r="P155" s="19">
        <v>37.4</v>
      </c>
      <c r="Q155" s="19">
        <v>104</v>
      </c>
      <c r="R155" s="19">
        <v>0</v>
      </c>
      <c r="S155" s="19">
        <v>70</v>
      </c>
      <c r="T155" s="19">
        <v>7</v>
      </c>
      <c r="U155" s="19">
        <v>4</v>
      </c>
      <c r="V155" s="19">
        <v>185</v>
      </c>
      <c r="W155" s="19">
        <v>10.96</v>
      </c>
      <c r="X155" s="19">
        <v>0</v>
      </c>
      <c r="Y155" s="20">
        <v>0</v>
      </c>
      <c r="Z155" s="19">
        <v>7</v>
      </c>
      <c r="AA155" s="19">
        <v>7</v>
      </c>
      <c r="AB155" t="str">
        <f>VLOOKUP(E:E,笔记匹配!A:N,3,FALSE)</f>
        <v>小雪教瑜伽</v>
      </c>
      <c r="AC155" t="str">
        <f>VLOOKUP(E:E,笔记匹配!A:N,2,FALSE)</f>
        <v>筋膜枪</v>
      </c>
      <c r="AD155" t="str">
        <f>VLOOKUP(E:E,笔记匹配!A:N,4,FALSE)</f>
        <v>云麦筋膜枪cc</v>
      </c>
      <c r="AE155" t="str">
        <f>VLOOKUP(E:E,笔记匹配!A:N,14,FALSE)</f>
        <v>云麦筋膜枪cc</v>
      </c>
      <c r="AF155" t="str">
        <f>VLOOKUP(E:E,笔记匹配!A:N,6,FALSE)</f>
        <v>瘦肌肉腿必备&amp;筋膜枪按摩跟练教程</v>
      </c>
    </row>
    <row r="156" spans="1:32">
      <c r="A156" s="18" t="s">
        <v>31</v>
      </c>
      <c r="B156" s="18" t="s">
        <v>1065</v>
      </c>
      <c r="C156" s="19">
        <v>15088586</v>
      </c>
      <c r="D156" s="18" t="s">
        <v>196</v>
      </c>
      <c r="E156" s="18" t="s">
        <v>234</v>
      </c>
      <c r="F156" s="18" t="s">
        <v>1048</v>
      </c>
      <c r="G156" s="19">
        <v>2978792</v>
      </c>
      <c r="H156" s="18" t="s">
        <v>1049</v>
      </c>
      <c r="I156" s="19">
        <v>2380738</v>
      </c>
      <c r="J156" s="18" t="s">
        <v>1015</v>
      </c>
      <c r="K156" s="19">
        <v>302.37</v>
      </c>
      <c r="L156" s="19">
        <v>5626</v>
      </c>
      <c r="M156" s="19">
        <v>541</v>
      </c>
      <c r="N156" s="20">
        <v>0.0962</v>
      </c>
      <c r="O156" s="19">
        <v>0.56</v>
      </c>
      <c r="P156" s="19">
        <v>53.75</v>
      </c>
      <c r="Q156" s="19">
        <v>5</v>
      </c>
      <c r="R156" s="19">
        <v>0</v>
      </c>
      <c r="S156" s="19">
        <v>1</v>
      </c>
      <c r="T156" s="19">
        <v>0</v>
      </c>
      <c r="U156" s="19">
        <v>0</v>
      </c>
      <c r="V156" s="19">
        <v>6</v>
      </c>
      <c r="W156" s="19">
        <v>50.4</v>
      </c>
      <c r="X156" s="19">
        <v>0</v>
      </c>
      <c r="Y156" s="20">
        <v>0</v>
      </c>
      <c r="Z156" s="19">
        <v>1</v>
      </c>
      <c r="AA156" s="19">
        <v>0</v>
      </c>
      <c r="AB156" t="str">
        <f>VLOOKUP(E:E,笔记匹配!A:N,3,FALSE)</f>
        <v>pp</v>
      </c>
      <c r="AC156" t="str">
        <f>VLOOKUP(E:E,笔记匹配!A:N,2,FALSE)</f>
        <v>体脂秤</v>
      </c>
      <c r="AD156" t="str">
        <f>VLOOKUP(E:E,笔记匹配!A:N,4,FALSE)</f>
        <v>云麦体脂秤3mini</v>
      </c>
      <c r="AE156" t="str">
        <f>VLOOKUP(E:E,笔记匹配!A:N,14,FALSE)</f>
        <v>云麦体脂秤3mini</v>
      </c>
      <c r="AF156" t="str">
        <f>VLOOKUP(E:E,笔记匹配!A:N,6,FALSE)</f>
        <v>110到88 一些减肥小建议｜如何正确运动</v>
      </c>
    </row>
    <row r="157" spans="1:32">
      <c r="A157" s="18" t="s">
        <v>31</v>
      </c>
      <c r="B157" s="18" t="s">
        <v>587</v>
      </c>
      <c r="C157" s="19">
        <v>15179597</v>
      </c>
      <c r="D157" s="18" t="s">
        <v>209</v>
      </c>
      <c r="E157" s="18" t="s">
        <v>400</v>
      </c>
      <c r="F157" s="18" t="s">
        <v>1074</v>
      </c>
      <c r="G157" s="19">
        <v>3007578</v>
      </c>
      <c r="H157" s="18" t="s">
        <v>1074</v>
      </c>
      <c r="I157" s="19">
        <v>2405816</v>
      </c>
      <c r="J157" s="18" t="s">
        <v>1015</v>
      </c>
      <c r="K157" s="19">
        <v>4022.41</v>
      </c>
      <c r="L157" s="19">
        <v>458003</v>
      </c>
      <c r="M157" s="19">
        <v>31470</v>
      </c>
      <c r="N157" s="20">
        <v>0.0687</v>
      </c>
      <c r="O157" s="19">
        <v>0.13</v>
      </c>
      <c r="P157" s="19">
        <v>8.78</v>
      </c>
      <c r="Q157" s="19">
        <v>520</v>
      </c>
      <c r="R157" s="19">
        <v>28</v>
      </c>
      <c r="S157" s="19">
        <v>366</v>
      </c>
      <c r="T157" s="19">
        <v>44</v>
      </c>
      <c r="U157" s="19">
        <v>49</v>
      </c>
      <c r="V157" s="19">
        <v>1007</v>
      </c>
      <c r="W157" s="19">
        <v>3.99</v>
      </c>
      <c r="X157" s="19">
        <v>0</v>
      </c>
      <c r="Y157" s="20">
        <v>0</v>
      </c>
      <c r="Z157" s="19">
        <v>29</v>
      </c>
      <c r="AA157" s="19">
        <v>23</v>
      </c>
      <c r="AB157" t="str">
        <f>VLOOKUP(E:E,笔记匹配!A:N,3,FALSE)</f>
        <v>小雪教瑜伽</v>
      </c>
      <c r="AC157" t="str">
        <f>VLOOKUP(E:E,笔记匹配!A:N,2,FALSE)</f>
        <v>筋膜枪</v>
      </c>
      <c r="AD157" t="str">
        <f>VLOOKUP(E:E,笔记匹配!A:N,4,FALSE)</f>
        <v>云麦筋膜枪cc</v>
      </c>
      <c r="AE157" t="str">
        <f>VLOOKUP(E:E,笔记匹配!A:N,14,FALSE)</f>
        <v>云麦筋膜枪cc</v>
      </c>
      <c r="AF157" t="str">
        <f>VLOOKUP(E:E,笔记匹配!A:N,6,FALSE)</f>
        <v>瘦肌肉腿必备&amp;筋膜枪按摩跟练教程</v>
      </c>
    </row>
    <row r="158" spans="1:32">
      <c r="A158" s="18" t="s">
        <v>31</v>
      </c>
      <c r="B158" s="18" t="s">
        <v>686</v>
      </c>
      <c r="C158" s="19">
        <v>15180518</v>
      </c>
      <c r="D158" s="18" t="s">
        <v>209</v>
      </c>
      <c r="E158" s="18" t="s">
        <v>510</v>
      </c>
      <c r="F158" s="18" t="s">
        <v>1075</v>
      </c>
      <c r="G158" s="19">
        <v>3007658</v>
      </c>
      <c r="H158" s="18" t="s">
        <v>1075</v>
      </c>
      <c r="I158" s="19">
        <v>2405905</v>
      </c>
      <c r="J158" s="18" t="s">
        <v>1015</v>
      </c>
      <c r="K158" s="19">
        <v>464.57</v>
      </c>
      <c r="L158" s="19">
        <v>73985</v>
      </c>
      <c r="M158" s="19">
        <v>8052</v>
      </c>
      <c r="N158" s="20">
        <v>0.1088</v>
      </c>
      <c r="O158" s="19">
        <v>0.06</v>
      </c>
      <c r="P158" s="19">
        <v>6.28</v>
      </c>
      <c r="Q158" s="19">
        <v>51</v>
      </c>
      <c r="R158" s="19">
        <v>9</v>
      </c>
      <c r="S158" s="19">
        <v>19</v>
      </c>
      <c r="T158" s="19">
        <v>6</v>
      </c>
      <c r="U158" s="19">
        <v>1</v>
      </c>
      <c r="V158" s="19">
        <v>86</v>
      </c>
      <c r="W158" s="19">
        <v>5.4</v>
      </c>
      <c r="X158" s="19">
        <v>0</v>
      </c>
      <c r="Y158" s="20">
        <v>0</v>
      </c>
      <c r="Z158" s="19">
        <v>5</v>
      </c>
      <c r="AA158" s="19">
        <v>14</v>
      </c>
      <c r="AB158" t="str">
        <f>VLOOKUP(E:E,笔记匹配!A:N,3,FALSE)</f>
        <v>白白</v>
      </c>
      <c r="AC158" t="str">
        <f>VLOOKUP(E:E,笔记匹配!A:N,2,FALSE)</f>
        <v>跳绳</v>
      </c>
      <c r="AD158" t="str">
        <f>VLOOKUP(E:E,笔记匹配!A:N,4,FALSE)</f>
        <v>云麦心率跳绳</v>
      </c>
      <c r="AE158" t="str">
        <f>VLOOKUP(E:E,笔记匹配!A:N,14,FALSE)</f>
        <v>云麦心率跳绳</v>
      </c>
      <c r="AF158" t="str">
        <f>VLOOKUP(E:E,笔记匹配!A:N,6,FALSE)</f>
        <v>大腿围42 | 瘦腿还得要跳绳！</v>
      </c>
    </row>
    <row r="159" spans="1:32">
      <c r="A159" s="18" t="s">
        <v>31</v>
      </c>
      <c r="B159" s="18" t="s">
        <v>698</v>
      </c>
      <c r="C159" s="19">
        <v>15180603</v>
      </c>
      <c r="D159" s="18" t="s">
        <v>209</v>
      </c>
      <c r="E159" s="18" t="s">
        <v>501</v>
      </c>
      <c r="F159" s="18" t="s">
        <v>1076</v>
      </c>
      <c r="G159" s="19">
        <v>3007662</v>
      </c>
      <c r="H159" s="18" t="s">
        <v>1076</v>
      </c>
      <c r="I159" s="19">
        <v>2405908</v>
      </c>
      <c r="J159" s="18" t="s">
        <v>1015</v>
      </c>
      <c r="K159" s="19">
        <v>960.65</v>
      </c>
      <c r="L159" s="19">
        <v>167940</v>
      </c>
      <c r="M159" s="19">
        <v>18650</v>
      </c>
      <c r="N159" s="20">
        <v>0.1111</v>
      </c>
      <c r="O159" s="19">
        <v>0.05</v>
      </c>
      <c r="P159" s="19">
        <v>5.72</v>
      </c>
      <c r="Q159" s="19">
        <v>122</v>
      </c>
      <c r="R159" s="19">
        <v>7</v>
      </c>
      <c r="S159" s="19">
        <v>11</v>
      </c>
      <c r="T159" s="19">
        <v>8</v>
      </c>
      <c r="U159" s="19">
        <v>8</v>
      </c>
      <c r="V159" s="19">
        <v>156</v>
      </c>
      <c r="W159" s="19">
        <v>6.16</v>
      </c>
      <c r="X159" s="19">
        <v>0</v>
      </c>
      <c r="Y159" s="20">
        <v>0</v>
      </c>
      <c r="Z159" s="19">
        <v>14</v>
      </c>
      <c r="AA159" s="19">
        <v>12</v>
      </c>
      <c r="AB159" t="str">
        <f>VLOOKUP(E:E,笔记匹配!A:N,3,FALSE)</f>
        <v>咕咕猪小短腿</v>
      </c>
      <c r="AC159" t="str">
        <f>VLOOKUP(E:E,笔记匹配!A:N,2,FALSE)</f>
        <v>体脂秤</v>
      </c>
      <c r="AD159" t="str">
        <f>VLOOKUP(E:E,笔记匹配!A:N,4,FALSE)</f>
        <v>云麦体脂秤3</v>
      </c>
      <c r="AE159" t="str">
        <f>VLOOKUP(E:E,笔记匹配!A:N,14,FALSE)</f>
        <v>云麦体脂秤3</v>
      </c>
      <c r="AF159" t="str">
        <f>VLOOKUP(E:E,笔记匹配!A:N,6,FALSE)</f>
        <v>笑死！一到称重就心虚到没耳朵</v>
      </c>
    </row>
    <row r="160" spans="1:32">
      <c r="A160" s="18" t="s">
        <v>31</v>
      </c>
      <c r="B160" s="18" t="s">
        <v>695</v>
      </c>
      <c r="C160" s="19">
        <v>15180653</v>
      </c>
      <c r="D160" s="18" t="s">
        <v>209</v>
      </c>
      <c r="E160" s="18" t="s">
        <v>408</v>
      </c>
      <c r="F160" s="18" t="s">
        <v>1077</v>
      </c>
      <c r="G160" s="19">
        <v>3007667</v>
      </c>
      <c r="H160" s="18" t="s">
        <v>1077</v>
      </c>
      <c r="I160" s="19">
        <v>2405911</v>
      </c>
      <c r="J160" s="18" t="s">
        <v>1015</v>
      </c>
      <c r="K160" s="19">
        <v>1969.24</v>
      </c>
      <c r="L160" s="19">
        <v>248747</v>
      </c>
      <c r="M160" s="19">
        <v>27840</v>
      </c>
      <c r="N160" s="20">
        <v>0.1119</v>
      </c>
      <c r="O160" s="19">
        <v>0.07</v>
      </c>
      <c r="P160" s="19">
        <v>7.92</v>
      </c>
      <c r="Q160" s="19">
        <v>368</v>
      </c>
      <c r="R160" s="19">
        <v>16</v>
      </c>
      <c r="S160" s="19">
        <v>90</v>
      </c>
      <c r="T160" s="19">
        <v>104</v>
      </c>
      <c r="U160" s="19">
        <v>10</v>
      </c>
      <c r="V160" s="19">
        <v>588</v>
      </c>
      <c r="W160" s="19">
        <v>3.35</v>
      </c>
      <c r="X160" s="19">
        <v>0</v>
      </c>
      <c r="Y160" s="20">
        <v>0</v>
      </c>
      <c r="Z160" s="19">
        <v>20</v>
      </c>
      <c r="AA160" s="19">
        <v>98</v>
      </c>
      <c r="AB160" t="str">
        <f>VLOOKUP(E:E,笔记匹配!A:N,3,FALSE)</f>
        <v>努力变好的yy</v>
      </c>
      <c r="AC160" t="str">
        <f>VLOOKUP(E:E,笔记匹配!A:N,2,FALSE)</f>
        <v>筋膜枪</v>
      </c>
      <c r="AD160" t="str">
        <f>VLOOKUP(E:E,笔记匹配!A:N,4,FALSE)</f>
        <v>云麦cc筋膜枪</v>
      </c>
      <c r="AE160" t="str">
        <f>VLOOKUP(E:E,笔记匹配!A:N,14,FALSE)</f>
        <v>云麦筋膜枪cc</v>
      </c>
      <c r="AF160" t="str">
        <f>VLOOKUP(E:E,笔记匹配!A:N,6,FALSE)</f>
        <v>筋膜枪➕泡沫轴｜运动后全套放松动作分享！！</v>
      </c>
    </row>
    <row r="161" spans="1:32">
      <c r="A161" s="18" t="s">
        <v>32</v>
      </c>
      <c r="B161" s="18" t="s">
        <v>1057</v>
      </c>
      <c r="C161" s="19">
        <v>14976642</v>
      </c>
      <c r="D161" s="18" t="s">
        <v>209</v>
      </c>
      <c r="E161" s="18" t="s">
        <v>509</v>
      </c>
      <c r="F161" s="18" t="s">
        <v>1058</v>
      </c>
      <c r="G161" s="19">
        <v>2984144</v>
      </c>
      <c r="H161" s="18" t="s">
        <v>1059</v>
      </c>
      <c r="I161" s="19">
        <v>2385921</v>
      </c>
      <c r="J161" s="18" t="s">
        <v>1015</v>
      </c>
      <c r="K161" s="19">
        <v>914.29</v>
      </c>
      <c r="L161" s="19">
        <v>81956</v>
      </c>
      <c r="M161" s="19">
        <v>3822</v>
      </c>
      <c r="N161" s="20">
        <v>0.0466</v>
      </c>
      <c r="O161" s="19">
        <v>0.24</v>
      </c>
      <c r="P161" s="19">
        <v>11.16</v>
      </c>
      <c r="Q161" s="19">
        <v>113</v>
      </c>
      <c r="R161" s="19">
        <v>6</v>
      </c>
      <c r="S161" s="19">
        <v>129</v>
      </c>
      <c r="T161" s="19">
        <v>26</v>
      </c>
      <c r="U161" s="19">
        <v>23</v>
      </c>
      <c r="V161" s="19">
        <v>297</v>
      </c>
      <c r="W161" s="19">
        <v>3.08</v>
      </c>
      <c r="X161" s="19">
        <v>0</v>
      </c>
      <c r="Y161" s="20">
        <v>0</v>
      </c>
      <c r="Z161" s="19">
        <v>8</v>
      </c>
      <c r="AA161" s="19">
        <v>0</v>
      </c>
      <c r="AB161" t="str">
        <f>VLOOKUP(E:E,笔记匹配!A:N,3,FALSE)</f>
        <v>小小李</v>
      </c>
      <c r="AC161" t="str">
        <f>VLOOKUP(E:E,笔记匹配!A:N,2,FALSE)</f>
        <v>跳绳</v>
      </c>
      <c r="AD161" t="str">
        <f>VLOOKUP(E:E,笔记匹配!A:N,4,FALSE)</f>
        <v>云麦心率跳绳</v>
      </c>
      <c r="AE161" t="str">
        <f>VLOOKUP(E:E,笔记匹配!A:N,14,FALSE)</f>
        <v>云麦心率跳绳</v>
      </c>
      <c r="AF161" t="str">
        <f>VLOOKUP(E:E,笔记匹配!A:N,6,FALSE)</f>
        <v>4分钟跳绳TABATA | 居家高效燃脂瘦全身</v>
      </c>
    </row>
    <row r="162" spans="1:32">
      <c r="A162" s="18" t="s">
        <v>32</v>
      </c>
      <c r="B162" s="18" t="s">
        <v>680</v>
      </c>
      <c r="C162" s="19">
        <v>14978184</v>
      </c>
      <c r="D162" s="18" t="s">
        <v>209</v>
      </c>
      <c r="E162" s="18" t="s">
        <v>513</v>
      </c>
      <c r="F162" s="18" t="s">
        <v>1062</v>
      </c>
      <c r="G162" s="19">
        <v>2984400</v>
      </c>
      <c r="H162" s="18" t="s">
        <v>1062</v>
      </c>
      <c r="I162" s="19">
        <v>2386169</v>
      </c>
      <c r="J162" s="18" t="s">
        <v>1015</v>
      </c>
      <c r="K162" s="19">
        <v>0</v>
      </c>
      <c r="L162" s="19">
        <v>0</v>
      </c>
      <c r="M162" s="19">
        <v>0</v>
      </c>
      <c r="N162" s="20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20">
        <v>0</v>
      </c>
      <c r="Z162" s="19">
        <v>0</v>
      </c>
      <c r="AA162" s="19">
        <v>0</v>
      </c>
      <c r="AB162" t="str">
        <f>VLOOKUP(E:E,笔记匹配!A:N,3,FALSE)</f>
        <v>大桐yoto</v>
      </c>
      <c r="AC162" t="str">
        <f>VLOOKUP(E:E,笔记匹配!A:N,2,FALSE)</f>
        <v>跳绳</v>
      </c>
      <c r="AD162" t="str">
        <f>VLOOKUP(E:E,笔记匹配!A:N,4,FALSE)</f>
        <v>云麦3mini</v>
      </c>
      <c r="AE162" t="str">
        <f>VLOOKUP(E:E,笔记匹配!A:N,14,FALSE)</f>
        <v>云麦体脂秤3mini</v>
      </c>
      <c r="AF162" t="str">
        <f>VLOOKUP(E:E,笔记匹配!A:N,6,FALSE)</f>
        <v>减肥就是要饿｜饮食和运动的完整计划在这里</v>
      </c>
    </row>
    <row r="163" spans="1:32">
      <c r="A163" s="18" t="s">
        <v>32</v>
      </c>
      <c r="B163" s="18" t="s">
        <v>587</v>
      </c>
      <c r="C163" s="19">
        <v>15088839</v>
      </c>
      <c r="D163" s="18" t="s">
        <v>209</v>
      </c>
      <c r="E163" s="18" t="s">
        <v>400</v>
      </c>
      <c r="F163" s="18" t="s">
        <v>1067</v>
      </c>
      <c r="G163" s="19">
        <v>3001667</v>
      </c>
      <c r="H163" s="18" t="s">
        <v>1068</v>
      </c>
      <c r="I163" s="19">
        <v>2400711</v>
      </c>
      <c r="J163" s="18" t="s">
        <v>1015</v>
      </c>
      <c r="K163" s="19">
        <v>0</v>
      </c>
      <c r="L163" s="19">
        <v>0</v>
      </c>
      <c r="M163" s="19">
        <v>0</v>
      </c>
      <c r="N163" s="20">
        <v>0</v>
      </c>
      <c r="O163" s="19">
        <v>0</v>
      </c>
      <c r="P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20">
        <v>0</v>
      </c>
      <c r="Z163" s="19">
        <v>0</v>
      </c>
      <c r="AA163" s="19">
        <v>0</v>
      </c>
      <c r="AB163" t="str">
        <f>VLOOKUP(E:E,笔记匹配!A:N,3,FALSE)</f>
        <v>小雪教瑜伽</v>
      </c>
      <c r="AC163" t="str">
        <f>VLOOKUP(E:E,笔记匹配!A:N,2,FALSE)</f>
        <v>筋膜枪</v>
      </c>
      <c r="AD163" t="str">
        <f>VLOOKUP(E:E,笔记匹配!A:N,4,FALSE)</f>
        <v>云麦筋膜枪cc</v>
      </c>
      <c r="AE163" t="str">
        <f>VLOOKUP(E:E,笔记匹配!A:N,14,FALSE)</f>
        <v>云麦筋膜枪cc</v>
      </c>
      <c r="AF163" t="str">
        <f>VLOOKUP(E:E,笔记匹配!A:N,6,FALSE)</f>
        <v>瘦肌肉腿必备&amp;筋膜枪按摩跟练教程</v>
      </c>
    </row>
    <row r="164" spans="1:32">
      <c r="A164" s="18" t="s">
        <v>32</v>
      </c>
      <c r="B164" s="18" t="s">
        <v>698</v>
      </c>
      <c r="C164" s="19">
        <v>15089398</v>
      </c>
      <c r="D164" s="18" t="s">
        <v>209</v>
      </c>
      <c r="E164" s="18" t="s">
        <v>501</v>
      </c>
      <c r="F164" s="18" t="s">
        <v>1071</v>
      </c>
      <c r="G164" s="19">
        <v>3001731</v>
      </c>
      <c r="H164" s="18" t="s">
        <v>1072</v>
      </c>
      <c r="I164" s="19">
        <v>2400767</v>
      </c>
      <c r="J164" s="18" t="s">
        <v>1015</v>
      </c>
      <c r="K164" s="19">
        <v>0</v>
      </c>
      <c r="L164" s="19">
        <v>0</v>
      </c>
      <c r="M164" s="19">
        <v>0</v>
      </c>
      <c r="N164" s="20">
        <v>0</v>
      </c>
      <c r="O164" s="19">
        <v>0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20">
        <v>0</v>
      </c>
      <c r="Z164" s="19">
        <v>0</v>
      </c>
      <c r="AA164" s="19">
        <v>0</v>
      </c>
      <c r="AB164" t="str">
        <f>VLOOKUP(E:E,笔记匹配!A:N,3,FALSE)</f>
        <v>咕咕猪小短腿</v>
      </c>
      <c r="AC164" t="str">
        <f>VLOOKUP(E:E,笔记匹配!A:N,2,FALSE)</f>
        <v>体脂秤</v>
      </c>
      <c r="AD164" t="str">
        <f>VLOOKUP(E:E,笔记匹配!A:N,4,FALSE)</f>
        <v>云麦体脂秤3</v>
      </c>
      <c r="AE164" t="str">
        <f>VLOOKUP(E:E,笔记匹配!A:N,14,FALSE)</f>
        <v>云麦体脂秤3</v>
      </c>
      <c r="AF164" t="str">
        <f>VLOOKUP(E:E,笔记匹配!A:N,6,FALSE)</f>
        <v>笑死！一到称重就心虚到没耳朵</v>
      </c>
    </row>
    <row r="165" spans="1:32">
      <c r="A165" s="18" t="s">
        <v>32</v>
      </c>
      <c r="B165" s="18" t="s">
        <v>1066</v>
      </c>
      <c r="C165" s="19">
        <v>15089589</v>
      </c>
      <c r="D165" s="18" t="s">
        <v>209</v>
      </c>
      <c r="E165" s="18" t="s">
        <v>510</v>
      </c>
      <c r="F165" s="18" t="s">
        <v>1073</v>
      </c>
      <c r="G165" s="19">
        <v>3001791</v>
      </c>
      <c r="H165" s="18" t="s">
        <v>1073</v>
      </c>
      <c r="I165" s="19">
        <v>2400796</v>
      </c>
      <c r="J165" s="18" t="s">
        <v>1015</v>
      </c>
      <c r="K165" s="19">
        <v>0</v>
      </c>
      <c r="L165" s="19">
        <v>0</v>
      </c>
      <c r="M165" s="19">
        <v>0</v>
      </c>
      <c r="N165" s="20">
        <v>0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20">
        <v>0</v>
      </c>
      <c r="Z165" s="19">
        <v>0</v>
      </c>
      <c r="AA165" s="19">
        <v>0</v>
      </c>
      <c r="AB165" t="str">
        <f>VLOOKUP(E:E,笔记匹配!A:N,3,FALSE)</f>
        <v>白白</v>
      </c>
      <c r="AC165" t="str">
        <f>VLOOKUP(E:E,笔记匹配!A:N,2,FALSE)</f>
        <v>跳绳</v>
      </c>
      <c r="AD165" t="str">
        <f>VLOOKUP(E:E,笔记匹配!A:N,4,FALSE)</f>
        <v>云麦心率跳绳</v>
      </c>
      <c r="AE165" t="str">
        <f>VLOOKUP(E:E,笔记匹配!A:N,14,FALSE)</f>
        <v>云麦心率跳绳</v>
      </c>
      <c r="AF165" t="str">
        <f>VLOOKUP(E:E,笔记匹配!A:N,6,FALSE)</f>
        <v>大腿围42 | 瘦腿还得要跳绳！</v>
      </c>
    </row>
    <row r="166" spans="1:32">
      <c r="A166" s="18" t="s">
        <v>32</v>
      </c>
      <c r="B166" s="18" t="s">
        <v>587</v>
      </c>
      <c r="C166" s="19">
        <v>15179597</v>
      </c>
      <c r="D166" s="18" t="s">
        <v>209</v>
      </c>
      <c r="E166" s="18" t="s">
        <v>400</v>
      </c>
      <c r="F166" s="18" t="s">
        <v>1074</v>
      </c>
      <c r="G166" s="19">
        <v>3007578</v>
      </c>
      <c r="H166" s="18" t="s">
        <v>1074</v>
      </c>
      <c r="I166" s="19">
        <v>2405816</v>
      </c>
      <c r="J166" s="18" t="s">
        <v>1015</v>
      </c>
      <c r="K166" s="19">
        <v>12.67</v>
      </c>
      <c r="L166" s="19">
        <v>1657</v>
      </c>
      <c r="M166" s="19">
        <v>142</v>
      </c>
      <c r="N166" s="20">
        <v>0.0857</v>
      </c>
      <c r="O166" s="19">
        <v>0.09</v>
      </c>
      <c r="P166" s="19">
        <v>7.65</v>
      </c>
      <c r="Q166" s="19">
        <v>6</v>
      </c>
      <c r="R166" s="19">
        <v>0</v>
      </c>
      <c r="S166" s="19">
        <v>1</v>
      </c>
      <c r="T166" s="19">
        <v>0</v>
      </c>
      <c r="U166" s="19">
        <v>0</v>
      </c>
      <c r="V166" s="19">
        <v>7</v>
      </c>
      <c r="W166" s="19">
        <v>1.81</v>
      </c>
      <c r="X166" s="19">
        <v>0</v>
      </c>
      <c r="Y166" s="20">
        <v>0</v>
      </c>
      <c r="Z166" s="19">
        <v>0</v>
      </c>
      <c r="AA166" s="19">
        <v>0</v>
      </c>
      <c r="AB166" t="str">
        <f>VLOOKUP(E:E,笔记匹配!A:N,3,FALSE)</f>
        <v>小雪教瑜伽</v>
      </c>
      <c r="AC166" t="str">
        <f>VLOOKUP(E:E,笔记匹配!A:N,2,FALSE)</f>
        <v>筋膜枪</v>
      </c>
      <c r="AD166" t="str">
        <f>VLOOKUP(E:E,笔记匹配!A:N,4,FALSE)</f>
        <v>云麦筋膜枪cc</v>
      </c>
      <c r="AE166" t="str">
        <f>VLOOKUP(E:E,笔记匹配!A:N,14,FALSE)</f>
        <v>云麦筋膜枪cc</v>
      </c>
      <c r="AF166" t="str">
        <f>VLOOKUP(E:E,笔记匹配!A:N,6,FALSE)</f>
        <v>瘦肌肉腿必备&amp;筋膜枪按摩跟练教程</v>
      </c>
    </row>
    <row r="167" spans="1:32">
      <c r="A167" s="18" t="s">
        <v>32</v>
      </c>
      <c r="B167" s="18" t="s">
        <v>686</v>
      </c>
      <c r="C167" s="19">
        <v>15180518</v>
      </c>
      <c r="D167" s="18" t="s">
        <v>209</v>
      </c>
      <c r="E167" s="18" t="s">
        <v>510</v>
      </c>
      <c r="F167" s="18" t="s">
        <v>1075</v>
      </c>
      <c r="G167" s="19">
        <v>3007658</v>
      </c>
      <c r="H167" s="18" t="s">
        <v>1075</v>
      </c>
      <c r="I167" s="19">
        <v>2405905</v>
      </c>
      <c r="J167" s="18" t="s">
        <v>1015</v>
      </c>
      <c r="K167" s="19">
        <v>0.22</v>
      </c>
      <c r="L167" s="19">
        <v>28</v>
      </c>
      <c r="M167" s="19">
        <v>2</v>
      </c>
      <c r="N167" s="20">
        <v>0.0714</v>
      </c>
      <c r="O167" s="19">
        <v>0.11</v>
      </c>
      <c r="P167" s="19">
        <v>7.86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20">
        <v>0</v>
      </c>
      <c r="Z167" s="19">
        <v>0</v>
      </c>
      <c r="AA167" s="19">
        <v>0</v>
      </c>
      <c r="AB167" t="str">
        <f>VLOOKUP(E:E,笔记匹配!A:N,3,FALSE)</f>
        <v>白白</v>
      </c>
      <c r="AC167" t="str">
        <f>VLOOKUP(E:E,笔记匹配!A:N,2,FALSE)</f>
        <v>跳绳</v>
      </c>
      <c r="AD167" t="str">
        <f>VLOOKUP(E:E,笔记匹配!A:N,4,FALSE)</f>
        <v>云麦心率跳绳</v>
      </c>
      <c r="AE167" t="str">
        <f>VLOOKUP(E:E,笔记匹配!A:N,14,FALSE)</f>
        <v>云麦心率跳绳</v>
      </c>
      <c r="AF167" t="str">
        <f>VLOOKUP(E:E,笔记匹配!A:N,6,FALSE)</f>
        <v>大腿围42 | 瘦腿还得要跳绳！</v>
      </c>
    </row>
    <row r="168" spans="1:32">
      <c r="A168" s="18" t="s">
        <v>32</v>
      </c>
      <c r="B168" s="18" t="s">
        <v>698</v>
      </c>
      <c r="C168" s="19">
        <v>15180603</v>
      </c>
      <c r="D168" s="18" t="s">
        <v>209</v>
      </c>
      <c r="E168" s="18" t="s">
        <v>501</v>
      </c>
      <c r="F168" s="18" t="s">
        <v>1076</v>
      </c>
      <c r="G168" s="19">
        <v>3007662</v>
      </c>
      <c r="H168" s="18" t="s">
        <v>1076</v>
      </c>
      <c r="I168" s="19">
        <v>2405908</v>
      </c>
      <c r="J168" s="18" t="s">
        <v>1015</v>
      </c>
      <c r="K168" s="19">
        <v>0.48</v>
      </c>
      <c r="L168" s="19">
        <v>170</v>
      </c>
      <c r="M168" s="19">
        <v>12</v>
      </c>
      <c r="N168" s="20">
        <v>0.0706</v>
      </c>
      <c r="O168" s="19">
        <v>0.04</v>
      </c>
      <c r="P168" s="19">
        <v>2.82</v>
      </c>
      <c r="Q168" s="19">
        <v>0</v>
      </c>
      <c r="R168" s="19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0</v>
      </c>
      <c r="X168" s="19">
        <v>0</v>
      </c>
      <c r="Y168" s="20">
        <v>0</v>
      </c>
      <c r="Z168" s="19">
        <v>0</v>
      </c>
      <c r="AA168" s="19">
        <v>0</v>
      </c>
      <c r="AB168" t="str">
        <f>VLOOKUP(E:E,笔记匹配!A:N,3,FALSE)</f>
        <v>咕咕猪小短腿</v>
      </c>
      <c r="AC168" t="str">
        <f>VLOOKUP(E:E,笔记匹配!A:N,2,FALSE)</f>
        <v>体脂秤</v>
      </c>
      <c r="AD168" t="str">
        <f>VLOOKUP(E:E,笔记匹配!A:N,4,FALSE)</f>
        <v>云麦体脂秤3</v>
      </c>
      <c r="AE168" t="str">
        <f>VLOOKUP(E:E,笔记匹配!A:N,14,FALSE)</f>
        <v>云麦体脂秤3</v>
      </c>
      <c r="AF168" t="str">
        <f>VLOOKUP(E:E,笔记匹配!A:N,6,FALSE)</f>
        <v>笑死！一到称重就心虚到没耳朵</v>
      </c>
    </row>
    <row r="169" spans="1:32">
      <c r="A169" s="18" t="s">
        <v>32</v>
      </c>
      <c r="B169" s="18" t="s">
        <v>695</v>
      </c>
      <c r="C169" s="19">
        <v>15180653</v>
      </c>
      <c r="D169" s="18" t="s">
        <v>209</v>
      </c>
      <c r="E169" s="18" t="s">
        <v>408</v>
      </c>
      <c r="F169" s="18" t="s">
        <v>1077</v>
      </c>
      <c r="G169" s="19">
        <v>3007667</v>
      </c>
      <c r="H169" s="18" t="s">
        <v>1077</v>
      </c>
      <c r="I169" s="19">
        <v>2405911</v>
      </c>
      <c r="J169" s="18" t="s">
        <v>1015</v>
      </c>
      <c r="K169" s="19">
        <v>0.63</v>
      </c>
      <c r="L169" s="19">
        <v>227</v>
      </c>
      <c r="M169" s="19">
        <v>15</v>
      </c>
      <c r="N169" s="20">
        <v>0.0661</v>
      </c>
      <c r="O169" s="19">
        <v>0.04</v>
      </c>
      <c r="P169" s="19">
        <v>2.78</v>
      </c>
      <c r="Q169" s="19">
        <v>0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9">
        <v>0</v>
      </c>
      <c r="Y169" s="20">
        <v>0</v>
      </c>
      <c r="Z169" s="19">
        <v>0</v>
      </c>
      <c r="AA169" s="19">
        <v>0</v>
      </c>
      <c r="AB169" t="str">
        <f>VLOOKUP(E:E,笔记匹配!A:N,3,FALSE)</f>
        <v>努力变好的yy</v>
      </c>
      <c r="AC169" t="str">
        <f>VLOOKUP(E:E,笔记匹配!A:N,2,FALSE)</f>
        <v>筋膜枪</v>
      </c>
      <c r="AD169" t="str">
        <f>VLOOKUP(E:E,笔记匹配!A:N,4,FALSE)</f>
        <v>云麦cc筋膜枪</v>
      </c>
      <c r="AE169" t="str">
        <f>VLOOKUP(E:E,笔记匹配!A:N,14,FALSE)</f>
        <v>云麦筋膜枪cc</v>
      </c>
      <c r="AF169" t="str">
        <f>VLOOKUP(E:E,笔记匹配!A:N,6,FALSE)</f>
        <v>筋膜枪➕泡沫轴｜运动后全套放松动作分享！！</v>
      </c>
    </row>
    <row r="170" spans="1:32">
      <c r="A170" s="18" t="s">
        <v>32</v>
      </c>
      <c r="B170" s="18" t="s">
        <v>701</v>
      </c>
      <c r="C170" s="19">
        <v>15247437</v>
      </c>
      <c r="D170" s="18" t="s">
        <v>209</v>
      </c>
      <c r="E170" s="18" t="s">
        <v>499</v>
      </c>
      <c r="F170" s="18" t="s">
        <v>1078</v>
      </c>
      <c r="G170" s="19">
        <v>3014687</v>
      </c>
      <c r="H170" s="18" t="s">
        <v>1078</v>
      </c>
      <c r="I170" s="19">
        <v>2412594</v>
      </c>
      <c r="J170" s="18" t="s">
        <v>1015</v>
      </c>
      <c r="K170" s="19">
        <v>478.23</v>
      </c>
      <c r="L170" s="19">
        <v>69565</v>
      </c>
      <c r="M170" s="19">
        <v>4347</v>
      </c>
      <c r="N170" s="20">
        <v>0.0625</v>
      </c>
      <c r="O170" s="19">
        <v>0.11</v>
      </c>
      <c r="P170" s="19">
        <v>6.87</v>
      </c>
      <c r="Q170" s="19">
        <v>26</v>
      </c>
      <c r="R170" s="19">
        <v>4</v>
      </c>
      <c r="S170" s="19">
        <v>10</v>
      </c>
      <c r="T170" s="19">
        <v>1</v>
      </c>
      <c r="U170" s="19">
        <v>1</v>
      </c>
      <c r="V170" s="19">
        <v>42</v>
      </c>
      <c r="W170" s="19">
        <v>11.39</v>
      </c>
      <c r="X170" s="19">
        <v>0</v>
      </c>
      <c r="Y170" s="20">
        <v>0</v>
      </c>
      <c r="Z170" s="19">
        <v>1</v>
      </c>
      <c r="AA170" s="19">
        <v>0</v>
      </c>
      <c r="AB170" t="str">
        <f>VLOOKUP(E:E,笔记匹配!A:N,3,FALSE)</f>
        <v>威风凛凛小队长</v>
      </c>
      <c r="AC170" t="str">
        <f>VLOOKUP(E:E,笔记匹配!A:N,2,FALSE)</f>
        <v>体脂秤</v>
      </c>
      <c r="AD170" t="str">
        <f>VLOOKUP(E:E,笔记匹配!A:N,4,FALSE)</f>
        <v>云麦体脂秤3</v>
      </c>
      <c r="AE170" t="str">
        <f>VLOOKUP(E:E,笔记匹配!A:N,14,FALSE)</f>
        <v>云麦体脂秤3</v>
      </c>
      <c r="AF170" t="str">
        <f>VLOOKUP(E:E,笔记匹配!A:N,6,FALSE)</f>
        <v>被你们形容的“肥美多脂”气哭了</v>
      </c>
    </row>
    <row r="171" spans="1:32">
      <c r="A171" s="18" t="s">
        <v>32</v>
      </c>
      <c r="B171" s="18" t="s">
        <v>695</v>
      </c>
      <c r="C171" s="19">
        <v>15247613</v>
      </c>
      <c r="D171" s="18" t="s">
        <v>209</v>
      </c>
      <c r="E171" s="18" t="s">
        <v>408</v>
      </c>
      <c r="F171" s="18" t="s">
        <v>1079</v>
      </c>
      <c r="G171" s="19">
        <v>3014707</v>
      </c>
      <c r="H171" s="18" t="s">
        <v>1079</v>
      </c>
      <c r="I171" s="19">
        <v>2412606</v>
      </c>
      <c r="J171" s="18" t="s">
        <v>1015</v>
      </c>
      <c r="K171" s="19">
        <v>511.24</v>
      </c>
      <c r="L171" s="19">
        <v>66637</v>
      </c>
      <c r="M171" s="19">
        <v>7354</v>
      </c>
      <c r="N171" s="20">
        <v>0.1104</v>
      </c>
      <c r="O171" s="19">
        <v>0.07</v>
      </c>
      <c r="P171" s="19">
        <v>7.67</v>
      </c>
      <c r="Q171" s="19">
        <v>59</v>
      </c>
      <c r="R171" s="19">
        <v>4</v>
      </c>
      <c r="S171" s="19">
        <v>13</v>
      </c>
      <c r="T171" s="19">
        <v>15</v>
      </c>
      <c r="U171" s="19">
        <v>9</v>
      </c>
      <c r="V171" s="19">
        <v>100</v>
      </c>
      <c r="W171" s="19">
        <v>5.11</v>
      </c>
      <c r="X171" s="19">
        <v>0</v>
      </c>
      <c r="Y171" s="20">
        <v>0</v>
      </c>
      <c r="Z171" s="19">
        <v>5</v>
      </c>
      <c r="AA171" s="19">
        <v>23</v>
      </c>
      <c r="AB171" t="str">
        <f>VLOOKUP(E:E,笔记匹配!A:N,3,FALSE)</f>
        <v>努力变好的yy</v>
      </c>
      <c r="AC171" t="str">
        <f>VLOOKUP(E:E,笔记匹配!A:N,2,FALSE)</f>
        <v>筋膜枪</v>
      </c>
      <c r="AD171" t="str">
        <f>VLOOKUP(E:E,笔记匹配!A:N,4,FALSE)</f>
        <v>云麦cc筋膜枪</v>
      </c>
      <c r="AE171" t="str">
        <f>VLOOKUP(E:E,笔记匹配!A:N,14,FALSE)</f>
        <v>云麦筋膜枪cc</v>
      </c>
      <c r="AF171" t="str">
        <f>VLOOKUP(E:E,笔记匹配!A:N,6,FALSE)</f>
        <v>筋膜枪➕泡沫轴｜运动后全套放松动作分享！！</v>
      </c>
    </row>
    <row r="172" spans="1:32">
      <c r="A172" s="18" t="s">
        <v>32</v>
      </c>
      <c r="B172" s="18" t="s">
        <v>1080</v>
      </c>
      <c r="C172" s="19">
        <v>15248000</v>
      </c>
      <c r="D172" s="18" t="s">
        <v>196</v>
      </c>
      <c r="E172" s="18" t="s">
        <v>400</v>
      </c>
      <c r="F172" s="18" t="s">
        <v>1081</v>
      </c>
      <c r="G172" s="19">
        <v>3014737</v>
      </c>
      <c r="H172" s="18" t="s">
        <v>1081</v>
      </c>
      <c r="I172" s="19">
        <v>2412630</v>
      </c>
      <c r="J172" s="18" t="s">
        <v>1015</v>
      </c>
      <c r="K172" s="19">
        <v>1634.14</v>
      </c>
      <c r="L172" s="19">
        <v>55833</v>
      </c>
      <c r="M172" s="19">
        <v>4000</v>
      </c>
      <c r="N172" s="20">
        <v>0.0716</v>
      </c>
      <c r="O172" s="19">
        <v>0.41</v>
      </c>
      <c r="P172" s="19">
        <v>29.27</v>
      </c>
      <c r="Q172" s="19">
        <v>109</v>
      </c>
      <c r="R172" s="19">
        <v>2</v>
      </c>
      <c r="S172" s="19">
        <v>80</v>
      </c>
      <c r="T172" s="19">
        <v>3</v>
      </c>
      <c r="U172" s="19">
        <v>2</v>
      </c>
      <c r="V172" s="19">
        <v>196</v>
      </c>
      <c r="W172" s="19">
        <v>8.34</v>
      </c>
      <c r="X172" s="19">
        <v>0</v>
      </c>
      <c r="Y172" s="20">
        <v>0</v>
      </c>
      <c r="Z172" s="19">
        <v>0</v>
      </c>
      <c r="AA172" s="19">
        <v>10</v>
      </c>
      <c r="AB172" t="str">
        <f>VLOOKUP(E:E,笔记匹配!A:N,3,FALSE)</f>
        <v>小雪教瑜伽</v>
      </c>
      <c r="AC172" t="str">
        <f>VLOOKUP(E:E,笔记匹配!A:N,2,FALSE)</f>
        <v>筋膜枪</v>
      </c>
      <c r="AD172" t="str">
        <f>VLOOKUP(E:E,笔记匹配!A:N,4,FALSE)</f>
        <v>云麦筋膜枪cc</v>
      </c>
      <c r="AE172" t="str">
        <f>VLOOKUP(E:E,笔记匹配!A:N,14,FALSE)</f>
        <v>云麦筋膜枪cc</v>
      </c>
      <c r="AF172" t="str">
        <f>VLOOKUP(E:E,笔记匹配!A:N,6,FALSE)</f>
        <v>瘦肌肉腿必备&amp;筋膜枪按摩跟练教程</v>
      </c>
    </row>
    <row r="173" spans="1:32">
      <c r="A173" s="18" t="s">
        <v>32</v>
      </c>
      <c r="B173" s="18" t="s">
        <v>1082</v>
      </c>
      <c r="C173" s="19">
        <v>15248117</v>
      </c>
      <c r="D173" s="18" t="s">
        <v>196</v>
      </c>
      <c r="E173" s="18" t="s">
        <v>553</v>
      </c>
      <c r="F173" s="18" t="s">
        <v>1083</v>
      </c>
      <c r="G173" s="19">
        <v>3014754</v>
      </c>
      <c r="H173" s="18" t="s">
        <v>1083</v>
      </c>
      <c r="I173" s="19">
        <v>2412642</v>
      </c>
      <c r="J173" s="18" t="s">
        <v>1015</v>
      </c>
      <c r="K173" s="19">
        <v>516.31</v>
      </c>
      <c r="L173" s="19">
        <v>21041</v>
      </c>
      <c r="M173" s="19">
        <v>1439</v>
      </c>
      <c r="N173" s="20">
        <v>0.0684</v>
      </c>
      <c r="O173" s="19">
        <v>0.36</v>
      </c>
      <c r="P173" s="19">
        <v>24.54</v>
      </c>
      <c r="Q173" s="19">
        <v>28</v>
      </c>
      <c r="R173" s="19">
        <v>0</v>
      </c>
      <c r="S173" s="19">
        <v>13</v>
      </c>
      <c r="T173" s="19">
        <v>0</v>
      </c>
      <c r="U173" s="19">
        <v>0</v>
      </c>
      <c r="V173" s="19">
        <v>41</v>
      </c>
      <c r="W173" s="19">
        <v>12.59</v>
      </c>
      <c r="X173" s="19">
        <v>0</v>
      </c>
      <c r="Y173" s="20">
        <v>0</v>
      </c>
      <c r="Z173" s="19">
        <v>2</v>
      </c>
      <c r="AA173" s="19">
        <v>3</v>
      </c>
      <c r="AB173" t="str">
        <f>VLOOKUP(E:E,笔记匹配!A:N,3,FALSE)</f>
        <v>圆又圆超爱笑</v>
      </c>
      <c r="AC173" t="str">
        <f>VLOOKUP(E:E,笔记匹配!A:N,2,FALSE)</f>
        <v>筋膜枪</v>
      </c>
      <c r="AD173" t="str">
        <f>VLOOKUP(E:E,笔记匹配!A:N,4,FALSE)</f>
        <v>云麦筋膜枪cc</v>
      </c>
      <c r="AE173" t="str">
        <f>VLOOKUP(E:E,笔记匹配!A:N,14,FALSE)</f>
        <v>云麦筋膜枪cc</v>
      </c>
      <c r="AF173" t="str">
        <f>VLOOKUP(E:E,笔记匹配!A:N,6,FALSE)</f>
        <v>大二女生梨形粗腿逆袭✨这3步带你优化腿型</v>
      </c>
    </row>
    <row r="174" spans="1:32">
      <c r="A174" s="18" t="s">
        <v>32</v>
      </c>
      <c r="B174" s="18" t="s">
        <v>704</v>
      </c>
      <c r="C174" s="19">
        <v>15248253</v>
      </c>
      <c r="D174" s="18" t="s">
        <v>209</v>
      </c>
      <c r="E174" s="18" t="s">
        <v>497</v>
      </c>
      <c r="F174" s="18" t="s">
        <v>1084</v>
      </c>
      <c r="G174" s="19">
        <v>3014764</v>
      </c>
      <c r="H174" s="18" t="s">
        <v>1085</v>
      </c>
      <c r="I174" s="19">
        <v>2412653</v>
      </c>
      <c r="J174" s="18" t="s">
        <v>1015</v>
      </c>
      <c r="K174" s="19">
        <v>1008.88</v>
      </c>
      <c r="L174" s="19">
        <v>79313</v>
      </c>
      <c r="M174" s="19">
        <v>6237</v>
      </c>
      <c r="N174" s="20">
        <v>0.0786</v>
      </c>
      <c r="O174" s="19">
        <v>0.16</v>
      </c>
      <c r="P174" s="19">
        <v>12.72</v>
      </c>
      <c r="Q174" s="19">
        <v>83</v>
      </c>
      <c r="R174" s="19">
        <v>5</v>
      </c>
      <c r="S174" s="19">
        <v>46</v>
      </c>
      <c r="T174" s="19">
        <v>5</v>
      </c>
      <c r="U174" s="19">
        <v>9</v>
      </c>
      <c r="V174" s="19">
        <v>148</v>
      </c>
      <c r="W174" s="19">
        <v>6.82</v>
      </c>
      <c r="X174" s="19">
        <v>0</v>
      </c>
      <c r="Y174" s="20">
        <v>0</v>
      </c>
      <c r="Z174" s="19">
        <v>23</v>
      </c>
      <c r="AA174" s="19">
        <v>18</v>
      </c>
      <c r="AB174" t="str">
        <f>VLOOKUP(E:E,笔记匹配!A:N,3,FALSE)</f>
        <v>小方今天瘦了吗</v>
      </c>
      <c r="AC174" t="str">
        <f>VLOOKUP(E:E,笔记匹配!A:N,2,FALSE)</f>
        <v>体脂秤</v>
      </c>
      <c r="AD174" t="str">
        <f>VLOOKUP(E:E,笔记匹配!A:N,4,FALSE)</f>
        <v>云麦3mini</v>
      </c>
      <c r="AE174" t="str">
        <f>VLOOKUP(E:E,笔记匹配!A:N,14,FALSE)</f>
        <v>云麦体脂秤3mini</v>
      </c>
      <c r="AF174" t="str">
        <f>VLOOKUP(E:E,笔记匹配!A:N,6,FALSE)</f>
        <v>大基数无运动节食减45斤 （饮食习惯/食谱‼️）</v>
      </c>
    </row>
    <row r="175" spans="1:32">
      <c r="A175" s="18" t="s">
        <v>32</v>
      </c>
      <c r="B175" s="18" t="s">
        <v>1086</v>
      </c>
      <c r="C175" s="19">
        <v>15248439</v>
      </c>
      <c r="D175" s="18" t="s">
        <v>196</v>
      </c>
      <c r="E175" s="18" t="s">
        <v>234</v>
      </c>
      <c r="F175" s="18" t="s">
        <v>1087</v>
      </c>
      <c r="G175" s="19">
        <v>3014779</v>
      </c>
      <c r="H175" s="18" t="s">
        <v>1088</v>
      </c>
      <c r="I175" s="19">
        <v>2412665</v>
      </c>
      <c r="J175" s="18" t="s">
        <v>1015</v>
      </c>
      <c r="K175" s="19">
        <v>303.31</v>
      </c>
      <c r="L175" s="19">
        <v>18496</v>
      </c>
      <c r="M175" s="19">
        <v>675</v>
      </c>
      <c r="N175" s="20">
        <v>0.0365</v>
      </c>
      <c r="O175" s="19">
        <v>0.45</v>
      </c>
      <c r="P175" s="19">
        <v>16.4</v>
      </c>
      <c r="Q175" s="19">
        <v>5</v>
      </c>
      <c r="R175" s="19">
        <v>0</v>
      </c>
      <c r="S175" s="19">
        <v>1</v>
      </c>
      <c r="T175" s="19">
        <v>1</v>
      </c>
      <c r="U175" s="19">
        <v>0</v>
      </c>
      <c r="V175" s="19">
        <v>7</v>
      </c>
      <c r="W175" s="19">
        <v>43.33</v>
      </c>
      <c r="X175" s="19">
        <v>0</v>
      </c>
      <c r="Y175" s="20">
        <v>0</v>
      </c>
      <c r="Z175" s="19">
        <v>0</v>
      </c>
      <c r="AA175" s="19">
        <v>0</v>
      </c>
      <c r="AB175" t="str">
        <f>VLOOKUP(E:E,笔记匹配!A:N,3,FALSE)</f>
        <v>pp</v>
      </c>
      <c r="AC175" t="str">
        <f>VLOOKUP(E:E,笔记匹配!A:N,2,FALSE)</f>
        <v>体脂秤</v>
      </c>
      <c r="AD175" t="str">
        <f>VLOOKUP(E:E,笔记匹配!A:N,4,FALSE)</f>
        <v>云麦体脂秤3mini</v>
      </c>
      <c r="AE175" t="str">
        <f>VLOOKUP(E:E,笔记匹配!A:N,14,FALSE)</f>
        <v>云麦体脂秤3mini</v>
      </c>
      <c r="AF175" t="str">
        <f>VLOOKUP(E:E,笔记匹配!A:N,6,FALSE)</f>
        <v>110到88 一些减肥小建议｜如何正确运动</v>
      </c>
    </row>
    <row r="176" spans="1:32">
      <c r="A176" s="18" t="s">
        <v>32</v>
      </c>
      <c r="B176" s="18" t="s">
        <v>231</v>
      </c>
      <c r="C176" s="19">
        <v>15248486</v>
      </c>
      <c r="D176" s="18" t="s">
        <v>209</v>
      </c>
      <c r="E176" s="18" t="s">
        <v>234</v>
      </c>
      <c r="F176" s="18" t="s">
        <v>1089</v>
      </c>
      <c r="G176" s="19">
        <v>3014783</v>
      </c>
      <c r="H176" s="18" t="s">
        <v>1089</v>
      </c>
      <c r="I176" s="19">
        <v>2412680</v>
      </c>
      <c r="J176" s="18" t="s">
        <v>1015</v>
      </c>
      <c r="K176" s="19">
        <v>1678.43</v>
      </c>
      <c r="L176" s="19">
        <v>197360</v>
      </c>
      <c r="M176" s="19">
        <v>13351</v>
      </c>
      <c r="N176" s="20">
        <v>0.0676</v>
      </c>
      <c r="O176" s="19">
        <v>0.13</v>
      </c>
      <c r="P176" s="19">
        <v>8.5</v>
      </c>
      <c r="Q176" s="19">
        <v>226</v>
      </c>
      <c r="R176" s="19">
        <v>2</v>
      </c>
      <c r="S176" s="19">
        <v>67</v>
      </c>
      <c r="T176" s="19">
        <v>19</v>
      </c>
      <c r="U176" s="19">
        <v>2</v>
      </c>
      <c r="V176" s="19">
        <v>316</v>
      </c>
      <c r="W176" s="19">
        <v>5.31</v>
      </c>
      <c r="X176" s="19">
        <v>0</v>
      </c>
      <c r="Y176" s="20">
        <v>0</v>
      </c>
      <c r="Z176" s="19">
        <v>16</v>
      </c>
      <c r="AA176" s="19">
        <v>8</v>
      </c>
      <c r="AB176" t="str">
        <f>VLOOKUP(E:E,笔记匹配!A:N,3,FALSE)</f>
        <v>pp</v>
      </c>
      <c r="AC176" t="str">
        <f>VLOOKUP(E:E,笔记匹配!A:N,2,FALSE)</f>
        <v>体脂秤</v>
      </c>
      <c r="AD176" t="str">
        <f>VLOOKUP(E:E,笔记匹配!A:N,4,FALSE)</f>
        <v>云麦体脂秤3mini</v>
      </c>
      <c r="AE176" t="str">
        <f>VLOOKUP(E:E,笔记匹配!A:N,14,FALSE)</f>
        <v>云麦体脂秤3mini</v>
      </c>
      <c r="AF176" t="str">
        <f>VLOOKUP(E:E,笔记匹配!A:N,6,FALSE)</f>
        <v>110到88 一些减肥小建议｜如何正确运动</v>
      </c>
    </row>
    <row r="177" spans="1:32">
      <c r="A177" s="18" t="s">
        <v>33</v>
      </c>
      <c r="B177" s="18" t="s">
        <v>1042</v>
      </c>
      <c r="C177" s="19">
        <v>14794969</v>
      </c>
      <c r="D177" s="18" t="s">
        <v>209</v>
      </c>
      <c r="E177" s="18" t="s">
        <v>444</v>
      </c>
      <c r="F177" s="18" t="s">
        <v>1043</v>
      </c>
      <c r="G177" s="19">
        <v>2966132</v>
      </c>
      <c r="H177" s="18" t="s">
        <v>1043</v>
      </c>
      <c r="I177" s="19">
        <v>2368658</v>
      </c>
      <c r="J177" s="18" t="s">
        <v>1015</v>
      </c>
      <c r="K177" s="19">
        <v>0</v>
      </c>
      <c r="L177" s="19">
        <v>0</v>
      </c>
      <c r="M177" s="19">
        <v>0</v>
      </c>
      <c r="N177" s="20">
        <v>0</v>
      </c>
      <c r="O177" s="19">
        <v>0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0</v>
      </c>
      <c r="X177" s="19">
        <v>0</v>
      </c>
      <c r="Y177" s="20">
        <v>0</v>
      </c>
      <c r="Z177" s="19">
        <v>0</v>
      </c>
      <c r="AA177" s="19">
        <v>0</v>
      </c>
      <c r="AB177" t="str">
        <f>VLOOKUP(E:E,笔记匹配!A:N,3,FALSE)</f>
        <v>Sophia大大</v>
      </c>
      <c r="AC177" t="str">
        <f>VLOOKUP(E:E,笔记匹配!A:N,2,FALSE)</f>
        <v>筋膜枪</v>
      </c>
      <c r="AD177" t="str">
        <f>VLOOKUP(E:E,笔记匹配!A:N,4,FALSE)</f>
        <v>云麦cc</v>
      </c>
      <c r="AE177" t="str">
        <f>VLOOKUP(E:E,笔记匹配!A:N,14,FALSE)</f>
        <v>云麦筋膜枪cc</v>
      </c>
      <c r="AF177" t="str">
        <f>VLOOKUP(E:E,笔记匹配!A:N,6,FALSE)</f>
        <v>162 46|我悟了！翘臀不粗腿的训练方法!</v>
      </c>
    </row>
    <row r="178" spans="1:32">
      <c r="A178" s="18" t="s">
        <v>33</v>
      </c>
      <c r="B178" s="18" t="s">
        <v>1057</v>
      </c>
      <c r="C178" s="19">
        <v>14976642</v>
      </c>
      <c r="D178" s="18" t="s">
        <v>209</v>
      </c>
      <c r="E178" s="18" t="s">
        <v>509</v>
      </c>
      <c r="F178" s="18" t="s">
        <v>1058</v>
      </c>
      <c r="G178" s="19">
        <v>2984144</v>
      </c>
      <c r="H178" s="18" t="s">
        <v>1059</v>
      </c>
      <c r="I178" s="19">
        <v>2385921</v>
      </c>
      <c r="J178" s="18" t="s">
        <v>1015</v>
      </c>
      <c r="K178" s="19">
        <v>9.34</v>
      </c>
      <c r="L178" s="19">
        <v>636</v>
      </c>
      <c r="M178" s="19">
        <v>52</v>
      </c>
      <c r="N178" s="20">
        <v>0.0818</v>
      </c>
      <c r="O178" s="19">
        <v>0.18</v>
      </c>
      <c r="P178" s="19">
        <v>14.69</v>
      </c>
      <c r="Q178" s="19">
        <v>3</v>
      </c>
      <c r="R178" s="19">
        <v>0</v>
      </c>
      <c r="S178" s="19">
        <v>5</v>
      </c>
      <c r="T178" s="19">
        <v>1</v>
      </c>
      <c r="U178" s="19">
        <v>0</v>
      </c>
      <c r="V178" s="19">
        <v>9</v>
      </c>
      <c r="W178" s="19">
        <v>1.04</v>
      </c>
      <c r="X178" s="19">
        <v>0</v>
      </c>
      <c r="Y178" s="20">
        <v>0</v>
      </c>
      <c r="Z178" s="19">
        <v>0</v>
      </c>
      <c r="AA178" s="19">
        <v>0</v>
      </c>
      <c r="AB178" t="str">
        <f>VLOOKUP(E:E,笔记匹配!A:N,3,FALSE)</f>
        <v>小小李</v>
      </c>
      <c r="AC178" t="str">
        <f>VLOOKUP(E:E,笔记匹配!A:N,2,FALSE)</f>
        <v>跳绳</v>
      </c>
      <c r="AD178" t="str">
        <f>VLOOKUP(E:E,笔记匹配!A:N,4,FALSE)</f>
        <v>云麦心率跳绳</v>
      </c>
      <c r="AE178" t="str">
        <f>VLOOKUP(E:E,笔记匹配!A:N,14,FALSE)</f>
        <v>云麦心率跳绳</v>
      </c>
      <c r="AF178" t="str">
        <f>VLOOKUP(E:E,笔记匹配!A:N,6,FALSE)</f>
        <v>4分钟跳绳TABATA | 居家高效燃脂瘦全身</v>
      </c>
    </row>
    <row r="179" spans="1:32">
      <c r="A179" s="18" t="s">
        <v>33</v>
      </c>
      <c r="B179" s="18" t="s">
        <v>667</v>
      </c>
      <c r="C179" s="19">
        <v>14977272</v>
      </c>
      <c r="D179" s="18" t="s">
        <v>209</v>
      </c>
      <c r="E179" s="18" t="s">
        <v>516</v>
      </c>
      <c r="F179" s="18" t="s">
        <v>1058</v>
      </c>
      <c r="G179" s="19">
        <v>2984144</v>
      </c>
      <c r="H179" s="18" t="s">
        <v>1059</v>
      </c>
      <c r="I179" s="19">
        <v>2385921</v>
      </c>
      <c r="J179" s="18" t="s">
        <v>1015</v>
      </c>
      <c r="K179" s="19">
        <v>0</v>
      </c>
      <c r="L179" s="19">
        <v>0</v>
      </c>
      <c r="M179" s="19">
        <v>0</v>
      </c>
      <c r="N179" s="20">
        <v>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20">
        <v>0</v>
      </c>
      <c r="Z179" s="19">
        <v>0</v>
      </c>
      <c r="AA179" s="19">
        <v>0</v>
      </c>
      <c r="AB179" t="str">
        <f>VLOOKUP(E:E,笔记匹配!A:N,3,FALSE)</f>
        <v>爱跳绳的粥粥</v>
      </c>
      <c r="AC179" t="str">
        <f>VLOOKUP(E:E,笔记匹配!A:N,2,FALSE)</f>
        <v>跳绳</v>
      </c>
      <c r="AD179" t="str">
        <f>VLOOKUP(E:E,笔记匹配!A:N,4,FALSE)</f>
        <v>云麦跳绳心率款</v>
      </c>
      <c r="AE179" t="str">
        <f>VLOOKUP(E:E,笔记匹配!A:N,14,FALSE)</f>
        <v>云麦心率跳绳</v>
      </c>
      <c r="AF179" t="str">
        <f>VLOOKUP(E:E,笔记匹配!A:N,6,FALSE)</f>
        <v>坚持跳绳瘦24斤这个高效跳绳组合你一定要跳</v>
      </c>
    </row>
    <row r="180" spans="1:32">
      <c r="A180" s="18" t="s">
        <v>33</v>
      </c>
      <c r="B180" s="18" t="s">
        <v>680</v>
      </c>
      <c r="C180" s="19">
        <v>14978184</v>
      </c>
      <c r="D180" s="18" t="s">
        <v>209</v>
      </c>
      <c r="E180" s="18" t="s">
        <v>513</v>
      </c>
      <c r="F180" s="18" t="s">
        <v>1062</v>
      </c>
      <c r="G180" s="19">
        <v>2984400</v>
      </c>
      <c r="H180" s="18" t="s">
        <v>1062</v>
      </c>
      <c r="I180" s="19">
        <v>2386169</v>
      </c>
      <c r="J180" s="18" t="s">
        <v>1015</v>
      </c>
      <c r="K180" s="19">
        <v>0</v>
      </c>
      <c r="L180" s="19">
        <v>0</v>
      </c>
      <c r="M180" s="19">
        <v>0</v>
      </c>
      <c r="N180" s="20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20">
        <v>0</v>
      </c>
      <c r="Z180" s="19">
        <v>0</v>
      </c>
      <c r="AA180" s="19">
        <v>0</v>
      </c>
      <c r="AB180" t="str">
        <f>VLOOKUP(E:E,笔记匹配!A:N,3,FALSE)</f>
        <v>大桐yoto</v>
      </c>
      <c r="AC180" t="str">
        <f>VLOOKUP(E:E,笔记匹配!A:N,2,FALSE)</f>
        <v>跳绳</v>
      </c>
      <c r="AD180" t="str">
        <f>VLOOKUP(E:E,笔记匹配!A:N,4,FALSE)</f>
        <v>云麦3mini</v>
      </c>
      <c r="AE180" t="str">
        <f>VLOOKUP(E:E,笔记匹配!A:N,14,FALSE)</f>
        <v>云麦体脂秤3mini</v>
      </c>
      <c r="AF180" t="str">
        <f>VLOOKUP(E:E,笔记匹配!A:N,6,FALSE)</f>
        <v>减肥就是要饿｜饮食和运动的完整计划在这里</v>
      </c>
    </row>
    <row r="181" spans="1:32">
      <c r="A181" s="18" t="s">
        <v>33</v>
      </c>
      <c r="B181" s="18" t="s">
        <v>587</v>
      </c>
      <c r="C181" s="19">
        <v>15088839</v>
      </c>
      <c r="D181" s="18" t="s">
        <v>209</v>
      </c>
      <c r="E181" s="18" t="s">
        <v>400</v>
      </c>
      <c r="F181" s="18" t="s">
        <v>1067</v>
      </c>
      <c r="G181" s="19">
        <v>3001667</v>
      </c>
      <c r="H181" s="18" t="s">
        <v>1068</v>
      </c>
      <c r="I181" s="19">
        <v>2400711</v>
      </c>
      <c r="J181" s="18" t="s">
        <v>1015</v>
      </c>
      <c r="K181" s="19">
        <v>0</v>
      </c>
      <c r="L181" s="19">
        <v>0</v>
      </c>
      <c r="M181" s="19">
        <v>0</v>
      </c>
      <c r="N181" s="20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20">
        <v>0</v>
      </c>
      <c r="Z181" s="19">
        <v>0</v>
      </c>
      <c r="AA181" s="19">
        <v>0</v>
      </c>
      <c r="AB181" t="str">
        <f>VLOOKUP(E:E,笔记匹配!A:N,3,FALSE)</f>
        <v>小雪教瑜伽</v>
      </c>
      <c r="AC181" t="str">
        <f>VLOOKUP(E:E,笔记匹配!A:N,2,FALSE)</f>
        <v>筋膜枪</v>
      </c>
      <c r="AD181" t="str">
        <f>VLOOKUP(E:E,笔记匹配!A:N,4,FALSE)</f>
        <v>云麦筋膜枪cc</v>
      </c>
      <c r="AE181" t="str">
        <f>VLOOKUP(E:E,笔记匹配!A:N,14,FALSE)</f>
        <v>云麦筋膜枪cc</v>
      </c>
      <c r="AF181" t="str">
        <f>VLOOKUP(E:E,笔记匹配!A:N,6,FALSE)</f>
        <v>瘦肌肉腿必备&amp;筋膜枪按摩跟练教程</v>
      </c>
    </row>
    <row r="182" spans="1:32">
      <c r="A182" s="18" t="s">
        <v>33</v>
      </c>
      <c r="B182" s="18" t="s">
        <v>587</v>
      </c>
      <c r="C182" s="19">
        <v>15179597</v>
      </c>
      <c r="D182" s="18" t="s">
        <v>209</v>
      </c>
      <c r="E182" s="18" t="s">
        <v>400</v>
      </c>
      <c r="F182" s="18" t="s">
        <v>1074</v>
      </c>
      <c r="G182" s="19">
        <v>3007578</v>
      </c>
      <c r="H182" s="18" t="s">
        <v>1074</v>
      </c>
      <c r="I182" s="19">
        <v>2405816</v>
      </c>
      <c r="J182" s="18" t="s">
        <v>1015</v>
      </c>
      <c r="K182" s="19">
        <v>0</v>
      </c>
      <c r="L182" s="19">
        <v>0</v>
      </c>
      <c r="M182" s="19">
        <v>0</v>
      </c>
      <c r="N182" s="20">
        <v>0</v>
      </c>
      <c r="O182" s="19">
        <v>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0</v>
      </c>
      <c r="X182" s="19">
        <v>0</v>
      </c>
      <c r="Y182" s="20">
        <v>0</v>
      </c>
      <c r="Z182" s="19">
        <v>0</v>
      </c>
      <c r="AA182" s="19">
        <v>0</v>
      </c>
      <c r="AB182" t="str">
        <f>VLOOKUP(E:E,笔记匹配!A:N,3,FALSE)</f>
        <v>小雪教瑜伽</v>
      </c>
      <c r="AC182" t="str">
        <f>VLOOKUP(E:E,笔记匹配!A:N,2,FALSE)</f>
        <v>筋膜枪</v>
      </c>
      <c r="AD182" t="str">
        <f>VLOOKUP(E:E,笔记匹配!A:N,4,FALSE)</f>
        <v>云麦筋膜枪cc</v>
      </c>
      <c r="AE182" t="str">
        <f>VLOOKUP(E:E,笔记匹配!A:N,14,FALSE)</f>
        <v>云麦筋膜枪cc</v>
      </c>
      <c r="AF182" t="str">
        <f>VLOOKUP(E:E,笔记匹配!A:N,6,FALSE)</f>
        <v>瘦肌肉腿必备&amp;筋膜枪按摩跟练教程</v>
      </c>
    </row>
    <row r="183" spans="1:32">
      <c r="A183" s="18" t="s">
        <v>33</v>
      </c>
      <c r="B183" s="18" t="s">
        <v>686</v>
      </c>
      <c r="C183" s="19">
        <v>15180518</v>
      </c>
      <c r="D183" s="18" t="s">
        <v>209</v>
      </c>
      <c r="E183" s="18" t="s">
        <v>510</v>
      </c>
      <c r="F183" s="18" t="s">
        <v>1075</v>
      </c>
      <c r="G183" s="19">
        <v>3007658</v>
      </c>
      <c r="H183" s="18" t="s">
        <v>1075</v>
      </c>
      <c r="I183" s="19">
        <v>2405905</v>
      </c>
      <c r="J183" s="18" t="s">
        <v>1015</v>
      </c>
      <c r="K183" s="19">
        <v>0</v>
      </c>
      <c r="L183" s="19">
        <v>0</v>
      </c>
      <c r="M183" s="19">
        <v>0</v>
      </c>
      <c r="N183" s="20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0</v>
      </c>
      <c r="X183" s="19">
        <v>0</v>
      </c>
      <c r="Y183" s="20">
        <v>0</v>
      </c>
      <c r="Z183" s="19">
        <v>0</v>
      </c>
      <c r="AA183" s="19">
        <v>0</v>
      </c>
      <c r="AB183" t="str">
        <f>VLOOKUP(E:E,笔记匹配!A:N,3,FALSE)</f>
        <v>白白</v>
      </c>
      <c r="AC183" t="str">
        <f>VLOOKUP(E:E,笔记匹配!A:N,2,FALSE)</f>
        <v>跳绳</v>
      </c>
      <c r="AD183" t="str">
        <f>VLOOKUP(E:E,笔记匹配!A:N,4,FALSE)</f>
        <v>云麦心率跳绳</v>
      </c>
      <c r="AE183" t="str">
        <f>VLOOKUP(E:E,笔记匹配!A:N,14,FALSE)</f>
        <v>云麦心率跳绳</v>
      </c>
      <c r="AF183" t="str">
        <f>VLOOKUP(E:E,笔记匹配!A:N,6,FALSE)</f>
        <v>大腿围42 | 瘦腿还得要跳绳！</v>
      </c>
    </row>
    <row r="184" spans="1:32">
      <c r="A184" s="18" t="s">
        <v>33</v>
      </c>
      <c r="B184" s="18" t="s">
        <v>698</v>
      </c>
      <c r="C184" s="19">
        <v>15180603</v>
      </c>
      <c r="D184" s="18" t="s">
        <v>209</v>
      </c>
      <c r="E184" s="18" t="s">
        <v>501</v>
      </c>
      <c r="F184" s="18" t="s">
        <v>1076</v>
      </c>
      <c r="G184" s="19">
        <v>3007662</v>
      </c>
      <c r="H184" s="18" t="s">
        <v>1076</v>
      </c>
      <c r="I184" s="19">
        <v>2405908</v>
      </c>
      <c r="J184" s="18" t="s">
        <v>1015</v>
      </c>
      <c r="K184" s="19">
        <v>0</v>
      </c>
      <c r="L184" s="19">
        <v>0</v>
      </c>
      <c r="M184" s="19">
        <v>0</v>
      </c>
      <c r="N184" s="20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20">
        <v>0</v>
      </c>
      <c r="Z184" s="19">
        <v>0</v>
      </c>
      <c r="AA184" s="19">
        <v>0</v>
      </c>
      <c r="AB184" t="str">
        <f>VLOOKUP(E:E,笔记匹配!A:N,3,FALSE)</f>
        <v>咕咕猪小短腿</v>
      </c>
      <c r="AC184" t="str">
        <f>VLOOKUP(E:E,笔记匹配!A:N,2,FALSE)</f>
        <v>体脂秤</v>
      </c>
      <c r="AD184" t="str">
        <f>VLOOKUP(E:E,笔记匹配!A:N,4,FALSE)</f>
        <v>云麦体脂秤3</v>
      </c>
      <c r="AE184" t="str">
        <f>VLOOKUP(E:E,笔记匹配!A:N,14,FALSE)</f>
        <v>云麦体脂秤3</v>
      </c>
      <c r="AF184" t="str">
        <f>VLOOKUP(E:E,笔记匹配!A:N,6,FALSE)</f>
        <v>笑死！一到称重就心虚到没耳朵</v>
      </c>
    </row>
    <row r="185" spans="1:32">
      <c r="A185" s="18" t="s">
        <v>33</v>
      </c>
      <c r="B185" s="18" t="s">
        <v>695</v>
      </c>
      <c r="C185" s="19">
        <v>15180653</v>
      </c>
      <c r="D185" s="18" t="s">
        <v>209</v>
      </c>
      <c r="E185" s="18" t="s">
        <v>408</v>
      </c>
      <c r="F185" s="18" t="s">
        <v>1077</v>
      </c>
      <c r="G185" s="19">
        <v>3007667</v>
      </c>
      <c r="H185" s="18" t="s">
        <v>1077</v>
      </c>
      <c r="I185" s="19">
        <v>2405911</v>
      </c>
      <c r="J185" s="18" t="s">
        <v>1015</v>
      </c>
      <c r="K185" s="19">
        <v>0</v>
      </c>
      <c r="L185" s="19">
        <v>0</v>
      </c>
      <c r="M185" s="19">
        <v>0</v>
      </c>
      <c r="N185" s="20">
        <v>0</v>
      </c>
      <c r="O185" s="19">
        <v>0</v>
      </c>
      <c r="P185" s="19">
        <v>0</v>
      </c>
      <c r="Q185" s="19">
        <v>0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0</v>
      </c>
      <c r="X185" s="19">
        <v>0</v>
      </c>
      <c r="Y185" s="20">
        <v>0</v>
      </c>
      <c r="Z185" s="19">
        <v>0</v>
      </c>
      <c r="AA185" s="19">
        <v>0</v>
      </c>
      <c r="AB185" t="str">
        <f>VLOOKUP(E:E,笔记匹配!A:N,3,FALSE)</f>
        <v>努力变好的yy</v>
      </c>
      <c r="AC185" t="str">
        <f>VLOOKUP(E:E,笔记匹配!A:N,2,FALSE)</f>
        <v>筋膜枪</v>
      </c>
      <c r="AD185" t="str">
        <f>VLOOKUP(E:E,笔记匹配!A:N,4,FALSE)</f>
        <v>云麦cc筋膜枪</v>
      </c>
      <c r="AE185" t="str">
        <f>VLOOKUP(E:E,笔记匹配!A:N,14,FALSE)</f>
        <v>云麦筋膜枪cc</v>
      </c>
      <c r="AF185" t="str">
        <f>VLOOKUP(E:E,笔记匹配!A:N,6,FALSE)</f>
        <v>筋膜枪➕泡沫轴｜运动后全套放松动作分享！！</v>
      </c>
    </row>
    <row r="186" spans="1:32">
      <c r="A186" s="18" t="s">
        <v>33</v>
      </c>
      <c r="B186" s="18" t="s">
        <v>701</v>
      </c>
      <c r="C186" s="19">
        <v>15247437</v>
      </c>
      <c r="D186" s="18" t="s">
        <v>209</v>
      </c>
      <c r="E186" s="18" t="s">
        <v>499</v>
      </c>
      <c r="F186" s="18" t="s">
        <v>1078</v>
      </c>
      <c r="G186" s="19">
        <v>3014687</v>
      </c>
      <c r="H186" s="18" t="s">
        <v>1078</v>
      </c>
      <c r="I186" s="19">
        <v>2412594</v>
      </c>
      <c r="J186" s="18" t="s">
        <v>1015</v>
      </c>
      <c r="K186" s="19">
        <v>1.9</v>
      </c>
      <c r="L186" s="19">
        <v>286</v>
      </c>
      <c r="M186" s="19">
        <v>13</v>
      </c>
      <c r="N186" s="20">
        <v>0.0455</v>
      </c>
      <c r="O186" s="19">
        <v>0.15</v>
      </c>
      <c r="P186" s="19">
        <v>6.64</v>
      </c>
      <c r="Q186" s="19">
        <v>1</v>
      </c>
      <c r="R186" s="19">
        <v>0</v>
      </c>
      <c r="S186" s="19">
        <v>0</v>
      </c>
      <c r="T186" s="19">
        <v>0</v>
      </c>
      <c r="U186" s="19">
        <v>0</v>
      </c>
      <c r="V186" s="19">
        <v>1</v>
      </c>
      <c r="W186" s="19">
        <v>1.9</v>
      </c>
      <c r="X186" s="19">
        <v>0</v>
      </c>
      <c r="Y186" s="20">
        <v>0</v>
      </c>
      <c r="Z186" s="19">
        <v>0</v>
      </c>
      <c r="AA186" s="19">
        <v>0</v>
      </c>
      <c r="AB186" t="str">
        <f>VLOOKUP(E:E,笔记匹配!A:N,3,FALSE)</f>
        <v>威风凛凛小队长</v>
      </c>
      <c r="AC186" t="str">
        <f>VLOOKUP(E:E,笔记匹配!A:N,2,FALSE)</f>
        <v>体脂秤</v>
      </c>
      <c r="AD186" t="str">
        <f>VLOOKUP(E:E,笔记匹配!A:N,4,FALSE)</f>
        <v>云麦体脂秤3</v>
      </c>
      <c r="AE186" t="str">
        <f>VLOOKUP(E:E,笔记匹配!A:N,14,FALSE)</f>
        <v>云麦体脂秤3</v>
      </c>
      <c r="AF186" t="str">
        <f>VLOOKUP(E:E,笔记匹配!A:N,6,FALSE)</f>
        <v>被你们形容的“肥美多脂”气哭了</v>
      </c>
    </row>
    <row r="187" spans="1:32">
      <c r="A187" s="18" t="s">
        <v>33</v>
      </c>
      <c r="B187" s="18" t="s">
        <v>695</v>
      </c>
      <c r="C187" s="19">
        <v>15247613</v>
      </c>
      <c r="D187" s="18" t="s">
        <v>209</v>
      </c>
      <c r="E187" s="18" t="s">
        <v>408</v>
      </c>
      <c r="F187" s="18" t="s">
        <v>1079</v>
      </c>
      <c r="G187" s="19">
        <v>3014707</v>
      </c>
      <c r="H187" s="18" t="s">
        <v>1079</v>
      </c>
      <c r="I187" s="19">
        <v>2412606</v>
      </c>
      <c r="J187" s="18" t="s">
        <v>1015</v>
      </c>
      <c r="K187" s="19">
        <v>506.98</v>
      </c>
      <c r="L187" s="19">
        <v>61606</v>
      </c>
      <c r="M187" s="19">
        <v>5894</v>
      </c>
      <c r="N187" s="20">
        <v>0.0957</v>
      </c>
      <c r="O187" s="19">
        <v>0.09</v>
      </c>
      <c r="P187" s="19">
        <v>8.23</v>
      </c>
      <c r="Q187" s="19">
        <v>71</v>
      </c>
      <c r="R187" s="19">
        <v>1</v>
      </c>
      <c r="S187" s="19">
        <v>18</v>
      </c>
      <c r="T187" s="19">
        <v>18</v>
      </c>
      <c r="U187" s="19">
        <v>6</v>
      </c>
      <c r="V187" s="19">
        <v>114</v>
      </c>
      <c r="W187" s="19">
        <v>4.45</v>
      </c>
      <c r="X187" s="19">
        <v>0</v>
      </c>
      <c r="Y187" s="20">
        <v>0</v>
      </c>
      <c r="Z187" s="19">
        <v>3</v>
      </c>
      <c r="AA187" s="19">
        <v>11</v>
      </c>
      <c r="AB187" t="str">
        <f>VLOOKUP(E:E,笔记匹配!A:N,3,FALSE)</f>
        <v>努力变好的yy</v>
      </c>
      <c r="AC187" t="str">
        <f>VLOOKUP(E:E,笔记匹配!A:N,2,FALSE)</f>
        <v>筋膜枪</v>
      </c>
      <c r="AD187" t="str">
        <f>VLOOKUP(E:E,笔记匹配!A:N,4,FALSE)</f>
        <v>云麦cc筋膜枪</v>
      </c>
      <c r="AE187" t="str">
        <f>VLOOKUP(E:E,笔记匹配!A:N,14,FALSE)</f>
        <v>云麦筋膜枪cc</v>
      </c>
      <c r="AF187" t="str">
        <f>VLOOKUP(E:E,笔记匹配!A:N,6,FALSE)</f>
        <v>筋膜枪➕泡沫轴｜运动后全套放松动作分享！！</v>
      </c>
    </row>
    <row r="188" spans="1:32">
      <c r="A188" s="18" t="s">
        <v>33</v>
      </c>
      <c r="B188" s="18" t="s">
        <v>1080</v>
      </c>
      <c r="C188" s="19">
        <v>15248000</v>
      </c>
      <c r="D188" s="18" t="s">
        <v>196</v>
      </c>
      <c r="E188" s="18" t="s">
        <v>400</v>
      </c>
      <c r="F188" s="18" t="s">
        <v>1081</v>
      </c>
      <c r="G188" s="19">
        <v>3014737</v>
      </c>
      <c r="H188" s="18" t="s">
        <v>1081</v>
      </c>
      <c r="I188" s="19">
        <v>2412630</v>
      </c>
      <c r="J188" s="18" t="s">
        <v>1015</v>
      </c>
      <c r="K188" s="19">
        <v>9.99</v>
      </c>
      <c r="L188" s="19">
        <v>294</v>
      </c>
      <c r="M188" s="19">
        <v>25</v>
      </c>
      <c r="N188" s="20">
        <v>0.085</v>
      </c>
      <c r="O188" s="19">
        <v>0.4</v>
      </c>
      <c r="P188" s="19">
        <v>33.98</v>
      </c>
      <c r="Q188" s="19">
        <v>1</v>
      </c>
      <c r="R188" s="19">
        <v>0</v>
      </c>
      <c r="S188" s="19">
        <v>0</v>
      </c>
      <c r="T188" s="19">
        <v>0</v>
      </c>
      <c r="U188" s="19">
        <v>0</v>
      </c>
      <c r="V188" s="19">
        <v>1</v>
      </c>
      <c r="W188" s="19">
        <v>9.99</v>
      </c>
      <c r="X188" s="19">
        <v>0</v>
      </c>
      <c r="Y188" s="20">
        <v>0</v>
      </c>
      <c r="Z188" s="19">
        <v>0</v>
      </c>
      <c r="AA188" s="19">
        <v>0</v>
      </c>
      <c r="AB188" t="str">
        <f>VLOOKUP(E:E,笔记匹配!A:N,3,FALSE)</f>
        <v>小雪教瑜伽</v>
      </c>
      <c r="AC188" t="str">
        <f>VLOOKUP(E:E,笔记匹配!A:N,2,FALSE)</f>
        <v>筋膜枪</v>
      </c>
      <c r="AD188" t="str">
        <f>VLOOKUP(E:E,笔记匹配!A:N,4,FALSE)</f>
        <v>云麦筋膜枪cc</v>
      </c>
      <c r="AE188" t="str">
        <f>VLOOKUP(E:E,笔记匹配!A:N,14,FALSE)</f>
        <v>云麦筋膜枪cc</v>
      </c>
      <c r="AF188" t="str">
        <f>VLOOKUP(E:E,笔记匹配!A:N,6,FALSE)</f>
        <v>瘦肌肉腿必备&amp;筋膜枪按摩跟练教程</v>
      </c>
    </row>
    <row r="189" spans="1:32">
      <c r="A189" s="18" t="s">
        <v>33</v>
      </c>
      <c r="B189" s="18" t="s">
        <v>1082</v>
      </c>
      <c r="C189" s="19">
        <v>15248117</v>
      </c>
      <c r="D189" s="18" t="s">
        <v>196</v>
      </c>
      <c r="E189" s="18" t="s">
        <v>553</v>
      </c>
      <c r="F189" s="18" t="s">
        <v>1083</v>
      </c>
      <c r="G189" s="19">
        <v>3014754</v>
      </c>
      <c r="H189" s="18" t="s">
        <v>1083</v>
      </c>
      <c r="I189" s="19">
        <v>2412642</v>
      </c>
      <c r="J189" s="18" t="s">
        <v>1015</v>
      </c>
      <c r="K189" s="19">
        <v>0</v>
      </c>
      <c r="L189" s="19">
        <v>0</v>
      </c>
      <c r="M189" s="19">
        <v>0</v>
      </c>
      <c r="N189" s="20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20">
        <v>0</v>
      </c>
      <c r="Z189" s="19">
        <v>0</v>
      </c>
      <c r="AA189" s="19">
        <v>0</v>
      </c>
      <c r="AB189" t="str">
        <f>VLOOKUP(E:E,笔记匹配!A:N,3,FALSE)</f>
        <v>圆又圆超爱笑</v>
      </c>
      <c r="AC189" t="str">
        <f>VLOOKUP(E:E,笔记匹配!A:N,2,FALSE)</f>
        <v>筋膜枪</v>
      </c>
      <c r="AD189" t="str">
        <f>VLOOKUP(E:E,笔记匹配!A:N,4,FALSE)</f>
        <v>云麦筋膜枪cc</v>
      </c>
      <c r="AE189" t="str">
        <f>VLOOKUP(E:E,笔记匹配!A:N,14,FALSE)</f>
        <v>云麦筋膜枪cc</v>
      </c>
      <c r="AF189" t="str">
        <f>VLOOKUP(E:E,笔记匹配!A:N,6,FALSE)</f>
        <v>大二女生梨形粗腿逆袭✨这3步带你优化腿型</v>
      </c>
    </row>
    <row r="190" spans="1:32">
      <c r="A190" s="18" t="s">
        <v>33</v>
      </c>
      <c r="B190" s="18" t="s">
        <v>704</v>
      </c>
      <c r="C190" s="19">
        <v>15248253</v>
      </c>
      <c r="D190" s="18" t="s">
        <v>209</v>
      </c>
      <c r="E190" s="18" t="s">
        <v>497</v>
      </c>
      <c r="F190" s="18" t="s">
        <v>1084</v>
      </c>
      <c r="G190" s="19">
        <v>3014764</v>
      </c>
      <c r="H190" s="18" t="s">
        <v>1085</v>
      </c>
      <c r="I190" s="19">
        <v>2412653</v>
      </c>
      <c r="J190" s="18" t="s">
        <v>1015</v>
      </c>
      <c r="K190" s="19">
        <v>498.9</v>
      </c>
      <c r="L190" s="19">
        <v>48047</v>
      </c>
      <c r="M190" s="19">
        <v>3338</v>
      </c>
      <c r="N190" s="20">
        <v>0.0695</v>
      </c>
      <c r="O190" s="19">
        <v>0.15</v>
      </c>
      <c r="P190" s="19">
        <v>10.38</v>
      </c>
      <c r="Q190" s="19">
        <v>82</v>
      </c>
      <c r="R190" s="19">
        <v>2</v>
      </c>
      <c r="S190" s="19">
        <v>30</v>
      </c>
      <c r="T190" s="19">
        <v>1</v>
      </c>
      <c r="U190" s="19">
        <v>6</v>
      </c>
      <c r="V190" s="19">
        <v>121</v>
      </c>
      <c r="W190" s="19">
        <v>4.12</v>
      </c>
      <c r="X190" s="19">
        <v>0</v>
      </c>
      <c r="Y190" s="20">
        <v>0</v>
      </c>
      <c r="Z190" s="19">
        <v>12</v>
      </c>
      <c r="AA190" s="19">
        <v>13</v>
      </c>
      <c r="AB190" t="str">
        <f>VLOOKUP(E:E,笔记匹配!A:N,3,FALSE)</f>
        <v>小方今天瘦了吗</v>
      </c>
      <c r="AC190" t="str">
        <f>VLOOKUP(E:E,笔记匹配!A:N,2,FALSE)</f>
        <v>体脂秤</v>
      </c>
      <c r="AD190" t="str">
        <f>VLOOKUP(E:E,笔记匹配!A:N,4,FALSE)</f>
        <v>云麦3mini</v>
      </c>
      <c r="AE190" t="str">
        <f>VLOOKUP(E:E,笔记匹配!A:N,14,FALSE)</f>
        <v>云麦体脂秤3mini</v>
      </c>
      <c r="AF190" t="str">
        <f>VLOOKUP(E:E,笔记匹配!A:N,6,FALSE)</f>
        <v>大基数无运动节食减45斤 （饮食习惯/食谱‼️）</v>
      </c>
    </row>
    <row r="191" spans="1:32">
      <c r="A191" s="18" t="s">
        <v>33</v>
      </c>
      <c r="B191" s="18" t="s">
        <v>1086</v>
      </c>
      <c r="C191" s="19">
        <v>15248439</v>
      </c>
      <c r="D191" s="18" t="s">
        <v>196</v>
      </c>
      <c r="E191" s="18" t="s">
        <v>234</v>
      </c>
      <c r="F191" s="18" t="s">
        <v>1087</v>
      </c>
      <c r="G191" s="19">
        <v>3014779</v>
      </c>
      <c r="H191" s="18" t="s">
        <v>1088</v>
      </c>
      <c r="I191" s="19">
        <v>2412665</v>
      </c>
      <c r="J191" s="18" t="s">
        <v>1015</v>
      </c>
      <c r="K191" s="19">
        <v>0</v>
      </c>
      <c r="L191" s="19">
        <v>17</v>
      </c>
      <c r="M191" s="19">
        <v>0</v>
      </c>
      <c r="N191" s="20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20">
        <v>0</v>
      </c>
      <c r="Z191" s="19">
        <v>0</v>
      </c>
      <c r="AA191" s="19">
        <v>0</v>
      </c>
      <c r="AB191" t="str">
        <f>VLOOKUP(E:E,笔记匹配!A:N,3,FALSE)</f>
        <v>pp</v>
      </c>
      <c r="AC191" t="str">
        <f>VLOOKUP(E:E,笔记匹配!A:N,2,FALSE)</f>
        <v>体脂秤</v>
      </c>
      <c r="AD191" t="str">
        <f>VLOOKUP(E:E,笔记匹配!A:N,4,FALSE)</f>
        <v>云麦体脂秤3mini</v>
      </c>
      <c r="AE191" t="str">
        <f>VLOOKUP(E:E,笔记匹配!A:N,14,FALSE)</f>
        <v>云麦体脂秤3mini</v>
      </c>
      <c r="AF191" t="str">
        <f>VLOOKUP(E:E,笔记匹配!A:N,6,FALSE)</f>
        <v>110到88 一些减肥小建议｜如何正确运动</v>
      </c>
    </row>
    <row r="192" spans="1:32">
      <c r="A192" s="18" t="s">
        <v>33</v>
      </c>
      <c r="B192" s="18" t="s">
        <v>231</v>
      </c>
      <c r="C192" s="19">
        <v>15248486</v>
      </c>
      <c r="D192" s="18" t="s">
        <v>209</v>
      </c>
      <c r="E192" s="18" t="s">
        <v>234</v>
      </c>
      <c r="F192" s="18" t="s">
        <v>1089</v>
      </c>
      <c r="G192" s="19">
        <v>3014783</v>
      </c>
      <c r="H192" s="18" t="s">
        <v>1089</v>
      </c>
      <c r="I192" s="19">
        <v>2412680</v>
      </c>
      <c r="J192" s="18" t="s">
        <v>1015</v>
      </c>
      <c r="K192" s="19">
        <v>1463.44</v>
      </c>
      <c r="L192" s="19">
        <v>191662</v>
      </c>
      <c r="M192" s="19">
        <v>12130</v>
      </c>
      <c r="N192" s="20">
        <v>0.0633</v>
      </c>
      <c r="O192" s="19">
        <v>0.12</v>
      </c>
      <c r="P192" s="19">
        <v>7.64</v>
      </c>
      <c r="Q192" s="19">
        <v>150</v>
      </c>
      <c r="R192" s="19">
        <v>6</v>
      </c>
      <c r="S192" s="19">
        <v>46</v>
      </c>
      <c r="T192" s="19">
        <v>19</v>
      </c>
      <c r="U192" s="19">
        <v>3</v>
      </c>
      <c r="V192" s="19">
        <v>224</v>
      </c>
      <c r="W192" s="19">
        <v>6.53</v>
      </c>
      <c r="X192" s="19">
        <v>0</v>
      </c>
      <c r="Y192" s="20">
        <v>0</v>
      </c>
      <c r="Z192" s="19">
        <v>8</v>
      </c>
      <c r="AA192" s="19">
        <v>5</v>
      </c>
      <c r="AB192" t="str">
        <f>VLOOKUP(E:E,笔记匹配!A:N,3,FALSE)</f>
        <v>pp</v>
      </c>
      <c r="AC192" t="str">
        <f>VLOOKUP(E:E,笔记匹配!A:N,2,FALSE)</f>
        <v>体脂秤</v>
      </c>
      <c r="AD192" t="str">
        <f>VLOOKUP(E:E,笔记匹配!A:N,4,FALSE)</f>
        <v>云麦体脂秤3mini</v>
      </c>
      <c r="AE192" t="str">
        <f>VLOOKUP(E:E,笔记匹配!A:N,14,FALSE)</f>
        <v>云麦体脂秤3mini</v>
      </c>
      <c r="AF192" t="str">
        <f>VLOOKUP(E:E,笔记匹配!A:N,6,FALSE)</f>
        <v>110到88 一些减肥小建议｜如何正确运动</v>
      </c>
    </row>
    <row r="193" spans="1:32">
      <c r="A193" s="18" t="s">
        <v>33</v>
      </c>
      <c r="B193" s="18" t="s">
        <v>587</v>
      </c>
      <c r="C193" s="19">
        <v>15295967</v>
      </c>
      <c r="D193" s="18" t="s">
        <v>209</v>
      </c>
      <c r="E193" s="18" t="s">
        <v>400</v>
      </c>
      <c r="F193" s="18" t="s">
        <v>1090</v>
      </c>
      <c r="G193" s="19">
        <v>3020475</v>
      </c>
      <c r="H193" s="18" t="s">
        <v>1091</v>
      </c>
      <c r="I193" s="19">
        <v>2418288</v>
      </c>
      <c r="J193" s="18" t="s">
        <v>1015</v>
      </c>
      <c r="K193" s="19">
        <v>1980.97</v>
      </c>
      <c r="L193" s="19">
        <v>197692</v>
      </c>
      <c r="M193" s="19">
        <v>12669</v>
      </c>
      <c r="N193" s="20">
        <v>0.0641</v>
      </c>
      <c r="O193" s="19">
        <v>0.16</v>
      </c>
      <c r="P193" s="19">
        <v>10.02</v>
      </c>
      <c r="Q193" s="19">
        <v>449</v>
      </c>
      <c r="R193" s="19">
        <v>17</v>
      </c>
      <c r="S193" s="19">
        <v>306</v>
      </c>
      <c r="T193" s="19">
        <v>27</v>
      </c>
      <c r="U193" s="19">
        <v>22</v>
      </c>
      <c r="V193" s="19">
        <v>821</v>
      </c>
      <c r="W193" s="19">
        <v>2.41</v>
      </c>
      <c r="X193" s="19">
        <v>0</v>
      </c>
      <c r="Y193" s="20">
        <v>0</v>
      </c>
      <c r="Z193" s="19">
        <v>8</v>
      </c>
      <c r="AA193" s="19">
        <v>6</v>
      </c>
      <c r="AB193" t="str">
        <f>VLOOKUP(E:E,笔记匹配!A:N,3,FALSE)</f>
        <v>小雪教瑜伽</v>
      </c>
      <c r="AC193" t="str">
        <f>VLOOKUP(E:E,笔记匹配!A:N,2,FALSE)</f>
        <v>筋膜枪</v>
      </c>
      <c r="AD193" t="str">
        <f>VLOOKUP(E:E,笔记匹配!A:N,4,FALSE)</f>
        <v>云麦筋膜枪cc</v>
      </c>
      <c r="AE193" t="str">
        <f>VLOOKUP(E:E,笔记匹配!A:N,14,FALSE)</f>
        <v>云麦筋膜枪cc</v>
      </c>
      <c r="AF193" t="str">
        <f>VLOOKUP(E:E,笔记匹配!A:N,6,FALSE)</f>
        <v>瘦肌肉腿必备&amp;筋膜枪按摩跟练教程</v>
      </c>
    </row>
    <row r="194" spans="1:32">
      <c r="A194" s="18" t="s">
        <v>33</v>
      </c>
      <c r="B194" s="18" t="s">
        <v>707</v>
      </c>
      <c r="C194" s="19">
        <v>15296197</v>
      </c>
      <c r="D194" s="18" t="s">
        <v>209</v>
      </c>
      <c r="E194" s="18" t="s">
        <v>420</v>
      </c>
      <c r="F194" s="18" t="s">
        <v>1092</v>
      </c>
      <c r="G194" s="19">
        <v>3020499</v>
      </c>
      <c r="H194" s="18" t="s">
        <v>1092</v>
      </c>
      <c r="I194" s="19">
        <v>2418330</v>
      </c>
      <c r="J194" s="18" t="s">
        <v>1015</v>
      </c>
      <c r="K194" s="19">
        <v>463.52</v>
      </c>
      <c r="L194" s="19">
        <v>82112</v>
      </c>
      <c r="M194" s="19">
        <v>3587</v>
      </c>
      <c r="N194" s="20">
        <v>0.0437</v>
      </c>
      <c r="O194" s="19">
        <v>0.13</v>
      </c>
      <c r="P194" s="19">
        <v>5.64</v>
      </c>
      <c r="Q194" s="19">
        <v>55</v>
      </c>
      <c r="R194" s="19">
        <v>8</v>
      </c>
      <c r="S194" s="19">
        <v>18</v>
      </c>
      <c r="T194" s="19">
        <v>4</v>
      </c>
      <c r="U194" s="19">
        <v>1</v>
      </c>
      <c r="V194" s="19">
        <v>86</v>
      </c>
      <c r="W194" s="19">
        <v>5.39</v>
      </c>
      <c r="X194" s="19">
        <v>0</v>
      </c>
      <c r="Y194" s="20">
        <v>0</v>
      </c>
      <c r="Z194" s="19">
        <v>2</v>
      </c>
      <c r="AA194" s="19">
        <v>3</v>
      </c>
      <c r="AB194" t="str">
        <f>VLOOKUP(E:E,笔记匹配!A:N,3,FALSE)</f>
        <v>干坐着的小瑶</v>
      </c>
      <c r="AC194" t="str">
        <f>VLOOKUP(E:E,笔记匹配!A:N,2,FALSE)</f>
        <v>筋膜枪</v>
      </c>
      <c r="AD194" t="str">
        <f>VLOOKUP(E:E,笔记匹配!A:N,4,FALSE)</f>
        <v>云麦cc筋膜枪</v>
      </c>
      <c r="AE194" t="str">
        <f>VLOOKUP(E:E,笔记匹配!A:N,14,FALSE)</f>
        <v>云麦筋膜枪cc</v>
      </c>
      <c r="AF194" t="str">
        <f>VLOOKUP(E:E,笔记匹配!A:N,6,FALSE)</f>
        <v>筋膜枪🆚泡沫轴🆚筋膜球，怎么选❓哪个好❓</v>
      </c>
    </row>
    <row r="195" spans="1:32">
      <c r="A195" s="18" t="s">
        <v>33</v>
      </c>
      <c r="B195" s="18" t="s">
        <v>710</v>
      </c>
      <c r="C195" s="19">
        <v>15296796</v>
      </c>
      <c r="D195" s="18" t="s">
        <v>209</v>
      </c>
      <c r="E195" s="18" t="s">
        <v>491</v>
      </c>
      <c r="F195" s="18" t="s">
        <v>1093</v>
      </c>
      <c r="G195" s="19">
        <v>3020580</v>
      </c>
      <c r="H195" s="18" t="s">
        <v>1093</v>
      </c>
      <c r="I195" s="19">
        <v>2418405</v>
      </c>
      <c r="J195" s="18" t="s">
        <v>1015</v>
      </c>
      <c r="K195" s="19">
        <v>504.45</v>
      </c>
      <c r="L195" s="19">
        <v>171451</v>
      </c>
      <c r="M195" s="19">
        <v>7542</v>
      </c>
      <c r="N195" s="20">
        <v>0.044</v>
      </c>
      <c r="O195" s="19">
        <v>0.07</v>
      </c>
      <c r="P195" s="19">
        <v>2.94</v>
      </c>
      <c r="Q195" s="19">
        <v>42</v>
      </c>
      <c r="R195" s="19">
        <v>4</v>
      </c>
      <c r="S195" s="19">
        <v>9</v>
      </c>
      <c r="T195" s="19">
        <v>4</v>
      </c>
      <c r="U195" s="19">
        <v>1</v>
      </c>
      <c r="V195" s="19">
        <v>60</v>
      </c>
      <c r="W195" s="19">
        <v>8.41</v>
      </c>
      <c r="X195" s="19">
        <v>0</v>
      </c>
      <c r="Y195" s="20">
        <v>0</v>
      </c>
      <c r="Z195" s="19">
        <v>1</v>
      </c>
      <c r="AA195" s="19">
        <v>7</v>
      </c>
      <c r="AB195" t="str">
        <f>VLOOKUP(E:E,笔记匹配!A:N,3,FALSE)</f>
        <v>辣妈含含</v>
      </c>
      <c r="AC195" t="str">
        <f>VLOOKUP(E:E,笔记匹配!A:N,2,FALSE)</f>
        <v>体脂秤</v>
      </c>
      <c r="AD195" t="str">
        <f>VLOOKUP(E:E,笔记匹配!A:N,4,FALSE)</f>
        <v>云麦体脂秤3</v>
      </c>
      <c r="AE195" t="str">
        <f>VLOOKUP(E:E,笔记匹配!A:N,14,FALSE)</f>
        <v>云麦体脂秤3</v>
      </c>
      <c r="AF195" t="str">
        <f>VLOOKUP(E:E,笔记匹配!A:N,6,FALSE)</f>
        <v>辣妈养成|产后重回少女身材～</v>
      </c>
    </row>
    <row r="196" spans="1:32">
      <c r="A196" s="18" t="s">
        <v>33</v>
      </c>
      <c r="B196" s="18" t="s">
        <v>716</v>
      </c>
      <c r="C196" s="19">
        <v>15296992</v>
      </c>
      <c r="D196" s="18" t="s">
        <v>209</v>
      </c>
      <c r="E196" s="18" t="s">
        <v>494</v>
      </c>
      <c r="F196" s="18" t="s">
        <v>1094</v>
      </c>
      <c r="G196" s="19">
        <v>3020613</v>
      </c>
      <c r="H196" s="18" t="s">
        <v>1094</v>
      </c>
      <c r="I196" s="19">
        <v>2418438</v>
      </c>
      <c r="J196" s="18" t="s">
        <v>1015</v>
      </c>
      <c r="K196" s="19">
        <v>465.57</v>
      </c>
      <c r="L196" s="19">
        <v>67929</v>
      </c>
      <c r="M196" s="19">
        <v>3788</v>
      </c>
      <c r="N196" s="20">
        <v>0.0558</v>
      </c>
      <c r="O196" s="19">
        <v>0.12</v>
      </c>
      <c r="P196" s="19">
        <v>6.85</v>
      </c>
      <c r="Q196" s="19">
        <v>75</v>
      </c>
      <c r="R196" s="19">
        <v>5</v>
      </c>
      <c r="S196" s="19">
        <v>100</v>
      </c>
      <c r="T196" s="19">
        <v>52</v>
      </c>
      <c r="U196" s="19">
        <v>8</v>
      </c>
      <c r="V196" s="19">
        <v>240</v>
      </c>
      <c r="W196" s="19">
        <v>1.94</v>
      </c>
      <c r="X196" s="19">
        <v>0</v>
      </c>
      <c r="Y196" s="20">
        <v>0</v>
      </c>
      <c r="Z196" s="19">
        <v>9</v>
      </c>
      <c r="AA196" s="19">
        <v>3</v>
      </c>
      <c r="AB196" t="str">
        <f>VLOOKUP(E:E,笔记匹配!A:N,3,FALSE)</f>
        <v>凯琳KatherineW</v>
      </c>
      <c r="AC196" t="str">
        <f>VLOOKUP(E:E,笔记匹配!A:N,2,FALSE)</f>
        <v>跳绳</v>
      </c>
      <c r="AD196" t="str">
        <f>VLOOKUP(E:E,笔记匹配!A:N,4,FALSE)</f>
        <v>云麦心率跳绳</v>
      </c>
      <c r="AE196" t="str">
        <f>VLOOKUP(E:E,笔记匹配!A:N,14,FALSE)</f>
        <v>云麦心率跳绳</v>
      </c>
      <c r="AF196" t="str">
        <f>VLOOKUP(E:E,笔记匹配!A:N,6,FALSE)</f>
        <v>无绳卡点暴汗230卡跟练 ｜小基数瘦腿瘦全身</v>
      </c>
    </row>
    <row r="197" spans="1:32">
      <c r="A197" s="18" t="s">
        <v>33</v>
      </c>
      <c r="B197" s="18" t="s">
        <v>713</v>
      </c>
      <c r="C197" s="19">
        <v>15297115</v>
      </c>
      <c r="D197" s="18" t="s">
        <v>209</v>
      </c>
      <c r="E197" s="18" t="s">
        <v>496</v>
      </c>
      <c r="F197" s="18" t="s">
        <v>1095</v>
      </c>
      <c r="G197" s="19">
        <v>3020628</v>
      </c>
      <c r="H197" s="18" t="s">
        <v>1095</v>
      </c>
      <c r="I197" s="19">
        <v>2418459</v>
      </c>
      <c r="J197" s="18" t="s">
        <v>1015</v>
      </c>
      <c r="K197" s="19">
        <v>466.2</v>
      </c>
      <c r="L197" s="19">
        <v>102709</v>
      </c>
      <c r="M197" s="19">
        <v>6408</v>
      </c>
      <c r="N197" s="20">
        <v>0.0624</v>
      </c>
      <c r="O197" s="19">
        <v>0.07</v>
      </c>
      <c r="P197" s="19">
        <v>4.54</v>
      </c>
      <c r="Q197" s="19">
        <v>42</v>
      </c>
      <c r="R197" s="19">
        <v>4</v>
      </c>
      <c r="S197" s="19">
        <v>16</v>
      </c>
      <c r="T197" s="19">
        <v>16</v>
      </c>
      <c r="U197" s="19">
        <v>5</v>
      </c>
      <c r="V197" s="19">
        <v>83</v>
      </c>
      <c r="W197" s="19">
        <v>5.62</v>
      </c>
      <c r="X197" s="19">
        <v>0</v>
      </c>
      <c r="Y197" s="20">
        <v>0</v>
      </c>
      <c r="Z197" s="19">
        <v>6</v>
      </c>
      <c r="AA197" s="19">
        <v>3</v>
      </c>
      <c r="AB197" t="str">
        <f>VLOOKUP(E:E,笔记匹配!A:N,3,FALSE)</f>
        <v>杨大大的预备辣妹日记</v>
      </c>
      <c r="AC197" t="str">
        <f>VLOOKUP(E:E,笔记匹配!A:N,2,FALSE)</f>
        <v>跳绳</v>
      </c>
      <c r="AD197" t="str">
        <f>VLOOKUP(E:E,笔记匹配!A:N,4,FALSE)</f>
        <v>云麦心率跳绳</v>
      </c>
      <c r="AE197" t="str">
        <f>VLOOKUP(E:E,笔记匹配!A:N,14,FALSE)</f>
        <v>云麦心率跳绳</v>
      </c>
      <c r="AF197" t="str">
        <f>VLOOKUP(E:E,笔记匹配!A:N,6,FALSE)</f>
        <v>130-110斤跳绳不复胖‼️间歇性跳绳减脂快</v>
      </c>
    </row>
    <row r="198" spans="1:32">
      <c r="A198" s="18" t="s">
        <v>34</v>
      </c>
      <c r="B198" s="18" t="s">
        <v>1040</v>
      </c>
      <c r="C198" s="19">
        <v>14794680</v>
      </c>
      <c r="D198" s="18" t="s">
        <v>209</v>
      </c>
      <c r="E198" s="18" t="s">
        <v>234</v>
      </c>
      <c r="F198" s="18" t="s">
        <v>1041</v>
      </c>
      <c r="G198" s="19">
        <v>2966106</v>
      </c>
      <c r="H198" s="18" t="s">
        <v>1041</v>
      </c>
      <c r="I198" s="19">
        <v>2368633</v>
      </c>
      <c r="J198" s="18" t="s">
        <v>1015</v>
      </c>
      <c r="K198" s="19">
        <v>0</v>
      </c>
      <c r="L198" s="19">
        <v>0</v>
      </c>
      <c r="M198" s="19">
        <v>0</v>
      </c>
      <c r="N198" s="20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20">
        <v>0</v>
      </c>
      <c r="Z198" s="19">
        <v>0</v>
      </c>
      <c r="AA198" s="19">
        <v>0</v>
      </c>
      <c r="AB198" t="str">
        <f>VLOOKUP(E:E,笔记匹配!A:N,3,FALSE)</f>
        <v>pp</v>
      </c>
      <c r="AC198" t="str">
        <f>VLOOKUP(E:E,笔记匹配!A:N,2,FALSE)</f>
        <v>体脂秤</v>
      </c>
      <c r="AD198" t="str">
        <f>VLOOKUP(E:E,笔记匹配!A:N,4,FALSE)</f>
        <v>云麦体脂秤3mini</v>
      </c>
      <c r="AE198" t="str">
        <f>VLOOKUP(E:E,笔记匹配!A:N,14,FALSE)</f>
        <v>云麦体脂秤3mini</v>
      </c>
      <c r="AF198" t="str">
        <f>VLOOKUP(E:E,笔记匹配!A:N,6,FALSE)</f>
        <v>110到88 一些减肥小建议｜如何正确运动</v>
      </c>
    </row>
    <row r="199" spans="1:32">
      <c r="A199" s="18" t="s">
        <v>34</v>
      </c>
      <c r="B199" s="18" t="s">
        <v>1042</v>
      </c>
      <c r="C199" s="19">
        <v>14794969</v>
      </c>
      <c r="D199" s="18" t="s">
        <v>209</v>
      </c>
      <c r="E199" s="18" t="s">
        <v>444</v>
      </c>
      <c r="F199" s="18" t="s">
        <v>1043</v>
      </c>
      <c r="G199" s="19">
        <v>2966132</v>
      </c>
      <c r="H199" s="18" t="s">
        <v>1043</v>
      </c>
      <c r="I199" s="19">
        <v>2368658</v>
      </c>
      <c r="J199" s="18" t="s">
        <v>1015</v>
      </c>
      <c r="K199" s="19">
        <v>0</v>
      </c>
      <c r="L199" s="19">
        <v>0</v>
      </c>
      <c r="M199" s="19">
        <v>0</v>
      </c>
      <c r="N199" s="20">
        <v>0</v>
      </c>
      <c r="O199" s="19">
        <v>0</v>
      </c>
      <c r="P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20">
        <v>0</v>
      </c>
      <c r="Z199" s="19">
        <v>0</v>
      </c>
      <c r="AA199" s="19">
        <v>0</v>
      </c>
      <c r="AB199" t="str">
        <f>VLOOKUP(E:E,笔记匹配!A:N,3,FALSE)</f>
        <v>Sophia大大</v>
      </c>
      <c r="AC199" t="str">
        <f>VLOOKUP(E:E,笔记匹配!A:N,2,FALSE)</f>
        <v>筋膜枪</v>
      </c>
      <c r="AD199" t="str">
        <f>VLOOKUP(E:E,笔记匹配!A:N,4,FALSE)</f>
        <v>云麦cc</v>
      </c>
      <c r="AE199" t="str">
        <f>VLOOKUP(E:E,笔记匹配!A:N,14,FALSE)</f>
        <v>云麦筋膜枪cc</v>
      </c>
      <c r="AF199" t="str">
        <f>VLOOKUP(E:E,笔记匹配!A:N,6,FALSE)</f>
        <v>162 46|我悟了！翘臀不粗腿的训练方法!</v>
      </c>
    </row>
    <row r="200" spans="1:32">
      <c r="A200" s="18" t="s">
        <v>34</v>
      </c>
      <c r="B200" s="18" t="s">
        <v>1057</v>
      </c>
      <c r="C200" s="19">
        <v>14976642</v>
      </c>
      <c r="D200" s="18" t="s">
        <v>209</v>
      </c>
      <c r="E200" s="18" t="s">
        <v>509</v>
      </c>
      <c r="F200" s="18" t="s">
        <v>1058</v>
      </c>
      <c r="G200" s="19">
        <v>2984144</v>
      </c>
      <c r="H200" s="18" t="s">
        <v>1059</v>
      </c>
      <c r="I200" s="19">
        <v>2385921</v>
      </c>
      <c r="J200" s="18" t="s">
        <v>1015</v>
      </c>
      <c r="K200" s="19">
        <v>0</v>
      </c>
      <c r="L200" s="19">
        <v>0</v>
      </c>
      <c r="M200" s="19">
        <v>0</v>
      </c>
      <c r="N200" s="20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9">
        <v>0</v>
      </c>
      <c r="Y200" s="20">
        <v>0</v>
      </c>
      <c r="Z200" s="19">
        <v>0</v>
      </c>
      <c r="AA200" s="19">
        <v>0</v>
      </c>
      <c r="AB200" t="str">
        <f>VLOOKUP(E:E,笔记匹配!A:N,3,FALSE)</f>
        <v>小小李</v>
      </c>
      <c r="AC200" t="str">
        <f>VLOOKUP(E:E,笔记匹配!A:N,2,FALSE)</f>
        <v>跳绳</v>
      </c>
      <c r="AD200" t="str">
        <f>VLOOKUP(E:E,笔记匹配!A:N,4,FALSE)</f>
        <v>云麦心率跳绳</v>
      </c>
      <c r="AE200" t="str">
        <f>VLOOKUP(E:E,笔记匹配!A:N,14,FALSE)</f>
        <v>云麦心率跳绳</v>
      </c>
      <c r="AF200" t="str">
        <f>VLOOKUP(E:E,笔记匹配!A:N,6,FALSE)</f>
        <v>4分钟跳绳TABATA | 居家高效燃脂瘦全身</v>
      </c>
    </row>
    <row r="201" spans="1:32">
      <c r="A201" s="18" t="s">
        <v>34</v>
      </c>
      <c r="B201" s="18" t="s">
        <v>680</v>
      </c>
      <c r="C201" s="19">
        <v>14978184</v>
      </c>
      <c r="D201" s="18" t="s">
        <v>209</v>
      </c>
      <c r="E201" s="18" t="s">
        <v>513</v>
      </c>
      <c r="F201" s="18" t="s">
        <v>1062</v>
      </c>
      <c r="G201" s="19">
        <v>2984400</v>
      </c>
      <c r="H201" s="18" t="s">
        <v>1062</v>
      </c>
      <c r="I201" s="19">
        <v>2386169</v>
      </c>
      <c r="J201" s="18" t="s">
        <v>1015</v>
      </c>
      <c r="K201" s="19">
        <v>0</v>
      </c>
      <c r="L201" s="19">
        <v>0</v>
      </c>
      <c r="M201" s="19">
        <v>0</v>
      </c>
      <c r="N201" s="20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20">
        <v>0</v>
      </c>
      <c r="Z201" s="19">
        <v>0</v>
      </c>
      <c r="AA201" s="19">
        <v>0</v>
      </c>
      <c r="AB201" t="str">
        <f>VLOOKUP(E:E,笔记匹配!A:N,3,FALSE)</f>
        <v>大桐yoto</v>
      </c>
      <c r="AC201" t="str">
        <f>VLOOKUP(E:E,笔记匹配!A:N,2,FALSE)</f>
        <v>跳绳</v>
      </c>
      <c r="AD201" t="str">
        <f>VLOOKUP(E:E,笔记匹配!A:N,4,FALSE)</f>
        <v>云麦3mini</v>
      </c>
      <c r="AE201" t="str">
        <f>VLOOKUP(E:E,笔记匹配!A:N,14,FALSE)</f>
        <v>云麦体脂秤3mini</v>
      </c>
      <c r="AF201" t="str">
        <f>VLOOKUP(E:E,笔记匹配!A:N,6,FALSE)</f>
        <v>减肥就是要饿｜饮食和运动的完整计划在这里</v>
      </c>
    </row>
    <row r="202" spans="1:32">
      <c r="A202" s="18" t="s">
        <v>34</v>
      </c>
      <c r="B202" s="18" t="s">
        <v>587</v>
      </c>
      <c r="C202" s="19">
        <v>15088839</v>
      </c>
      <c r="D202" s="18" t="s">
        <v>209</v>
      </c>
      <c r="E202" s="18" t="s">
        <v>400</v>
      </c>
      <c r="F202" s="18" t="s">
        <v>1067</v>
      </c>
      <c r="G202" s="19">
        <v>3001667</v>
      </c>
      <c r="H202" s="18" t="s">
        <v>1068</v>
      </c>
      <c r="I202" s="19">
        <v>2400711</v>
      </c>
      <c r="J202" s="18" t="s">
        <v>1015</v>
      </c>
      <c r="K202" s="19">
        <v>0</v>
      </c>
      <c r="L202" s="19">
        <v>0</v>
      </c>
      <c r="M202" s="19">
        <v>0</v>
      </c>
      <c r="N202" s="20">
        <v>0</v>
      </c>
      <c r="O202" s="19">
        <v>0</v>
      </c>
      <c r="P202" s="19">
        <v>0</v>
      </c>
      <c r="Q202" s="19">
        <v>0</v>
      </c>
      <c r="R202" s="19">
        <v>0</v>
      </c>
      <c r="S202" s="19">
        <v>0</v>
      </c>
      <c r="T202" s="19">
        <v>0</v>
      </c>
      <c r="U202" s="19">
        <v>0</v>
      </c>
      <c r="V202" s="19">
        <v>0</v>
      </c>
      <c r="W202" s="19">
        <v>0</v>
      </c>
      <c r="X202" s="19">
        <v>0</v>
      </c>
      <c r="Y202" s="20">
        <v>0</v>
      </c>
      <c r="Z202" s="19">
        <v>0</v>
      </c>
      <c r="AA202" s="19">
        <v>0</v>
      </c>
      <c r="AB202" t="str">
        <f>VLOOKUP(E:E,笔记匹配!A:N,3,FALSE)</f>
        <v>小雪教瑜伽</v>
      </c>
      <c r="AC202" t="str">
        <f>VLOOKUP(E:E,笔记匹配!A:N,2,FALSE)</f>
        <v>筋膜枪</v>
      </c>
      <c r="AD202" t="str">
        <f>VLOOKUP(E:E,笔记匹配!A:N,4,FALSE)</f>
        <v>云麦筋膜枪cc</v>
      </c>
      <c r="AE202" t="str">
        <f>VLOOKUP(E:E,笔记匹配!A:N,14,FALSE)</f>
        <v>云麦筋膜枪cc</v>
      </c>
      <c r="AF202" t="str">
        <f>VLOOKUP(E:E,笔记匹配!A:N,6,FALSE)</f>
        <v>瘦肌肉腿必备&amp;筋膜枪按摩跟练教程</v>
      </c>
    </row>
    <row r="203" spans="1:32">
      <c r="A203" s="18" t="s">
        <v>34</v>
      </c>
      <c r="B203" s="18" t="s">
        <v>587</v>
      </c>
      <c r="C203" s="19">
        <v>15179597</v>
      </c>
      <c r="D203" s="18" t="s">
        <v>209</v>
      </c>
      <c r="E203" s="18" t="s">
        <v>400</v>
      </c>
      <c r="F203" s="18" t="s">
        <v>1074</v>
      </c>
      <c r="G203" s="19">
        <v>3007578</v>
      </c>
      <c r="H203" s="18" t="s">
        <v>1074</v>
      </c>
      <c r="I203" s="19">
        <v>2405816</v>
      </c>
      <c r="J203" s="18" t="s">
        <v>1015</v>
      </c>
      <c r="K203" s="19">
        <v>0</v>
      </c>
      <c r="L203" s="19">
        <v>0</v>
      </c>
      <c r="M203" s="19">
        <v>0</v>
      </c>
      <c r="N203" s="20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20">
        <v>0</v>
      </c>
      <c r="Z203" s="19">
        <v>0</v>
      </c>
      <c r="AA203" s="19">
        <v>0</v>
      </c>
      <c r="AB203" t="str">
        <f>VLOOKUP(E:E,笔记匹配!A:N,3,FALSE)</f>
        <v>小雪教瑜伽</v>
      </c>
      <c r="AC203" t="str">
        <f>VLOOKUP(E:E,笔记匹配!A:N,2,FALSE)</f>
        <v>筋膜枪</v>
      </c>
      <c r="AD203" t="str">
        <f>VLOOKUP(E:E,笔记匹配!A:N,4,FALSE)</f>
        <v>云麦筋膜枪cc</v>
      </c>
      <c r="AE203" t="str">
        <f>VLOOKUP(E:E,笔记匹配!A:N,14,FALSE)</f>
        <v>云麦筋膜枪cc</v>
      </c>
      <c r="AF203" t="str">
        <f>VLOOKUP(E:E,笔记匹配!A:N,6,FALSE)</f>
        <v>瘦肌肉腿必备&amp;筋膜枪按摩跟练教程</v>
      </c>
    </row>
    <row r="204" spans="1:32">
      <c r="A204" s="18" t="s">
        <v>34</v>
      </c>
      <c r="B204" s="18" t="s">
        <v>686</v>
      </c>
      <c r="C204" s="19">
        <v>15180518</v>
      </c>
      <c r="D204" s="18" t="s">
        <v>209</v>
      </c>
      <c r="E204" s="18" t="s">
        <v>510</v>
      </c>
      <c r="F204" s="18" t="s">
        <v>1075</v>
      </c>
      <c r="G204" s="19">
        <v>3007658</v>
      </c>
      <c r="H204" s="18" t="s">
        <v>1075</v>
      </c>
      <c r="I204" s="19">
        <v>2405905</v>
      </c>
      <c r="J204" s="18" t="s">
        <v>1015</v>
      </c>
      <c r="K204" s="19">
        <v>0</v>
      </c>
      <c r="L204" s="19">
        <v>0</v>
      </c>
      <c r="M204" s="19">
        <v>0</v>
      </c>
      <c r="N204" s="20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20">
        <v>0</v>
      </c>
      <c r="Z204" s="19">
        <v>0</v>
      </c>
      <c r="AA204" s="19">
        <v>0</v>
      </c>
      <c r="AB204" t="str">
        <f>VLOOKUP(E:E,笔记匹配!A:N,3,FALSE)</f>
        <v>白白</v>
      </c>
      <c r="AC204" t="str">
        <f>VLOOKUP(E:E,笔记匹配!A:N,2,FALSE)</f>
        <v>跳绳</v>
      </c>
      <c r="AD204" t="str">
        <f>VLOOKUP(E:E,笔记匹配!A:N,4,FALSE)</f>
        <v>云麦心率跳绳</v>
      </c>
      <c r="AE204" t="str">
        <f>VLOOKUP(E:E,笔记匹配!A:N,14,FALSE)</f>
        <v>云麦心率跳绳</v>
      </c>
      <c r="AF204" t="str">
        <f>VLOOKUP(E:E,笔记匹配!A:N,6,FALSE)</f>
        <v>大腿围42 | 瘦腿还得要跳绳！</v>
      </c>
    </row>
    <row r="205" spans="1:32">
      <c r="A205" s="18" t="s">
        <v>34</v>
      </c>
      <c r="B205" s="18" t="s">
        <v>698</v>
      </c>
      <c r="C205" s="19">
        <v>15180603</v>
      </c>
      <c r="D205" s="18" t="s">
        <v>209</v>
      </c>
      <c r="E205" s="18" t="s">
        <v>501</v>
      </c>
      <c r="F205" s="18" t="s">
        <v>1076</v>
      </c>
      <c r="G205" s="19">
        <v>3007662</v>
      </c>
      <c r="H205" s="18" t="s">
        <v>1076</v>
      </c>
      <c r="I205" s="19">
        <v>2405908</v>
      </c>
      <c r="J205" s="18" t="s">
        <v>1015</v>
      </c>
      <c r="K205" s="19">
        <v>0</v>
      </c>
      <c r="L205" s="19">
        <v>0</v>
      </c>
      <c r="M205" s="19">
        <v>0</v>
      </c>
      <c r="N205" s="20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20">
        <v>0</v>
      </c>
      <c r="Z205" s="19">
        <v>0</v>
      </c>
      <c r="AA205" s="19">
        <v>0</v>
      </c>
      <c r="AB205" t="str">
        <f>VLOOKUP(E:E,笔记匹配!A:N,3,FALSE)</f>
        <v>咕咕猪小短腿</v>
      </c>
      <c r="AC205" t="str">
        <f>VLOOKUP(E:E,笔记匹配!A:N,2,FALSE)</f>
        <v>体脂秤</v>
      </c>
      <c r="AD205" t="str">
        <f>VLOOKUP(E:E,笔记匹配!A:N,4,FALSE)</f>
        <v>云麦体脂秤3</v>
      </c>
      <c r="AE205" t="str">
        <f>VLOOKUP(E:E,笔记匹配!A:N,14,FALSE)</f>
        <v>云麦体脂秤3</v>
      </c>
      <c r="AF205" t="str">
        <f>VLOOKUP(E:E,笔记匹配!A:N,6,FALSE)</f>
        <v>笑死！一到称重就心虚到没耳朵</v>
      </c>
    </row>
    <row r="206" spans="1:32">
      <c r="A206" s="18" t="s">
        <v>34</v>
      </c>
      <c r="B206" s="18" t="s">
        <v>695</v>
      </c>
      <c r="C206" s="19">
        <v>15180653</v>
      </c>
      <c r="D206" s="18" t="s">
        <v>209</v>
      </c>
      <c r="E206" s="18" t="s">
        <v>408</v>
      </c>
      <c r="F206" s="18" t="s">
        <v>1077</v>
      </c>
      <c r="G206" s="19">
        <v>3007667</v>
      </c>
      <c r="H206" s="18" t="s">
        <v>1077</v>
      </c>
      <c r="I206" s="19">
        <v>2405911</v>
      </c>
      <c r="J206" s="18" t="s">
        <v>1015</v>
      </c>
      <c r="K206" s="19">
        <v>0</v>
      </c>
      <c r="L206" s="19">
        <v>0</v>
      </c>
      <c r="M206" s="19">
        <v>0</v>
      </c>
      <c r="N206" s="20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20">
        <v>0</v>
      </c>
      <c r="Z206" s="19">
        <v>0</v>
      </c>
      <c r="AA206" s="19">
        <v>0</v>
      </c>
      <c r="AB206" t="str">
        <f>VLOOKUP(E:E,笔记匹配!A:N,3,FALSE)</f>
        <v>努力变好的yy</v>
      </c>
      <c r="AC206" t="str">
        <f>VLOOKUP(E:E,笔记匹配!A:N,2,FALSE)</f>
        <v>筋膜枪</v>
      </c>
      <c r="AD206" t="str">
        <f>VLOOKUP(E:E,笔记匹配!A:N,4,FALSE)</f>
        <v>云麦cc筋膜枪</v>
      </c>
      <c r="AE206" t="str">
        <f>VLOOKUP(E:E,笔记匹配!A:N,14,FALSE)</f>
        <v>云麦筋膜枪cc</v>
      </c>
      <c r="AF206" t="str">
        <f>VLOOKUP(E:E,笔记匹配!A:N,6,FALSE)</f>
        <v>筋膜枪➕泡沫轴｜运动后全套放松动作分享！！</v>
      </c>
    </row>
    <row r="207" spans="1:32">
      <c r="A207" s="18" t="s">
        <v>34</v>
      </c>
      <c r="B207" s="18" t="s">
        <v>695</v>
      </c>
      <c r="C207" s="19">
        <v>15247613</v>
      </c>
      <c r="D207" s="18" t="s">
        <v>209</v>
      </c>
      <c r="E207" s="18" t="s">
        <v>408</v>
      </c>
      <c r="F207" s="18" t="s">
        <v>1079</v>
      </c>
      <c r="G207" s="19">
        <v>3014707</v>
      </c>
      <c r="H207" s="18" t="s">
        <v>1079</v>
      </c>
      <c r="I207" s="19">
        <v>2412606</v>
      </c>
      <c r="J207" s="18" t="s">
        <v>1015</v>
      </c>
      <c r="K207" s="19">
        <v>0</v>
      </c>
      <c r="L207" s="19">
        <v>0</v>
      </c>
      <c r="M207" s="19">
        <v>0</v>
      </c>
      <c r="N207" s="20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20">
        <v>0</v>
      </c>
      <c r="Z207" s="19">
        <v>0</v>
      </c>
      <c r="AA207" s="19">
        <v>0</v>
      </c>
      <c r="AB207" t="str">
        <f>VLOOKUP(E:E,笔记匹配!A:N,3,FALSE)</f>
        <v>努力变好的yy</v>
      </c>
      <c r="AC207" t="str">
        <f>VLOOKUP(E:E,笔记匹配!A:N,2,FALSE)</f>
        <v>筋膜枪</v>
      </c>
      <c r="AD207" t="str">
        <f>VLOOKUP(E:E,笔记匹配!A:N,4,FALSE)</f>
        <v>云麦cc筋膜枪</v>
      </c>
      <c r="AE207" t="str">
        <f>VLOOKUP(E:E,笔记匹配!A:N,14,FALSE)</f>
        <v>云麦筋膜枪cc</v>
      </c>
      <c r="AF207" t="str">
        <f>VLOOKUP(E:E,笔记匹配!A:N,6,FALSE)</f>
        <v>筋膜枪➕泡沫轴｜运动后全套放松动作分享！！</v>
      </c>
    </row>
    <row r="208" spans="1:32">
      <c r="A208" s="18" t="s">
        <v>34</v>
      </c>
      <c r="B208" s="18" t="s">
        <v>704</v>
      </c>
      <c r="C208" s="19">
        <v>15248253</v>
      </c>
      <c r="D208" s="18" t="s">
        <v>209</v>
      </c>
      <c r="E208" s="18" t="s">
        <v>497</v>
      </c>
      <c r="F208" s="18" t="s">
        <v>1084</v>
      </c>
      <c r="G208" s="19">
        <v>3014764</v>
      </c>
      <c r="H208" s="18" t="s">
        <v>1085</v>
      </c>
      <c r="I208" s="19">
        <v>2412653</v>
      </c>
      <c r="J208" s="18" t="s">
        <v>1015</v>
      </c>
      <c r="K208" s="19">
        <v>1003.96</v>
      </c>
      <c r="L208" s="19">
        <v>91441</v>
      </c>
      <c r="M208" s="19">
        <v>6325</v>
      </c>
      <c r="N208" s="20">
        <v>0.0692</v>
      </c>
      <c r="O208" s="19">
        <v>0.16</v>
      </c>
      <c r="P208" s="19">
        <v>10.98</v>
      </c>
      <c r="Q208" s="19">
        <v>97</v>
      </c>
      <c r="R208" s="19">
        <v>4</v>
      </c>
      <c r="S208" s="19">
        <v>63</v>
      </c>
      <c r="T208" s="19">
        <v>5</v>
      </c>
      <c r="U208" s="19">
        <v>7</v>
      </c>
      <c r="V208" s="19">
        <v>176</v>
      </c>
      <c r="W208" s="19">
        <v>5.7</v>
      </c>
      <c r="X208" s="19">
        <v>0</v>
      </c>
      <c r="Y208" s="20">
        <v>0</v>
      </c>
      <c r="Z208" s="19">
        <v>24</v>
      </c>
      <c r="AA208" s="19">
        <v>16</v>
      </c>
      <c r="AB208" t="str">
        <f>VLOOKUP(E:E,笔记匹配!A:N,3,FALSE)</f>
        <v>小方今天瘦了吗</v>
      </c>
      <c r="AC208" t="str">
        <f>VLOOKUP(E:E,笔记匹配!A:N,2,FALSE)</f>
        <v>体脂秤</v>
      </c>
      <c r="AD208" t="str">
        <f>VLOOKUP(E:E,笔记匹配!A:N,4,FALSE)</f>
        <v>云麦3mini</v>
      </c>
      <c r="AE208" t="str">
        <f>VLOOKUP(E:E,笔记匹配!A:N,14,FALSE)</f>
        <v>云麦体脂秤3mini</v>
      </c>
      <c r="AF208" t="str">
        <f>VLOOKUP(E:E,笔记匹配!A:N,6,FALSE)</f>
        <v>大基数无运动节食减45斤 （饮食习惯/食谱‼️）</v>
      </c>
    </row>
    <row r="209" spans="1:32">
      <c r="A209" s="18" t="s">
        <v>34</v>
      </c>
      <c r="B209" s="18" t="s">
        <v>231</v>
      </c>
      <c r="C209" s="19">
        <v>15248486</v>
      </c>
      <c r="D209" s="18" t="s">
        <v>209</v>
      </c>
      <c r="E209" s="18" t="s">
        <v>234</v>
      </c>
      <c r="F209" s="18" t="s">
        <v>1089</v>
      </c>
      <c r="G209" s="19">
        <v>3014783</v>
      </c>
      <c r="H209" s="18" t="s">
        <v>1089</v>
      </c>
      <c r="I209" s="19">
        <v>2412680</v>
      </c>
      <c r="J209" s="18" t="s">
        <v>1015</v>
      </c>
      <c r="K209" s="19">
        <v>1824.2</v>
      </c>
      <c r="L209" s="19">
        <v>207967</v>
      </c>
      <c r="M209" s="19">
        <v>11958</v>
      </c>
      <c r="N209" s="20">
        <v>0.0575</v>
      </c>
      <c r="O209" s="19">
        <v>0.15</v>
      </c>
      <c r="P209" s="19">
        <v>8.77</v>
      </c>
      <c r="Q209" s="19">
        <v>182</v>
      </c>
      <c r="R209" s="19">
        <v>4</v>
      </c>
      <c r="S209" s="19">
        <v>62</v>
      </c>
      <c r="T209" s="19">
        <v>17</v>
      </c>
      <c r="U209" s="19">
        <v>2</v>
      </c>
      <c r="V209" s="19">
        <v>267</v>
      </c>
      <c r="W209" s="19">
        <v>6.83</v>
      </c>
      <c r="X209" s="19">
        <v>0</v>
      </c>
      <c r="Y209" s="20">
        <v>0</v>
      </c>
      <c r="Z209" s="19">
        <v>7</v>
      </c>
      <c r="AA209" s="19">
        <v>11</v>
      </c>
      <c r="AB209" t="str">
        <f>VLOOKUP(E:E,笔记匹配!A:N,3,FALSE)</f>
        <v>pp</v>
      </c>
      <c r="AC209" t="str">
        <f>VLOOKUP(E:E,笔记匹配!A:N,2,FALSE)</f>
        <v>体脂秤</v>
      </c>
      <c r="AD209" t="str">
        <f>VLOOKUP(E:E,笔记匹配!A:N,4,FALSE)</f>
        <v>云麦体脂秤3mini</v>
      </c>
      <c r="AE209" t="str">
        <f>VLOOKUP(E:E,笔记匹配!A:N,14,FALSE)</f>
        <v>云麦体脂秤3mini</v>
      </c>
      <c r="AF209" t="str">
        <f>VLOOKUP(E:E,笔记匹配!A:N,6,FALSE)</f>
        <v>110到88 一些减肥小建议｜如何正确运动</v>
      </c>
    </row>
    <row r="210" spans="1:32">
      <c r="A210" s="18" t="s">
        <v>34</v>
      </c>
      <c r="B210" s="18" t="s">
        <v>587</v>
      </c>
      <c r="C210" s="19">
        <v>15295967</v>
      </c>
      <c r="D210" s="18" t="s">
        <v>209</v>
      </c>
      <c r="E210" s="18" t="s">
        <v>400</v>
      </c>
      <c r="F210" s="18" t="s">
        <v>1090</v>
      </c>
      <c r="G210" s="19">
        <v>3020475</v>
      </c>
      <c r="H210" s="18" t="s">
        <v>1091</v>
      </c>
      <c r="I210" s="19">
        <v>2418288</v>
      </c>
      <c r="J210" s="18" t="s">
        <v>1015</v>
      </c>
      <c r="K210" s="19">
        <v>873.46</v>
      </c>
      <c r="L210" s="19">
        <v>104927</v>
      </c>
      <c r="M210" s="19">
        <v>7070</v>
      </c>
      <c r="N210" s="20">
        <v>0.0674</v>
      </c>
      <c r="O210" s="19">
        <v>0.12</v>
      </c>
      <c r="P210" s="19">
        <v>8.32</v>
      </c>
      <c r="Q210" s="19">
        <v>292</v>
      </c>
      <c r="R210" s="19">
        <v>9</v>
      </c>
      <c r="S210" s="19">
        <v>167</v>
      </c>
      <c r="T210" s="19">
        <v>30</v>
      </c>
      <c r="U210" s="19">
        <v>16</v>
      </c>
      <c r="V210" s="19">
        <v>514</v>
      </c>
      <c r="W210" s="19">
        <v>1.7</v>
      </c>
      <c r="X210" s="19">
        <v>0</v>
      </c>
      <c r="Y210" s="20">
        <v>0</v>
      </c>
      <c r="Z210" s="19">
        <v>8</v>
      </c>
      <c r="AA210" s="19">
        <v>4</v>
      </c>
      <c r="AB210" t="str">
        <f>VLOOKUP(E:E,笔记匹配!A:N,3,FALSE)</f>
        <v>小雪教瑜伽</v>
      </c>
      <c r="AC210" t="str">
        <f>VLOOKUP(E:E,笔记匹配!A:N,2,FALSE)</f>
        <v>筋膜枪</v>
      </c>
      <c r="AD210" t="str">
        <f>VLOOKUP(E:E,笔记匹配!A:N,4,FALSE)</f>
        <v>云麦筋膜枪cc</v>
      </c>
      <c r="AE210" t="str">
        <f>VLOOKUP(E:E,笔记匹配!A:N,14,FALSE)</f>
        <v>云麦筋膜枪cc</v>
      </c>
      <c r="AF210" t="str">
        <f>VLOOKUP(E:E,笔记匹配!A:N,6,FALSE)</f>
        <v>瘦肌肉腿必备&amp;筋膜枪按摩跟练教程</v>
      </c>
    </row>
    <row r="211" spans="1:32">
      <c r="A211" s="18" t="s">
        <v>34</v>
      </c>
      <c r="B211" s="18" t="s">
        <v>707</v>
      </c>
      <c r="C211" s="19">
        <v>15296197</v>
      </c>
      <c r="D211" s="18" t="s">
        <v>209</v>
      </c>
      <c r="E211" s="18" t="s">
        <v>420</v>
      </c>
      <c r="F211" s="18" t="s">
        <v>1092</v>
      </c>
      <c r="G211" s="19">
        <v>3020499</v>
      </c>
      <c r="H211" s="18" t="s">
        <v>1092</v>
      </c>
      <c r="I211" s="19">
        <v>2418330</v>
      </c>
      <c r="J211" s="18" t="s">
        <v>1015</v>
      </c>
      <c r="K211" s="19">
        <v>1410.99</v>
      </c>
      <c r="L211" s="19">
        <v>241633</v>
      </c>
      <c r="M211" s="19">
        <v>8356</v>
      </c>
      <c r="N211" s="20">
        <v>0.0346</v>
      </c>
      <c r="O211" s="19">
        <v>0.17</v>
      </c>
      <c r="P211" s="19">
        <v>5.84</v>
      </c>
      <c r="Q211" s="19">
        <v>413</v>
      </c>
      <c r="R211" s="19">
        <v>20</v>
      </c>
      <c r="S211" s="19">
        <v>62</v>
      </c>
      <c r="T211" s="19">
        <v>30</v>
      </c>
      <c r="U211" s="19">
        <v>11</v>
      </c>
      <c r="V211" s="19">
        <v>536</v>
      </c>
      <c r="W211" s="19">
        <v>2.63</v>
      </c>
      <c r="X211" s="19">
        <v>1</v>
      </c>
      <c r="Y211" s="20">
        <v>0.0001</v>
      </c>
      <c r="Z211" s="19">
        <v>12</v>
      </c>
      <c r="AA211" s="19">
        <v>0</v>
      </c>
      <c r="AB211" t="str">
        <f>VLOOKUP(E:E,笔记匹配!A:N,3,FALSE)</f>
        <v>干坐着的小瑶</v>
      </c>
      <c r="AC211" t="str">
        <f>VLOOKUP(E:E,笔记匹配!A:N,2,FALSE)</f>
        <v>筋膜枪</v>
      </c>
      <c r="AD211" t="str">
        <f>VLOOKUP(E:E,笔记匹配!A:N,4,FALSE)</f>
        <v>云麦cc筋膜枪</v>
      </c>
      <c r="AE211" t="str">
        <f>VLOOKUP(E:E,笔记匹配!A:N,14,FALSE)</f>
        <v>云麦筋膜枪cc</v>
      </c>
      <c r="AF211" t="str">
        <f>VLOOKUP(E:E,笔记匹配!A:N,6,FALSE)</f>
        <v>筋膜枪🆚泡沫轴🆚筋膜球，怎么选❓哪个好❓</v>
      </c>
    </row>
    <row r="212" spans="1:32">
      <c r="A212" s="18" t="s">
        <v>34</v>
      </c>
      <c r="B212" s="18" t="s">
        <v>710</v>
      </c>
      <c r="C212" s="19">
        <v>15296796</v>
      </c>
      <c r="D212" s="18" t="s">
        <v>209</v>
      </c>
      <c r="E212" s="18" t="s">
        <v>491</v>
      </c>
      <c r="F212" s="18" t="s">
        <v>1093</v>
      </c>
      <c r="G212" s="19">
        <v>3020580</v>
      </c>
      <c r="H212" s="18" t="s">
        <v>1093</v>
      </c>
      <c r="I212" s="19">
        <v>2418405</v>
      </c>
      <c r="J212" s="18" t="s">
        <v>1015</v>
      </c>
      <c r="K212" s="19">
        <v>740.76</v>
      </c>
      <c r="L212" s="19">
        <v>247755</v>
      </c>
      <c r="M212" s="19">
        <v>9020</v>
      </c>
      <c r="N212" s="20">
        <v>0.0364</v>
      </c>
      <c r="O212" s="19">
        <v>0.08</v>
      </c>
      <c r="P212" s="19">
        <v>2.99</v>
      </c>
      <c r="Q212" s="19">
        <v>45</v>
      </c>
      <c r="R212" s="19">
        <v>3</v>
      </c>
      <c r="S212" s="19">
        <v>10</v>
      </c>
      <c r="T212" s="19">
        <v>6</v>
      </c>
      <c r="U212" s="19">
        <v>1</v>
      </c>
      <c r="V212" s="19">
        <v>65</v>
      </c>
      <c r="W212" s="19">
        <v>11.4</v>
      </c>
      <c r="X212" s="19">
        <v>0</v>
      </c>
      <c r="Y212" s="20">
        <v>0</v>
      </c>
      <c r="Z212" s="19">
        <v>7</v>
      </c>
      <c r="AA212" s="19">
        <v>5</v>
      </c>
      <c r="AB212" t="str">
        <f>VLOOKUP(E:E,笔记匹配!A:N,3,FALSE)</f>
        <v>辣妈含含</v>
      </c>
      <c r="AC212" t="str">
        <f>VLOOKUP(E:E,笔记匹配!A:N,2,FALSE)</f>
        <v>体脂秤</v>
      </c>
      <c r="AD212" t="str">
        <f>VLOOKUP(E:E,笔记匹配!A:N,4,FALSE)</f>
        <v>云麦体脂秤3</v>
      </c>
      <c r="AE212" t="str">
        <f>VLOOKUP(E:E,笔记匹配!A:N,14,FALSE)</f>
        <v>云麦体脂秤3</v>
      </c>
      <c r="AF212" t="str">
        <f>VLOOKUP(E:E,笔记匹配!A:N,6,FALSE)</f>
        <v>辣妈养成|产后重回少女身材～</v>
      </c>
    </row>
    <row r="213" spans="1:32">
      <c r="A213" s="18" t="s">
        <v>34</v>
      </c>
      <c r="B213" s="18" t="s">
        <v>716</v>
      </c>
      <c r="C213" s="19">
        <v>15296992</v>
      </c>
      <c r="D213" s="18" t="s">
        <v>209</v>
      </c>
      <c r="E213" s="18" t="s">
        <v>494</v>
      </c>
      <c r="F213" s="18" t="s">
        <v>1094</v>
      </c>
      <c r="G213" s="19">
        <v>3020613</v>
      </c>
      <c r="H213" s="18" t="s">
        <v>1094</v>
      </c>
      <c r="I213" s="19">
        <v>2418438</v>
      </c>
      <c r="J213" s="18" t="s">
        <v>1015</v>
      </c>
      <c r="K213" s="19">
        <v>703.64</v>
      </c>
      <c r="L213" s="19">
        <v>105951</v>
      </c>
      <c r="M213" s="19">
        <v>5184</v>
      </c>
      <c r="N213" s="20">
        <v>0.0489</v>
      </c>
      <c r="O213" s="19">
        <v>0.14</v>
      </c>
      <c r="P213" s="19">
        <v>6.64</v>
      </c>
      <c r="Q213" s="19">
        <v>168</v>
      </c>
      <c r="R213" s="19">
        <v>19</v>
      </c>
      <c r="S213" s="19">
        <v>140</v>
      </c>
      <c r="T213" s="19">
        <v>94</v>
      </c>
      <c r="U213" s="19">
        <v>21</v>
      </c>
      <c r="V213" s="19">
        <v>442</v>
      </c>
      <c r="W213" s="19">
        <v>1.59</v>
      </c>
      <c r="X213" s="19">
        <v>1</v>
      </c>
      <c r="Y213" s="20">
        <v>0.0002</v>
      </c>
      <c r="Z213" s="19">
        <v>23</v>
      </c>
      <c r="AA213" s="19">
        <v>6</v>
      </c>
      <c r="AB213" t="str">
        <f>VLOOKUP(E:E,笔记匹配!A:N,3,FALSE)</f>
        <v>凯琳KatherineW</v>
      </c>
      <c r="AC213" t="str">
        <f>VLOOKUP(E:E,笔记匹配!A:N,2,FALSE)</f>
        <v>跳绳</v>
      </c>
      <c r="AD213" t="str">
        <f>VLOOKUP(E:E,笔记匹配!A:N,4,FALSE)</f>
        <v>云麦心率跳绳</v>
      </c>
      <c r="AE213" t="str">
        <f>VLOOKUP(E:E,笔记匹配!A:N,14,FALSE)</f>
        <v>云麦心率跳绳</v>
      </c>
      <c r="AF213" t="str">
        <f>VLOOKUP(E:E,笔记匹配!A:N,6,FALSE)</f>
        <v>无绳卡点暴汗230卡跟练 ｜小基数瘦腿瘦全身</v>
      </c>
    </row>
    <row r="214" spans="1:32">
      <c r="A214" s="18" t="s">
        <v>34</v>
      </c>
      <c r="B214" s="18" t="s">
        <v>713</v>
      </c>
      <c r="C214" s="19">
        <v>15297115</v>
      </c>
      <c r="D214" s="18" t="s">
        <v>209</v>
      </c>
      <c r="E214" s="18" t="s">
        <v>496</v>
      </c>
      <c r="F214" s="18" t="s">
        <v>1095</v>
      </c>
      <c r="G214" s="19">
        <v>3020628</v>
      </c>
      <c r="H214" s="18" t="s">
        <v>1095</v>
      </c>
      <c r="I214" s="19">
        <v>2418459</v>
      </c>
      <c r="J214" s="18" t="s">
        <v>1015</v>
      </c>
      <c r="K214" s="19">
        <v>0.56</v>
      </c>
      <c r="L214" s="19">
        <v>220</v>
      </c>
      <c r="M214" s="19">
        <v>10</v>
      </c>
      <c r="N214" s="20">
        <v>0.0455</v>
      </c>
      <c r="O214" s="19">
        <v>0.06</v>
      </c>
      <c r="P214" s="19">
        <v>2.55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20">
        <v>0</v>
      </c>
      <c r="Z214" s="19">
        <v>0</v>
      </c>
      <c r="AA214" s="19">
        <v>0</v>
      </c>
      <c r="AB214" t="str">
        <f>VLOOKUP(E:E,笔记匹配!A:N,3,FALSE)</f>
        <v>杨大大的预备辣妹日记</v>
      </c>
      <c r="AC214" t="str">
        <f>VLOOKUP(E:E,笔记匹配!A:N,2,FALSE)</f>
        <v>跳绳</v>
      </c>
      <c r="AD214" t="str">
        <f>VLOOKUP(E:E,笔记匹配!A:N,4,FALSE)</f>
        <v>云麦心率跳绳</v>
      </c>
      <c r="AE214" t="str">
        <f>VLOOKUP(E:E,笔记匹配!A:N,14,FALSE)</f>
        <v>云麦心率跳绳</v>
      </c>
      <c r="AF214" t="str">
        <f>VLOOKUP(E:E,笔记匹配!A:N,6,FALSE)</f>
        <v>130-110斤跳绳不复胖‼️间歇性跳绳减脂快</v>
      </c>
    </row>
    <row r="215" spans="1:32">
      <c r="A215" s="18" t="s">
        <v>34</v>
      </c>
      <c r="B215" s="18" t="s">
        <v>719</v>
      </c>
      <c r="C215" s="19">
        <v>15353127</v>
      </c>
      <c r="D215" s="18" t="s">
        <v>209</v>
      </c>
      <c r="E215" s="18" t="s">
        <v>490</v>
      </c>
      <c r="F215" s="18" t="s">
        <v>1096</v>
      </c>
      <c r="G215" s="19">
        <v>3028319</v>
      </c>
      <c r="H215" s="18" t="s">
        <v>1096</v>
      </c>
      <c r="I215" s="19">
        <v>2426112</v>
      </c>
      <c r="J215" s="18" t="s">
        <v>1015</v>
      </c>
      <c r="K215" s="19">
        <v>410.75</v>
      </c>
      <c r="L215" s="19">
        <v>48643</v>
      </c>
      <c r="M215" s="19">
        <v>2291</v>
      </c>
      <c r="N215" s="20">
        <v>0.0471</v>
      </c>
      <c r="O215" s="19">
        <v>0.18</v>
      </c>
      <c r="P215" s="19">
        <v>8.44</v>
      </c>
      <c r="Q215" s="19">
        <v>63</v>
      </c>
      <c r="R215" s="19">
        <v>4</v>
      </c>
      <c r="S215" s="19">
        <v>60</v>
      </c>
      <c r="T215" s="19">
        <v>7</v>
      </c>
      <c r="U215" s="19">
        <v>0</v>
      </c>
      <c r="V215" s="19">
        <v>134</v>
      </c>
      <c r="W215" s="19">
        <v>3.07</v>
      </c>
      <c r="X215" s="19">
        <v>0</v>
      </c>
      <c r="Y215" s="20">
        <v>0</v>
      </c>
      <c r="Z215" s="19">
        <v>3</v>
      </c>
      <c r="AA215" s="19">
        <v>1</v>
      </c>
      <c r="AB215" t="str">
        <f>VLOOKUP(E:E,笔记匹配!A:N,3,FALSE)</f>
        <v>丫丫小姐姐</v>
      </c>
      <c r="AC215" t="str">
        <f>VLOOKUP(E:E,笔记匹配!A:N,2,FALSE)</f>
        <v>跳绳</v>
      </c>
      <c r="AD215" t="str">
        <f>VLOOKUP(E:E,笔记匹配!A:N,4,FALSE)</f>
        <v>云麦心率跳绳</v>
      </c>
      <c r="AE215" t="str">
        <f>VLOOKUP(E:E,笔记匹配!A:N,14,FALSE)</f>
        <v>云麦心率跳绳</v>
      </c>
      <c r="AF215" t="str">
        <f>VLOOKUP(E:E,笔记匹配!A:N,6,FALSE)</f>
        <v>产后辣妈恢复秘诀 | 学会这样跳不瘦都不行</v>
      </c>
    </row>
    <row r="216" spans="1:32">
      <c r="A216" s="18" t="s">
        <v>35</v>
      </c>
      <c r="B216" s="18" t="s">
        <v>1057</v>
      </c>
      <c r="C216" s="19">
        <v>14976642</v>
      </c>
      <c r="D216" s="18" t="s">
        <v>209</v>
      </c>
      <c r="E216" s="18" t="s">
        <v>509</v>
      </c>
      <c r="F216" s="18" t="s">
        <v>1058</v>
      </c>
      <c r="G216" s="19">
        <v>2984144</v>
      </c>
      <c r="H216" s="18" t="s">
        <v>1059</v>
      </c>
      <c r="I216" s="19">
        <v>2385921</v>
      </c>
      <c r="J216" s="18" t="s">
        <v>1015</v>
      </c>
      <c r="K216" s="19">
        <v>0</v>
      </c>
      <c r="L216" s="19">
        <v>0</v>
      </c>
      <c r="M216" s="19">
        <v>0</v>
      </c>
      <c r="N216" s="20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20">
        <v>0</v>
      </c>
      <c r="Z216" s="19">
        <v>0</v>
      </c>
      <c r="AA216" s="19">
        <v>0</v>
      </c>
      <c r="AB216" t="str">
        <f>VLOOKUP(E:E,笔记匹配!A:N,3,FALSE)</f>
        <v>小小李</v>
      </c>
      <c r="AC216" t="str">
        <f>VLOOKUP(E:E,笔记匹配!A:N,2,FALSE)</f>
        <v>跳绳</v>
      </c>
      <c r="AD216" t="str">
        <f>VLOOKUP(E:E,笔记匹配!A:N,4,FALSE)</f>
        <v>云麦心率跳绳</v>
      </c>
      <c r="AE216" t="str">
        <f>VLOOKUP(E:E,笔记匹配!A:N,14,FALSE)</f>
        <v>云麦心率跳绳</v>
      </c>
      <c r="AF216" t="str">
        <f>VLOOKUP(E:E,笔记匹配!A:N,6,FALSE)</f>
        <v>4分钟跳绳TABATA | 居家高效燃脂瘦全身</v>
      </c>
    </row>
    <row r="217" spans="1:32">
      <c r="A217" s="18" t="s">
        <v>35</v>
      </c>
      <c r="B217" s="18" t="s">
        <v>587</v>
      </c>
      <c r="C217" s="19">
        <v>15179597</v>
      </c>
      <c r="D217" s="18" t="s">
        <v>209</v>
      </c>
      <c r="E217" s="18" t="s">
        <v>400</v>
      </c>
      <c r="F217" s="18" t="s">
        <v>1074</v>
      </c>
      <c r="G217" s="19">
        <v>3007578</v>
      </c>
      <c r="H217" s="18" t="s">
        <v>1074</v>
      </c>
      <c r="I217" s="19">
        <v>2405816</v>
      </c>
      <c r="J217" s="18" t="s">
        <v>1015</v>
      </c>
      <c r="K217" s="19">
        <v>0</v>
      </c>
      <c r="L217" s="19">
        <v>0</v>
      </c>
      <c r="M217" s="19">
        <v>0</v>
      </c>
      <c r="N217" s="20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20">
        <v>0</v>
      </c>
      <c r="Z217" s="19">
        <v>0</v>
      </c>
      <c r="AA217" s="19">
        <v>0</v>
      </c>
      <c r="AB217" t="str">
        <f>VLOOKUP(E:E,笔记匹配!A:N,3,FALSE)</f>
        <v>小雪教瑜伽</v>
      </c>
      <c r="AC217" t="str">
        <f>VLOOKUP(E:E,笔记匹配!A:N,2,FALSE)</f>
        <v>筋膜枪</v>
      </c>
      <c r="AD217" t="str">
        <f>VLOOKUP(E:E,笔记匹配!A:N,4,FALSE)</f>
        <v>云麦筋膜枪cc</v>
      </c>
      <c r="AE217" t="str">
        <f>VLOOKUP(E:E,笔记匹配!A:N,14,FALSE)</f>
        <v>云麦筋膜枪cc</v>
      </c>
      <c r="AF217" t="str">
        <f>VLOOKUP(E:E,笔记匹配!A:N,6,FALSE)</f>
        <v>瘦肌肉腿必备&amp;筋膜枪按摩跟练教程</v>
      </c>
    </row>
    <row r="218" spans="1:32">
      <c r="A218" s="18" t="s">
        <v>35</v>
      </c>
      <c r="B218" s="18" t="s">
        <v>695</v>
      </c>
      <c r="C218" s="19">
        <v>15180653</v>
      </c>
      <c r="D218" s="18" t="s">
        <v>209</v>
      </c>
      <c r="E218" s="18" t="s">
        <v>408</v>
      </c>
      <c r="F218" s="18" t="s">
        <v>1077</v>
      </c>
      <c r="G218" s="19">
        <v>3007667</v>
      </c>
      <c r="H218" s="18" t="s">
        <v>1077</v>
      </c>
      <c r="I218" s="19">
        <v>2405911</v>
      </c>
      <c r="J218" s="18" t="s">
        <v>1015</v>
      </c>
      <c r="K218" s="19">
        <v>0</v>
      </c>
      <c r="L218" s="19">
        <v>0</v>
      </c>
      <c r="M218" s="19">
        <v>0</v>
      </c>
      <c r="N218" s="20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20">
        <v>0</v>
      </c>
      <c r="Z218" s="19">
        <v>0</v>
      </c>
      <c r="AA218" s="19">
        <v>0</v>
      </c>
      <c r="AB218" t="str">
        <f>VLOOKUP(E:E,笔记匹配!A:N,3,FALSE)</f>
        <v>努力变好的yy</v>
      </c>
      <c r="AC218" t="str">
        <f>VLOOKUP(E:E,笔记匹配!A:N,2,FALSE)</f>
        <v>筋膜枪</v>
      </c>
      <c r="AD218" t="str">
        <f>VLOOKUP(E:E,笔记匹配!A:N,4,FALSE)</f>
        <v>云麦cc筋膜枪</v>
      </c>
      <c r="AE218" t="str">
        <f>VLOOKUP(E:E,笔记匹配!A:N,14,FALSE)</f>
        <v>云麦筋膜枪cc</v>
      </c>
      <c r="AF218" t="str">
        <f>VLOOKUP(E:E,笔记匹配!A:N,6,FALSE)</f>
        <v>筋膜枪➕泡沫轴｜运动后全套放松动作分享！！</v>
      </c>
    </row>
    <row r="219" spans="1:32">
      <c r="A219" s="18" t="s">
        <v>35</v>
      </c>
      <c r="B219" s="18" t="s">
        <v>1080</v>
      </c>
      <c r="C219" s="19">
        <v>15248000</v>
      </c>
      <c r="D219" s="18" t="s">
        <v>196</v>
      </c>
      <c r="E219" s="18" t="s">
        <v>400</v>
      </c>
      <c r="F219" s="18" t="s">
        <v>1081</v>
      </c>
      <c r="G219" s="19">
        <v>3014737</v>
      </c>
      <c r="H219" s="18" t="s">
        <v>1081</v>
      </c>
      <c r="I219" s="19">
        <v>2412630</v>
      </c>
      <c r="J219" s="18" t="s">
        <v>1015</v>
      </c>
      <c r="K219" s="19">
        <v>85.63</v>
      </c>
      <c r="L219" s="19">
        <v>3492</v>
      </c>
      <c r="M219" s="19">
        <v>221</v>
      </c>
      <c r="N219" s="20">
        <v>0.0633</v>
      </c>
      <c r="O219" s="19">
        <v>0.39</v>
      </c>
      <c r="P219" s="19">
        <v>24.52</v>
      </c>
      <c r="Q219" s="19">
        <v>3</v>
      </c>
      <c r="R219" s="19">
        <v>0</v>
      </c>
      <c r="S219" s="19">
        <v>9</v>
      </c>
      <c r="T219" s="19">
        <v>0</v>
      </c>
      <c r="U219" s="19">
        <v>0</v>
      </c>
      <c r="V219" s="19">
        <v>12</v>
      </c>
      <c r="W219" s="19">
        <v>7.14</v>
      </c>
      <c r="X219" s="19">
        <v>0</v>
      </c>
      <c r="Y219" s="20">
        <v>0</v>
      </c>
      <c r="Z219" s="19">
        <v>0</v>
      </c>
      <c r="AA219" s="19">
        <v>0</v>
      </c>
      <c r="AB219" t="str">
        <f>VLOOKUP(E:E,笔记匹配!A:N,3,FALSE)</f>
        <v>小雪教瑜伽</v>
      </c>
      <c r="AC219" t="str">
        <f>VLOOKUP(E:E,笔记匹配!A:N,2,FALSE)</f>
        <v>筋膜枪</v>
      </c>
      <c r="AD219" t="str">
        <f>VLOOKUP(E:E,笔记匹配!A:N,4,FALSE)</f>
        <v>云麦筋膜枪cc</v>
      </c>
      <c r="AE219" t="str">
        <f>VLOOKUP(E:E,笔记匹配!A:N,14,FALSE)</f>
        <v>云麦筋膜枪cc</v>
      </c>
      <c r="AF219" t="str">
        <f>VLOOKUP(E:E,笔记匹配!A:N,6,FALSE)</f>
        <v>瘦肌肉腿必备&amp;筋膜枪按摩跟练教程</v>
      </c>
    </row>
    <row r="220" spans="1:32">
      <c r="A220" s="18" t="s">
        <v>35</v>
      </c>
      <c r="B220" s="18" t="s">
        <v>704</v>
      </c>
      <c r="C220" s="19">
        <v>15248253</v>
      </c>
      <c r="D220" s="18" t="s">
        <v>209</v>
      </c>
      <c r="E220" s="18" t="s">
        <v>497</v>
      </c>
      <c r="F220" s="18" t="s">
        <v>1084</v>
      </c>
      <c r="G220" s="19">
        <v>3014764</v>
      </c>
      <c r="H220" s="18" t="s">
        <v>1085</v>
      </c>
      <c r="I220" s="19">
        <v>2412653</v>
      </c>
      <c r="J220" s="18" t="s">
        <v>1015</v>
      </c>
      <c r="K220" s="19">
        <v>496.71</v>
      </c>
      <c r="L220" s="19">
        <v>48068</v>
      </c>
      <c r="M220" s="19">
        <v>3244</v>
      </c>
      <c r="N220" s="20">
        <v>0.0675</v>
      </c>
      <c r="O220" s="19">
        <v>0.15</v>
      </c>
      <c r="P220" s="19">
        <v>10.33</v>
      </c>
      <c r="Q220" s="19">
        <v>58</v>
      </c>
      <c r="R220" s="19">
        <v>1</v>
      </c>
      <c r="S220" s="19">
        <v>42</v>
      </c>
      <c r="T220" s="19">
        <v>2</v>
      </c>
      <c r="U220" s="19">
        <v>4</v>
      </c>
      <c r="V220" s="19">
        <v>107</v>
      </c>
      <c r="W220" s="19">
        <v>4.64</v>
      </c>
      <c r="X220" s="19">
        <v>0</v>
      </c>
      <c r="Y220" s="20">
        <v>0</v>
      </c>
      <c r="Z220" s="19">
        <v>8</v>
      </c>
      <c r="AA220" s="19">
        <v>8</v>
      </c>
      <c r="AB220" t="str">
        <f>VLOOKUP(E:E,笔记匹配!A:N,3,FALSE)</f>
        <v>小方今天瘦了吗</v>
      </c>
      <c r="AC220" t="str">
        <f>VLOOKUP(E:E,笔记匹配!A:N,2,FALSE)</f>
        <v>体脂秤</v>
      </c>
      <c r="AD220" t="str">
        <f>VLOOKUP(E:E,笔记匹配!A:N,4,FALSE)</f>
        <v>云麦3mini</v>
      </c>
      <c r="AE220" t="str">
        <f>VLOOKUP(E:E,笔记匹配!A:N,14,FALSE)</f>
        <v>云麦体脂秤3mini</v>
      </c>
      <c r="AF220" t="str">
        <f>VLOOKUP(E:E,笔记匹配!A:N,6,FALSE)</f>
        <v>大基数无运动节食减45斤 （饮食习惯/食谱‼️）</v>
      </c>
    </row>
    <row r="221" spans="1:32">
      <c r="A221" s="18" t="s">
        <v>35</v>
      </c>
      <c r="B221" s="18" t="s">
        <v>231</v>
      </c>
      <c r="C221" s="19">
        <v>15248486</v>
      </c>
      <c r="D221" s="18" t="s">
        <v>209</v>
      </c>
      <c r="E221" s="18" t="s">
        <v>234</v>
      </c>
      <c r="F221" s="18" t="s">
        <v>1089</v>
      </c>
      <c r="G221" s="19">
        <v>3014783</v>
      </c>
      <c r="H221" s="18" t="s">
        <v>1089</v>
      </c>
      <c r="I221" s="19">
        <v>2412680</v>
      </c>
      <c r="J221" s="18" t="s">
        <v>1015</v>
      </c>
      <c r="K221" s="19">
        <v>860.85</v>
      </c>
      <c r="L221" s="19">
        <v>122694</v>
      </c>
      <c r="M221" s="19">
        <v>6904</v>
      </c>
      <c r="N221" s="20">
        <v>0.0563</v>
      </c>
      <c r="O221" s="19">
        <v>0.12</v>
      </c>
      <c r="P221" s="19">
        <v>7.02</v>
      </c>
      <c r="Q221" s="19">
        <v>68</v>
      </c>
      <c r="R221" s="19">
        <v>3</v>
      </c>
      <c r="S221" s="19">
        <v>28</v>
      </c>
      <c r="T221" s="19">
        <v>5</v>
      </c>
      <c r="U221" s="19">
        <v>1</v>
      </c>
      <c r="V221" s="19">
        <v>105</v>
      </c>
      <c r="W221" s="19">
        <v>8.2</v>
      </c>
      <c r="X221" s="19">
        <v>0</v>
      </c>
      <c r="Y221" s="20">
        <v>0</v>
      </c>
      <c r="Z221" s="19">
        <v>3</v>
      </c>
      <c r="AA221" s="19">
        <v>2</v>
      </c>
      <c r="AB221" t="str">
        <f>VLOOKUP(E:E,笔记匹配!A:N,3,FALSE)</f>
        <v>pp</v>
      </c>
      <c r="AC221" t="str">
        <f>VLOOKUP(E:E,笔记匹配!A:N,2,FALSE)</f>
        <v>体脂秤</v>
      </c>
      <c r="AD221" t="str">
        <f>VLOOKUP(E:E,笔记匹配!A:N,4,FALSE)</f>
        <v>云麦体脂秤3mini</v>
      </c>
      <c r="AE221" t="str">
        <f>VLOOKUP(E:E,笔记匹配!A:N,14,FALSE)</f>
        <v>云麦体脂秤3mini</v>
      </c>
      <c r="AF221" t="str">
        <f>VLOOKUP(E:E,笔记匹配!A:N,6,FALSE)</f>
        <v>110到88 一些减肥小建议｜如何正确运动</v>
      </c>
    </row>
    <row r="222" spans="1:32">
      <c r="A222" s="18" t="s">
        <v>35</v>
      </c>
      <c r="B222" s="18" t="s">
        <v>587</v>
      </c>
      <c r="C222" s="19">
        <v>15295967</v>
      </c>
      <c r="D222" s="18" t="s">
        <v>209</v>
      </c>
      <c r="E222" s="18" t="s">
        <v>400</v>
      </c>
      <c r="F222" s="18" t="s">
        <v>1090</v>
      </c>
      <c r="G222" s="19">
        <v>3020475</v>
      </c>
      <c r="H222" s="18" t="s">
        <v>1091</v>
      </c>
      <c r="I222" s="19">
        <v>2418288</v>
      </c>
      <c r="J222" s="18" t="s">
        <v>1015</v>
      </c>
      <c r="K222" s="19">
        <v>725.57</v>
      </c>
      <c r="L222" s="19">
        <v>85243</v>
      </c>
      <c r="M222" s="19">
        <v>6196</v>
      </c>
      <c r="N222" s="20">
        <v>0.0727</v>
      </c>
      <c r="O222" s="19">
        <v>0.12</v>
      </c>
      <c r="P222" s="19">
        <v>8.51</v>
      </c>
      <c r="Q222" s="19">
        <v>173</v>
      </c>
      <c r="R222" s="19">
        <v>3</v>
      </c>
      <c r="S222" s="19">
        <v>141</v>
      </c>
      <c r="T222" s="19">
        <v>15</v>
      </c>
      <c r="U222" s="19">
        <v>7</v>
      </c>
      <c r="V222" s="19">
        <v>339</v>
      </c>
      <c r="W222" s="19">
        <v>2.14</v>
      </c>
      <c r="X222" s="19">
        <v>0</v>
      </c>
      <c r="Y222" s="20">
        <v>0</v>
      </c>
      <c r="Z222" s="19">
        <v>3</v>
      </c>
      <c r="AA222" s="19">
        <v>4</v>
      </c>
      <c r="AB222" t="str">
        <f>VLOOKUP(E:E,笔记匹配!A:N,3,FALSE)</f>
        <v>小雪教瑜伽</v>
      </c>
      <c r="AC222" t="str">
        <f>VLOOKUP(E:E,笔记匹配!A:N,2,FALSE)</f>
        <v>筋膜枪</v>
      </c>
      <c r="AD222" t="str">
        <f>VLOOKUP(E:E,笔记匹配!A:N,4,FALSE)</f>
        <v>云麦筋膜枪cc</v>
      </c>
      <c r="AE222" t="str">
        <f>VLOOKUP(E:E,笔记匹配!A:N,14,FALSE)</f>
        <v>云麦筋膜枪cc</v>
      </c>
      <c r="AF222" t="str">
        <f>VLOOKUP(E:E,笔记匹配!A:N,6,FALSE)</f>
        <v>瘦肌肉腿必备&amp;筋膜枪按摩跟练教程</v>
      </c>
    </row>
    <row r="223" spans="1:32">
      <c r="A223" s="18" t="s">
        <v>35</v>
      </c>
      <c r="B223" s="18" t="s">
        <v>707</v>
      </c>
      <c r="C223" s="19">
        <v>15296197</v>
      </c>
      <c r="D223" s="18" t="s">
        <v>209</v>
      </c>
      <c r="E223" s="18" t="s">
        <v>420</v>
      </c>
      <c r="F223" s="18" t="s">
        <v>1092</v>
      </c>
      <c r="G223" s="19">
        <v>3020499</v>
      </c>
      <c r="H223" s="18" t="s">
        <v>1092</v>
      </c>
      <c r="I223" s="19">
        <v>2418330</v>
      </c>
      <c r="J223" s="18" t="s">
        <v>1015</v>
      </c>
      <c r="K223" s="19">
        <v>443.62</v>
      </c>
      <c r="L223" s="19">
        <v>102452</v>
      </c>
      <c r="M223" s="19">
        <v>4096</v>
      </c>
      <c r="N223" s="20">
        <v>0.04</v>
      </c>
      <c r="O223" s="19">
        <v>0.11</v>
      </c>
      <c r="P223" s="19">
        <v>4.33</v>
      </c>
      <c r="Q223" s="19">
        <v>176</v>
      </c>
      <c r="R223" s="19">
        <v>4</v>
      </c>
      <c r="S223" s="19">
        <v>23</v>
      </c>
      <c r="T223" s="19">
        <v>9</v>
      </c>
      <c r="U223" s="19">
        <v>3</v>
      </c>
      <c r="V223" s="19">
        <v>215</v>
      </c>
      <c r="W223" s="19">
        <v>2.06</v>
      </c>
      <c r="X223" s="19">
        <v>0</v>
      </c>
      <c r="Y223" s="20">
        <v>0</v>
      </c>
      <c r="Z223" s="19">
        <v>2</v>
      </c>
      <c r="AA223" s="19">
        <v>1</v>
      </c>
      <c r="AB223" t="str">
        <f>VLOOKUP(E:E,笔记匹配!A:N,3,FALSE)</f>
        <v>干坐着的小瑶</v>
      </c>
      <c r="AC223" t="str">
        <f>VLOOKUP(E:E,笔记匹配!A:N,2,FALSE)</f>
        <v>筋膜枪</v>
      </c>
      <c r="AD223" t="str">
        <f>VLOOKUP(E:E,笔记匹配!A:N,4,FALSE)</f>
        <v>云麦cc筋膜枪</v>
      </c>
      <c r="AE223" t="str">
        <f>VLOOKUP(E:E,笔记匹配!A:N,14,FALSE)</f>
        <v>云麦筋膜枪cc</v>
      </c>
      <c r="AF223" t="str">
        <f>VLOOKUP(E:E,笔记匹配!A:N,6,FALSE)</f>
        <v>筋膜枪🆚泡沫轴🆚筋膜球，怎么选❓哪个好❓</v>
      </c>
    </row>
    <row r="224" spans="1:32">
      <c r="A224" s="18" t="s">
        <v>35</v>
      </c>
      <c r="B224" s="18" t="s">
        <v>710</v>
      </c>
      <c r="C224" s="19">
        <v>15296796</v>
      </c>
      <c r="D224" s="18" t="s">
        <v>209</v>
      </c>
      <c r="E224" s="18" t="s">
        <v>491</v>
      </c>
      <c r="F224" s="18" t="s">
        <v>1093</v>
      </c>
      <c r="G224" s="19">
        <v>3020580</v>
      </c>
      <c r="H224" s="18" t="s">
        <v>1093</v>
      </c>
      <c r="I224" s="19">
        <v>2418405</v>
      </c>
      <c r="J224" s="18" t="s">
        <v>1015</v>
      </c>
      <c r="K224" s="19">
        <v>7.96</v>
      </c>
      <c r="L224" s="19">
        <v>2200</v>
      </c>
      <c r="M224" s="19">
        <v>132</v>
      </c>
      <c r="N224" s="20">
        <v>0.06</v>
      </c>
      <c r="O224" s="19">
        <v>0.06</v>
      </c>
      <c r="P224" s="19">
        <v>3.62</v>
      </c>
      <c r="Q224" s="19">
        <v>0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20">
        <v>0</v>
      </c>
      <c r="Z224" s="19">
        <v>0</v>
      </c>
      <c r="AA224" s="19">
        <v>0</v>
      </c>
      <c r="AB224" t="str">
        <f>VLOOKUP(E:E,笔记匹配!A:N,3,FALSE)</f>
        <v>辣妈含含</v>
      </c>
      <c r="AC224" t="str">
        <f>VLOOKUP(E:E,笔记匹配!A:N,2,FALSE)</f>
        <v>体脂秤</v>
      </c>
      <c r="AD224" t="str">
        <f>VLOOKUP(E:E,笔记匹配!A:N,4,FALSE)</f>
        <v>云麦体脂秤3</v>
      </c>
      <c r="AE224" t="str">
        <f>VLOOKUP(E:E,笔记匹配!A:N,14,FALSE)</f>
        <v>云麦体脂秤3</v>
      </c>
      <c r="AF224" t="str">
        <f>VLOOKUP(E:E,笔记匹配!A:N,6,FALSE)</f>
        <v>辣妈养成|产后重回少女身材～</v>
      </c>
    </row>
    <row r="225" spans="1:32">
      <c r="A225" s="18" t="s">
        <v>35</v>
      </c>
      <c r="B225" s="18" t="s">
        <v>716</v>
      </c>
      <c r="C225" s="19">
        <v>15296992</v>
      </c>
      <c r="D225" s="18" t="s">
        <v>209</v>
      </c>
      <c r="E225" s="18" t="s">
        <v>494</v>
      </c>
      <c r="F225" s="18" t="s">
        <v>1094</v>
      </c>
      <c r="G225" s="19">
        <v>3020613</v>
      </c>
      <c r="H225" s="18" t="s">
        <v>1094</v>
      </c>
      <c r="I225" s="19">
        <v>2418438</v>
      </c>
      <c r="J225" s="18" t="s">
        <v>1015</v>
      </c>
      <c r="K225" s="19">
        <v>392.21</v>
      </c>
      <c r="L225" s="19">
        <v>70204</v>
      </c>
      <c r="M225" s="19">
        <v>3462</v>
      </c>
      <c r="N225" s="20">
        <v>0.0493</v>
      </c>
      <c r="O225" s="19">
        <v>0.11</v>
      </c>
      <c r="P225" s="19">
        <v>5.59</v>
      </c>
      <c r="Q225" s="19">
        <v>92</v>
      </c>
      <c r="R225" s="19">
        <v>11</v>
      </c>
      <c r="S225" s="19">
        <v>90</v>
      </c>
      <c r="T225" s="19">
        <v>61</v>
      </c>
      <c r="U225" s="19">
        <v>5</v>
      </c>
      <c r="V225" s="19">
        <v>259</v>
      </c>
      <c r="W225" s="19">
        <v>1.51</v>
      </c>
      <c r="X225" s="19">
        <v>0</v>
      </c>
      <c r="Y225" s="20">
        <v>0</v>
      </c>
      <c r="Z225" s="19">
        <v>8</v>
      </c>
      <c r="AA225" s="19">
        <v>1</v>
      </c>
      <c r="AB225" t="str">
        <f>VLOOKUP(E:E,笔记匹配!A:N,3,FALSE)</f>
        <v>凯琳KatherineW</v>
      </c>
      <c r="AC225" t="str">
        <f>VLOOKUP(E:E,笔记匹配!A:N,2,FALSE)</f>
        <v>跳绳</v>
      </c>
      <c r="AD225" t="str">
        <f>VLOOKUP(E:E,笔记匹配!A:N,4,FALSE)</f>
        <v>云麦心率跳绳</v>
      </c>
      <c r="AE225" t="str">
        <f>VLOOKUP(E:E,笔记匹配!A:N,14,FALSE)</f>
        <v>云麦心率跳绳</v>
      </c>
      <c r="AF225" t="str">
        <f>VLOOKUP(E:E,笔记匹配!A:N,6,FALSE)</f>
        <v>无绳卡点暴汗230卡跟练 ｜小基数瘦腿瘦全身</v>
      </c>
    </row>
    <row r="226" spans="1:32">
      <c r="A226" s="18" t="s">
        <v>35</v>
      </c>
      <c r="B226" s="18" t="s">
        <v>713</v>
      </c>
      <c r="C226" s="19">
        <v>15297115</v>
      </c>
      <c r="D226" s="18" t="s">
        <v>209</v>
      </c>
      <c r="E226" s="18" t="s">
        <v>496</v>
      </c>
      <c r="F226" s="18" t="s">
        <v>1095</v>
      </c>
      <c r="G226" s="19">
        <v>3020628</v>
      </c>
      <c r="H226" s="18" t="s">
        <v>1095</v>
      </c>
      <c r="I226" s="19">
        <v>2418459</v>
      </c>
      <c r="J226" s="18" t="s">
        <v>1015</v>
      </c>
      <c r="K226" s="19">
        <v>0</v>
      </c>
      <c r="L226" s="19">
        <v>0</v>
      </c>
      <c r="M226" s="19">
        <v>0</v>
      </c>
      <c r="N226" s="20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20">
        <v>0</v>
      </c>
      <c r="Z226" s="19">
        <v>0</v>
      </c>
      <c r="AA226" s="19">
        <v>0</v>
      </c>
      <c r="AB226" t="str">
        <f>VLOOKUP(E:E,笔记匹配!A:N,3,FALSE)</f>
        <v>杨大大的预备辣妹日记</v>
      </c>
      <c r="AC226" t="str">
        <f>VLOOKUP(E:E,笔记匹配!A:N,2,FALSE)</f>
        <v>跳绳</v>
      </c>
      <c r="AD226" t="str">
        <f>VLOOKUP(E:E,笔记匹配!A:N,4,FALSE)</f>
        <v>云麦心率跳绳</v>
      </c>
      <c r="AE226" t="str">
        <f>VLOOKUP(E:E,笔记匹配!A:N,14,FALSE)</f>
        <v>云麦心率跳绳</v>
      </c>
      <c r="AF226" t="str">
        <f>VLOOKUP(E:E,笔记匹配!A:N,6,FALSE)</f>
        <v>130-110斤跳绳不复胖‼️间歇性跳绳减脂快</v>
      </c>
    </row>
    <row r="227" spans="1:32">
      <c r="A227" s="18" t="s">
        <v>35</v>
      </c>
      <c r="B227" s="18" t="s">
        <v>719</v>
      </c>
      <c r="C227" s="19">
        <v>15353127</v>
      </c>
      <c r="D227" s="18" t="s">
        <v>209</v>
      </c>
      <c r="E227" s="18" t="s">
        <v>490</v>
      </c>
      <c r="F227" s="18" t="s">
        <v>1096</v>
      </c>
      <c r="G227" s="19">
        <v>3028319</v>
      </c>
      <c r="H227" s="18" t="s">
        <v>1096</v>
      </c>
      <c r="I227" s="19">
        <v>2426112</v>
      </c>
      <c r="J227" s="18" t="s">
        <v>1015</v>
      </c>
      <c r="K227" s="19">
        <v>325.02</v>
      </c>
      <c r="L227" s="19">
        <v>44182</v>
      </c>
      <c r="M227" s="19">
        <v>1957</v>
      </c>
      <c r="N227" s="20">
        <v>0.0443</v>
      </c>
      <c r="O227" s="19">
        <v>0.17</v>
      </c>
      <c r="P227" s="19">
        <v>7.36</v>
      </c>
      <c r="Q227" s="19">
        <v>45</v>
      </c>
      <c r="R227" s="19">
        <v>4</v>
      </c>
      <c r="S227" s="19">
        <v>21</v>
      </c>
      <c r="T227" s="19">
        <v>3</v>
      </c>
      <c r="U227" s="19">
        <v>1</v>
      </c>
      <c r="V227" s="19">
        <v>74</v>
      </c>
      <c r="W227" s="19">
        <v>4.39</v>
      </c>
      <c r="X227" s="19">
        <v>0</v>
      </c>
      <c r="Y227" s="20">
        <v>0</v>
      </c>
      <c r="Z227" s="19">
        <v>2</v>
      </c>
      <c r="AA227" s="19">
        <v>0</v>
      </c>
      <c r="AB227" t="str">
        <f>VLOOKUP(E:E,笔记匹配!A:N,3,FALSE)</f>
        <v>丫丫小姐姐</v>
      </c>
      <c r="AC227" t="str">
        <f>VLOOKUP(E:E,笔记匹配!A:N,2,FALSE)</f>
        <v>跳绳</v>
      </c>
      <c r="AD227" t="str">
        <f>VLOOKUP(E:E,笔记匹配!A:N,4,FALSE)</f>
        <v>云麦心率跳绳</v>
      </c>
      <c r="AE227" t="str">
        <f>VLOOKUP(E:E,笔记匹配!A:N,14,FALSE)</f>
        <v>云麦心率跳绳</v>
      </c>
      <c r="AF227" t="str">
        <f>VLOOKUP(E:E,笔记匹配!A:N,6,FALSE)</f>
        <v>产后辣妈恢复秘诀 | 学会这样跳不瘦都不行</v>
      </c>
    </row>
    <row r="228" spans="1:32">
      <c r="A228" s="18" t="s">
        <v>36</v>
      </c>
      <c r="B228" s="18" t="s">
        <v>1057</v>
      </c>
      <c r="C228" s="19">
        <v>14976642</v>
      </c>
      <c r="D228" s="18" t="s">
        <v>209</v>
      </c>
      <c r="E228" s="18" t="s">
        <v>509</v>
      </c>
      <c r="F228" s="18" t="s">
        <v>1058</v>
      </c>
      <c r="G228" s="19">
        <v>2984144</v>
      </c>
      <c r="H228" s="18" t="s">
        <v>1059</v>
      </c>
      <c r="I228" s="19">
        <v>2385921</v>
      </c>
      <c r="J228" s="18" t="s">
        <v>1015</v>
      </c>
      <c r="K228" s="19">
        <v>0</v>
      </c>
      <c r="L228" s="19">
        <v>0</v>
      </c>
      <c r="M228" s="19">
        <v>0</v>
      </c>
      <c r="N228" s="20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9">
        <v>0</v>
      </c>
      <c r="Y228" s="20">
        <v>0</v>
      </c>
      <c r="Z228" s="19">
        <v>0</v>
      </c>
      <c r="AA228" s="19">
        <v>0</v>
      </c>
      <c r="AB228" t="str">
        <f>VLOOKUP(E:E,笔记匹配!A:N,3,FALSE)</f>
        <v>小小李</v>
      </c>
      <c r="AC228" t="str">
        <f>VLOOKUP(E:E,笔记匹配!A:N,2,FALSE)</f>
        <v>跳绳</v>
      </c>
      <c r="AD228" t="str">
        <f>VLOOKUP(E:E,笔记匹配!A:N,4,FALSE)</f>
        <v>云麦心率跳绳</v>
      </c>
      <c r="AE228" t="str">
        <f>VLOOKUP(E:E,笔记匹配!A:N,14,FALSE)</f>
        <v>云麦心率跳绳</v>
      </c>
      <c r="AF228" t="str">
        <f>VLOOKUP(E:E,笔记匹配!A:N,6,FALSE)</f>
        <v>4分钟跳绳TABATA | 居家高效燃脂瘦全身</v>
      </c>
    </row>
    <row r="229" spans="1:32">
      <c r="A229" s="18" t="s">
        <v>36</v>
      </c>
      <c r="B229" s="18" t="s">
        <v>680</v>
      </c>
      <c r="C229" s="19">
        <v>14978184</v>
      </c>
      <c r="D229" s="18" t="s">
        <v>209</v>
      </c>
      <c r="E229" s="18" t="s">
        <v>513</v>
      </c>
      <c r="F229" s="18" t="s">
        <v>1062</v>
      </c>
      <c r="G229" s="19">
        <v>2984400</v>
      </c>
      <c r="H229" s="18" t="s">
        <v>1062</v>
      </c>
      <c r="I229" s="19">
        <v>2386169</v>
      </c>
      <c r="J229" s="18" t="s">
        <v>1015</v>
      </c>
      <c r="K229" s="19">
        <v>0</v>
      </c>
      <c r="L229" s="19">
        <v>0</v>
      </c>
      <c r="M229" s="19">
        <v>0</v>
      </c>
      <c r="N229" s="20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20">
        <v>0</v>
      </c>
      <c r="Z229" s="19">
        <v>0</v>
      </c>
      <c r="AA229" s="19">
        <v>0</v>
      </c>
      <c r="AB229" t="str">
        <f>VLOOKUP(E:E,笔记匹配!A:N,3,FALSE)</f>
        <v>大桐yoto</v>
      </c>
      <c r="AC229" t="str">
        <f>VLOOKUP(E:E,笔记匹配!A:N,2,FALSE)</f>
        <v>跳绳</v>
      </c>
      <c r="AD229" t="str">
        <f>VLOOKUP(E:E,笔记匹配!A:N,4,FALSE)</f>
        <v>云麦3mini</v>
      </c>
      <c r="AE229" t="str">
        <f>VLOOKUP(E:E,笔记匹配!A:N,14,FALSE)</f>
        <v>云麦体脂秤3mini</v>
      </c>
      <c r="AF229" t="str">
        <f>VLOOKUP(E:E,笔记匹配!A:N,6,FALSE)</f>
        <v>减肥就是要饿｜饮食和运动的完整计划在这里</v>
      </c>
    </row>
    <row r="230" spans="1:32">
      <c r="A230" s="18" t="s">
        <v>36</v>
      </c>
      <c r="B230" s="18" t="s">
        <v>587</v>
      </c>
      <c r="C230" s="19">
        <v>15179597</v>
      </c>
      <c r="D230" s="18" t="s">
        <v>209</v>
      </c>
      <c r="E230" s="18" t="s">
        <v>400</v>
      </c>
      <c r="F230" s="18" t="s">
        <v>1074</v>
      </c>
      <c r="G230" s="19">
        <v>3007578</v>
      </c>
      <c r="H230" s="18" t="s">
        <v>1074</v>
      </c>
      <c r="I230" s="19">
        <v>2405816</v>
      </c>
      <c r="J230" s="18" t="s">
        <v>1015</v>
      </c>
      <c r="K230" s="19">
        <v>0</v>
      </c>
      <c r="L230" s="19">
        <v>0</v>
      </c>
      <c r="M230" s="19">
        <v>0</v>
      </c>
      <c r="N230" s="20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20">
        <v>0</v>
      </c>
      <c r="Z230" s="19">
        <v>0</v>
      </c>
      <c r="AA230" s="19">
        <v>0</v>
      </c>
      <c r="AB230" t="str">
        <f>VLOOKUP(E:E,笔记匹配!A:N,3,FALSE)</f>
        <v>小雪教瑜伽</v>
      </c>
      <c r="AC230" t="str">
        <f>VLOOKUP(E:E,笔记匹配!A:N,2,FALSE)</f>
        <v>筋膜枪</v>
      </c>
      <c r="AD230" t="str">
        <f>VLOOKUP(E:E,笔记匹配!A:N,4,FALSE)</f>
        <v>云麦筋膜枪cc</v>
      </c>
      <c r="AE230" t="str">
        <f>VLOOKUP(E:E,笔记匹配!A:N,14,FALSE)</f>
        <v>云麦筋膜枪cc</v>
      </c>
      <c r="AF230" t="str">
        <f>VLOOKUP(E:E,笔记匹配!A:N,6,FALSE)</f>
        <v>瘦肌肉腿必备&amp;筋膜枪按摩跟练教程</v>
      </c>
    </row>
    <row r="231" spans="1:32">
      <c r="A231" s="18" t="s">
        <v>36</v>
      </c>
      <c r="B231" s="18" t="s">
        <v>695</v>
      </c>
      <c r="C231" s="19">
        <v>15180653</v>
      </c>
      <c r="D231" s="18" t="s">
        <v>209</v>
      </c>
      <c r="E231" s="18" t="s">
        <v>408</v>
      </c>
      <c r="F231" s="18" t="s">
        <v>1077</v>
      </c>
      <c r="G231" s="19">
        <v>3007667</v>
      </c>
      <c r="H231" s="18" t="s">
        <v>1077</v>
      </c>
      <c r="I231" s="19">
        <v>2405911</v>
      </c>
      <c r="J231" s="18" t="s">
        <v>1015</v>
      </c>
      <c r="K231" s="19">
        <v>0</v>
      </c>
      <c r="L231" s="19">
        <v>0</v>
      </c>
      <c r="M231" s="19">
        <v>0</v>
      </c>
      <c r="N231" s="20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20">
        <v>0</v>
      </c>
      <c r="Z231" s="19">
        <v>0</v>
      </c>
      <c r="AA231" s="19">
        <v>0</v>
      </c>
      <c r="AB231" t="str">
        <f>VLOOKUP(E:E,笔记匹配!A:N,3,FALSE)</f>
        <v>努力变好的yy</v>
      </c>
      <c r="AC231" t="str">
        <f>VLOOKUP(E:E,笔记匹配!A:N,2,FALSE)</f>
        <v>筋膜枪</v>
      </c>
      <c r="AD231" t="str">
        <f>VLOOKUP(E:E,笔记匹配!A:N,4,FALSE)</f>
        <v>云麦cc筋膜枪</v>
      </c>
      <c r="AE231" t="str">
        <f>VLOOKUP(E:E,笔记匹配!A:N,14,FALSE)</f>
        <v>云麦筋膜枪cc</v>
      </c>
      <c r="AF231" t="str">
        <f>VLOOKUP(E:E,笔记匹配!A:N,6,FALSE)</f>
        <v>筋膜枪➕泡沫轴｜运动后全套放松动作分享！！</v>
      </c>
    </row>
    <row r="232" spans="1:32">
      <c r="A232" s="18" t="s">
        <v>36</v>
      </c>
      <c r="B232" s="18" t="s">
        <v>1080</v>
      </c>
      <c r="C232" s="19">
        <v>15248000</v>
      </c>
      <c r="D232" s="18" t="s">
        <v>196</v>
      </c>
      <c r="E232" s="18" t="s">
        <v>400</v>
      </c>
      <c r="F232" s="18" t="s">
        <v>1081</v>
      </c>
      <c r="G232" s="19">
        <v>3014737</v>
      </c>
      <c r="H232" s="18" t="s">
        <v>1081</v>
      </c>
      <c r="I232" s="19">
        <v>2412630</v>
      </c>
      <c r="J232" s="18" t="s">
        <v>1015</v>
      </c>
      <c r="K232" s="19">
        <v>0.6</v>
      </c>
      <c r="L232" s="19">
        <v>19</v>
      </c>
      <c r="M232" s="19">
        <v>2</v>
      </c>
      <c r="N232" s="20">
        <v>0.1053</v>
      </c>
      <c r="O232" s="19">
        <v>0.3</v>
      </c>
      <c r="P232" s="19">
        <v>31.58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20">
        <v>0</v>
      </c>
      <c r="Z232" s="19">
        <v>0</v>
      </c>
      <c r="AA232" s="19">
        <v>0</v>
      </c>
      <c r="AB232" t="str">
        <f>VLOOKUP(E:E,笔记匹配!A:N,3,FALSE)</f>
        <v>小雪教瑜伽</v>
      </c>
      <c r="AC232" t="str">
        <f>VLOOKUP(E:E,笔记匹配!A:N,2,FALSE)</f>
        <v>筋膜枪</v>
      </c>
      <c r="AD232" t="str">
        <f>VLOOKUP(E:E,笔记匹配!A:N,4,FALSE)</f>
        <v>云麦筋膜枪cc</v>
      </c>
      <c r="AE232" t="str">
        <f>VLOOKUP(E:E,笔记匹配!A:N,14,FALSE)</f>
        <v>云麦筋膜枪cc</v>
      </c>
      <c r="AF232" t="str">
        <f>VLOOKUP(E:E,笔记匹配!A:N,6,FALSE)</f>
        <v>瘦肌肉腿必备&amp;筋膜枪按摩跟练教程</v>
      </c>
    </row>
    <row r="233" spans="1:32">
      <c r="A233" s="18" t="s">
        <v>36</v>
      </c>
      <c r="B233" s="18" t="s">
        <v>704</v>
      </c>
      <c r="C233" s="19">
        <v>15248253</v>
      </c>
      <c r="D233" s="18" t="s">
        <v>209</v>
      </c>
      <c r="E233" s="18" t="s">
        <v>497</v>
      </c>
      <c r="F233" s="18" t="s">
        <v>1084</v>
      </c>
      <c r="G233" s="19">
        <v>3014764</v>
      </c>
      <c r="H233" s="18" t="s">
        <v>1085</v>
      </c>
      <c r="I233" s="19">
        <v>2412653</v>
      </c>
      <c r="J233" s="18" t="s">
        <v>1015</v>
      </c>
      <c r="K233" s="19">
        <v>502.84</v>
      </c>
      <c r="L233" s="19">
        <v>55028</v>
      </c>
      <c r="M233" s="19">
        <v>3432</v>
      </c>
      <c r="N233" s="20">
        <v>0.0624</v>
      </c>
      <c r="O233" s="19">
        <v>0.15</v>
      </c>
      <c r="P233" s="19">
        <v>9.14</v>
      </c>
      <c r="Q233" s="19">
        <v>54</v>
      </c>
      <c r="R233" s="19">
        <v>3</v>
      </c>
      <c r="S233" s="19">
        <v>24</v>
      </c>
      <c r="T233" s="19">
        <v>2</v>
      </c>
      <c r="U233" s="19">
        <v>5</v>
      </c>
      <c r="V233" s="19">
        <v>88</v>
      </c>
      <c r="W233" s="19">
        <v>5.71</v>
      </c>
      <c r="X233" s="19">
        <v>0</v>
      </c>
      <c r="Y233" s="20">
        <v>0</v>
      </c>
      <c r="Z233" s="19">
        <v>1</v>
      </c>
      <c r="AA233" s="19">
        <v>6</v>
      </c>
      <c r="AB233" t="str">
        <f>VLOOKUP(E:E,笔记匹配!A:N,3,FALSE)</f>
        <v>小方今天瘦了吗</v>
      </c>
      <c r="AC233" t="str">
        <f>VLOOKUP(E:E,笔记匹配!A:N,2,FALSE)</f>
        <v>体脂秤</v>
      </c>
      <c r="AD233" t="str">
        <f>VLOOKUP(E:E,笔记匹配!A:N,4,FALSE)</f>
        <v>云麦3mini</v>
      </c>
      <c r="AE233" t="str">
        <f>VLOOKUP(E:E,笔记匹配!A:N,14,FALSE)</f>
        <v>云麦体脂秤3mini</v>
      </c>
      <c r="AF233" t="str">
        <f>VLOOKUP(E:E,笔记匹配!A:N,6,FALSE)</f>
        <v>大基数无运动节食减45斤 （饮食习惯/食谱‼️）</v>
      </c>
    </row>
    <row r="234" spans="1:32">
      <c r="A234" s="18" t="s">
        <v>36</v>
      </c>
      <c r="B234" s="18" t="s">
        <v>231</v>
      </c>
      <c r="C234" s="19">
        <v>15248486</v>
      </c>
      <c r="D234" s="18" t="s">
        <v>209</v>
      </c>
      <c r="E234" s="18" t="s">
        <v>234</v>
      </c>
      <c r="F234" s="18" t="s">
        <v>1089</v>
      </c>
      <c r="G234" s="19">
        <v>3014783</v>
      </c>
      <c r="H234" s="18" t="s">
        <v>1089</v>
      </c>
      <c r="I234" s="19">
        <v>2412680</v>
      </c>
      <c r="J234" s="18" t="s">
        <v>1015</v>
      </c>
      <c r="K234" s="19">
        <v>710.33</v>
      </c>
      <c r="L234" s="19">
        <v>84932</v>
      </c>
      <c r="M234" s="19">
        <v>4685</v>
      </c>
      <c r="N234" s="20">
        <v>0.0552</v>
      </c>
      <c r="O234" s="19">
        <v>0.15</v>
      </c>
      <c r="P234" s="19">
        <v>8.36</v>
      </c>
      <c r="Q234" s="19">
        <v>61</v>
      </c>
      <c r="R234" s="19">
        <v>2</v>
      </c>
      <c r="S234" s="19">
        <v>39</v>
      </c>
      <c r="T234" s="19">
        <v>5</v>
      </c>
      <c r="U234" s="19">
        <v>1</v>
      </c>
      <c r="V234" s="19">
        <v>108</v>
      </c>
      <c r="W234" s="19">
        <v>6.58</v>
      </c>
      <c r="X234" s="19">
        <v>0</v>
      </c>
      <c r="Y234" s="20">
        <v>0</v>
      </c>
      <c r="Z234" s="19">
        <v>5</v>
      </c>
      <c r="AA234" s="19">
        <v>3</v>
      </c>
      <c r="AB234" t="str">
        <f>VLOOKUP(E:E,笔记匹配!A:N,3,FALSE)</f>
        <v>pp</v>
      </c>
      <c r="AC234" t="str">
        <f>VLOOKUP(E:E,笔记匹配!A:N,2,FALSE)</f>
        <v>体脂秤</v>
      </c>
      <c r="AD234" t="str">
        <f>VLOOKUP(E:E,笔记匹配!A:N,4,FALSE)</f>
        <v>云麦体脂秤3mini</v>
      </c>
      <c r="AE234" t="str">
        <f>VLOOKUP(E:E,笔记匹配!A:N,14,FALSE)</f>
        <v>云麦体脂秤3mini</v>
      </c>
      <c r="AF234" t="str">
        <f>VLOOKUP(E:E,笔记匹配!A:N,6,FALSE)</f>
        <v>110到88 一些减肥小建议｜如何正确运动</v>
      </c>
    </row>
    <row r="235" spans="1:32">
      <c r="A235" s="18" t="s">
        <v>36</v>
      </c>
      <c r="B235" s="18" t="s">
        <v>587</v>
      </c>
      <c r="C235" s="19">
        <v>15295967</v>
      </c>
      <c r="D235" s="18" t="s">
        <v>209</v>
      </c>
      <c r="E235" s="18" t="s">
        <v>400</v>
      </c>
      <c r="F235" s="18" t="s">
        <v>1090</v>
      </c>
      <c r="G235" s="19">
        <v>3020475</v>
      </c>
      <c r="H235" s="18" t="s">
        <v>1091</v>
      </c>
      <c r="I235" s="19">
        <v>2418288</v>
      </c>
      <c r="J235" s="18" t="s">
        <v>1015</v>
      </c>
      <c r="K235" s="19">
        <v>917.53</v>
      </c>
      <c r="L235" s="19">
        <v>81656</v>
      </c>
      <c r="M235" s="19">
        <v>5822</v>
      </c>
      <c r="N235" s="20">
        <v>0.0713</v>
      </c>
      <c r="O235" s="19">
        <v>0.16</v>
      </c>
      <c r="P235" s="19">
        <v>11.24</v>
      </c>
      <c r="Q235" s="19">
        <v>175</v>
      </c>
      <c r="R235" s="19">
        <v>0</v>
      </c>
      <c r="S235" s="19">
        <v>168</v>
      </c>
      <c r="T235" s="19">
        <v>6</v>
      </c>
      <c r="U235" s="19">
        <v>10</v>
      </c>
      <c r="V235" s="19">
        <v>359</v>
      </c>
      <c r="W235" s="19">
        <v>2.56</v>
      </c>
      <c r="X235" s="19">
        <v>0</v>
      </c>
      <c r="Y235" s="20">
        <v>0</v>
      </c>
      <c r="Z235" s="19">
        <v>5</v>
      </c>
      <c r="AA235" s="19">
        <v>6</v>
      </c>
      <c r="AB235" t="str">
        <f>VLOOKUP(E:E,笔记匹配!A:N,3,FALSE)</f>
        <v>小雪教瑜伽</v>
      </c>
      <c r="AC235" t="str">
        <f>VLOOKUP(E:E,笔记匹配!A:N,2,FALSE)</f>
        <v>筋膜枪</v>
      </c>
      <c r="AD235" t="str">
        <f>VLOOKUP(E:E,笔记匹配!A:N,4,FALSE)</f>
        <v>云麦筋膜枪cc</v>
      </c>
      <c r="AE235" t="str">
        <f>VLOOKUP(E:E,笔记匹配!A:N,14,FALSE)</f>
        <v>云麦筋膜枪cc</v>
      </c>
      <c r="AF235" t="str">
        <f>VLOOKUP(E:E,笔记匹配!A:N,6,FALSE)</f>
        <v>瘦肌肉腿必备&amp;筋膜枪按摩跟练教程</v>
      </c>
    </row>
    <row r="236" spans="1:32">
      <c r="A236" s="18" t="s">
        <v>36</v>
      </c>
      <c r="B236" s="18" t="s">
        <v>707</v>
      </c>
      <c r="C236" s="19">
        <v>15296197</v>
      </c>
      <c r="D236" s="18" t="s">
        <v>209</v>
      </c>
      <c r="E236" s="18" t="s">
        <v>420</v>
      </c>
      <c r="F236" s="18" t="s">
        <v>1092</v>
      </c>
      <c r="G236" s="19">
        <v>3020499</v>
      </c>
      <c r="H236" s="18" t="s">
        <v>1092</v>
      </c>
      <c r="I236" s="19">
        <v>2418330</v>
      </c>
      <c r="J236" s="18" t="s">
        <v>1015</v>
      </c>
      <c r="K236" s="19">
        <v>6.52</v>
      </c>
      <c r="L236" s="19">
        <v>1345</v>
      </c>
      <c r="M236" s="19">
        <v>107</v>
      </c>
      <c r="N236" s="20">
        <v>0.0796</v>
      </c>
      <c r="O236" s="19">
        <v>0.06</v>
      </c>
      <c r="P236" s="19">
        <v>4.85</v>
      </c>
      <c r="Q236" s="19">
        <v>1</v>
      </c>
      <c r="R236" s="19">
        <v>0</v>
      </c>
      <c r="S236" s="19">
        <v>0</v>
      </c>
      <c r="T236" s="19">
        <v>0</v>
      </c>
      <c r="U236" s="19">
        <v>0</v>
      </c>
      <c r="V236" s="19">
        <v>1</v>
      </c>
      <c r="W236" s="19">
        <v>6.52</v>
      </c>
      <c r="X236" s="19">
        <v>0</v>
      </c>
      <c r="Y236" s="20">
        <v>0</v>
      </c>
      <c r="Z236" s="19">
        <v>0</v>
      </c>
      <c r="AA236" s="19">
        <v>0</v>
      </c>
      <c r="AB236" t="str">
        <f>VLOOKUP(E:E,笔记匹配!A:N,3,FALSE)</f>
        <v>干坐着的小瑶</v>
      </c>
      <c r="AC236" t="str">
        <f>VLOOKUP(E:E,笔记匹配!A:N,2,FALSE)</f>
        <v>筋膜枪</v>
      </c>
      <c r="AD236" t="str">
        <f>VLOOKUP(E:E,笔记匹配!A:N,4,FALSE)</f>
        <v>云麦cc筋膜枪</v>
      </c>
      <c r="AE236" t="str">
        <f>VLOOKUP(E:E,笔记匹配!A:N,14,FALSE)</f>
        <v>云麦筋膜枪cc</v>
      </c>
      <c r="AF236" t="str">
        <f>VLOOKUP(E:E,笔记匹配!A:N,6,FALSE)</f>
        <v>筋膜枪🆚泡沫轴🆚筋膜球，怎么选❓哪个好❓</v>
      </c>
    </row>
    <row r="237" spans="1:32">
      <c r="A237" s="18" t="s">
        <v>36</v>
      </c>
      <c r="B237" s="18" t="s">
        <v>716</v>
      </c>
      <c r="C237" s="19">
        <v>15296992</v>
      </c>
      <c r="D237" s="18" t="s">
        <v>209</v>
      </c>
      <c r="E237" s="18" t="s">
        <v>494</v>
      </c>
      <c r="F237" s="18" t="s">
        <v>1094</v>
      </c>
      <c r="G237" s="19">
        <v>3020613</v>
      </c>
      <c r="H237" s="18" t="s">
        <v>1094</v>
      </c>
      <c r="I237" s="19">
        <v>2418438</v>
      </c>
      <c r="J237" s="18" t="s">
        <v>1015</v>
      </c>
      <c r="K237" s="19">
        <v>257.78</v>
      </c>
      <c r="L237" s="19">
        <v>22704</v>
      </c>
      <c r="M237" s="19">
        <v>1580</v>
      </c>
      <c r="N237" s="20">
        <v>0.0696</v>
      </c>
      <c r="O237" s="19">
        <v>0.16</v>
      </c>
      <c r="P237" s="19">
        <v>11.35</v>
      </c>
      <c r="Q237" s="19">
        <v>60</v>
      </c>
      <c r="R237" s="19">
        <v>8</v>
      </c>
      <c r="S237" s="19">
        <v>40</v>
      </c>
      <c r="T237" s="19">
        <v>26</v>
      </c>
      <c r="U237" s="19">
        <v>4</v>
      </c>
      <c r="V237" s="19">
        <v>138</v>
      </c>
      <c r="W237" s="19">
        <v>1.87</v>
      </c>
      <c r="X237" s="19">
        <v>0</v>
      </c>
      <c r="Y237" s="20">
        <v>0</v>
      </c>
      <c r="Z237" s="19">
        <v>3</v>
      </c>
      <c r="AA237" s="19">
        <v>1</v>
      </c>
      <c r="AB237" t="str">
        <f>VLOOKUP(E:E,笔记匹配!A:N,3,FALSE)</f>
        <v>凯琳KatherineW</v>
      </c>
      <c r="AC237" t="str">
        <f>VLOOKUP(E:E,笔记匹配!A:N,2,FALSE)</f>
        <v>跳绳</v>
      </c>
      <c r="AD237" t="str">
        <f>VLOOKUP(E:E,笔记匹配!A:N,4,FALSE)</f>
        <v>云麦心率跳绳</v>
      </c>
      <c r="AE237" t="str">
        <f>VLOOKUP(E:E,笔记匹配!A:N,14,FALSE)</f>
        <v>云麦心率跳绳</v>
      </c>
      <c r="AF237" t="str">
        <f>VLOOKUP(E:E,笔记匹配!A:N,6,FALSE)</f>
        <v>无绳卡点暴汗230卡跟练 ｜小基数瘦腿瘦全身</v>
      </c>
    </row>
    <row r="238" spans="1:32">
      <c r="A238" s="18" t="s">
        <v>36</v>
      </c>
      <c r="B238" s="18" t="s">
        <v>713</v>
      </c>
      <c r="C238" s="19">
        <v>15297115</v>
      </c>
      <c r="D238" s="18" t="s">
        <v>209</v>
      </c>
      <c r="E238" s="18" t="s">
        <v>496</v>
      </c>
      <c r="F238" s="18" t="s">
        <v>1095</v>
      </c>
      <c r="G238" s="19">
        <v>3020628</v>
      </c>
      <c r="H238" s="18" t="s">
        <v>1095</v>
      </c>
      <c r="I238" s="19">
        <v>2418459</v>
      </c>
      <c r="J238" s="18" t="s">
        <v>1015</v>
      </c>
      <c r="K238" s="19">
        <v>0</v>
      </c>
      <c r="L238" s="19">
        <v>0</v>
      </c>
      <c r="M238" s="19">
        <v>0</v>
      </c>
      <c r="N238" s="20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20">
        <v>0</v>
      </c>
      <c r="Z238" s="19">
        <v>0</v>
      </c>
      <c r="AA238" s="19">
        <v>0</v>
      </c>
      <c r="AB238" t="str">
        <f>VLOOKUP(E:E,笔记匹配!A:N,3,FALSE)</f>
        <v>杨大大的预备辣妹日记</v>
      </c>
      <c r="AC238" t="str">
        <f>VLOOKUP(E:E,笔记匹配!A:N,2,FALSE)</f>
        <v>跳绳</v>
      </c>
      <c r="AD238" t="str">
        <f>VLOOKUP(E:E,笔记匹配!A:N,4,FALSE)</f>
        <v>云麦心率跳绳</v>
      </c>
      <c r="AE238" t="str">
        <f>VLOOKUP(E:E,笔记匹配!A:N,14,FALSE)</f>
        <v>云麦心率跳绳</v>
      </c>
      <c r="AF238" t="str">
        <f>VLOOKUP(E:E,笔记匹配!A:N,6,FALSE)</f>
        <v>130-110斤跳绳不复胖‼️间歇性跳绳减脂快</v>
      </c>
    </row>
    <row r="239" spans="1:32">
      <c r="A239" s="18" t="s">
        <v>36</v>
      </c>
      <c r="B239" s="18" t="s">
        <v>719</v>
      </c>
      <c r="C239" s="19">
        <v>15353127</v>
      </c>
      <c r="D239" s="18" t="s">
        <v>209</v>
      </c>
      <c r="E239" s="18" t="s">
        <v>490</v>
      </c>
      <c r="F239" s="18" t="s">
        <v>1096</v>
      </c>
      <c r="G239" s="19">
        <v>3028319</v>
      </c>
      <c r="H239" s="18" t="s">
        <v>1096</v>
      </c>
      <c r="I239" s="19">
        <v>2426112</v>
      </c>
      <c r="J239" s="18" t="s">
        <v>1015</v>
      </c>
      <c r="K239" s="19">
        <v>73.67</v>
      </c>
      <c r="L239" s="19">
        <v>5088</v>
      </c>
      <c r="M239" s="19">
        <v>399</v>
      </c>
      <c r="N239" s="20">
        <v>0.0784</v>
      </c>
      <c r="O239" s="19">
        <v>0.18</v>
      </c>
      <c r="P239" s="19">
        <v>14.48</v>
      </c>
      <c r="Q239" s="19">
        <v>7</v>
      </c>
      <c r="R239" s="19">
        <v>0</v>
      </c>
      <c r="S239" s="19">
        <v>6</v>
      </c>
      <c r="T239" s="19">
        <v>1</v>
      </c>
      <c r="U239" s="19">
        <v>0</v>
      </c>
      <c r="V239" s="19">
        <v>14</v>
      </c>
      <c r="W239" s="19">
        <v>5.26</v>
      </c>
      <c r="X239" s="19">
        <v>0</v>
      </c>
      <c r="Y239" s="20">
        <v>0</v>
      </c>
      <c r="Z239" s="19">
        <v>0</v>
      </c>
      <c r="AA239" s="19">
        <v>0</v>
      </c>
      <c r="AB239" t="str">
        <f>VLOOKUP(E:E,笔记匹配!A:N,3,FALSE)</f>
        <v>丫丫小姐姐</v>
      </c>
      <c r="AC239" t="str">
        <f>VLOOKUP(E:E,笔记匹配!A:N,2,FALSE)</f>
        <v>跳绳</v>
      </c>
      <c r="AD239" t="str">
        <f>VLOOKUP(E:E,笔记匹配!A:N,4,FALSE)</f>
        <v>云麦心率跳绳</v>
      </c>
      <c r="AE239" t="str">
        <f>VLOOKUP(E:E,笔记匹配!A:N,14,FALSE)</f>
        <v>云麦心率跳绳</v>
      </c>
      <c r="AF239" t="str">
        <f>VLOOKUP(E:E,笔记匹配!A:N,6,FALSE)</f>
        <v>产后辣妈恢复秘诀 | 学会这样跳不瘦都不行</v>
      </c>
    </row>
    <row r="240" spans="1:32">
      <c r="A240" s="18" t="s">
        <v>37</v>
      </c>
      <c r="B240" s="18" t="s">
        <v>1018</v>
      </c>
      <c r="C240" s="19">
        <v>14752018</v>
      </c>
      <c r="D240" s="18" t="s">
        <v>209</v>
      </c>
      <c r="E240" s="18" t="s">
        <v>516</v>
      </c>
      <c r="F240" s="18" t="s">
        <v>1019</v>
      </c>
      <c r="G240" s="19">
        <v>2959750</v>
      </c>
      <c r="H240" s="18" t="s">
        <v>1020</v>
      </c>
      <c r="I240" s="19">
        <v>2362546</v>
      </c>
      <c r="J240" s="18" t="s">
        <v>1015</v>
      </c>
      <c r="K240" s="19">
        <v>0</v>
      </c>
      <c r="L240" s="19">
        <v>0</v>
      </c>
      <c r="M240" s="19">
        <v>0</v>
      </c>
      <c r="N240" s="20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20">
        <v>0</v>
      </c>
      <c r="Z240" s="19">
        <v>0</v>
      </c>
      <c r="AA240" s="19">
        <v>0</v>
      </c>
      <c r="AB240" t="str">
        <f>VLOOKUP(E:E,笔记匹配!A:N,3,FALSE)</f>
        <v>爱跳绳的粥粥</v>
      </c>
      <c r="AC240" t="str">
        <f>VLOOKUP(E:E,笔记匹配!A:N,2,FALSE)</f>
        <v>跳绳</v>
      </c>
      <c r="AD240" t="str">
        <f>VLOOKUP(E:E,笔记匹配!A:N,4,FALSE)</f>
        <v>云麦跳绳心率款</v>
      </c>
      <c r="AE240" t="str">
        <f>VLOOKUP(E:E,笔记匹配!A:N,14,FALSE)</f>
        <v>云麦心率跳绳</v>
      </c>
      <c r="AF240" t="str">
        <f>VLOOKUP(E:E,笔记匹配!A:N,6,FALSE)</f>
        <v>坚持跳绳瘦24斤这个高效跳绳组合你一定要跳</v>
      </c>
    </row>
    <row r="241" spans="1:32">
      <c r="A241" s="18" t="s">
        <v>37</v>
      </c>
      <c r="B241" s="18" t="s">
        <v>1057</v>
      </c>
      <c r="C241" s="19">
        <v>14976642</v>
      </c>
      <c r="D241" s="18" t="s">
        <v>209</v>
      </c>
      <c r="E241" s="18" t="s">
        <v>509</v>
      </c>
      <c r="F241" s="18" t="s">
        <v>1058</v>
      </c>
      <c r="G241" s="19">
        <v>2984144</v>
      </c>
      <c r="H241" s="18" t="s">
        <v>1059</v>
      </c>
      <c r="I241" s="19">
        <v>2385921</v>
      </c>
      <c r="J241" s="18" t="s">
        <v>1015</v>
      </c>
      <c r="K241" s="19">
        <v>0</v>
      </c>
      <c r="L241" s="19">
        <v>0</v>
      </c>
      <c r="M241" s="19">
        <v>0</v>
      </c>
      <c r="N241" s="20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0</v>
      </c>
      <c r="X241" s="19">
        <v>0</v>
      </c>
      <c r="Y241" s="20">
        <v>0</v>
      </c>
      <c r="Z241" s="19">
        <v>0</v>
      </c>
      <c r="AA241" s="19">
        <v>0</v>
      </c>
      <c r="AB241" t="str">
        <f>VLOOKUP(E:E,笔记匹配!A:N,3,FALSE)</f>
        <v>小小李</v>
      </c>
      <c r="AC241" t="str">
        <f>VLOOKUP(E:E,笔记匹配!A:N,2,FALSE)</f>
        <v>跳绳</v>
      </c>
      <c r="AD241" t="str">
        <f>VLOOKUP(E:E,笔记匹配!A:N,4,FALSE)</f>
        <v>云麦心率跳绳</v>
      </c>
      <c r="AE241" t="str">
        <f>VLOOKUP(E:E,笔记匹配!A:N,14,FALSE)</f>
        <v>云麦心率跳绳</v>
      </c>
      <c r="AF241" t="str">
        <f>VLOOKUP(E:E,笔记匹配!A:N,6,FALSE)</f>
        <v>4分钟跳绳TABATA | 居家高效燃脂瘦全身</v>
      </c>
    </row>
    <row r="242" spans="1:32">
      <c r="A242" s="18" t="s">
        <v>37</v>
      </c>
      <c r="B242" s="18" t="s">
        <v>680</v>
      </c>
      <c r="C242" s="19">
        <v>14978184</v>
      </c>
      <c r="D242" s="18" t="s">
        <v>209</v>
      </c>
      <c r="E242" s="18" t="s">
        <v>513</v>
      </c>
      <c r="F242" s="18" t="s">
        <v>1062</v>
      </c>
      <c r="G242" s="19">
        <v>2984400</v>
      </c>
      <c r="H242" s="18" t="s">
        <v>1062</v>
      </c>
      <c r="I242" s="19">
        <v>2386169</v>
      </c>
      <c r="J242" s="18" t="s">
        <v>1015</v>
      </c>
      <c r="K242" s="19">
        <v>0</v>
      </c>
      <c r="L242" s="19">
        <v>0</v>
      </c>
      <c r="M242" s="19">
        <v>0</v>
      </c>
      <c r="N242" s="20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20">
        <v>0</v>
      </c>
      <c r="Z242" s="19">
        <v>0</v>
      </c>
      <c r="AA242" s="19">
        <v>0</v>
      </c>
      <c r="AB242" t="str">
        <f>VLOOKUP(E:E,笔记匹配!A:N,3,FALSE)</f>
        <v>大桐yoto</v>
      </c>
      <c r="AC242" t="str">
        <f>VLOOKUP(E:E,笔记匹配!A:N,2,FALSE)</f>
        <v>跳绳</v>
      </c>
      <c r="AD242" t="str">
        <f>VLOOKUP(E:E,笔记匹配!A:N,4,FALSE)</f>
        <v>云麦3mini</v>
      </c>
      <c r="AE242" t="str">
        <f>VLOOKUP(E:E,笔记匹配!A:N,14,FALSE)</f>
        <v>云麦体脂秤3mini</v>
      </c>
      <c r="AF242" t="str">
        <f>VLOOKUP(E:E,笔记匹配!A:N,6,FALSE)</f>
        <v>减肥就是要饿｜饮食和运动的完整计划在这里</v>
      </c>
    </row>
    <row r="243" spans="1:32">
      <c r="A243" s="18" t="s">
        <v>37</v>
      </c>
      <c r="B243" s="18" t="s">
        <v>587</v>
      </c>
      <c r="C243" s="19">
        <v>15088839</v>
      </c>
      <c r="D243" s="18" t="s">
        <v>209</v>
      </c>
      <c r="E243" s="18" t="s">
        <v>400</v>
      </c>
      <c r="F243" s="18" t="s">
        <v>1067</v>
      </c>
      <c r="G243" s="19">
        <v>3001667</v>
      </c>
      <c r="H243" s="18" t="s">
        <v>1068</v>
      </c>
      <c r="I243" s="19">
        <v>2400711</v>
      </c>
      <c r="J243" s="18" t="s">
        <v>1015</v>
      </c>
      <c r="K243" s="19">
        <v>0</v>
      </c>
      <c r="L243" s="19">
        <v>0</v>
      </c>
      <c r="M243" s="19">
        <v>0</v>
      </c>
      <c r="N243" s="20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20">
        <v>0</v>
      </c>
      <c r="Z243" s="19">
        <v>0</v>
      </c>
      <c r="AA243" s="19">
        <v>0</v>
      </c>
      <c r="AB243" t="str">
        <f>VLOOKUP(E:E,笔记匹配!A:N,3,FALSE)</f>
        <v>小雪教瑜伽</v>
      </c>
      <c r="AC243" t="str">
        <f>VLOOKUP(E:E,笔记匹配!A:N,2,FALSE)</f>
        <v>筋膜枪</v>
      </c>
      <c r="AD243" t="str">
        <f>VLOOKUP(E:E,笔记匹配!A:N,4,FALSE)</f>
        <v>云麦筋膜枪cc</v>
      </c>
      <c r="AE243" t="str">
        <f>VLOOKUP(E:E,笔记匹配!A:N,14,FALSE)</f>
        <v>云麦筋膜枪cc</v>
      </c>
      <c r="AF243" t="str">
        <f>VLOOKUP(E:E,笔记匹配!A:N,6,FALSE)</f>
        <v>瘦肌肉腿必备&amp;筋膜枪按摩跟练教程</v>
      </c>
    </row>
    <row r="244" spans="1:32">
      <c r="A244" s="18" t="s">
        <v>37</v>
      </c>
      <c r="B244" s="18" t="s">
        <v>587</v>
      </c>
      <c r="C244" s="19">
        <v>15179597</v>
      </c>
      <c r="D244" s="18" t="s">
        <v>209</v>
      </c>
      <c r="E244" s="18" t="s">
        <v>400</v>
      </c>
      <c r="F244" s="18" t="s">
        <v>1074</v>
      </c>
      <c r="G244" s="19">
        <v>3007578</v>
      </c>
      <c r="H244" s="18" t="s">
        <v>1074</v>
      </c>
      <c r="I244" s="19">
        <v>2405816</v>
      </c>
      <c r="J244" s="18" t="s">
        <v>1015</v>
      </c>
      <c r="K244" s="19">
        <v>0</v>
      </c>
      <c r="L244" s="19">
        <v>0</v>
      </c>
      <c r="M244" s="19">
        <v>0</v>
      </c>
      <c r="N244" s="20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20">
        <v>0</v>
      </c>
      <c r="Z244" s="19">
        <v>0</v>
      </c>
      <c r="AA244" s="19">
        <v>0</v>
      </c>
      <c r="AB244" t="str">
        <f>VLOOKUP(E:E,笔记匹配!A:N,3,FALSE)</f>
        <v>小雪教瑜伽</v>
      </c>
      <c r="AC244" t="str">
        <f>VLOOKUP(E:E,笔记匹配!A:N,2,FALSE)</f>
        <v>筋膜枪</v>
      </c>
      <c r="AD244" t="str">
        <f>VLOOKUP(E:E,笔记匹配!A:N,4,FALSE)</f>
        <v>云麦筋膜枪cc</v>
      </c>
      <c r="AE244" t="str">
        <f>VLOOKUP(E:E,笔记匹配!A:N,14,FALSE)</f>
        <v>云麦筋膜枪cc</v>
      </c>
      <c r="AF244" t="str">
        <f>VLOOKUP(E:E,笔记匹配!A:N,6,FALSE)</f>
        <v>瘦肌肉腿必备&amp;筋膜枪按摩跟练教程</v>
      </c>
    </row>
    <row r="245" spans="1:32">
      <c r="A245" s="18" t="s">
        <v>37</v>
      </c>
      <c r="B245" s="18" t="s">
        <v>698</v>
      </c>
      <c r="C245" s="19">
        <v>15180603</v>
      </c>
      <c r="D245" s="18" t="s">
        <v>209</v>
      </c>
      <c r="E245" s="18" t="s">
        <v>501</v>
      </c>
      <c r="F245" s="18" t="s">
        <v>1076</v>
      </c>
      <c r="G245" s="19">
        <v>3007662</v>
      </c>
      <c r="H245" s="18" t="s">
        <v>1076</v>
      </c>
      <c r="I245" s="19">
        <v>2405908</v>
      </c>
      <c r="J245" s="18" t="s">
        <v>1015</v>
      </c>
      <c r="K245" s="19">
        <v>0</v>
      </c>
      <c r="L245" s="19">
        <v>0</v>
      </c>
      <c r="M245" s="19">
        <v>0</v>
      </c>
      <c r="N245" s="20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20">
        <v>0</v>
      </c>
      <c r="Z245" s="19">
        <v>0</v>
      </c>
      <c r="AA245" s="19">
        <v>0</v>
      </c>
      <c r="AB245" t="str">
        <f>VLOOKUP(E:E,笔记匹配!A:N,3,FALSE)</f>
        <v>咕咕猪小短腿</v>
      </c>
      <c r="AC245" t="str">
        <f>VLOOKUP(E:E,笔记匹配!A:N,2,FALSE)</f>
        <v>体脂秤</v>
      </c>
      <c r="AD245" t="str">
        <f>VLOOKUP(E:E,笔记匹配!A:N,4,FALSE)</f>
        <v>云麦体脂秤3</v>
      </c>
      <c r="AE245" t="str">
        <f>VLOOKUP(E:E,笔记匹配!A:N,14,FALSE)</f>
        <v>云麦体脂秤3</v>
      </c>
      <c r="AF245" t="str">
        <f>VLOOKUP(E:E,笔记匹配!A:N,6,FALSE)</f>
        <v>笑死！一到称重就心虚到没耳朵</v>
      </c>
    </row>
    <row r="246" spans="1:32">
      <c r="A246" s="18" t="s">
        <v>37</v>
      </c>
      <c r="B246" s="18" t="s">
        <v>704</v>
      </c>
      <c r="C246" s="19">
        <v>15248253</v>
      </c>
      <c r="D246" s="18" t="s">
        <v>209</v>
      </c>
      <c r="E246" s="18" t="s">
        <v>497</v>
      </c>
      <c r="F246" s="18" t="s">
        <v>1084</v>
      </c>
      <c r="G246" s="19">
        <v>3014764</v>
      </c>
      <c r="H246" s="18" t="s">
        <v>1085</v>
      </c>
      <c r="I246" s="19">
        <v>2412653</v>
      </c>
      <c r="J246" s="18" t="s">
        <v>1015</v>
      </c>
      <c r="K246" s="19">
        <v>0.12</v>
      </c>
      <c r="L246" s="19">
        <v>27</v>
      </c>
      <c r="M246" s="19">
        <v>1</v>
      </c>
      <c r="N246" s="20">
        <v>0.037</v>
      </c>
      <c r="O246" s="19">
        <v>0.12</v>
      </c>
      <c r="P246" s="19">
        <v>4.44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20">
        <v>0</v>
      </c>
      <c r="Z246" s="19">
        <v>0</v>
      </c>
      <c r="AA246" s="19">
        <v>0</v>
      </c>
      <c r="AB246" t="str">
        <f>VLOOKUP(E:E,笔记匹配!A:N,3,FALSE)</f>
        <v>小方今天瘦了吗</v>
      </c>
      <c r="AC246" t="str">
        <f>VLOOKUP(E:E,笔记匹配!A:N,2,FALSE)</f>
        <v>体脂秤</v>
      </c>
      <c r="AD246" t="str">
        <f>VLOOKUP(E:E,笔记匹配!A:N,4,FALSE)</f>
        <v>云麦3mini</v>
      </c>
      <c r="AE246" t="str">
        <f>VLOOKUP(E:E,笔记匹配!A:N,14,FALSE)</f>
        <v>云麦体脂秤3mini</v>
      </c>
      <c r="AF246" t="str">
        <f>VLOOKUP(E:E,笔记匹配!A:N,6,FALSE)</f>
        <v>大基数无运动节食减45斤 （饮食习惯/食谱‼️）</v>
      </c>
    </row>
    <row r="247" spans="1:32">
      <c r="A247" s="18" t="s">
        <v>37</v>
      </c>
      <c r="B247" s="18" t="s">
        <v>231</v>
      </c>
      <c r="C247" s="19">
        <v>15248486</v>
      </c>
      <c r="D247" s="18" t="s">
        <v>209</v>
      </c>
      <c r="E247" s="18" t="s">
        <v>234</v>
      </c>
      <c r="F247" s="18" t="s">
        <v>1089</v>
      </c>
      <c r="G247" s="19">
        <v>3014783</v>
      </c>
      <c r="H247" s="18" t="s">
        <v>1089</v>
      </c>
      <c r="I247" s="19">
        <v>2412680</v>
      </c>
      <c r="J247" s="18" t="s">
        <v>1015</v>
      </c>
      <c r="K247" s="19">
        <v>953.57</v>
      </c>
      <c r="L247" s="19">
        <v>112516</v>
      </c>
      <c r="M247" s="19">
        <v>6085</v>
      </c>
      <c r="N247" s="20">
        <v>0.0541</v>
      </c>
      <c r="O247" s="19">
        <v>0.16</v>
      </c>
      <c r="P247" s="19">
        <v>8.47</v>
      </c>
      <c r="Q247" s="19">
        <v>89</v>
      </c>
      <c r="R247" s="19">
        <v>4</v>
      </c>
      <c r="S247" s="19">
        <v>31</v>
      </c>
      <c r="T247" s="19">
        <v>4</v>
      </c>
      <c r="U247" s="19">
        <v>1</v>
      </c>
      <c r="V247" s="19">
        <v>129</v>
      </c>
      <c r="W247" s="19">
        <v>7.39</v>
      </c>
      <c r="X247" s="19">
        <v>0</v>
      </c>
      <c r="Y247" s="20">
        <v>0</v>
      </c>
      <c r="Z247" s="19">
        <v>0</v>
      </c>
      <c r="AA247" s="19">
        <v>1</v>
      </c>
      <c r="AB247" t="str">
        <f>VLOOKUP(E:E,笔记匹配!A:N,3,FALSE)</f>
        <v>pp</v>
      </c>
      <c r="AC247" t="str">
        <f>VLOOKUP(E:E,笔记匹配!A:N,2,FALSE)</f>
        <v>体脂秤</v>
      </c>
      <c r="AD247" t="str">
        <f>VLOOKUP(E:E,笔记匹配!A:N,4,FALSE)</f>
        <v>云麦体脂秤3mini</v>
      </c>
      <c r="AE247" t="str">
        <f>VLOOKUP(E:E,笔记匹配!A:N,14,FALSE)</f>
        <v>云麦体脂秤3mini</v>
      </c>
      <c r="AF247" t="str">
        <f>VLOOKUP(E:E,笔记匹配!A:N,6,FALSE)</f>
        <v>110到88 一些减肥小建议｜如何正确运动</v>
      </c>
    </row>
    <row r="248" spans="1:32">
      <c r="A248" s="18" t="s">
        <v>37</v>
      </c>
      <c r="B248" s="18" t="s">
        <v>587</v>
      </c>
      <c r="C248" s="19">
        <v>15295967</v>
      </c>
      <c r="D248" s="18" t="s">
        <v>209</v>
      </c>
      <c r="E248" s="18" t="s">
        <v>400</v>
      </c>
      <c r="F248" s="18" t="s">
        <v>1090</v>
      </c>
      <c r="G248" s="19">
        <v>3020475</v>
      </c>
      <c r="H248" s="18" t="s">
        <v>1091</v>
      </c>
      <c r="I248" s="19">
        <v>2418288</v>
      </c>
      <c r="J248" s="18" t="s">
        <v>1015</v>
      </c>
      <c r="K248" s="19">
        <v>944.49</v>
      </c>
      <c r="L248" s="19">
        <v>123761</v>
      </c>
      <c r="M248" s="19">
        <v>8259</v>
      </c>
      <c r="N248" s="20">
        <v>0.0667</v>
      </c>
      <c r="O248" s="19">
        <v>0.11</v>
      </c>
      <c r="P248" s="19">
        <v>7.63</v>
      </c>
      <c r="Q248" s="19">
        <v>182</v>
      </c>
      <c r="R248" s="19">
        <v>5</v>
      </c>
      <c r="S248" s="19">
        <v>167</v>
      </c>
      <c r="T248" s="19">
        <v>22</v>
      </c>
      <c r="U248" s="19">
        <v>9</v>
      </c>
      <c r="V248" s="19">
        <v>385</v>
      </c>
      <c r="W248" s="19">
        <v>2.45</v>
      </c>
      <c r="X248" s="19">
        <v>0</v>
      </c>
      <c r="Y248" s="20">
        <v>0</v>
      </c>
      <c r="Z248" s="19">
        <v>4</v>
      </c>
      <c r="AA248" s="19">
        <v>6</v>
      </c>
      <c r="AB248" t="str">
        <f>VLOOKUP(E:E,笔记匹配!A:N,3,FALSE)</f>
        <v>小雪教瑜伽</v>
      </c>
      <c r="AC248" t="str">
        <f>VLOOKUP(E:E,笔记匹配!A:N,2,FALSE)</f>
        <v>筋膜枪</v>
      </c>
      <c r="AD248" t="str">
        <f>VLOOKUP(E:E,笔记匹配!A:N,4,FALSE)</f>
        <v>云麦筋膜枪cc</v>
      </c>
      <c r="AE248" t="str">
        <f>VLOOKUP(E:E,笔记匹配!A:N,14,FALSE)</f>
        <v>云麦筋膜枪cc</v>
      </c>
      <c r="AF248" t="str">
        <f>VLOOKUP(E:E,笔记匹配!A:N,6,FALSE)</f>
        <v>瘦肌肉腿必备&amp;筋膜枪按摩跟练教程</v>
      </c>
    </row>
    <row r="249" spans="1:32">
      <c r="A249" s="18" t="s">
        <v>37</v>
      </c>
      <c r="B249" s="18" t="s">
        <v>707</v>
      </c>
      <c r="C249" s="19">
        <v>15296197</v>
      </c>
      <c r="D249" s="18" t="s">
        <v>209</v>
      </c>
      <c r="E249" s="18" t="s">
        <v>420</v>
      </c>
      <c r="F249" s="18" t="s">
        <v>1092</v>
      </c>
      <c r="G249" s="19">
        <v>3020499</v>
      </c>
      <c r="H249" s="18" t="s">
        <v>1092</v>
      </c>
      <c r="I249" s="19">
        <v>2418330</v>
      </c>
      <c r="J249" s="18" t="s">
        <v>1015</v>
      </c>
      <c r="K249" s="19">
        <v>0</v>
      </c>
      <c r="L249" s="19">
        <v>0</v>
      </c>
      <c r="M249" s="19">
        <v>0</v>
      </c>
      <c r="N249" s="20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20">
        <v>0</v>
      </c>
      <c r="Z249" s="19">
        <v>0</v>
      </c>
      <c r="AA249" s="19">
        <v>0</v>
      </c>
      <c r="AB249" t="str">
        <f>VLOOKUP(E:E,笔记匹配!A:N,3,FALSE)</f>
        <v>干坐着的小瑶</v>
      </c>
      <c r="AC249" t="str">
        <f>VLOOKUP(E:E,笔记匹配!A:N,2,FALSE)</f>
        <v>筋膜枪</v>
      </c>
      <c r="AD249" t="str">
        <f>VLOOKUP(E:E,笔记匹配!A:N,4,FALSE)</f>
        <v>云麦cc筋膜枪</v>
      </c>
      <c r="AE249" t="str">
        <f>VLOOKUP(E:E,笔记匹配!A:N,14,FALSE)</f>
        <v>云麦筋膜枪cc</v>
      </c>
      <c r="AF249" t="str">
        <f>VLOOKUP(E:E,笔记匹配!A:N,6,FALSE)</f>
        <v>筋膜枪🆚泡沫轴🆚筋膜球，怎么选❓哪个好❓</v>
      </c>
    </row>
    <row r="250" spans="1:32">
      <c r="A250" s="18" t="s">
        <v>37</v>
      </c>
      <c r="B250" s="18" t="s">
        <v>716</v>
      </c>
      <c r="C250" s="19">
        <v>15296992</v>
      </c>
      <c r="D250" s="18" t="s">
        <v>209</v>
      </c>
      <c r="E250" s="18" t="s">
        <v>494</v>
      </c>
      <c r="F250" s="18" t="s">
        <v>1094</v>
      </c>
      <c r="G250" s="19">
        <v>3020613</v>
      </c>
      <c r="H250" s="18" t="s">
        <v>1094</v>
      </c>
      <c r="I250" s="19">
        <v>2418438</v>
      </c>
      <c r="J250" s="18" t="s">
        <v>1015</v>
      </c>
      <c r="K250" s="19">
        <v>684</v>
      </c>
      <c r="L250" s="19">
        <v>43399</v>
      </c>
      <c r="M250" s="19">
        <v>3379</v>
      </c>
      <c r="N250" s="20">
        <v>0.0779</v>
      </c>
      <c r="O250" s="19">
        <v>0.2</v>
      </c>
      <c r="P250" s="19">
        <v>15.76</v>
      </c>
      <c r="Q250" s="19">
        <v>118</v>
      </c>
      <c r="R250" s="19">
        <v>6</v>
      </c>
      <c r="S250" s="19">
        <v>169</v>
      </c>
      <c r="T250" s="19">
        <v>91</v>
      </c>
      <c r="U250" s="19">
        <v>3</v>
      </c>
      <c r="V250" s="19">
        <v>387</v>
      </c>
      <c r="W250" s="19">
        <v>1.77</v>
      </c>
      <c r="X250" s="19">
        <v>0</v>
      </c>
      <c r="Y250" s="20">
        <v>0</v>
      </c>
      <c r="Z250" s="19">
        <v>16</v>
      </c>
      <c r="AA250" s="19">
        <v>6</v>
      </c>
      <c r="AB250" t="str">
        <f>VLOOKUP(E:E,笔记匹配!A:N,3,FALSE)</f>
        <v>凯琳KatherineW</v>
      </c>
      <c r="AC250" t="str">
        <f>VLOOKUP(E:E,笔记匹配!A:N,2,FALSE)</f>
        <v>跳绳</v>
      </c>
      <c r="AD250" t="str">
        <f>VLOOKUP(E:E,笔记匹配!A:N,4,FALSE)</f>
        <v>云麦心率跳绳</v>
      </c>
      <c r="AE250" t="str">
        <f>VLOOKUP(E:E,笔记匹配!A:N,14,FALSE)</f>
        <v>云麦心率跳绳</v>
      </c>
      <c r="AF250" t="str">
        <f>VLOOKUP(E:E,笔记匹配!A:N,6,FALSE)</f>
        <v>无绳卡点暴汗230卡跟练 ｜小基数瘦腿瘦全身</v>
      </c>
    </row>
    <row r="251" spans="1:32">
      <c r="A251" s="18" t="s">
        <v>37</v>
      </c>
      <c r="B251" s="18" t="s">
        <v>719</v>
      </c>
      <c r="C251" s="19">
        <v>15353127</v>
      </c>
      <c r="D251" s="18" t="s">
        <v>209</v>
      </c>
      <c r="E251" s="18" t="s">
        <v>490</v>
      </c>
      <c r="F251" s="18" t="s">
        <v>1096</v>
      </c>
      <c r="G251" s="19">
        <v>3028319</v>
      </c>
      <c r="H251" s="18" t="s">
        <v>1096</v>
      </c>
      <c r="I251" s="19">
        <v>2426112</v>
      </c>
      <c r="J251" s="18" t="s">
        <v>1015</v>
      </c>
      <c r="K251" s="19">
        <v>8.67</v>
      </c>
      <c r="L251" s="19">
        <v>225</v>
      </c>
      <c r="M251" s="19">
        <v>33</v>
      </c>
      <c r="N251" s="20">
        <v>0.1467</v>
      </c>
      <c r="O251" s="19">
        <v>0.26</v>
      </c>
      <c r="P251" s="19">
        <v>38.53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20">
        <v>0</v>
      </c>
      <c r="Z251" s="19">
        <v>0</v>
      </c>
      <c r="AA251" s="19">
        <v>0</v>
      </c>
      <c r="AB251" t="str">
        <f>VLOOKUP(E:E,笔记匹配!A:N,3,FALSE)</f>
        <v>丫丫小姐姐</v>
      </c>
      <c r="AC251" t="str">
        <f>VLOOKUP(E:E,笔记匹配!A:N,2,FALSE)</f>
        <v>跳绳</v>
      </c>
      <c r="AD251" t="str">
        <f>VLOOKUP(E:E,笔记匹配!A:N,4,FALSE)</f>
        <v>云麦心率跳绳</v>
      </c>
      <c r="AE251" t="str">
        <f>VLOOKUP(E:E,笔记匹配!A:N,14,FALSE)</f>
        <v>云麦心率跳绳</v>
      </c>
      <c r="AF251" t="str">
        <f>VLOOKUP(E:E,笔记匹配!A:N,6,FALSE)</f>
        <v>产后辣妈恢复秘诀 | 学会这样跳不瘦都不行</v>
      </c>
    </row>
    <row r="252" spans="1:32">
      <c r="A252" s="18" t="s">
        <v>38</v>
      </c>
      <c r="B252" s="18" t="s">
        <v>587</v>
      </c>
      <c r="C252" s="19">
        <v>15179597</v>
      </c>
      <c r="D252" s="18" t="s">
        <v>209</v>
      </c>
      <c r="E252" s="18" t="s">
        <v>400</v>
      </c>
      <c r="F252" s="18" t="s">
        <v>1074</v>
      </c>
      <c r="G252" s="19">
        <v>3007578</v>
      </c>
      <c r="H252" s="18" t="s">
        <v>1074</v>
      </c>
      <c r="I252" s="19">
        <v>2405816</v>
      </c>
      <c r="J252" s="18" t="s">
        <v>1015</v>
      </c>
      <c r="K252" s="19">
        <v>0</v>
      </c>
      <c r="L252" s="19">
        <v>0</v>
      </c>
      <c r="M252" s="19">
        <v>0</v>
      </c>
      <c r="N252" s="20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20">
        <v>0</v>
      </c>
      <c r="Z252" s="19">
        <v>2</v>
      </c>
      <c r="AA252" s="19">
        <v>0</v>
      </c>
      <c r="AB252" t="str">
        <f>VLOOKUP(E:E,笔记匹配!A:N,3,FALSE)</f>
        <v>小雪教瑜伽</v>
      </c>
      <c r="AC252" t="str">
        <f>VLOOKUP(E:E,笔记匹配!A:N,2,FALSE)</f>
        <v>筋膜枪</v>
      </c>
      <c r="AD252" t="str">
        <f>VLOOKUP(E:E,笔记匹配!A:N,4,FALSE)</f>
        <v>云麦筋膜枪cc</v>
      </c>
      <c r="AE252" t="str">
        <f>VLOOKUP(E:E,笔记匹配!A:N,14,FALSE)</f>
        <v>云麦筋膜枪cc</v>
      </c>
      <c r="AF252" t="str">
        <f>VLOOKUP(E:E,笔记匹配!A:N,6,FALSE)</f>
        <v>瘦肌肉腿必备&amp;筋膜枪按摩跟练教程</v>
      </c>
    </row>
    <row r="253" spans="1:32">
      <c r="A253" s="18" t="s">
        <v>38</v>
      </c>
      <c r="B253" s="18" t="s">
        <v>686</v>
      </c>
      <c r="C253" s="19">
        <v>15180518</v>
      </c>
      <c r="D253" s="18" t="s">
        <v>209</v>
      </c>
      <c r="E253" s="18" t="s">
        <v>510</v>
      </c>
      <c r="F253" s="18" t="s">
        <v>1075</v>
      </c>
      <c r="G253" s="19">
        <v>3007658</v>
      </c>
      <c r="H253" s="18" t="s">
        <v>1075</v>
      </c>
      <c r="I253" s="19">
        <v>2405905</v>
      </c>
      <c r="J253" s="18" t="s">
        <v>1015</v>
      </c>
      <c r="K253" s="19">
        <v>0</v>
      </c>
      <c r="L253" s="19">
        <v>0</v>
      </c>
      <c r="M253" s="19">
        <v>0</v>
      </c>
      <c r="N253" s="20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20">
        <v>0</v>
      </c>
      <c r="Z253" s="19">
        <v>0</v>
      </c>
      <c r="AA253" s="19">
        <v>0</v>
      </c>
      <c r="AB253" t="str">
        <f>VLOOKUP(E:E,笔记匹配!A:N,3,FALSE)</f>
        <v>白白</v>
      </c>
      <c r="AC253" t="str">
        <f>VLOOKUP(E:E,笔记匹配!A:N,2,FALSE)</f>
        <v>跳绳</v>
      </c>
      <c r="AD253" t="str">
        <f>VLOOKUP(E:E,笔记匹配!A:N,4,FALSE)</f>
        <v>云麦心率跳绳</v>
      </c>
      <c r="AE253" t="str">
        <f>VLOOKUP(E:E,笔记匹配!A:N,14,FALSE)</f>
        <v>云麦心率跳绳</v>
      </c>
      <c r="AF253" t="str">
        <f>VLOOKUP(E:E,笔记匹配!A:N,6,FALSE)</f>
        <v>大腿围42 | 瘦腿还得要跳绳！</v>
      </c>
    </row>
    <row r="254" spans="1:32">
      <c r="A254" s="18" t="s">
        <v>38</v>
      </c>
      <c r="B254" s="18" t="s">
        <v>698</v>
      </c>
      <c r="C254" s="19">
        <v>15180603</v>
      </c>
      <c r="D254" s="18" t="s">
        <v>209</v>
      </c>
      <c r="E254" s="18" t="s">
        <v>501</v>
      </c>
      <c r="F254" s="18" t="s">
        <v>1076</v>
      </c>
      <c r="G254" s="19">
        <v>3007662</v>
      </c>
      <c r="H254" s="18" t="s">
        <v>1076</v>
      </c>
      <c r="I254" s="19">
        <v>2405908</v>
      </c>
      <c r="J254" s="18" t="s">
        <v>1015</v>
      </c>
      <c r="K254" s="19">
        <v>0</v>
      </c>
      <c r="L254" s="19">
        <v>0</v>
      </c>
      <c r="M254" s="19">
        <v>0</v>
      </c>
      <c r="N254" s="20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20">
        <v>0</v>
      </c>
      <c r="Z254" s="19">
        <v>0</v>
      </c>
      <c r="AA254" s="19">
        <v>0</v>
      </c>
      <c r="AB254" t="str">
        <f>VLOOKUP(E:E,笔记匹配!A:N,3,FALSE)</f>
        <v>咕咕猪小短腿</v>
      </c>
      <c r="AC254" t="str">
        <f>VLOOKUP(E:E,笔记匹配!A:N,2,FALSE)</f>
        <v>体脂秤</v>
      </c>
      <c r="AD254" t="str">
        <f>VLOOKUP(E:E,笔记匹配!A:N,4,FALSE)</f>
        <v>云麦体脂秤3</v>
      </c>
      <c r="AE254" t="str">
        <f>VLOOKUP(E:E,笔记匹配!A:N,14,FALSE)</f>
        <v>云麦体脂秤3</v>
      </c>
      <c r="AF254" t="str">
        <f>VLOOKUP(E:E,笔记匹配!A:N,6,FALSE)</f>
        <v>笑死！一到称重就心虚到没耳朵</v>
      </c>
    </row>
    <row r="255" spans="1:32">
      <c r="A255" s="18" t="s">
        <v>38</v>
      </c>
      <c r="B255" s="18" t="s">
        <v>231</v>
      </c>
      <c r="C255" s="19">
        <v>15248486</v>
      </c>
      <c r="D255" s="18" t="s">
        <v>209</v>
      </c>
      <c r="E255" s="18" t="s">
        <v>234</v>
      </c>
      <c r="F255" s="18" t="s">
        <v>1089</v>
      </c>
      <c r="G255" s="19">
        <v>3014783</v>
      </c>
      <c r="H255" s="18" t="s">
        <v>1089</v>
      </c>
      <c r="I255" s="19">
        <v>2412680</v>
      </c>
      <c r="J255" s="18" t="s">
        <v>1015</v>
      </c>
      <c r="K255" s="19">
        <v>954.09</v>
      </c>
      <c r="L255" s="19">
        <v>128468</v>
      </c>
      <c r="M255" s="19">
        <v>7243</v>
      </c>
      <c r="N255" s="20">
        <v>0.0564</v>
      </c>
      <c r="O255" s="19">
        <v>0.13</v>
      </c>
      <c r="P255" s="19">
        <v>7.43</v>
      </c>
      <c r="Q255" s="19">
        <v>122</v>
      </c>
      <c r="R255" s="19">
        <v>5</v>
      </c>
      <c r="S255" s="19">
        <v>33</v>
      </c>
      <c r="T255" s="19">
        <v>6</v>
      </c>
      <c r="U255" s="19">
        <v>2</v>
      </c>
      <c r="V255" s="19">
        <v>168</v>
      </c>
      <c r="W255" s="19">
        <v>5.68</v>
      </c>
      <c r="X255" s="19">
        <v>0</v>
      </c>
      <c r="Y255" s="20">
        <v>0</v>
      </c>
      <c r="Z255" s="19">
        <v>2</v>
      </c>
      <c r="AA255" s="19">
        <v>1</v>
      </c>
      <c r="AB255" t="str">
        <f>VLOOKUP(E:E,笔记匹配!A:N,3,FALSE)</f>
        <v>pp</v>
      </c>
      <c r="AC255" t="str">
        <f>VLOOKUP(E:E,笔记匹配!A:N,2,FALSE)</f>
        <v>体脂秤</v>
      </c>
      <c r="AD255" t="str">
        <f>VLOOKUP(E:E,笔记匹配!A:N,4,FALSE)</f>
        <v>云麦体脂秤3mini</v>
      </c>
      <c r="AE255" t="str">
        <f>VLOOKUP(E:E,笔记匹配!A:N,14,FALSE)</f>
        <v>云麦体脂秤3mini</v>
      </c>
      <c r="AF255" t="str">
        <f>VLOOKUP(E:E,笔记匹配!A:N,6,FALSE)</f>
        <v>110到88 一些减肥小建议｜如何正确运动</v>
      </c>
    </row>
    <row r="256" spans="1:32">
      <c r="A256" s="18" t="s">
        <v>38</v>
      </c>
      <c r="B256" s="18" t="s">
        <v>587</v>
      </c>
      <c r="C256" s="19">
        <v>15295967</v>
      </c>
      <c r="D256" s="18" t="s">
        <v>209</v>
      </c>
      <c r="E256" s="18" t="s">
        <v>400</v>
      </c>
      <c r="F256" s="18" t="s">
        <v>1090</v>
      </c>
      <c r="G256" s="19">
        <v>3020475</v>
      </c>
      <c r="H256" s="18" t="s">
        <v>1091</v>
      </c>
      <c r="I256" s="19">
        <v>2418288</v>
      </c>
      <c r="J256" s="18" t="s">
        <v>1015</v>
      </c>
      <c r="K256" s="19">
        <v>960.03</v>
      </c>
      <c r="L256" s="19">
        <v>125522</v>
      </c>
      <c r="M256" s="19">
        <v>8983</v>
      </c>
      <c r="N256" s="20">
        <v>0.0716</v>
      </c>
      <c r="O256" s="19">
        <v>0.11</v>
      </c>
      <c r="P256" s="19">
        <v>7.65</v>
      </c>
      <c r="Q256" s="19">
        <v>159</v>
      </c>
      <c r="R256" s="19">
        <v>3</v>
      </c>
      <c r="S256" s="19">
        <v>150</v>
      </c>
      <c r="T256" s="19">
        <v>13</v>
      </c>
      <c r="U256" s="19">
        <v>11</v>
      </c>
      <c r="V256" s="19">
        <v>336</v>
      </c>
      <c r="W256" s="19">
        <v>2.86</v>
      </c>
      <c r="X256" s="19">
        <v>0</v>
      </c>
      <c r="Y256" s="20">
        <v>0</v>
      </c>
      <c r="Z256" s="19">
        <v>4</v>
      </c>
      <c r="AA256" s="19">
        <v>3</v>
      </c>
      <c r="AB256" t="str">
        <f>VLOOKUP(E:E,笔记匹配!A:N,3,FALSE)</f>
        <v>小雪教瑜伽</v>
      </c>
      <c r="AC256" t="str">
        <f>VLOOKUP(E:E,笔记匹配!A:N,2,FALSE)</f>
        <v>筋膜枪</v>
      </c>
      <c r="AD256" t="str">
        <f>VLOOKUP(E:E,笔记匹配!A:N,4,FALSE)</f>
        <v>云麦筋膜枪cc</v>
      </c>
      <c r="AE256" t="str">
        <f>VLOOKUP(E:E,笔记匹配!A:N,14,FALSE)</f>
        <v>云麦筋膜枪cc</v>
      </c>
      <c r="AF256" t="str">
        <f>VLOOKUP(E:E,笔记匹配!A:N,6,FALSE)</f>
        <v>瘦肌肉腿必备&amp;筋膜枪按摩跟练教程</v>
      </c>
    </row>
    <row r="257" spans="1:32">
      <c r="A257" s="18" t="s">
        <v>38</v>
      </c>
      <c r="B257" s="18" t="s">
        <v>707</v>
      </c>
      <c r="C257" s="19">
        <v>15296197</v>
      </c>
      <c r="D257" s="18" t="s">
        <v>209</v>
      </c>
      <c r="E257" s="18" t="s">
        <v>420</v>
      </c>
      <c r="F257" s="18" t="s">
        <v>1092</v>
      </c>
      <c r="G257" s="19">
        <v>3020499</v>
      </c>
      <c r="H257" s="18" t="s">
        <v>1092</v>
      </c>
      <c r="I257" s="19">
        <v>2418330</v>
      </c>
      <c r="J257" s="18" t="s">
        <v>1015</v>
      </c>
      <c r="K257" s="19">
        <v>0</v>
      </c>
      <c r="L257" s="19">
        <v>0</v>
      </c>
      <c r="M257" s="19">
        <v>0</v>
      </c>
      <c r="N257" s="20">
        <v>0</v>
      </c>
      <c r="O257" s="19">
        <v>0</v>
      </c>
      <c r="P257" s="19">
        <v>0</v>
      </c>
      <c r="Q257" s="19">
        <v>0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20">
        <v>0</v>
      </c>
      <c r="Z257" s="19">
        <v>0</v>
      </c>
      <c r="AA257" s="19">
        <v>0</v>
      </c>
      <c r="AB257" t="str">
        <f>VLOOKUP(E:E,笔记匹配!A:N,3,FALSE)</f>
        <v>干坐着的小瑶</v>
      </c>
      <c r="AC257" t="str">
        <f>VLOOKUP(E:E,笔记匹配!A:N,2,FALSE)</f>
        <v>筋膜枪</v>
      </c>
      <c r="AD257" t="str">
        <f>VLOOKUP(E:E,笔记匹配!A:N,4,FALSE)</f>
        <v>云麦cc筋膜枪</v>
      </c>
      <c r="AE257" t="str">
        <f>VLOOKUP(E:E,笔记匹配!A:N,14,FALSE)</f>
        <v>云麦筋膜枪cc</v>
      </c>
      <c r="AF257" t="str">
        <f>VLOOKUP(E:E,笔记匹配!A:N,6,FALSE)</f>
        <v>筋膜枪🆚泡沫轴🆚筋膜球，怎么选❓哪个好❓</v>
      </c>
    </row>
    <row r="258" spans="1:32">
      <c r="A258" s="18" t="s">
        <v>38</v>
      </c>
      <c r="B258" s="18" t="s">
        <v>716</v>
      </c>
      <c r="C258" s="19">
        <v>15296992</v>
      </c>
      <c r="D258" s="18" t="s">
        <v>209</v>
      </c>
      <c r="E258" s="18" t="s">
        <v>494</v>
      </c>
      <c r="F258" s="18" t="s">
        <v>1094</v>
      </c>
      <c r="G258" s="19">
        <v>3020613</v>
      </c>
      <c r="H258" s="18" t="s">
        <v>1094</v>
      </c>
      <c r="I258" s="19">
        <v>2418438</v>
      </c>
      <c r="J258" s="18" t="s">
        <v>1015</v>
      </c>
      <c r="K258" s="19">
        <v>994.85</v>
      </c>
      <c r="L258" s="19">
        <v>66015</v>
      </c>
      <c r="M258" s="19">
        <v>4946</v>
      </c>
      <c r="N258" s="20">
        <v>0.0749</v>
      </c>
      <c r="O258" s="19">
        <v>0.2</v>
      </c>
      <c r="P258" s="19">
        <v>15.07</v>
      </c>
      <c r="Q258" s="19">
        <v>158</v>
      </c>
      <c r="R258" s="19">
        <v>11</v>
      </c>
      <c r="S258" s="19">
        <v>201</v>
      </c>
      <c r="T258" s="19">
        <v>104</v>
      </c>
      <c r="U258" s="19">
        <v>15</v>
      </c>
      <c r="V258" s="19">
        <v>489</v>
      </c>
      <c r="W258" s="19">
        <v>2.03</v>
      </c>
      <c r="X258" s="19">
        <v>0</v>
      </c>
      <c r="Y258" s="20">
        <v>0</v>
      </c>
      <c r="Z258" s="19">
        <v>28</v>
      </c>
      <c r="AA258" s="19">
        <v>7</v>
      </c>
      <c r="AB258" t="str">
        <f>VLOOKUP(E:E,笔记匹配!A:N,3,FALSE)</f>
        <v>凯琳KatherineW</v>
      </c>
      <c r="AC258" t="str">
        <f>VLOOKUP(E:E,笔记匹配!A:N,2,FALSE)</f>
        <v>跳绳</v>
      </c>
      <c r="AD258" t="str">
        <f>VLOOKUP(E:E,笔记匹配!A:N,4,FALSE)</f>
        <v>云麦心率跳绳</v>
      </c>
      <c r="AE258" t="str">
        <f>VLOOKUP(E:E,笔记匹配!A:N,14,FALSE)</f>
        <v>云麦心率跳绳</v>
      </c>
      <c r="AF258" t="str">
        <f>VLOOKUP(E:E,笔记匹配!A:N,6,FALSE)</f>
        <v>无绳卡点暴汗230卡跟练 ｜小基数瘦腿瘦全身</v>
      </c>
    </row>
    <row r="259" spans="1:32">
      <c r="A259" s="18" t="s">
        <v>38</v>
      </c>
      <c r="B259" s="18" t="s">
        <v>713</v>
      </c>
      <c r="C259" s="19">
        <v>15297115</v>
      </c>
      <c r="D259" s="18" t="s">
        <v>209</v>
      </c>
      <c r="E259" s="18" t="s">
        <v>496</v>
      </c>
      <c r="F259" s="18" t="s">
        <v>1095</v>
      </c>
      <c r="G259" s="19">
        <v>3020628</v>
      </c>
      <c r="H259" s="18" t="s">
        <v>1095</v>
      </c>
      <c r="I259" s="19">
        <v>2418459</v>
      </c>
      <c r="J259" s="18" t="s">
        <v>1015</v>
      </c>
      <c r="K259" s="19">
        <v>0</v>
      </c>
      <c r="L259" s="19">
        <v>0</v>
      </c>
      <c r="M259" s="19">
        <v>0</v>
      </c>
      <c r="N259" s="20">
        <v>0</v>
      </c>
      <c r="O259" s="19">
        <v>0</v>
      </c>
      <c r="P259" s="19">
        <v>0</v>
      </c>
      <c r="Q259" s="19">
        <v>0</v>
      </c>
      <c r="R259" s="19">
        <v>0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20">
        <v>0</v>
      </c>
      <c r="Z259" s="19">
        <v>0</v>
      </c>
      <c r="AA259" s="19">
        <v>0</v>
      </c>
      <c r="AB259" t="str">
        <f>VLOOKUP(E:E,笔记匹配!A:N,3,FALSE)</f>
        <v>杨大大的预备辣妹日记</v>
      </c>
      <c r="AC259" t="str">
        <f>VLOOKUP(E:E,笔记匹配!A:N,2,FALSE)</f>
        <v>跳绳</v>
      </c>
      <c r="AD259" t="str">
        <f>VLOOKUP(E:E,笔记匹配!A:N,4,FALSE)</f>
        <v>云麦心率跳绳</v>
      </c>
      <c r="AE259" t="str">
        <f>VLOOKUP(E:E,笔记匹配!A:N,14,FALSE)</f>
        <v>云麦心率跳绳</v>
      </c>
      <c r="AF259" t="str">
        <f>VLOOKUP(E:E,笔记匹配!A:N,6,FALSE)</f>
        <v>130-110斤跳绳不复胖‼️间歇性跳绳减脂快</v>
      </c>
    </row>
    <row r="260" spans="1:32">
      <c r="A260" s="18" t="s">
        <v>39</v>
      </c>
      <c r="B260" s="18" t="s">
        <v>1042</v>
      </c>
      <c r="C260" s="19">
        <v>14794969</v>
      </c>
      <c r="D260" s="18" t="s">
        <v>209</v>
      </c>
      <c r="E260" s="18" t="s">
        <v>444</v>
      </c>
      <c r="F260" s="18" t="s">
        <v>1043</v>
      </c>
      <c r="G260" s="19">
        <v>2966132</v>
      </c>
      <c r="H260" s="18" t="s">
        <v>1043</v>
      </c>
      <c r="I260" s="19">
        <v>2368658</v>
      </c>
      <c r="J260" s="18" t="s">
        <v>1015</v>
      </c>
      <c r="K260" s="19">
        <v>0</v>
      </c>
      <c r="L260" s="19">
        <v>0</v>
      </c>
      <c r="M260" s="19">
        <v>0</v>
      </c>
      <c r="N260" s="20">
        <v>0</v>
      </c>
      <c r="O260" s="19">
        <v>0</v>
      </c>
      <c r="P260" s="19">
        <v>0</v>
      </c>
      <c r="Q260" s="19">
        <v>0</v>
      </c>
      <c r="R260" s="19">
        <v>0</v>
      </c>
      <c r="S260" s="19">
        <v>0</v>
      </c>
      <c r="T260" s="19">
        <v>0</v>
      </c>
      <c r="U260" s="19">
        <v>0</v>
      </c>
      <c r="V260" s="19">
        <v>0</v>
      </c>
      <c r="W260" s="19">
        <v>0</v>
      </c>
      <c r="X260" s="19">
        <v>0</v>
      </c>
      <c r="Y260" s="20">
        <v>0</v>
      </c>
      <c r="Z260" s="19">
        <v>0</v>
      </c>
      <c r="AA260" s="19">
        <v>0</v>
      </c>
      <c r="AB260" t="str">
        <f>VLOOKUP(E:E,笔记匹配!A:N,3,FALSE)</f>
        <v>Sophia大大</v>
      </c>
      <c r="AC260" t="str">
        <f>VLOOKUP(E:E,笔记匹配!A:N,2,FALSE)</f>
        <v>筋膜枪</v>
      </c>
      <c r="AD260" t="str">
        <f>VLOOKUP(E:E,笔记匹配!A:N,4,FALSE)</f>
        <v>云麦cc</v>
      </c>
      <c r="AE260" t="str">
        <f>VLOOKUP(E:E,笔记匹配!A:N,14,FALSE)</f>
        <v>云麦筋膜枪cc</v>
      </c>
      <c r="AF260" t="str">
        <f>VLOOKUP(E:E,笔记匹配!A:N,6,FALSE)</f>
        <v>162 46|我悟了！翘臀不粗腿的训练方法!</v>
      </c>
    </row>
    <row r="261" spans="1:32">
      <c r="A261" s="18" t="s">
        <v>39</v>
      </c>
      <c r="B261" s="18" t="s">
        <v>1057</v>
      </c>
      <c r="C261" s="19">
        <v>14976642</v>
      </c>
      <c r="D261" s="18" t="s">
        <v>209</v>
      </c>
      <c r="E261" s="18" t="s">
        <v>509</v>
      </c>
      <c r="F261" s="18" t="s">
        <v>1058</v>
      </c>
      <c r="G261" s="19">
        <v>2984144</v>
      </c>
      <c r="H261" s="18" t="s">
        <v>1059</v>
      </c>
      <c r="I261" s="19">
        <v>2385921</v>
      </c>
      <c r="J261" s="18" t="s">
        <v>1015</v>
      </c>
      <c r="K261" s="19">
        <v>0</v>
      </c>
      <c r="L261" s="19">
        <v>0</v>
      </c>
      <c r="M261" s="19">
        <v>0</v>
      </c>
      <c r="N261" s="20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20">
        <v>0</v>
      </c>
      <c r="Z261" s="19">
        <v>0</v>
      </c>
      <c r="AA261" s="19">
        <v>0</v>
      </c>
      <c r="AB261" t="str">
        <f>VLOOKUP(E:E,笔记匹配!A:N,3,FALSE)</f>
        <v>小小李</v>
      </c>
      <c r="AC261" t="str">
        <f>VLOOKUP(E:E,笔记匹配!A:N,2,FALSE)</f>
        <v>跳绳</v>
      </c>
      <c r="AD261" t="str">
        <f>VLOOKUP(E:E,笔记匹配!A:N,4,FALSE)</f>
        <v>云麦心率跳绳</v>
      </c>
      <c r="AE261" t="str">
        <f>VLOOKUP(E:E,笔记匹配!A:N,14,FALSE)</f>
        <v>云麦心率跳绳</v>
      </c>
      <c r="AF261" t="str">
        <f>VLOOKUP(E:E,笔记匹配!A:N,6,FALSE)</f>
        <v>4分钟跳绳TABATA | 居家高效燃脂瘦全身</v>
      </c>
    </row>
    <row r="262" spans="1:32">
      <c r="A262" s="18" t="s">
        <v>39</v>
      </c>
      <c r="B262" s="18" t="s">
        <v>680</v>
      </c>
      <c r="C262" s="19">
        <v>14978184</v>
      </c>
      <c r="D262" s="18" t="s">
        <v>209</v>
      </c>
      <c r="E262" s="18" t="s">
        <v>513</v>
      </c>
      <c r="F262" s="18" t="s">
        <v>1062</v>
      </c>
      <c r="G262" s="19">
        <v>2984400</v>
      </c>
      <c r="H262" s="18" t="s">
        <v>1062</v>
      </c>
      <c r="I262" s="19">
        <v>2386169</v>
      </c>
      <c r="J262" s="18" t="s">
        <v>1015</v>
      </c>
      <c r="K262" s="19">
        <v>0</v>
      </c>
      <c r="L262" s="19">
        <v>0</v>
      </c>
      <c r="M262" s="19">
        <v>0</v>
      </c>
      <c r="N262" s="20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20">
        <v>0</v>
      </c>
      <c r="Z262" s="19">
        <v>0</v>
      </c>
      <c r="AA262" s="19">
        <v>0</v>
      </c>
      <c r="AB262" t="str">
        <f>VLOOKUP(E:E,笔记匹配!A:N,3,FALSE)</f>
        <v>大桐yoto</v>
      </c>
      <c r="AC262" t="str">
        <f>VLOOKUP(E:E,笔记匹配!A:N,2,FALSE)</f>
        <v>跳绳</v>
      </c>
      <c r="AD262" t="str">
        <f>VLOOKUP(E:E,笔记匹配!A:N,4,FALSE)</f>
        <v>云麦3mini</v>
      </c>
      <c r="AE262" t="str">
        <f>VLOOKUP(E:E,笔记匹配!A:N,14,FALSE)</f>
        <v>云麦体脂秤3mini</v>
      </c>
      <c r="AF262" t="str">
        <f>VLOOKUP(E:E,笔记匹配!A:N,6,FALSE)</f>
        <v>减肥就是要饿｜饮食和运动的完整计划在这里</v>
      </c>
    </row>
    <row r="263" spans="1:32">
      <c r="A263" s="18" t="s">
        <v>39</v>
      </c>
      <c r="B263" s="18" t="s">
        <v>695</v>
      </c>
      <c r="C263" s="19">
        <v>15247613</v>
      </c>
      <c r="D263" s="18" t="s">
        <v>209</v>
      </c>
      <c r="E263" s="18" t="s">
        <v>408</v>
      </c>
      <c r="F263" s="18" t="s">
        <v>1079</v>
      </c>
      <c r="G263" s="19">
        <v>3014707</v>
      </c>
      <c r="H263" s="18" t="s">
        <v>1079</v>
      </c>
      <c r="I263" s="19">
        <v>2412606</v>
      </c>
      <c r="J263" s="18" t="s">
        <v>1015</v>
      </c>
      <c r="K263" s="19">
        <v>0</v>
      </c>
      <c r="L263" s="19">
        <v>0</v>
      </c>
      <c r="M263" s="19">
        <v>0</v>
      </c>
      <c r="N263" s="20">
        <v>0</v>
      </c>
      <c r="O263" s="19">
        <v>0</v>
      </c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20">
        <v>0</v>
      </c>
      <c r="Z263" s="19">
        <v>0</v>
      </c>
      <c r="AA263" s="19">
        <v>0</v>
      </c>
      <c r="AB263" t="str">
        <f>VLOOKUP(E:E,笔记匹配!A:N,3,FALSE)</f>
        <v>努力变好的yy</v>
      </c>
      <c r="AC263" t="str">
        <f>VLOOKUP(E:E,笔记匹配!A:N,2,FALSE)</f>
        <v>筋膜枪</v>
      </c>
      <c r="AD263" t="str">
        <f>VLOOKUP(E:E,笔记匹配!A:N,4,FALSE)</f>
        <v>云麦cc筋膜枪</v>
      </c>
      <c r="AE263" t="str">
        <f>VLOOKUP(E:E,笔记匹配!A:N,14,FALSE)</f>
        <v>云麦筋膜枪cc</v>
      </c>
      <c r="AF263" t="str">
        <f>VLOOKUP(E:E,笔记匹配!A:N,6,FALSE)</f>
        <v>筋膜枪➕泡沫轴｜运动后全套放松动作分享！！</v>
      </c>
    </row>
    <row r="264" spans="1:32">
      <c r="A264" s="18" t="s">
        <v>39</v>
      </c>
      <c r="B264" s="18" t="s">
        <v>704</v>
      </c>
      <c r="C264" s="19">
        <v>15248253</v>
      </c>
      <c r="D264" s="18" t="s">
        <v>209</v>
      </c>
      <c r="E264" s="18" t="s">
        <v>497</v>
      </c>
      <c r="F264" s="18" t="s">
        <v>1084</v>
      </c>
      <c r="G264" s="19">
        <v>3014764</v>
      </c>
      <c r="H264" s="18" t="s">
        <v>1085</v>
      </c>
      <c r="I264" s="19">
        <v>2412653</v>
      </c>
      <c r="J264" s="18" t="s">
        <v>1015</v>
      </c>
      <c r="K264" s="19">
        <v>505.43</v>
      </c>
      <c r="L264" s="19">
        <v>46561</v>
      </c>
      <c r="M264" s="19">
        <v>3486</v>
      </c>
      <c r="N264" s="20">
        <v>0.0749</v>
      </c>
      <c r="O264" s="19">
        <v>0.14</v>
      </c>
      <c r="P264" s="19">
        <v>10.86</v>
      </c>
      <c r="Q264" s="19">
        <v>52</v>
      </c>
      <c r="R264" s="19">
        <v>2</v>
      </c>
      <c r="S264" s="19">
        <v>30</v>
      </c>
      <c r="T264" s="19">
        <v>4</v>
      </c>
      <c r="U264" s="19">
        <v>11</v>
      </c>
      <c r="V264" s="19">
        <v>99</v>
      </c>
      <c r="W264" s="19">
        <v>5.11</v>
      </c>
      <c r="X264" s="19">
        <v>0</v>
      </c>
      <c r="Y264" s="20">
        <v>0</v>
      </c>
      <c r="Z264" s="19">
        <v>13</v>
      </c>
      <c r="AA264" s="19">
        <v>8</v>
      </c>
      <c r="AB264" t="str">
        <f>VLOOKUP(E:E,笔记匹配!A:N,3,FALSE)</f>
        <v>小方今天瘦了吗</v>
      </c>
      <c r="AC264" t="str">
        <f>VLOOKUP(E:E,笔记匹配!A:N,2,FALSE)</f>
        <v>体脂秤</v>
      </c>
      <c r="AD264" t="str">
        <f>VLOOKUP(E:E,笔记匹配!A:N,4,FALSE)</f>
        <v>云麦3mini</v>
      </c>
      <c r="AE264" t="str">
        <f>VLOOKUP(E:E,笔记匹配!A:N,14,FALSE)</f>
        <v>云麦体脂秤3mini</v>
      </c>
      <c r="AF264" t="str">
        <f>VLOOKUP(E:E,笔记匹配!A:N,6,FALSE)</f>
        <v>大基数无运动节食减45斤 （饮食习惯/食谱‼️）</v>
      </c>
    </row>
    <row r="265" spans="1:32">
      <c r="A265" s="18" t="s">
        <v>39</v>
      </c>
      <c r="B265" s="18" t="s">
        <v>231</v>
      </c>
      <c r="C265" s="19">
        <v>15248486</v>
      </c>
      <c r="D265" s="18" t="s">
        <v>209</v>
      </c>
      <c r="E265" s="18" t="s">
        <v>234</v>
      </c>
      <c r="F265" s="18" t="s">
        <v>1089</v>
      </c>
      <c r="G265" s="19">
        <v>3014783</v>
      </c>
      <c r="H265" s="18" t="s">
        <v>1089</v>
      </c>
      <c r="I265" s="19">
        <v>2412680</v>
      </c>
      <c r="J265" s="18" t="s">
        <v>1015</v>
      </c>
      <c r="K265" s="19">
        <v>588.13</v>
      </c>
      <c r="L265" s="19">
        <v>80283</v>
      </c>
      <c r="M265" s="19">
        <v>4255</v>
      </c>
      <c r="N265" s="20">
        <v>0.053</v>
      </c>
      <c r="O265" s="19">
        <v>0.14</v>
      </c>
      <c r="P265" s="19">
        <v>7.33</v>
      </c>
      <c r="Q265" s="19">
        <v>57</v>
      </c>
      <c r="R265" s="19">
        <v>1</v>
      </c>
      <c r="S265" s="19">
        <v>19</v>
      </c>
      <c r="T265" s="19">
        <v>7</v>
      </c>
      <c r="U265" s="19">
        <v>1</v>
      </c>
      <c r="V265" s="19">
        <v>85</v>
      </c>
      <c r="W265" s="19">
        <v>6.92</v>
      </c>
      <c r="X265" s="19">
        <v>0</v>
      </c>
      <c r="Y265" s="20">
        <v>0</v>
      </c>
      <c r="Z265" s="19">
        <v>2</v>
      </c>
      <c r="AA265" s="19">
        <v>3</v>
      </c>
      <c r="AB265" t="str">
        <f>VLOOKUP(E:E,笔记匹配!A:N,3,FALSE)</f>
        <v>pp</v>
      </c>
      <c r="AC265" t="str">
        <f>VLOOKUP(E:E,笔记匹配!A:N,2,FALSE)</f>
        <v>体脂秤</v>
      </c>
      <c r="AD265" t="str">
        <f>VLOOKUP(E:E,笔记匹配!A:N,4,FALSE)</f>
        <v>云麦体脂秤3mini</v>
      </c>
      <c r="AE265" t="str">
        <f>VLOOKUP(E:E,笔记匹配!A:N,14,FALSE)</f>
        <v>云麦体脂秤3mini</v>
      </c>
      <c r="AF265" t="str">
        <f>VLOOKUP(E:E,笔记匹配!A:N,6,FALSE)</f>
        <v>110到88 一些减肥小建议｜如何正确运动</v>
      </c>
    </row>
    <row r="266" spans="1:32">
      <c r="A266" s="18" t="s">
        <v>39</v>
      </c>
      <c r="B266" s="18" t="s">
        <v>587</v>
      </c>
      <c r="C266" s="19">
        <v>15295967</v>
      </c>
      <c r="D266" s="18" t="s">
        <v>209</v>
      </c>
      <c r="E266" s="18" t="s">
        <v>400</v>
      </c>
      <c r="F266" s="18" t="s">
        <v>1090</v>
      </c>
      <c r="G266" s="19">
        <v>3020475</v>
      </c>
      <c r="H266" s="18" t="s">
        <v>1091</v>
      </c>
      <c r="I266" s="19">
        <v>2418288</v>
      </c>
      <c r="J266" s="18" t="s">
        <v>1015</v>
      </c>
      <c r="K266" s="19">
        <v>892.62</v>
      </c>
      <c r="L266" s="19">
        <v>98444</v>
      </c>
      <c r="M266" s="19">
        <v>7112</v>
      </c>
      <c r="N266" s="20">
        <v>0.0722</v>
      </c>
      <c r="O266" s="19">
        <v>0.13</v>
      </c>
      <c r="P266" s="19">
        <v>9.07</v>
      </c>
      <c r="Q266" s="19">
        <v>141</v>
      </c>
      <c r="R266" s="19">
        <v>0</v>
      </c>
      <c r="S266" s="19">
        <v>114</v>
      </c>
      <c r="T266" s="19">
        <v>14</v>
      </c>
      <c r="U266" s="19">
        <v>12</v>
      </c>
      <c r="V266" s="19">
        <v>281</v>
      </c>
      <c r="W266" s="19">
        <v>3.18</v>
      </c>
      <c r="X266" s="19">
        <v>0</v>
      </c>
      <c r="Y266" s="20">
        <v>0</v>
      </c>
      <c r="Z266" s="19">
        <v>2</v>
      </c>
      <c r="AA266" s="19">
        <v>4</v>
      </c>
      <c r="AB266" t="str">
        <f>VLOOKUP(E:E,笔记匹配!A:N,3,FALSE)</f>
        <v>小雪教瑜伽</v>
      </c>
      <c r="AC266" t="str">
        <f>VLOOKUP(E:E,笔记匹配!A:N,2,FALSE)</f>
        <v>筋膜枪</v>
      </c>
      <c r="AD266" t="str">
        <f>VLOOKUP(E:E,笔记匹配!A:N,4,FALSE)</f>
        <v>云麦筋膜枪cc</v>
      </c>
      <c r="AE266" t="str">
        <f>VLOOKUP(E:E,笔记匹配!A:N,14,FALSE)</f>
        <v>云麦筋膜枪cc</v>
      </c>
      <c r="AF266" t="str">
        <f>VLOOKUP(E:E,笔记匹配!A:N,6,FALSE)</f>
        <v>瘦肌肉腿必备&amp;筋膜枪按摩跟练教程</v>
      </c>
    </row>
    <row r="267" spans="1:32">
      <c r="A267" s="18" t="s">
        <v>39</v>
      </c>
      <c r="B267" s="18" t="s">
        <v>716</v>
      </c>
      <c r="C267" s="19">
        <v>15296992</v>
      </c>
      <c r="D267" s="18" t="s">
        <v>209</v>
      </c>
      <c r="E267" s="18" t="s">
        <v>494</v>
      </c>
      <c r="F267" s="18" t="s">
        <v>1094</v>
      </c>
      <c r="G267" s="19">
        <v>3020613</v>
      </c>
      <c r="H267" s="18" t="s">
        <v>1094</v>
      </c>
      <c r="I267" s="19">
        <v>2418438</v>
      </c>
      <c r="J267" s="18" t="s">
        <v>1015</v>
      </c>
      <c r="K267" s="19">
        <v>270.5</v>
      </c>
      <c r="L267" s="19">
        <v>24441</v>
      </c>
      <c r="M267" s="19">
        <v>1796</v>
      </c>
      <c r="N267" s="20">
        <v>0.0735</v>
      </c>
      <c r="O267" s="19">
        <v>0.15</v>
      </c>
      <c r="P267" s="19">
        <v>11.07</v>
      </c>
      <c r="Q267" s="19">
        <v>54</v>
      </c>
      <c r="R267" s="19">
        <v>0</v>
      </c>
      <c r="S267" s="19">
        <v>55</v>
      </c>
      <c r="T267" s="19">
        <v>38</v>
      </c>
      <c r="U267" s="19">
        <v>4</v>
      </c>
      <c r="V267" s="19">
        <v>151</v>
      </c>
      <c r="W267" s="19">
        <v>1.79</v>
      </c>
      <c r="X267" s="19">
        <v>0</v>
      </c>
      <c r="Y267" s="20">
        <v>0</v>
      </c>
      <c r="Z267" s="19">
        <v>5</v>
      </c>
      <c r="AA267" s="19">
        <v>3</v>
      </c>
      <c r="AB267" t="str">
        <f>VLOOKUP(E:E,笔记匹配!A:N,3,FALSE)</f>
        <v>凯琳KatherineW</v>
      </c>
      <c r="AC267" t="str">
        <f>VLOOKUP(E:E,笔记匹配!A:N,2,FALSE)</f>
        <v>跳绳</v>
      </c>
      <c r="AD267" t="str">
        <f>VLOOKUP(E:E,笔记匹配!A:N,4,FALSE)</f>
        <v>云麦心率跳绳</v>
      </c>
      <c r="AE267" t="str">
        <f>VLOOKUP(E:E,笔记匹配!A:N,14,FALSE)</f>
        <v>云麦心率跳绳</v>
      </c>
      <c r="AF267" t="str">
        <f>VLOOKUP(E:E,笔记匹配!A:N,6,FALSE)</f>
        <v>无绳卡点暴汗230卡跟练 ｜小基数瘦腿瘦全身</v>
      </c>
    </row>
    <row r="268" spans="1:32">
      <c r="A268" s="18" t="s">
        <v>39</v>
      </c>
      <c r="B268" s="18" t="s">
        <v>719</v>
      </c>
      <c r="C268" s="19">
        <v>15353127</v>
      </c>
      <c r="D268" s="18" t="s">
        <v>209</v>
      </c>
      <c r="E268" s="18" t="s">
        <v>490</v>
      </c>
      <c r="F268" s="18" t="s">
        <v>1096</v>
      </c>
      <c r="G268" s="19">
        <v>3028319</v>
      </c>
      <c r="H268" s="18" t="s">
        <v>1096</v>
      </c>
      <c r="I268" s="19">
        <v>2426112</v>
      </c>
      <c r="J268" s="18" t="s">
        <v>1015</v>
      </c>
      <c r="K268" s="19">
        <v>27.07</v>
      </c>
      <c r="L268" s="19">
        <v>2157</v>
      </c>
      <c r="M268" s="19">
        <v>190</v>
      </c>
      <c r="N268" s="20">
        <v>0.0881</v>
      </c>
      <c r="O268" s="19">
        <v>0.14</v>
      </c>
      <c r="P268" s="19">
        <v>12.55</v>
      </c>
      <c r="Q268" s="19">
        <v>0</v>
      </c>
      <c r="R268" s="19">
        <v>0</v>
      </c>
      <c r="S268" s="19">
        <v>3</v>
      </c>
      <c r="T268" s="19">
        <v>1</v>
      </c>
      <c r="U268" s="19">
        <v>0</v>
      </c>
      <c r="V268" s="19">
        <v>4</v>
      </c>
      <c r="W268" s="19">
        <v>6.77</v>
      </c>
      <c r="X268" s="19">
        <v>0</v>
      </c>
      <c r="Y268" s="20">
        <v>0</v>
      </c>
      <c r="Z268" s="19">
        <v>0</v>
      </c>
      <c r="AA268" s="19">
        <v>0</v>
      </c>
      <c r="AB268" t="str">
        <f>VLOOKUP(E:E,笔记匹配!A:N,3,FALSE)</f>
        <v>丫丫小姐姐</v>
      </c>
      <c r="AC268" t="str">
        <f>VLOOKUP(E:E,笔记匹配!A:N,2,FALSE)</f>
        <v>跳绳</v>
      </c>
      <c r="AD268" t="str">
        <f>VLOOKUP(E:E,笔记匹配!A:N,4,FALSE)</f>
        <v>云麦心率跳绳</v>
      </c>
      <c r="AE268" t="str">
        <f>VLOOKUP(E:E,笔记匹配!A:N,14,FALSE)</f>
        <v>云麦心率跳绳</v>
      </c>
      <c r="AF268" t="str">
        <f>VLOOKUP(E:E,笔记匹配!A:N,6,FALSE)</f>
        <v>产后辣妈恢复秘诀 | 学会这样跳不瘦都不行</v>
      </c>
    </row>
    <row r="269" spans="1:32">
      <c r="A269" s="18" t="s">
        <v>40</v>
      </c>
      <c r="B269" s="18" t="s">
        <v>1057</v>
      </c>
      <c r="C269" s="19">
        <v>14976642</v>
      </c>
      <c r="D269" s="18" t="s">
        <v>209</v>
      </c>
      <c r="E269" s="18" t="s">
        <v>509</v>
      </c>
      <c r="F269" s="18" t="s">
        <v>1058</v>
      </c>
      <c r="G269" s="19">
        <v>2984144</v>
      </c>
      <c r="H269" s="18" t="s">
        <v>1059</v>
      </c>
      <c r="I269" s="19">
        <v>2385921</v>
      </c>
      <c r="J269" s="18" t="s">
        <v>1015</v>
      </c>
      <c r="K269" s="19">
        <v>0</v>
      </c>
      <c r="L269" s="19">
        <v>0</v>
      </c>
      <c r="M269" s="19">
        <v>0</v>
      </c>
      <c r="N269" s="20">
        <v>0</v>
      </c>
      <c r="O269" s="19">
        <v>0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  <c r="X269" s="19">
        <v>0</v>
      </c>
      <c r="Y269" s="20">
        <v>0</v>
      </c>
      <c r="Z269" s="19">
        <v>0</v>
      </c>
      <c r="AA269" s="19">
        <v>0</v>
      </c>
      <c r="AB269" t="str">
        <f>VLOOKUP(E:E,笔记匹配!A:N,3,FALSE)</f>
        <v>小小李</v>
      </c>
      <c r="AC269" t="str">
        <f>VLOOKUP(E:E,笔记匹配!A:N,2,FALSE)</f>
        <v>跳绳</v>
      </c>
      <c r="AD269" t="str">
        <f>VLOOKUP(E:E,笔记匹配!A:N,4,FALSE)</f>
        <v>云麦心率跳绳</v>
      </c>
      <c r="AE269" t="str">
        <f>VLOOKUP(E:E,笔记匹配!A:N,14,FALSE)</f>
        <v>云麦心率跳绳</v>
      </c>
      <c r="AF269" t="str">
        <f>VLOOKUP(E:E,笔记匹配!A:N,6,FALSE)</f>
        <v>4分钟跳绳TABATA | 居家高效燃脂瘦全身</v>
      </c>
    </row>
    <row r="270" spans="1:32">
      <c r="A270" s="18" t="s">
        <v>40</v>
      </c>
      <c r="B270" s="18" t="s">
        <v>680</v>
      </c>
      <c r="C270" s="19">
        <v>14978184</v>
      </c>
      <c r="D270" s="18" t="s">
        <v>209</v>
      </c>
      <c r="E270" s="18" t="s">
        <v>513</v>
      </c>
      <c r="F270" s="18" t="s">
        <v>1062</v>
      </c>
      <c r="G270" s="19">
        <v>2984400</v>
      </c>
      <c r="H270" s="18" t="s">
        <v>1062</v>
      </c>
      <c r="I270" s="19">
        <v>2386169</v>
      </c>
      <c r="J270" s="18" t="s">
        <v>1015</v>
      </c>
      <c r="K270" s="19">
        <v>0</v>
      </c>
      <c r="L270" s="19">
        <v>0</v>
      </c>
      <c r="M270" s="19">
        <v>0</v>
      </c>
      <c r="N270" s="20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20">
        <v>0</v>
      </c>
      <c r="Z270" s="19">
        <v>0</v>
      </c>
      <c r="AA270" s="19">
        <v>0</v>
      </c>
      <c r="AB270" t="str">
        <f>VLOOKUP(E:E,笔记匹配!A:N,3,FALSE)</f>
        <v>大桐yoto</v>
      </c>
      <c r="AC270" t="str">
        <f>VLOOKUP(E:E,笔记匹配!A:N,2,FALSE)</f>
        <v>跳绳</v>
      </c>
      <c r="AD270" t="str">
        <f>VLOOKUP(E:E,笔记匹配!A:N,4,FALSE)</f>
        <v>云麦3mini</v>
      </c>
      <c r="AE270" t="str">
        <f>VLOOKUP(E:E,笔记匹配!A:N,14,FALSE)</f>
        <v>云麦体脂秤3mini</v>
      </c>
      <c r="AF270" t="str">
        <f>VLOOKUP(E:E,笔记匹配!A:N,6,FALSE)</f>
        <v>减肥就是要饿｜饮食和运动的完整计划在这里</v>
      </c>
    </row>
    <row r="271" spans="1:32">
      <c r="A271" s="18" t="s">
        <v>40</v>
      </c>
      <c r="B271" s="18" t="s">
        <v>704</v>
      </c>
      <c r="C271" s="19">
        <v>15248253</v>
      </c>
      <c r="D271" s="18" t="s">
        <v>209</v>
      </c>
      <c r="E271" s="18" t="s">
        <v>497</v>
      </c>
      <c r="F271" s="18" t="s">
        <v>1084</v>
      </c>
      <c r="G271" s="19">
        <v>3014764</v>
      </c>
      <c r="H271" s="18" t="s">
        <v>1085</v>
      </c>
      <c r="I271" s="19">
        <v>2412653</v>
      </c>
      <c r="J271" s="18" t="s">
        <v>1015</v>
      </c>
      <c r="K271" s="19">
        <v>1004.67</v>
      </c>
      <c r="L271" s="19">
        <v>85769</v>
      </c>
      <c r="M271" s="19">
        <v>6687</v>
      </c>
      <c r="N271" s="20">
        <v>0.078</v>
      </c>
      <c r="O271" s="19">
        <v>0.15</v>
      </c>
      <c r="P271" s="19">
        <v>11.71</v>
      </c>
      <c r="Q271" s="19">
        <v>106</v>
      </c>
      <c r="R271" s="19">
        <v>5</v>
      </c>
      <c r="S271" s="19">
        <v>62</v>
      </c>
      <c r="T271" s="19">
        <v>7</v>
      </c>
      <c r="U271" s="19">
        <v>9</v>
      </c>
      <c r="V271" s="19">
        <v>189</v>
      </c>
      <c r="W271" s="19">
        <v>5.32</v>
      </c>
      <c r="X271" s="19">
        <v>0</v>
      </c>
      <c r="Y271" s="20">
        <v>0</v>
      </c>
      <c r="Z271" s="19">
        <v>27</v>
      </c>
      <c r="AA271" s="19">
        <v>20</v>
      </c>
      <c r="AB271" t="str">
        <f>VLOOKUP(E:E,笔记匹配!A:N,3,FALSE)</f>
        <v>小方今天瘦了吗</v>
      </c>
      <c r="AC271" t="str">
        <f>VLOOKUP(E:E,笔记匹配!A:N,2,FALSE)</f>
        <v>体脂秤</v>
      </c>
      <c r="AD271" t="str">
        <f>VLOOKUP(E:E,笔记匹配!A:N,4,FALSE)</f>
        <v>云麦3mini</v>
      </c>
      <c r="AE271" t="str">
        <f>VLOOKUP(E:E,笔记匹配!A:N,14,FALSE)</f>
        <v>云麦体脂秤3mini</v>
      </c>
      <c r="AF271" t="str">
        <f>VLOOKUP(E:E,笔记匹配!A:N,6,FALSE)</f>
        <v>大基数无运动节食减45斤 （饮食习惯/食谱‼️）</v>
      </c>
    </row>
    <row r="272" spans="1:32">
      <c r="A272" s="18" t="s">
        <v>40</v>
      </c>
      <c r="B272" s="18" t="s">
        <v>1086</v>
      </c>
      <c r="C272" s="19">
        <v>15248439</v>
      </c>
      <c r="D272" s="18" t="s">
        <v>196</v>
      </c>
      <c r="E272" s="18" t="s">
        <v>234</v>
      </c>
      <c r="F272" s="18" t="s">
        <v>1087</v>
      </c>
      <c r="G272" s="19">
        <v>3014779</v>
      </c>
      <c r="H272" s="18" t="s">
        <v>1088</v>
      </c>
      <c r="I272" s="19">
        <v>2412665</v>
      </c>
      <c r="J272" s="18" t="s">
        <v>1015</v>
      </c>
      <c r="K272" s="19">
        <v>305.5</v>
      </c>
      <c r="L272" s="19">
        <v>6832</v>
      </c>
      <c r="M272" s="19">
        <v>511</v>
      </c>
      <c r="N272" s="20">
        <v>0.0748</v>
      </c>
      <c r="O272" s="19">
        <v>0.6</v>
      </c>
      <c r="P272" s="19">
        <v>44.72</v>
      </c>
      <c r="Q272" s="19">
        <v>3</v>
      </c>
      <c r="R272" s="19">
        <v>0</v>
      </c>
      <c r="S272" s="19">
        <v>1</v>
      </c>
      <c r="T272" s="19">
        <v>0</v>
      </c>
      <c r="U272" s="19">
        <v>0</v>
      </c>
      <c r="V272" s="19">
        <v>4</v>
      </c>
      <c r="W272" s="19">
        <v>76.38</v>
      </c>
      <c r="X272" s="19">
        <v>0</v>
      </c>
      <c r="Y272" s="20">
        <v>0</v>
      </c>
      <c r="Z272" s="19">
        <v>12</v>
      </c>
      <c r="AA272" s="19">
        <v>1</v>
      </c>
      <c r="AB272" t="str">
        <f>VLOOKUP(E:E,笔记匹配!A:N,3,FALSE)</f>
        <v>pp</v>
      </c>
      <c r="AC272" t="str">
        <f>VLOOKUP(E:E,笔记匹配!A:N,2,FALSE)</f>
        <v>体脂秤</v>
      </c>
      <c r="AD272" t="str">
        <f>VLOOKUP(E:E,笔记匹配!A:N,4,FALSE)</f>
        <v>云麦体脂秤3mini</v>
      </c>
      <c r="AE272" t="str">
        <f>VLOOKUP(E:E,笔记匹配!A:N,14,FALSE)</f>
        <v>云麦体脂秤3mini</v>
      </c>
      <c r="AF272" t="str">
        <f>VLOOKUP(E:E,笔记匹配!A:N,6,FALSE)</f>
        <v>110到88 一些减肥小建议｜如何正确运动</v>
      </c>
    </row>
    <row r="273" spans="1:32">
      <c r="A273" s="18" t="s">
        <v>40</v>
      </c>
      <c r="B273" s="18" t="s">
        <v>231</v>
      </c>
      <c r="C273" s="19">
        <v>15248486</v>
      </c>
      <c r="D273" s="18" t="s">
        <v>209</v>
      </c>
      <c r="E273" s="18" t="s">
        <v>234</v>
      </c>
      <c r="F273" s="18" t="s">
        <v>1089</v>
      </c>
      <c r="G273" s="19">
        <v>3014783</v>
      </c>
      <c r="H273" s="18" t="s">
        <v>1089</v>
      </c>
      <c r="I273" s="19">
        <v>2412680</v>
      </c>
      <c r="J273" s="18" t="s">
        <v>1015</v>
      </c>
      <c r="K273" s="19">
        <v>985.15</v>
      </c>
      <c r="L273" s="19">
        <v>120865</v>
      </c>
      <c r="M273" s="19">
        <v>6235</v>
      </c>
      <c r="N273" s="20">
        <v>0.0516</v>
      </c>
      <c r="O273" s="19">
        <v>0.16</v>
      </c>
      <c r="P273" s="19">
        <v>8.15</v>
      </c>
      <c r="Q273" s="19">
        <v>89</v>
      </c>
      <c r="R273" s="19">
        <v>5</v>
      </c>
      <c r="S273" s="19">
        <v>26</v>
      </c>
      <c r="T273" s="19">
        <v>7</v>
      </c>
      <c r="U273" s="19">
        <v>2</v>
      </c>
      <c r="V273" s="19">
        <v>129</v>
      </c>
      <c r="W273" s="19">
        <v>7.64</v>
      </c>
      <c r="X273" s="19">
        <v>0</v>
      </c>
      <c r="Y273" s="20">
        <v>0</v>
      </c>
      <c r="Z273" s="19">
        <v>4</v>
      </c>
      <c r="AA273" s="19">
        <v>6</v>
      </c>
      <c r="AB273" t="str">
        <f>VLOOKUP(E:E,笔记匹配!A:N,3,FALSE)</f>
        <v>pp</v>
      </c>
      <c r="AC273" t="str">
        <f>VLOOKUP(E:E,笔记匹配!A:N,2,FALSE)</f>
        <v>体脂秤</v>
      </c>
      <c r="AD273" t="str">
        <f>VLOOKUP(E:E,笔记匹配!A:N,4,FALSE)</f>
        <v>云麦体脂秤3mini</v>
      </c>
      <c r="AE273" t="str">
        <f>VLOOKUP(E:E,笔记匹配!A:N,14,FALSE)</f>
        <v>云麦体脂秤3mini</v>
      </c>
      <c r="AF273" t="str">
        <f>VLOOKUP(E:E,笔记匹配!A:N,6,FALSE)</f>
        <v>110到88 一些减肥小建议｜如何正确运动</v>
      </c>
    </row>
    <row r="274" spans="1:32">
      <c r="A274" s="18" t="s">
        <v>40</v>
      </c>
      <c r="B274" s="18" t="s">
        <v>587</v>
      </c>
      <c r="C274" s="19">
        <v>15295967</v>
      </c>
      <c r="D274" s="18" t="s">
        <v>209</v>
      </c>
      <c r="E274" s="18" t="s">
        <v>400</v>
      </c>
      <c r="F274" s="18" t="s">
        <v>1090</v>
      </c>
      <c r="G274" s="19">
        <v>3020475</v>
      </c>
      <c r="H274" s="18" t="s">
        <v>1091</v>
      </c>
      <c r="I274" s="19">
        <v>2418288</v>
      </c>
      <c r="J274" s="18" t="s">
        <v>1015</v>
      </c>
      <c r="K274" s="19">
        <v>1508.53</v>
      </c>
      <c r="L274" s="19">
        <v>161834</v>
      </c>
      <c r="M274" s="19">
        <v>10093</v>
      </c>
      <c r="N274" s="20">
        <v>0.0624</v>
      </c>
      <c r="O274" s="19">
        <v>0.15</v>
      </c>
      <c r="P274" s="19">
        <v>9.32</v>
      </c>
      <c r="Q274" s="19">
        <v>302</v>
      </c>
      <c r="R274" s="19">
        <v>1</v>
      </c>
      <c r="S274" s="19">
        <v>231</v>
      </c>
      <c r="T274" s="19">
        <v>21</v>
      </c>
      <c r="U274" s="19">
        <v>17</v>
      </c>
      <c r="V274" s="19">
        <v>572</v>
      </c>
      <c r="W274" s="19">
        <v>2.64</v>
      </c>
      <c r="X274" s="19">
        <v>0</v>
      </c>
      <c r="Y274" s="20">
        <v>0</v>
      </c>
      <c r="Z274" s="19">
        <v>11</v>
      </c>
      <c r="AA274" s="19">
        <v>6</v>
      </c>
      <c r="AB274" t="str">
        <f>VLOOKUP(E:E,笔记匹配!A:N,3,FALSE)</f>
        <v>小雪教瑜伽</v>
      </c>
      <c r="AC274" t="str">
        <f>VLOOKUP(E:E,笔记匹配!A:N,2,FALSE)</f>
        <v>筋膜枪</v>
      </c>
      <c r="AD274" t="str">
        <f>VLOOKUP(E:E,笔记匹配!A:N,4,FALSE)</f>
        <v>云麦筋膜枪cc</v>
      </c>
      <c r="AE274" t="str">
        <f>VLOOKUP(E:E,笔记匹配!A:N,14,FALSE)</f>
        <v>云麦筋膜枪cc</v>
      </c>
      <c r="AF274" t="str">
        <f>VLOOKUP(E:E,笔记匹配!A:N,6,FALSE)</f>
        <v>瘦肌肉腿必备&amp;筋膜枪按摩跟练教程</v>
      </c>
    </row>
    <row r="275" spans="1:32">
      <c r="A275" s="18" t="s">
        <v>40</v>
      </c>
      <c r="B275" s="18" t="s">
        <v>716</v>
      </c>
      <c r="C275" s="19">
        <v>15296992</v>
      </c>
      <c r="D275" s="18" t="s">
        <v>209</v>
      </c>
      <c r="E275" s="18" t="s">
        <v>494</v>
      </c>
      <c r="F275" s="18" t="s">
        <v>1094</v>
      </c>
      <c r="G275" s="19">
        <v>3020613</v>
      </c>
      <c r="H275" s="18" t="s">
        <v>1094</v>
      </c>
      <c r="I275" s="19">
        <v>2418438</v>
      </c>
      <c r="J275" s="18" t="s">
        <v>1015</v>
      </c>
      <c r="K275" s="19">
        <v>500.85</v>
      </c>
      <c r="L275" s="19">
        <v>40915</v>
      </c>
      <c r="M275" s="19">
        <v>3054</v>
      </c>
      <c r="N275" s="20">
        <v>0.0746</v>
      </c>
      <c r="O275" s="19">
        <v>0.16</v>
      </c>
      <c r="P275" s="19">
        <v>12.24</v>
      </c>
      <c r="Q275" s="19">
        <v>87</v>
      </c>
      <c r="R275" s="19">
        <v>2</v>
      </c>
      <c r="S275" s="19">
        <v>88</v>
      </c>
      <c r="T275" s="19">
        <v>64</v>
      </c>
      <c r="U275" s="19">
        <v>6</v>
      </c>
      <c r="V275" s="19">
        <v>247</v>
      </c>
      <c r="W275" s="19">
        <v>2.03</v>
      </c>
      <c r="X275" s="19">
        <v>0</v>
      </c>
      <c r="Y275" s="20">
        <v>0</v>
      </c>
      <c r="Z275" s="19">
        <v>18</v>
      </c>
      <c r="AA275" s="19">
        <v>4</v>
      </c>
      <c r="AB275" t="str">
        <f>VLOOKUP(E:E,笔记匹配!A:N,3,FALSE)</f>
        <v>凯琳KatherineW</v>
      </c>
      <c r="AC275" t="str">
        <f>VLOOKUP(E:E,笔记匹配!A:N,2,FALSE)</f>
        <v>跳绳</v>
      </c>
      <c r="AD275" t="str">
        <f>VLOOKUP(E:E,笔记匹配!A:N,4,FALSE)</f>
        <v>云麦心率跳绳</v>
      </c>
      <c r="AE275" t="str">
        <f>VLOOKUP(E:E,笔记匹配!A:N,14,FALSE)</f>
        <v>云麦心率跳绳</v>
      </c>
      <c r="AF275" t="str">
        <f>VLOOKUP(E:E,笔记匹配!A:N,6,FALSE)</f>
        <v>无绳卡点暴汗230卡跟练 ｜小基数瘦腿瘦全身</v>
      </c>
    </row>
    <row r="276" spans="1:32">
      <c r="A276" s="18" t="s">
        <v>40</v>
      </c>
      <c r="B276" s="18" t="s">
        <v>713</v>
      </c>
      <c r="C276" s="19">
        <v>15297115</v>
      </c>
      <c r="D276" s="18" t="s">
        <v>209</v>
      </c>
      <c r="E276" s="18" t="s">
        <v>496</v>
      </c>
      <c r="F276" s="18" t="s">
        <v>1095</v>
      </c>
      <c r="G276" s="19">
        <v>3020628</v>
      </c>
      <c r="H276" s="18" t="s">
        <v>1095</v>
      </c>
      <c r="I276" s="19">
        <v>2418459</v>
      </c>
      <c r="J276" s="18" t="s">
        <v>1015</v>
      </c>
      <c r="K276" s="19">
        <v>0</v>
      </c>
      <c r="L276" s="19">
        <v>0</v>
      </c>
      <c r="M276" s="19">
        <v>0</v>
      </c>
      <c r="N276" s="20">
        <v>0</v>
      </c>
      <c r="O276" s="19">
        <v>0</v>
      </c>
      <c r="P276" s="19">
        <v>0</v>
      </c>
      <c r="Q276" s="19">
        <v>0</v>
      </c>
      <c r="R276" s="19">
        <v>0</v>
      </c>
      <c r="S276" s="19">
        <v>0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20">
        <v>0</v>
      </c>
      <c r="Z276" s="19">
        <v>0</v>
      </c>
      <c r="AA276" s="19">
        <v>0</v>
      </c>
      <c r="AB276" t="str">
        <f>VLOOKUP(E:E,笔记匹配!A:N,3,FALSE)</f>
        <v>杨大大的预备辣妹日记</v>
      </c>
      <c r="AC276" t="str">
        <f>VLOOKUP(E:E,笔记匹配!A:N,2,FALSE)</f>
        <v>跳绳</v>
      </c>
      <c r="AD276" t="str">
        <f>VLOOKUP(E:E,笔记匹配!A:N,4,FALSE)</f>
        <v>云麦心率跳绳</v>
      </c>
      <c r="AE276" t="str">
        <f>VLOOKUP(E:E,笔记匹配!A:N,14,FALSE)</f>
        <v>云麦心率跳绳</v>
      </c>
      <c r="AF276" t="str">
        <f>VLOOKUP(E:E,笔记匹配!A:N,6,FALSE)</f>
        <v>130-110斤跳绳不复胖‼️间歇性跳绳减脂快</v>
      </c>
    </row>
    <row r="277" spans="1:32">
      <c r="A277" s="18" t="s">
        <v>40</v>
      </c>
      <c r="B277" s="18" t="s">
        <v>719</v>
      </c>
      <c r="C277" s="19">
        <v>15353127</v>
      </c>
      <c r="D277" s="18" t="s">
        <v>209</v>
      </c>
      <c r="E277" s="18" t="s">
        <v>490</v>
      </c>
      <c r="F277" s="18" t="s">
        <v>1096</v>
      </c>
      <c r="G277" s="19">
        <v>3028319</v>
      </c>
      <c r="H277" s="18" t="s">
        <v>1096</v>
      </c>
      <c r="I277" s="19">
        <v>2426112</v>
      </c>
      <c r="J277" s="18" t="s">
        <v>1015</v>
      </c>
      <c r="K277" s="19">
        <v>72.54</v>
      </c>
      <c r="L277" s="19">
        <v>5318</v>
      </c>
      <c r="M277" s="19">
        <v>371</v>
      </c>
      <c r="N277" s="20">
        <v>0.0698</v>
      </c>
      <c r="O277" s="19">
        <v>0.2</v>
      </c>
      <c r="P277" s="19">
        <v>13.64</v>
      </c>
      <c r="Q277" s="19">
        <v>4</v>
      </c>
      <c r="R277" s="19">
        <v>2</v>
      </c>
      <c r="S277" s="19">
        <v>1</v>
      </c>
      <c r="T277" s="19">
        <v>2</v>
      </c>
      <c r="U277" s="19">
        <v>0</v>
      </c>
      <c r="V277" s="19">
        <v>9</v>
      </c>
      <c r="W277" s="19">
        <v>8.06</v>
      </c>
      <c r="X277" s="19">
        <v>0</v>
      </c>
      <c r="Y277" s="20">
        <v>0</v>
      </c>
      <c r="Z277" s="19">
        <v>0</v>
      </c>
      <c r="AA277" s="19">
        <v>0</v>
      </c>
      <c r="AB277" t="str">
        <f>VLOOKUP(E:E,笔记匹配!A:N,3,FALSE)</f>
        <v>丫丫小姐姐</v>
      </c>
      <c r="AC277" t="str">
        <f>VLOOKUP(E:E,笔记匹配!A:N,2,FALSE)</f>
        <v>跳绳</v>
      </c>
      <c r="AD277" t="str">
        <f>VLOOKUP(E:E,笔记匹配!A:N,4,FALSE)</f>
        <v>云麦心率跳绳</v>
      </c>
      <c r="AE277" t="str">
        <f>VLOOKUP(E:E,笔记匹配!A:N,14,FALSE)</f>
        <v>云麦心率跳绳</v>
      </c>
      <c r="AF277" t="str">
        <f>VLOOKUP(E:E,笔记匹配!A:N,6,FALSE)</f>
        <v>产后辣妈恢复秘诀 | 学会这样跳不瘦都不行</v>
      </c>
    </row>
    <row r="278" spans="1:32">
      <c r="A278" s="18" t="s">
        <v>40</v>
      </c>
      <c r="B278" s="18" t="s">
        <v>728</v>
      </c>
      <c r="C278" s="19">
        <v>15678633</v>
      </c>
      <c r="D278" s="18" t="s">
        <v>209</v>
      </c>
      <c r="E278" s="18" t="s">
        <v>483</v>
      </c>
      <c r="F278" s="18" t="s">
        <v>1097</v>
      </c>
      <c r="G278" s="19">
        <v>3067706</v>
      </c>
      <c r="H278" s="18" t="s">
        <v>1097</v>
      </c>
      <c r="I278" s="19">
        <v>2464957</v>
      </c>
      <c r="J278" s="18" t="s">
        <v>1015</v>
      </c>
      <c r="K278" s="19">
        <v>1011.38</v>
      </c>
      <c r="L278" s="19">
        <v>152555</v>
      </c>
      <c r="M278" s="19">
        <v>10483</v>
      </c>
      <c r="N278" s="20">
        <v>0.0687</v>
      </c>
      <c r="O278" s="19">
        <v>0.1</v>
      </c>
      <c r="P278" s="19">
        <v>6.63</v>
      </c>
      <c r="Q278" s="19">
        <v>152</v>
      </c>
      <c r="R278" s="19">
        <v>8</v>
      </c>
      <c r="S278" s="19">
        <v>109</v>
      </c>
      <c r="T278" s="19">
        <v>12</v>
      </c>
      <c r="U278" s="19">
        <v>6</v>
      </c>
      <c r="V278" s="19">
        <v>287</v>
      </c>
      <c r="W278" s="19">
        <v>3.52</v>
      </c>
      <c r="X278" s="19">
        <v>0</v>
      </c>
      <c r="Y278" s="20">
        <v>0</v>
      </c>
      <c r="Z278" s="19">
        <v>57</v>
      </c>
      <c r="AA278" s="19">
        <v>77</v>
      </c>
      <c r="AB278" t="str">
        <f>VLOOKUP(E:E,笔记匹配!A:N,3,FALSE)</f>
        <v>六月炎妍</v>
      </c>
      <c r="AC278" t="str">
        <f>VLOOKUP(E:E,笔记匹配!A:N,2,FALSE)</f>
        <v>体脂秤</v>
      </c>
      <c r="AD278" t="str">
        <f>VLOOKUP(E:E,笔记匹配!A:N,4,FALSE)</f>
        <v>云麦3mini</v>
      </c>
      <c r="AE278" t="str">
        <f>VLOOKUP(E:E,笔记匹配!A:N,14,FALSE)</f>
        <v>云麦体脂秤3mini</v>
      </c>
      <c r="AF278" t="str">
        <f>VLOOKUP(E:E,笔记匹配!A:N,6,FALSE)</f>
        <v>体脂秤监测|瘦了23斤的经验无保留分享</v>
      </c>
    </row>
    <row r="279" spans="1:32">
      <c r="A279" s="18" t="s">
        <v>40</v>
      </c>
      <c r="B279" s="18" t="s">
        <v>731</v>
      </c>
      <c r="C279" s="19">
        <v>15678822</v>
      </c>
      <c r="D279" s="18" t="s">
        <v>209</v>
      </c>
      <c r="E279" s="18" t="s">
        <v>423</v>
      </c>
      <c r="F279" s="18" t="s">
        <v>1098</v>
      </c>
      <c r="G279" s="19">
        <v>3067718</v>
      </c>
      <c r="H279" s="18" t="s">
        <v>1098</v>
      </c>
      <c r="I279" s="19">
        <v>2464972</v>
      </c>
      <c r="J279" s="18" t="s">
        <v>1015</v>
      </c>
      <c r="K279" s="19">
        <v>509.03</v>
      </c>
      <c r="L279" s="19">
        <v>54918</v>
      </c>
      <c r="M279" s="19">
        <v>5926</v>
      </c>
      <c r="N279" s="20">
        <v>0.1079</v>
      </c>
      <c r="O279" s="19">
        <v>0.09</v>
      </c>
      <c r="P279" s="19">
        <v>9.27</v>
      </c>
      <c r="Q279" s="19">
        <v>39</v>
      </c>
      <c r="R279" s="19">
        <v>3</v>
      </c>
      <c r="S279" s="19">
        <v>15</v>
      </c>
      <c r="T279" s="19">
        <v>3</v>
      </c>
      <c r="U279" s="19">
        <v>6</v>
      </c>
      <c r="V279" s="19">
        <v>66</v>
      </c>
      <c r="W279" s="19">
        <v>7.71</v>
      </c>
      <c r="X279" s="19">
        <v>0</v>
      </c>
      <c r="Y279" s="20">
        <v>0</v>
      </c>
      <c r="Z279" s="19">
        <v>2</v>
      </c>
      <c r="AA279" s="19">
        <v>2</v>
      </c>
      <c r="AB279" t="str">
        <f>VLOOKUP(E:E,笔记匹配!A:N,3,FALSE)</f>
        <v>星星要变瘦</v>
      </c>
      <c r="AC279" t="str">
        <f>VLOOKUP(E:E,笔记匹配!A:N,2,FALSE)</f>
        <v>筋膜枪</v>
      </c>
      <c r="AD279" t="str">
        <f>VLOOKUP(E:E,笔记匹配!A:N,4,FALSE)</f>
        <v>云麦cc筋膜枪</v>
      </c>
      <c r="AE279" t="str">
        <f>VLOOKUP(E:E,笔记匹配!A:N,14,FALSE)</f>
        <v>云麦筋膜枪cc</v>
      </c>
      <c r="AF279" t="str">
        <f>VLOOKUP(E:E,笔记匹配!A:N,6,FALSE)</f>
        <v>瘦腿真的不难！成功瘦腿之后才知道的！（2）</v>
      </c>
    </row>
    <row r="280" spans="1:32">
      <c r="A280" s="18" t="s">
        <v>40</v>
      </c>
      <c r="B280" s="18" t="s">
        <v>1099</v>
      </c>
      <c r="C280" s="19">
        <v>15678883</v>
      </c>
      <c r="D280" s="18" t="s">
        <v>209</v>
      </c>
      <c r="E280" s="18" t="s">
        <v>549</v>
      </c>
      <c r="F280" s="18" t="s">
        <v>1100</v>
      </c>
      <c r="G280" s="19">
        <v>3067721</v>
      </c>
      <c r="H280" s="18" t="s">
        <v>1100</v>
      </c>
      <c r="I280" s="19">
        <v>2464984</v>
      </c>
      <c r="J280" s="18" t="s">
        <v>1015</v>
      </c>
      <c r="K280" s="19">
        <v>508.28</v>
      </c>
      <c r="L280" s="19">
        <v>35262</v>
      </c>
      <c r="M280" s="19">
        <v>3750</v>
      </c>
      <c r="N280" s="20">
        <v>0.1063</v>
      </c>
      <c r="O280" s="19">
        <v>0.14</v>
      </c>
      <c r="P280" s="19">
        <v>14.41</v>
      </c>
      <c r="Q280" s="19">
        <v>66</v>
      </c>
      <c r="R280" s="19">
        <v>1</v>
      </c>
      <c r="S280" s="19">
        <v>26</v>
      </c>
      <c r="T280" s="19">
        <v>19</v>
      </c>
      <c r="U280" s="19">
        <v>7</v>
      </c>
      <c r="V280" s="19">
        <v>119</v>
      </c>
      <c r="W280" s="19">
        <v>4.27</v>
      </c>
      <c r="X280" s="19">
        <v>0</v>
      </c>
      <c r="Y280" s="20">
        <v>0</v>
      </c>
      <c r="Z280" s="19">
        <v>5</v>
      </c>
      <c r="AA280" s="19">
        <v>2</v>
      </c>
      <c r="AB280" t="str">
        <f>VLOOKUP(E:E,笔记匹配!A:N,3,FALSE)</f>
        <v>爽姐腿特长</v>
      </c>
      <c r="AC280" t="str">
        <f>VLOOKUP(E:E,笔记匹配!A:N,2,FALSE)</f>
        <v>筋膜枪</v>
      </c>
      <c r="AD280" t="str">
        <f>VLOOKUP(E:E,笔记匹配!A:N,4,FALSE)</f>
        <v>云麦筋膜枪cc</v>
      </c>
      <c r="AE280" t="str">
        <f>VLOOKUP(E:E,笔记匹配!A:N,14,FALSE)</f>
        <v>云麦筋膜枪cc</v>
      </c>
      <c r="AF280" t="str">
        <f>VLOOKUP(E:E,笔记匹配!A:N,6,FALSE)</f>
        <v>筋膜枪有效放松|顽固肌肉腿有救了🦵</v>
      </c>
    </row>
    <row r="281" spans="1:32">
      <c r="A281" s="18" t="s">
        <v>40</v>
      </c>
      <c r="B281" s="18" t="s">
        <v>725</v>
      </c>
      <c r="C281" s="19">
        <v>15679270</v>
      </c>
      <c r="D281" s="18" t="s">
        <v>209</v>
      </c>
      <c r="E281" s="18" t="s">
        <v>486</v>
      </c>
      <c r="F281" s="18" t="s">
        <v>1101</v>
      </c>
      <c r="G281" s="19">
        <v>3067744</v>
      </c>
      <c r="H281" s="18" t="s">
        <v>1101</v>
      </c>
      <c r="I281" s="19">
        <v>2465008</v>
      </c>
      <c r="J281" s="18" t="s">
        <v>1015</v>
      </c>
      <c r="K281" s="19">
        <v>513.7</v>
      </c>
      <c r="L281" s="19">
        <v>64692</v>
      </c>
      <c r="M281" s="19">
        <v>5068</v>
      </c>
      <c r="N281" s="20">
        <v>0.0783</v>
      </c>
      <c r="O281" s="19">
        <v>0.1</v>
      </c>
      <c r="P281" s="19">
        <v>7.94</v>
      </c>
      <c r="Q281" s="19">
        <v>41</v>
      </c>
      <c r="R281" s="19">
        <v>1</v>
      </c>
      <c r="S281" s="19">
        <v>6</v>
      </c>
      <c r="T281" s="19">
        <v>2</v>
      </c>
      <c r="U281" s="19">
        <v>2</v>
      </c>
      <c r="V281" s="19">
        <v>52</v>
      </c>
      <c r="W281" s="19">
        <v>9.88</v>
      </c>
      <c r="X281" s="19">
        <v>0</v>
      </c>
      <c r="Y281" s="20">
        <v>0</v>
      </c>
      <c r="Z281" s="19">
        <v>4</v>
      </c>
      <c r="AA281" s="19">
        <v>4</v>
      </c>
      <c r="AB281" t="str">
        <f>VLOOKUP(E:E,笔记匹配!A:N,3,FALSE)</f>
        <v>小月月</v>
      </c>
      <c r="AC281" t="str">
        <f>VLOOKUP(E:E,笔记匹配!A:N,2,FALSE)</f>
        <v>体脂秤</v>
      </c>
      <c r="AD281" t="str">
        <f>VLOOKUP(E:E,笔记匹配!A:N,4,FALSE)</f>
        <v>云麦体脂秤3</v>
      </c>
      <c r="AE281" t="str">
        <f>VLOOKUP(E:E,笔记匹配!A:N,14,FALSE)</f>
        <v>云麦体脂秤3</v>
      </c>
      <c r="AF281" t="str">
        <f>VLOOKUP(E:E,笔记匹配!A:N,6,FALSE)</f>
        <v>体重秤上的数字告诉我：你是个失败者</v>
      </c>
    </row>
    <row r="282" spans="1:32">
      <c r="A282" s="18" t="s">
        <v>40</v>
      </c>
      <c r="B282" s="18" t="s">
        <v>1102</v>
      </c>
      <c r="C282" s="19">
        <v>15688208</v>
      </c>
      <c r="D282" s="18" t="s">
        <v>196</v>
      </c>
      <c r="E282" s="18" t="s">
        <v>420</v>
      </c>
      <c r="F282" s="18" t="s">
        <v>1103</v>
      </c>
      <c r="G282" s="19">
        <v>3068565</v>
      </c>
      <c r="H282" s="18" t="s">
        <v>1104</v>
      </c>
      <c r="I282" s="19">
        <v>2465715</v>
      </c>
      <c r="J282" s="18" t="s">
        <v>1015</v>
      </c>
      <c r="K282" s="19">
        <v>250.96</v>
      </c>
      <c r="L282" s="19">
        <v>19402</v>
      </c>
      <c r="M282" s="19">
        <v>621</v>
      </c>
      <c r="N282" s="20">
        <v>0.032</v>
      </c>
      <c r="O282" s="19">
        <v>0.4</v>
      </c>
      <c r="P282" s="19">
        <v>12.93</v>
      </c>
      <c r="Q282" s="19">
        <v>14</v>
      </c>
      <c r="R282" s="19">
        <v>0</v>
      </c>
      <c r="S282" s="19">
        <v>5</v>
      </c>
      <c r="T282" s="19">
        <v>1</v>
      </c>
      <c r="U282" s="19">
        <v>0</v>
      </c>
      <c r="V282" s="19">
        <v>20</v>
      </c>
      <c r="W282" s="19">
        <v>12.55</v>
      </c>
      <c r="X282" s="19">
        <v>0</v>
      </c>
      <c r="Y282" s="20">
        <v>0</v>
      </c>
      <c r="Z282" s="19">
        <v>0</v>
      </c>
      <c r="AA282" s="19">
        <v>0</v>
      </c>
      <c r="AB282" t="str">
        <f>VLOOKUP(E:E,笔记匹配!A:N,3,FALSE)</f>
        <v>干坐着的小瑶</v>
      </c>
      <c r="AC282" t="str">
        <f>VLOOKUP(E:E,笔记匹配!A:N,2,FALSE)</f>
        <v>筋膜枪</v>
      </c>
      <c r="AD282" t="str">
        <f>VLOOKUP(E:E,笔记匹配!A:N,4,FALSE)</f>
        <v>云麦cc筋膜枪</v>
      </c>
      <c r="AE282" t="str">
        <f>VLOOKUP(E:E,笔记匹配!A:N,14,FALSE)</f>
        <v>云麦筋膜枪cc</v>
      </c>
      <c r="AF282" t="str">
        <f>VLOOKUP(E:E,笔记匹配!A:N,6,FALSE)</f>
        <v>筋膜枪🆚泡沫轴🆚筋膜球，怎么选❓哪个好❓</v>
      </c>
    </row>
    <row r="283" spans="1:32">
      <c r="A283" s="18" t="s">
        <v>41</v>
      </c>
      <c r="B283" s="18" t="s">
        <v>1057</v>
      </c>
      <c r="C283" s="19">
        <v>14976642</v>
      </c>
      <c r="D283" s="18" t="s">
        <v>209</v>
      </c>
      <c r="E283" s="18" t="s">
        <v>509</v>
      </c>
      <c r="F283" s="18" t="s">
        <v>1058</v>
      </c>
      <c r="G283" s="19">
        <v>2984144</v>
      </c>
      <c r="H283" s="18" t="s">
        <v>1059</v>
      </c>
      <c r="I283" s="19">
        <v>2385921</v>
      </c>
      <c r="J283" s="18" t="s">
        <v>1015</v>
      </c>
      <c r="K283" s="19">
        <v>0</v>
      </c>
      <c r="L283" s="19">
        <v>0</v>
      </c>
      <c r="M283" s="19">
        <v>0</v>
      </c>
      <c r="N283" s="20">
        <v>0</v>
      </c>
      <c r="O283" s="19">
        <v>0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20">
        <v>0</v>
      </c>
      <c r="Z283" s="19">
        <v>0</v>
      </c>
      <c r="AA283" s="19">
        <v>0</v>
      </c>
      <c r="AB283" t="str">
        <f>VLOOKUP(E:E,笔记匹配!A:N,3,FALSE)</f>
        <v>小小李</v>
      </c>
      <c r="AC283" t="str">
        <f>VLOOKUP(E:E,笔记匹配!A:N,2,FALSE)</f>
        <v>跳绳</v>
      </c>
      <c r="AD283" t="str">
        <f>VLOOKUP(E:E,笔记匹配!A:N,4,FALSE)</f>
        <v>云麦心率跳绳</v>
      </c>
      <c r="AE283" t="str">
        <f>VLOOKUP(E:E,笔记匹配!A:N,14,FALSE)</f>
        <v>云麦心率跳绳</v>
      </c>
      <c r="AF283" t="str">
        <f>VLOOKUP(E:E,笔记匹配!A:N,6,FALSE)</f>
        <v>4分钟跳绳TABATA | 居家高效燃脂瘦全身</v>
      </c>
    </row>
    <row r="284" spans="1:32">
      <c r="A284" s="18" t="s">
        <v>41</v>
      </c>
      <c r="B284" s="18" t="s">
        <v>698</v>
      </c>
      <c r="C284" s="19">
        <v>15180603</v>
      </c>
      <c r="D284" s="18" t="s">
        <v>209</v>
      </c>
      <c r="E284" s="18" t="s">
        <v>501</v>
      </c>
      <c r="F284" s="18" t="s">
        <v>1076</v>
      </c>
      <c r="G284" s="19">
        <v>3007662</v>
      </c>
      <c r="H284" s="18" t="s">
        <v>1076</v>
      </c>
      <c r="I284" s="19">
        <v>2405908</v>
      </c>
      <c r="J284" s="18" t="s">
        <v>1015</v>
      </c>
      <c r="K284" s="19">
        <v>0</v>
      </c>
      <c r="L284" s="19">
        <v>0</v>
      </c>
      <c r="M284" s="19">
        <v>0</v>
      </c>
      <c r="N284" s="20">
        <v>0</v>
      </c>
      <c r="O284" s="19">
        <v>0</v>
      </c>
      <c r="P284" s="19">
        <v>0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20">
        <v>0</v>
      </c>
      <c r="Z284" s="19">
        <v>0</v>
      </c>
      <c r="AA284" s="19">
        <v>0</v>
      </c>
      <c r="AB284" t="str">
        <f>VLOOKUP(E:E,笔记匹配!A:N,3,FALSE)</f>
        <v>咕咕猪小短腿</v>
      </c>
      <c r="AC284" t="str">
        <f>VLOOKUP(E:E,笔记匹配!A:N,2,FALSE)</f>
        <v>体脂秤</v>
      </c>
      <c r="AD284" t="str">
        <f>VLOOKUP(E:E,笔记匹配!A:N,4,FALSE)</f>
        <v>云麦体脂秤3</v>
      </c>
      <c r="AE284" t="str">
        <f>VLOOKUP(E:E,笔记匹配!A:N,14,FALSE)</f>
        <v>云麦体脂秤3</v>
      </c>
      <c r="AF284" t="str">
        <f>VLOOKUP(E:E,笔记匹配!A:N,6,FALSE)</f>
        <v>笑死！一到称重就心虚到没耳朵</v>
      </c>
    </row>
    <row r="285" spans="1:32">
      <c r="A285" s="18" t="s">
        <v>41</v>
      </c>
      <c r="B285" s="18" t="s">
        <v>704</v>
      </c>
      <c r="C285" s="19">
        <v>15248253</v>
      </c>
      <c r="D285" s="18" t="s">
        <v>209</v>
      </c>
      <c r="E285" s="18" t="s">
        <v>497</v>
      </c>
      <c r="F285" s="18" t="s">
        <v>1084</v>
      </c>
      <c r="G285" s="19">
        <v>3014764</v>
      </c>
      <c r="H285" s="18" t="s">
        <v>1085</v>
      </c>
      <c r="I285" s="19">
        <v>2412653</v>
      </c>
      <c r="J285" s="18" t="s">
        <v>1015</v>
      </c>
      <c r="K285" s="19">
        <v>501.14</v>
      </c>
      <c r="L285" s="19">
        <v>41858</v>
      </c>
      <c r="M285" s="19">
        <v>3227</v>
      </c>
      <c r="N285" s="20">
        <v>0.0771</v>
      </c>
      <c r="O285" s="19">
        <v>0.16</v>
      </c>
      <c r="P285" s="19">
        <v>11.97</v>
      </c>
      <c r="Q285" s="19">
        <v>47</v>
      </c>
      <c r="R285" s="19">
        <v>3</v>
      </c>
      <c r="S285" s="19">
        <v>22</v>
      </c>
      <c r="T285" s="19">
        <v>0</v>
      </c>
      <c r="U285" s="19">
        <v>10</v>
      </c>
      <c r="V285" s="19">
        <v>82</v>
      </c>
      <c r="W285" s="19">
        <v>6.11</v>
      </c>
      <c r="X285" s="19">
        <v>0</v>
      </c>
      <c r="Y285" s="20">
        <v>0</v>
      </c>
      <c r="Z285" s="19">
        <v>18</v>
      </c>
      <c r="AA285" s="19">
        <v>11</v>
      </c>
      <c r="AB285" t="str">
        <f>VLOOKUP(E:E,笔记匹配!A:N,3,FALSE)</f>
        <v>小方今天瘦了吗</v>
      </c>
      <c r="AC285" t="str">
        <f>VLOOKUP(E:E,笔记匹配!A:N,2,FALSE)</f>
        <v>体脂秤</v>
      </c>
      <c r="AD285" t="str">
        <f>VLOOKUP(E:E,笔记匹配!A:N,4,FALSE)</f>
        <v>云麦3mini</v>
      </c>
      <c r="AE285" t="str">
        <f>VLOOKUP(E:E,笔记匹配!A:N,14,FALSE)</f>
        <v>云麦体脂秤3mini</v>
      </c>
      <c r="AF285" t="str">
        <f>VLOOKUP(E:E,笔记匹配!A:N,6,FALSE)</f>
        <v>大基数无运动节食减45斤 （饮食习惯/食谱‼️）</v>
      </c>
    </row>
    <row r="286" spans="1:32">
      <c r="A286" s="18" t="s">
        <v>41</v>
      </c>
      <c r="B286" s="18" t="s">
        <v>1086</v>
      </c>
      <c r="C286" s="19">
        <v>15248439</v>
      </c>
      <c r="D286" s="18" t="s">
        <v>196</v>
      </c>
      <c r="E286" s="18" t="s">
        <v>234</v>
      </c>
      <c r="F286" s="18" t="s">
        <v>1087</v>
      </c>
      <c r="G286" s="19">
        <v>3014779</v>
      </c>
      <c r="H286" s="18" t="s">
        <v>1088</v>
      </c>
      <c r="I286" s="19">
        <v>2412665</v>
      </c>
      <c r="J286" s="18" t="s">
        <v>1015</v>
      </c>
      <c r="K286" s="19">
        <v>890.73</v>
      </c>
      <c r="L286" s="19">
        <v>13092</v>
      </c>
      <c r="M286" s="19">
        <v>1442</v>
      </c>
      <c r="N286" s="20">
        <v>0.1101</v>
      </c>
      <c r="O286" s="19">
        <v>0.62</v>
      </c>
      <c r="P286" s="19">
        <v>68.04</v>
      </c>
      <c r="Q286" s="19">
        <v>7</v>
      </c>
      <c r="R286" s="19">
        <v>0</v>
      </c>
      <c r="S286" s="19">
        <v>1</v>
      </c>
      <c r="T286" s="19">
        <v>1</v>
      </c>
      <c r="U286" s="19">
        <v>0</v>
      </c>
      <c r="V286" s="19">
        <v>9</v>
      </c>
      <c r="W286" s="19">
        <v>98.97</v>
      </c>
      <c r="X286" s="19">
        <v>0</v>
      </c>
      <c r="Y286" s="20">
        <v>0</v>
      </c>
      <c r="Z286" s="19">
        <v>24</v>
      </c>
      <c r="AA286" s="19">
        <v>0</v>
      </c>
      <c r="AB286" t="str">
        <f>VLOOKUP(E:E,笔记匹配!A:N,3,FALSE)</f>
        <v>pp</v>
      </c>
      <c r="AC286" t="str">
        <f>VLOOKUP(E:E,笔记匹配!A:N,2,FALSE)</f>
        <v>体脂秤</v>
      </c>
      <c r="AD286" t="str">
        <f>VLOOKUP(E:E,笔记匹配!A:N,4,FALSE)</f>
        <v>云麦体脂秤3mini</v>
      </c>
      <c r="AE286" t="str">
        <f>VLOOKUP(E:E,笔记匹配!A:N,14,FALSE)</f>
        <v>云麦体脂秤3mini</v>
      </c>
      <c r="AF286" t="str">
        <f>VLOOKUP(E:E,笔记匹配!A:N,6,FALSE)</f>
        <v>110到88 一些减肥小建议｜如何正确运动</v>
      </c>
    </row>
    <row r="287" spans="1:32">
      <c r="A287" s="18" t="s">
        <v>41</v>
      </c>
      <c r="B287" s="18" t="s">
        <v>231</v>
      </c>
      <c r="C287" s="19">
        <v>15248486</v>
      </c>
      <c r="D287" s="18" t="s">
        <v>209</v>
      </c>
      <c r="E287" s="18" t="s">
        <v>234</v>
      </c>
      <c r="F287" s="18" t="s">
        <v>1089</v>
      </c>
      <c r="G287" s="19">
        <v>3014783</v>
      </c>
      <c r="H287" s="18" t="s">
        <v>1089</v>
      </c>
      <c r="I287" s="19">
        <v>2412680</v>
      </c>
      <c r="J287" s="18" t="s">
        <v>1015</v>
      </c>
      <c r="K287" s="19">
        <v>1893.79</v>
      </c>
      <c r="L287" s="19">
        <v>162799</v>
      </c>
      <c r="M287" s="19">
        <v>7519</v>
      </c>
      <c r="N287" s="20">
        <v>0.0462</v>
      </c>
      <c r="O287" s="19">
        <v>0.25</v>
      </c>
      <c r="P287" s="19">
        <v>11.63</v>
      </c>
      <c r="Q287" s="19">
        <v>133</v>
      </c>
      <c r="R287" s="19">
        <v>7</v>
      </c>
      <c r="S287" s="19">
        <v>46</v>
      </c>
      <c r="T287" s="19">
        <v>7</v>
      </c>
      <c r="U287" s="19">
        <v>2</v>
      </c>
      <c r="V287" s="19">
        <v>195</v>
      </c>
      <c r="W287" s="19">
        <v>9.71</v>
      </c>
      <c r="X287" s="19">
        <v>0</v>
      </c>
      <c r="Y287" s="20">
        <v>0</v>
      </c>
      <c r="Z287" s="19">
        <v>5</v>
      </c>
      <c r="AA287" s="19">
        <v>6</v>
      </c>
      <c r="AB287" t="str">
        <f>VLOOKUP(E:E,笔记匹配!A:N,3,FALSE)</f>
        <v>pp</v>
      </c>
      <c r="AC287" t="str">
        <f>VLOOKUP(E:E,笔记匹配!A:N,2,FALSE)</f>
        <v>体脂秤</v>
      </c>
      <c r="AD287" t="str">
        <f>VLOOKUP(E:E,笔记匹配!A:N,4,FALSE)</f>
        <v>云麦体脂秤3mini</v>
      </c>
      <c r="AE287" t="str">
        <f>VLOOKUP(E:E,笔记匹配!A:N,14,FALSE)</f>
        <v>云麦体脂秤3mini</v>
      </c>
      <c r="AF287" t="str">
        <f>VLOOKUP(E:E,笔记匹配!A:N,6,FALSE)</f>
        <v>110到88 一些减肥小建议｜如何正确运动</v>
      </c>
    </row>
    <row r="288" spans="1:32">
      <c r="A288" s="18" t="s">
        <v>41</v>
      </c>
      <c r="B288" s="18" t="s">
        <v>587</v>
      </c>
      <c r="C288" s="19">
        <v>15295967</v>
      </c>
      <c r="D288" s="18" t="s">
        <v>209</v>
      </c>
      <c r="E288" s="18" t="s">
        <v>400</v>
      </c>
      <c r="F288" s="18" t="s">
        <v>1090</v>
      </c>
      <c r="G288" s="19">
        <v>3020475</v>
      </c>
      <c r="H288" s="18" t="s">
        <v>1091</v>
      </c>
      <c r="I288" s="19">
        <v>2418288</v>
      </c>
      <c r="J288" s="18" t="s">
        <v>1015</v>
      </c>
      <c r="K288" s="19">
        <v>1355.37</v>
      </c>
      <c r="L288" s="19">
        <v>107864</v>
      </c>
      <c r="M288" s="19">
        <v>6070</v>
      </c>
      <c r="N288" s="20">
        <v>0.0563</v>
      </c>
      <c r="O288" s="19">
        <v>0.22</v>
      </c>
      <c r="P288" s="19">
        <v>12.57</v>
      </c>
      <c r="Q288" s="19">
        <v>175</v>
      </c>
      <c r="R288" s="19">
        <v>2</v>
      </c>
      <c r="S288" s="19">
        <v>133</v>
      </c>
      <c r="T288" s="19">
        <v>10</v>
      </c>
      <c r="U288" s="19">
        <v>6</v>
      </c>
      <c r="V288" s="19">
        <v>326</v>
      </c>
      <c r="W288" s="19">
        <v>4.16</v>
      </c>
      <c r="X288" s="19">
        <v>0</v>
      </c>
      <c r="Y288" s="20">
        <v>0</v>
      </c>
      <c r="Z288" s="19">
        <v>2</v>
      </c>
      <c r="AA288" s="19">
        <v>4</v>
      </c>
      <c r="AB288" t="str">
        <f>VLOOKUP(E:E,笔记匹配!A:N,3,FALSE)</f>
        <v>小雪教瑜伽</v>
      </c>
      <c r="AC288" t="str">
        <f>VLOOKUP(E:E,笔记匹配!A:N,2,FALSE)</f>
        <v>筋膜枪</v>
      </c>
      <c r="AD288" t="str">
        <f>VLOOKUP(E:E,笔记匹配!A:N,4,FALSE)</f>
        <v>云麦筋膜枪cc</v>
      </c>
      <c r="AE288" t="str">
        <f>VLOOKUP(E:E,笔记匹配!A:N,14,FALSE)</f>
        <v>云麦筋膜枪cc</v>
      </c>
      <c r="AF288" t="str">
        <f>VLOOKUP(E:E,笔记匹配!A:N,6,FALSE)</f>
        <v>瘦肌肉腿必备&amp;筋膜枪按摩跟练教程</v>
      </c>
    </row>
    <row r="289" spans="1:32">
      <c r="A289" s="18" t="s">
        <v>41</v>
      </c>
      <c r="B289" s="18" t="s">
        <v>716</v>
      </c>
      <c r="C289" s="19">
        <v>15296992</v>
      </c>
      <c r="D289" s="18" t="s">
        <v>209</v>
      </c>
      <c r="E289" s="18" t="s">
        <v>494</v>
      </c>
      <c r="F289" s="18" t="s">
        <v>1094</v>
      </c>
      <c r="G289" s="19">
        <v>3020613</v>
      </c>
      <c r="H289" s="18" t="s">
        <v>1094</v>
      </c>
      <c r="I289" s="19">
        <v>2418438</v>
      </c>
      <c r="J289" s="18" t="s">
        <v>1015</v>
      </c>
      <c r="K289" s="19">
        <v>0.18</v>
      </c>
      <c r="L289" s="19">
        <v>43</v>
      </c>
      <c r="M289" s="19">
        <v>2</v>
      </c>
      <c r="N289" s="20">
        <v>0.0465</v>
      </c>
      <c r="O289" s="19">
        <v>0.09</v>
      </c>
      <c r="P289" s="19">
        <v>4.19</v>
      </c>
      <c r="Q289" s="19">
        <v>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20">
        <v>0</v>
      </c>
      <c r="Z289" s="19">
        <v>0</v>
      </c>
      <c r="AA289" s="19">
        <v>0</v>
      </c>
      <c r="AB289" t="str">
        <f>VLOOKUP(E:E,笔记匹配!A:N,3,FALSE)</f>
        <v>凯琳KatherineW</v>
      </c>
      <c r="AC289" t="str">
        <f>VLOOKUP(E:E,笔记匹配!A:N,2,FALSE)</f>
        <v>跳绳</v>
      </c>
      <c r="AD289" t="str">
        <f>VLOOKUP(E:E,笔记匹配!A:N,4,FALSE)</f>
        <v>云麦心率跳绳</v>
      </c>
      <c r="AE289" t="str">
        <f>VLOOKUP(E:E,笔记匹配!A:N,14,FALSE)</f>
        <v>云麦心率跳绳</v>
      </c>
      <c r="AF289" t="str">
        <f>VLOOKUP(E:E,笔记匹配!A:N,6,FALSE)</f>
        <v>无绳卡点暴汗230卡跟练 ｜小基数瘦腿瘦全身</v>
      </c>
    </row>
    <row r="290" spans="1:32">
      <c r="A290" s="18" t="s">
        <v>41</v>
      </c>
      <c r="B290" s="18" t="s">
        <v>719</v>
      </c>
      <c r="C290" s="19">
        <v>15353127</v>
      </c>
      <c r="D290" s="18" t="s">
        <v>209</v>
      </c>
      <c r="E290" s="18" t="s">
        <v>490</v>
      </c>
      <c r="F290" s="18" t="s">
        <v>1096</v>
      </c>
      <c r="G290" s="19">
        <v>3028319</v>
      </c>
      <c r="H290" s="18" t="s">
        <v>1096</v>
      </c>
      <c r="I290" s="19">
        <v>2426112</v>
      </c>
      <c r="J290" s="18" t="s">
        <v>1015</v>
      </c>
      <c r="K290" s="19">
        <v>0</v>
      </c>
      <c r="L290" s="19">
        <v>0</v>
      </c>
      <c r="M290" s="19">
        <v>0</v>
      </c>
      <c r="N290" s="20">
        <v>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20">
        <v>0</v>
      </c>
      <c r="Z290" s="19">
        <v>0</v>
      </c>
      <c r="AA290" s="19">
        <v>0</v>
      </c>
      <c r="AB290" t="str">
        <f>VLOOKUP(E:E,笔记匹配!A:N,3,FALSE)</f>
        <v>丫丫小姐姐</v>
      </c>
      <c r="AC290" t="str">
        <f>VLOOKUP(E:E,笔记匹配!A:N,2,FALSE)</f>
        <v>跳绳</v>
      </c>
      <c r="AD290" t="str">
        <f>VLOOKUP(E:E,笔记匹配!A:N,4,FALSE)</f>
        <v>云麦心率跳绳</v>
      </c>
      <c r="AE290" t="str">
        <f>VLOOKUP(E:E,笔记匹配!A:N,14,FALSE)</f>
        <v>云麦心率跳绳</v>
      </c>
      <c r="AF290" t="str">
        <f>VLOOKUP(E:E,笔记匹配!A:N,6,FALSE)</f>
        <v>产后辣妈恢复秘诀 | 学会这样跳不瘦都不行</v>
      </c>
    </row>
    <row r="291" spans="1:32">
      <c r="A291" s="18" t="s">
        <v>41</v>
      </c>
      <c r="B291" s="18" t="s">
        <v>728</v>
      </c>
      <c r="C291" s="19">
        <v>15678633</v>
      </c>
      <c r="D291" s="18" t="s">
        <v>209</v>
      </c>
      <c r="E291" s="18" t="s">
        <v>483</v>
      </c>
      <c r="F291" s="18" t="s">
        <v>1097</v>
      </c>
      <c r="G291" s="19">
        <v>3067706</v>
      </c>
      <c r="H291" s="18" t="s">
        <v>1097</v>
      </c>
      <c r="I291" s="19">
        <v>2464957</v>
      </c>
      <c r="J291" s="18" t="s">
        <v>1015</v>
      </c>
      <c r="K291" s="19">
        <v>503.97</v>
      </c>
      <c r="L291" s="19">
        <v>62984</v>
      </c>
      <c r="M291" s="19">
        <v>4852</v>
      </c>
      <c r="N291" s="20">
        <v>0.077</v>
      </c>
      <c r="O291" s="19">
        <v>0.1</v>
      </c>
      <c r="P291" s="19">
        <v>8</v>
      </c>
      <c r="Q291" s="19">
        <v>97</v>
      </c>
      <c r="R291" s="19">
        <v>2</v>
      </c>
      <c r="S291" s="19">
        <v>60</v>
      </c>
      <c r="T291" s="19">
        <v>7</v>
      </c>
      <c r="U291" s="19">
        <v>3</v>
      </c>
      <c r="V291" s="19">
        <v>169</v>
      </c>
      <c r="W291" s="19">
        <v>2.98</v>
      </c>
      <c r="X291" s="19">
        <v>0</v>
      </c>
      <c r="Y291" s="20">
        <v>0</v>
      </c>
      <c r="Z291" s="19">
        <v>27</v>
      </c>
      <c r="AA291" s="19">
        <v>33</v>
      </c>
      <c r="AB291" t="str">
        <f>VLOOKUP(E:E,笔记匹配!A:N,3,FALSE)</f>
        <v>六月炎妍</v>
      </c>
      <c r="AC291" t="str">
        <f>VLOOKUP(E:E,笔记匹配!A:N,2,FALSE)</f>
        <v>体脂秤</v>
      </c>
      <c r="AD291" t="str">
        <f>VLOOKUP(E:E,笔记匹配!A:N,4,FALSE)</f>
        <v>云麦3mini</v>
      </c>
      <c r="AE291" t="str">
        <f>VLOOKUP(E:E,笔记匹配!A:N,14,FALSE)</f>
        <v>云麦体脂秤3mini</v>
      </c>
      <c r="AF291" t="str">
        <f>VLOOKUP(E:E,笔记匹配!A:N,6,FALSE)</f>
        <v>体脂秤监测|瘦了23斤的经验无保留分享</v>
      </c>
    </row>
    <row r="292" spans="1:32">
      <c r="A292" s="18" t="s">
        <v>41</v>
      </c>
      <c r="B292" s="18" t="s">
        <v>731</v>
      </c>
      <c r="C292" s="19">
        <v>15678822</v>
      </c>
      <c r="D292" s="18" t="s">
        <v>209</v>
      </c>
      <c r="E292" s="18" t="s">
        <v>423</v>
      </c>
      <c r="F292" s="18" t="s">
        <v>1098</v>
      </c>
      <c r="G292" s="19">
        <v>3067718</v>
      </c>
      <c r="H292" s="18" t="s">
        <v>1098</v>
      </c>
      <c r="I292" s="19">
        <v>2464972</v>
      </c>
      <c r="J292" s="18" t="s">
        <v>1015</v>
      </c>
      <c r="K292" s="19">
        <v>1006.41</v>
      </c>
      <c r="L292" s="19">
        <v>103818</v>
      </c>
      <c r="M292" s="19">
        <v>11107</v>
      </c>
      <c r="N292" s="20">
        <v>0.107</v>
      </c>
      <c r="O292" s="19">
        <v>0.09</v>
      </c>
      <c r="P292" s="19">
        <v>9.69</v>
      </c>
      <c r="Q292" s="19">
        <v>81</v>
      </c>
      <c r="R292" s="19">
        <v>6</v>
      </c>
      <c r="S292" s="19">
        <v>32</v>
      </c>
      <c r="T292" s="19">
        <v>4</v>
      </c>
      <c r="U292" s="19">
        <v>2</v>
      </c>
      <c r="V292" s="19">
        <v>125</v>
      </c>
      <c r="W292" s="19">
        <v>8.05</v>
      </c>
      <c r="X292" s="19">
        <v>0</v>
      </c>
      <c r="Y292" s="20">
        <v>0</v>
      </c>
      <c r="Z292" s="19">
        <v>3</v>
      </c>
      <c r="AA292" s="19">
        <v>3</v>
      </c>
      <c r="AB292" t="str">
        <f>VLOOKUP(E:E,笔记匹配!A:N,3,FALSE)</f>
        <v>星星要变瘦</v>
      </c>
      <c r="AC292" t="str">
        <f>VLOOKUP(E:E,笔记匹配!A:N,2,FALSE)</f>
        <v>筋膜枪</v>
      </c>
      <c r="AD292" t="str">
        <f>VLOOKUP(E:E,笔记匹配!A:N,4,FALSE)</f>
        <v>云麦cc筋膜枪</v>
      </c>
      <c r="AE292" t="str">
        <f>VLOOKUP(E:E,笔记匹配!A:N,14,FALSE)</f>
        <v>云麦筋膜枪cc</v>
      </c>
      <c r="AF292" t="str">
        <f>VLOOKUP(E:E,笔记匹配!A:N,6,FALSE)</f>
        <v>瘦腿真的不难！成功瘦腿之后才知道的！（2）</v>
      </c>
    </row>
    <row r="293" spans="1:32">
      <c r="A293" s="18" t="s">
        <v>41</v>
      </c>
      <c r="B293" s="18" t="s">
        <v>1099</v>
      </c>
      <c r="C293" s="19">
        <v>15678883</v>
      </c>
      <c r="D293" s="18" t="s">
        <v>209</v>
      </c>
      <c r="E293" s="18" t="s">
        <v>549</v>
      </c>
      <c r="F293" s="18" t="s">
        <v>1100</v>
      </c>
      <c r="G293" s="19">
        <v>3067721</v>
      </c>
      <c r="H293" s="18" t="s">
        <v>1100</v>
      </c>
      <c r="I293" s="19">
        <v>2464984</v>
      </c>
      <c r="J293" s="18" t="s">
        <v>1015</v>
      </c>
      <c r="K293" s="19">
        <v>503.09</v>
      </c>
      <c r="L293" s="19">
        <v>47275</v>
      </c>
      <c r="M293" s="19">
        <v>4084</v>
      </c>
      <c r="N293" s="20">
        <v>0.0864</v>
      </c>
      <c r="O293" s="19">
        <v>0.12</v>
      </c>
      <c r="P293" s="19">
        <v>10.64</v>
      </c>
      <c r="Q293" s="19">
        <v>72</v>
      </c>
      <c r="R293" s="19">
        <v>5</v>
      </c>
      <c r="S293" s="19">
        <v>27</v>
      </c>
      <c r="T293" s="19">
        <v>20</v>
      </c>
      <c r="U293" s="19">
        <v>4</v>
      </c>
      <c r="V293" s="19">
        <v>128</v>
      </c>
      <c r="W293" s="19">
        <v>3.93</v>
      </c>
      <c r="X293" s="19">
        <v>0</v>
      </c>
      <c r="Y293" s="20">
        <v>0</v>
      </c>
      <c r="Z293" s="19">
        <v>3</v>
      </c>
      <c r="AA293" s="19">
        <v>2</v>
      </c>
      <c r="AB293" t="str">
        <f>VLOOKUP(E:E,笔记匹配!A:N,3,FALSE)</f>
        <v>爽姐腿特长</v>
      </c>
      <c r="AC293" t="str">
        <f>VLOOKUP(E:E,笔记匹配!A:N,2,FALSE)</f>
        <v>筋膜枪</v>
      </c>
      <c r="AD293" t="str">
        <f>VLOOKUP(E:E,笔记匹配!A:N,4,FALSE)</f>
        <v>云麦筋膜枪cc</v>
      </c>
      <c r="AE293" t="str">
        <f>VLOOKUP(E:E,笔记匹配!A:N,14,FALSE)</f>
        <v>云麦筋膜枪cc</v>
      </c>
      <c r="AF293" t="str">
        <f>VLOOKUP(E:E,笔记匹配!A:N,6,FALSE)</f>
        <v>筋膜枪有效放松|顽固肌肉腿有救了🦵</v>
      </c>
    </row>
    <row r="294" spans="1:32">
      <c r="A294" s="18" t="s">
        <v>41</v>
      </c>
      <c r="B294" s="18" t="s">
        <v>725</v>
      </c>
      <c r="C294" s="19">
        <v>15679270</v>
      </c>
      <c r="D294" s="18" t="s">
        <v>209</v>
      </c>
      <c r="E294" s="18" t="s">
        <v>486</v>
      </c>
      <c r="F294" s="18" t="s">
        <v>1101</v>
      </c>
      <c r="G294" s="19">
        <v>3067744</v>
      </c>
      <c r="H294" s="18" t="s">
        <v>1101</v>
      </c>
      <c r="I294" s="19">
        <v>2465008</v>
      </c>
      <c r="J294" s="18" t="s">
        <v>1015</v>
      </c>
      <c r="K294" s="19">
        <v>0.43</v>
      </c>
      <c r="L294" s="19">
        <v>117</v>
      </c>
      <c r="M294" s="19">
        <v>5</v>
      </c>
      <c r="N294" s="20">
        <v>0.0427</v>
      </c>
      <c r="O294" s="19">
        <v>0.09</v>
      </c>
      <c r="P294" s="19">
        <v>3.68</v>
      </c>
      <c r="Q294" s="19">
        <v>0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20">
        <v>0</v>
      </c>
      <c r="Z294" s="19">
        <v>0</v>
      </c>
      <c r="AA294" s="19">
        <v>0</v>
      </c>
      <c r="AB294" t="str">
        <f>VLOOKUP(E:E,笔记匹配!A:N,3,FALSE)</f>
        <v>小月月</v>
      </c>
      <c r="AC294" t="str">
        <f>VLOOKUP(E:E,笔记匹配!A:N,2,FALSE)</f>
        <v>体脂秤</v>
      </c>
      <c r="AD294" t="str">
        <f>VLOOKUP(E:E,笔记匹配!A:N,4,FALSE)</f>
        <v>云麦体脂秤3</v>
      </c>
      <c r="AE294" t="str">
        <f>VLOOKUP(E:E,笔记匹配!A:N,14,FALSE)</f>
        <v>云麦体脂秤3</v>
      </c>
      <c r="AF294" t="str">
        <f>VLOOKUP(E:E,笔记匹配!A:N,6,FALSE)</f>
        <v>体重秤上的数字告诉我：你是个失败者</v>
      </c>
    </row>
    <row r="295" spans="1:32">
      <c r="A295" s="18" t="s">
        <v>41</v>
      </c>
      <c r="B295" s="18" t="s">
        <v>1102</v>
      </c>
      <c r="C295" s="19">
        <v>15688208</v>
      </c>
      <c r="D295" s="18" t="s">
        <v>196</v>
      </c>
      <c r="E295" s="18" t="s">
        <v>420</v>
      </c>
      <c r="F295" s="18" t="s">
        <v>1103</v>
      </c>
      <c r="G295" s="19">
        <v>3068565</v>
      </c>
      <c r="H295" s="18" t="s">
        <v>1104</v>
      </c>
      <c r="I295" s="19">
        <v>2465715</v>
      </c>
      <c r="J295" s="18" t="s">
        <v>1015</v>
      </c>
      <c r="K295" s="19">
        <v>1080.5</v>
      </c>
      <c r="L295" s="19">
        <v>39144</v>
      </c>
      <c r="M295" s="19">
        <v>1526</v>
      </c>
      <c r="N295" s="20">
        <v>0.039</v>
      </c>
      <c r="O295" s="19">
        <v>0.71</v>
      </c>
      <c r="P295" s="19">
        <v>27.6</v>
      </c>
      <c r="Q295" s="19">
        <v>21</v>
      </c>
      <c r="R295" s="19">
        <v>1</v>
      </c>
      <c r="S295" s="19">
        <v>11</v>
      </c>
      <c r="T295" s="19">
        <v>0</v>
      </c>
      <c r="U295" s="19">
        <v>1</v>
      </c>
      <c r="V295" s="19">
        <v>34</v>
      </c>
      <c r="W295" s="19">
        <v>31.78</v>
      </c>
      <c r="X295" s="19">
        <v>0</v>
      </c>
      <c r="Y295" s="20">
        <v>0</v>
      </c>
      <c r="Z295" s="19">
        <v>3</v>
      </c>
      <c r="AA295" s="19">
        <v>0</v>
      </c>
      <c r="AB295" t="str">
        <f>VLOOKUP(E:E,笔记匹配!A:N,3,FALSE)</f>
        <v>干坐着的小瑶</v>
      </c>
      <c r="AC295" t="str">
        <f>VLOOKUP(E:E,笔记匹配!A:N,2,FALSE)</f>
        <v>筋膜枪</v>
      </c>
      <c r="AD295" t="str">
        <f>VLOOKUP(E:E,笔记匹配!A:N,4,FALSE)</f>
        <v>云麦cc筋膜枪</v>
      </c>
      <c r="AE295" t="str">
        <f>VLOOKUP(E:E,笔记匹配!A:N,14,FALSE)</f>
        <v>云麦筋膜枪cc</v>
      </c>
      <c r="AF295" t="str">
        <f>VLOOKUP(E:E,笔记匹配!A:N,6,FALSE)</f>
        <v>筋膜枪🆚泡沫轴🆚筋膜球，怎么选❓哪个好❓</v>
      </c>
    </row>
    <row r="296" spans="1:32">
      <c r="A296" s="18" t="s">
        <v>41</v>
      </c>
      <c r="B296" s="18" t="s">
        <v>1105</v>
      </c>
      <c r="C296" s="19">
        <v>15720852</v>
      </c>
      <c r="D296" s="18" t="s">
        <v>196</v>
      </c>
      <c r="E296" s="18" t="s">
        <v>494</v>
      </c>
      <c r="F296" s="18" t="s">
        <v>1106</v>
      </c>
      <c r="G296" s="19">
        <v>3074136</v>
      </c>
      <c r="H296" s="18" t="s">
        <v>1106</v>
      </c>
      <c r="I296" s="19">
        <v>2470597</v>
      </c>
      <c r="J296" s="18" t="s">
        <v>1015</v>
      </c>
      <c r="K296" s="19">
        <v>1016</v>
      </c>
      <c r="L296" s="19">
        <v>28219</v>
      </c>
      <c r="M296" s="19">
        <v>2440</v>
      </c>
      <c r="N296" s="20">
        <v>0.0865</v>
      </c>
      <c r="O296" s="19">
        <v>0.42</v>
      </c>
      <c r="P296" s="19">
        <v>36</v>
      </c>
      <c r="Q296" s="19">
        <v>63</v>
      </c>
      <c r="R296" s="19">
        <v>0</v>
      </c>
      <c r="S296" s="19">
        <v>46</v>
      </c>
      <c r="T296" s="19">
        <v>34</v>
      </c>
      <c r="U296" s="19">
        <v>3</v>
      </c>
      <c r="V296" s="19">
        <v>146</v>
      </c>
      <c r="W296" s="19">
        <v>6.96</v>
      </c>
      <c r="X296" s="19">
        <v>0</v>
      </c>
      <c r="Y296" s="20">
        <v>0</v>
      </c>
      <c r="Z296" s="19">
        <v>11</v>
      </c>
      <c r="AA296" s="19">
        <v>5</v>
      </c>
      <c r="AB296" t="str">
        <f>VLOOKUP(E:E,笔记匹配!A:N,3,FALSE)</f>
        <v>凯琳KatherineW</v>
      </c>
      <c r="AC296" t="str">
        <f>VLOOKUP(E:E,笔记匹配!A:N,2,FALSE)</f>
        <v>跳绳</v>
      </c>
      <c r="AD296" t="str">
        <f>VLOOKUP(E:E,笔记匹配!A:N,4,FALSE)</f>
        <v>云麦心率跳绳</v>
      </c>
      <c r="AE296" t="str">
        <f>VLOOKUP(E:E,笔记匹配!A:N,14,FALSE)</f>
        <v>云麦心率跳绳</v>
      </c>
      <c r="AF296" t="str">
        <f>VLOOKUP(E:E,笔记匹配!A:N,6,FALSE)</f>
        <v>无绳卡点暴汗230卡跟练 ｜小基数瘦腿瘦全身</v>
      </c>
    </row>
    <row r="297" spans="1:32">
      <c r="A297" s="18" t="s">
        <v>41</v>
      </c>
      <c r="B297" s="18" t="s">
        <v>1107</v>
      </c>
      <c r="C297" s="19">
        <v>15732722</v>
      </c>
      <c r="D297" s="18" t="s">
        <v>196</v>
      </c>
      <c r="E297" s="18" t="s">
        <v>483</v>
      </c>
      <c r="F297" s="18" t="s">
        <v>1108</v>
      </c>
      <c r="G297" s="19">
        <v>3076866</v>
      </c>
      <c r="H297" s="18" t="s">
        <v>1109</v>
      </c>
      <c r="I297" s="19">
        <v>2473013</v>
      </c>
      <c r="J297" s="18" t="s">
        <v>1015</v>
      </c>
      <c r="K297" s="19">
        <v>159.75</v>
      </c>
      <c r="L297" s="19">
        <v>5083</v>
      </c>
      <c r="M297" s="19">
        <v>394</v>
      </c>
      <c r="N297" s="20">
        <v>0.0775</v>
      </c>
      <c r="O297" s="19">
        <v>0.41</v>
      </c>
      <c r="P297" s="19">
        <v>31.43</v>
      </c>
      <c r="Q297" s="19">
        <v>6</v>
      </c>
      <c r="R297" s="19">
        <v>0</v>
      </c>
      <c r="S297" s="19">
        <v>3</v>
      </c>
      <c r="T297" s="19">
        <v>0</v>
      </c>
      <c r="U297" s="19">
        <v>0</v>
      </c>
      <c r="V297" s="19">
        <v>9</v>
      </c>
      <c r="W297" s="19">
        <v>17.75</v>
      </c>
      <c r="X297" s="19">
        <v>0</v>
      </c>
      <c r="Y297" s="20">
        <v>0</v>
      </c>
      <c r="Z297" s="19">
        <v>1</v>
      </c>
      <c r="AA297" s="19">
        <v>3</v>
      </c>
      <c r="AB297" t="str">
        <f>VLOOKUP(E:E,笔记匹配!A:N,3,FALSE)</f>
        <v>六月炎妍</v>
      </c>
      <c r="AC297" t="str">
        <f>VLOOKUP(E:E,笔记匹配!A:N,2,FALSE)</f>
        <v>体脂秤</v>
      </c>
      <c r="AD297" t="str">
        <f>VLOOKUP(E:E,笔记匹配!A:N,4,FALSE)</f>
        <v>云麦3mini</v>
      </c>
      <c r="AE297" t="str">
        <f>VLOOKUP(E:E,笔记匹配!A:N,14,FALSE)</f>
        <v>云麦体脂秤3mini</v>
      </c>
      <c r="AF297" t="str">
        <f>VLOOKUP(E:E,笔记匹配!A:N,6,FALSE)</f>
        <v>体脂秤监测|瘦了23斤的经验无保留分享</v>
      </c>
    </row>
    <row r="298" spans="1:32">
      <c r="A298" s="18" t="s">
        <v>41</v>
      </c>
      <c r="B298" s="18" t="s">
        <v>202</v>
      </c>
      <c r="C298" s="19">
        <v>15733280</v>
      </c>
      <c r="D298" s="18" t="s">
        <v>209</v>
      </c>
      <c r="E298" s="18" t="s">
        <v>480</v>
      </c>
      <c r="F298" s="18" t="s">
        <v>1110</v>
      </c>
      <c r="G298" s="19">
        <v>3076999</v>
      </c>
      <c r="H298" s="18" t="s">
        <v>1110</v>
      </c>
      <c r="I298" s="19">
        <v>2473124</v>
      </c>
      <c r="J298" s="18" t="s">
        <v>1015</v>
      </c>
      <c r="K298" s="19">
        <v>511.9</v>
      </c>
      <c r="L298" s="19">
        <v>87734</v>
      </c>
      <c r="M298" s="19">
        <v>4627</v>
      </c>
      <c r="N298" s="20">
        <v>0.0527</v>
      </c>
      <c r="O298" s="19">
        <v>0.11</v>
      </c>
      <c r="P298" s="19">
        <v>5.83</v>
      </c>
      <c r="Q298" s="19">
        <v>185</v>
      </c>
      <c r="R298" s="19">
        <v>2</v>
      </c>
      <c r="S298" s="19">
        <v>119</v>
      </c>
      <c r="T298" s="19">
        <v>28</v>
      </c>
      <c r="U298" s="19">
        <v>11</v>
      </c>
      <c r="V298" s="19">
        <v>345</v>
      </c>
      <c r="W298" s="19">
        <v>1.48</v>
      </c>
      <c r="X298" s="19">
        <v>0</v>
      </c>
      <c r="Y298" s="20">
        <v>0</v>
      </c>
      <c r="Z298" s="19">
        <v>83</v>
      </c>
      <c r="AA298" s="19">
        <v>0</v>
      </c>
      <c r="AB298" t="str">
        <f>VLOOKUP(E:E,笔记匹配!A:N,3,FALSE)</f>
        <v>马可乐cora</v>
      </c>
      <c r="AC298" t="str">
        <f>VLOOKUP(E:E,笔记匹配!A:N,2,FALSE)</f>
        <v>体脂秤</v>
      </c>
      <c r="AD298" t="str">
        <f>VLOOKUP(E:E,笔记匹配!A:N,4,FALSE)</f>
        <v>云麦3mini（无埋词）</v>
      </c>
      <c r="AE298" t="str">
        <f>VLOOKUP(E:E,笔记匹配!A:N,14,FALSE)</f>
        <v>云麦体脂秤3mini</v>
      </c>
      <c r="AF298" t="str">
        <f>VLOOKUP(E:E,笔记匹配!A:N,6,FALSE)</f>
        <v>‼️真心劝你们想成功瘦下来这6件事别再做了</v>
      </c>
    </row>
    <row r="299" spans="1:32">
      <c r="A299" s="18" t="s">
        <v>41</v>
      </c>
      <c r="B299" s="18" t="s">
        <v>1111</v>
      </c>
      <c r="C299" s="19">
        <v>15734437</v>
      </c>
      <c r="D299" s="18" t="s">
        <v>196</v>
      </c>
      <c r="E299" s="18" t="s">
        <v>549</v>
      </c>
      <c r="F299" s="18" t="s">
        <v>1112</v>
      </c>
      <c r="G299" s="19">
        <v>3077376</v>
      </c>
      <c r="H299" s="18" t="s">
        <v>1112</v>
      </c>
      <c r="I299" s="19">
        <v>2473298</v>
      </c>
      <c r="J299" s="18" t="s">
        <v>1015</v>
      </c>
      <c r="K299" s="19">
        <v>557.38</v>
      </c>
      <c r="L299" s="19">
        <v>23397</v>
      </c>
      <c r="M299" s="19">
        <v>1003</v>
      </c>
      <c r="N299" s="20">
        <v>0.0429</v>
      </c>
      <c r="O299" s="19">
        <v>0.56</v>
      </c>
      <c r="P299" s="19">
        <v>23.82</v>
      </c>
      <c r="Q299" s="19">
        <v>28</v>
      </c>
      <c r="R299" s="19">
        <v>1</v>
      </c>
      <c r="S299" s="19">
        <v>10</v>
      </c>
      <c r="T299" s="19">
        <v>1</v>
      </c>
      <c r="U299" s="19">
        <v>1</v>
      </c>
      <c r="V299" s="19">
        <v>41</v>
      </c>
      <c r="W299" s="19">
        <v>13.59</v>
      </c>
      <c r="X299" s="19">
        <v>0</v>
      </c>
      <c r="Y299" s="20">
        <v>0</v>
      </c>
      <c r="Z299" s="19">
        <v>0</v>
      </c>
      <c r="AA299" s="19">
        <v>1</v>
      </c>
      <c r="AB299" t="str">
        <f>VLOOKUP(E:E,笔记匹配!A:N,3,FALSE)</f>
        <v>爽姐腿特长</v>
      </c>
      <c r="AC299" t="str">
        <f>VLOOKUP(E:E,笔记匹配!A:N,2,FALSE)</f>
        <v>筋膜枪</v>
      </c>
      <c r="AD299" t="str">
        <f>VLOOKUP(E:E,笔记匹配!A:N,4,FALSE)</f>
        <v>云麦筋膜枪cc</v>
      </c>
      <c r="AE299" t="str">
        <f>VLOOKUP(E:E,笔记匹配!A:N,14,FALSE)</f>
        <v>云麦筋膜枪cc</v>
      </c>
      <c r="AF299" t="str">
        <f>VLOOKUP(E:E,笔记匹配!A:N,6,FALSE)</f>
        <v>筋膜枪有效放松|顽固肌肉腿有救了🦵</v>
      </c>
    </row>
    <row r="300" spans="1:32">
      <c r="A300" s="18" t="s">
        <v>41</v>
      </c>
      <c r="B300" s="18" t="s">
        <v>1113</v>
      </c>
      <c r="C300" s="19">
        <v>15734941</v>
      </c>
      <c r="D300" s="18" t="s">
        <v>196</v>
      </c>
      <c r="E300" s="18" t="s">
        <v>312</v>
      </c>
      <c r="F300" s="18" t="s">
        <v>1114</v>
      </c>
      <c r="G300" s="19">
        <v>3077590</v>
      </c>
      <c r="H300" s="18" t="s">
        <v>1114</v>
      </c>
      <c r="I300" s="19">
        <v>2473348</v>
      </c>
      <c r="J300" s="18" t="s">
        <v>1015</v>
      </c>
      <c r="K300" s="19">
        <v>1419.68</v>
      </c>
      <c r="L300" s="19">
        <v>31504</v>
      </c>
      <c r="M300" s="19">
        <v>1341</v>
      </c>
      <c r="N300" s="20">
        <v>0.0426</v>
      </c>
      <c r="O300" s="19">
        <v>1.06</v>
      </c>
      <c r="P300" s="19">
        <v>45.06</v>
      </c>
      <c r="Q300" s="19">
        <v>54</v>
      </c>
      <c r="R300" s="19">
        <v>0</v>
      </c>
      <c r="S300" s="19">
        <v>32</v>
      </c>
      <c r="T300" s="19">
        <v>4</v>
      </c>
      <c r="U300" s="19">
        <v>0</v>
      </c>
      <c r="V300" s="19">
        <v>90</v>
      </c>
      <c r="W300" s="19">
        <v>15.77</v>
      </c>
      <c r="X300" s="19">
        <v>0</v>
      </c>
      <c r="Y300" s="20">
        <v>0</v>
      </c>
      <c r="Z300" s="19">
        <v>3</v>
      </c>
      <c r="AA300" s="19">
        <v>2</v>
      </c>
      <c r="AB300" t="str">
        <f>VLOOKUP(E:E,笔记匹配!A:N,3,FALSE)</f>
        <v>郝有金</v>
      </c>
      <c r="AC300" t="str">
        <f>VLOOKUP(E:E,笔记匹配!A:N,2,FALSE)</f>
        <v>筋膜枪</v>
      </c>
      <c r="AD300" t="str">
        <f>VLOOKUP(E:E,笔记匹配!A:N,4,FALSE)</f>
        <v>云麦cc筋膜枪</v>
      </c>
      <c r="AE300" t="str">
        <f>VLOOKUP(E:E,笔记匹配!A:N,14,FALSE)</f>
        <v>云麦筋膜枪cc</v>
      </c>
      <c r="AF300" t="str">
        <f>VLOOKUP(E:E,笔记匹配!A:N,6,FALSE)</f>
        <v>别用错❗️筋膜枪正确使用方法，不同肌肉部位放松大全</v>
      </c>
    </row>
    <row r="301" spans="1:32">
      <c r="A301" s="18" t="s">
        <v>41</v>
      </c>
      <c r="B301" s="18" t="s">
        <v>1115</v>
      </c>
      <c r="C301" s="19">
        <v>15735260</v>
      </c>
      <c r="D301" s="18" t="s">
        <v>196</v>
      </c>
      <c r="E301" s="18" t="s">
        <v>516</v>
      </c>
      <c r="F301" s="18" t="s">
        <v>1116</v>
      </c>
      <c r="G301" s="19">
        <v>3077734</v>
      </c>
      <c r="H301" s="18" t="s">
        <v>1116</v>
      </c>
      <c r="I301" s="19">
        <v>2473395</v>
      </c>
      <c r="J301" s="18" t="s">
        <v>1015</v>
      </c>
      <c r="K301" s="19">
        <v>512.99</v>
      </c>
      <c r="L301" s="19">
        <v>22516</v>
      </c>
      <c r="M301" s="19">
        <v>1564</v>
      </c>
      <c r="N301" s="20">
        <v>0.0695</v>
      </c>
      <c r="O301" s="19">
        <v>0.33</v>
      </c>
      <c r="P301" s="19">
        <v>22.78</v>
      </c>
      <c r="Q301" s="19">
        <v>89</v>
      </c>
      <c r="R301" s="19">
        <v>1</v>
      </c>
      <c r="S301" s="19">
        <v>67</v>
      </c>
      <c r="T301" s="19">
        <v>6</v>
      </c>
      <c r="U301" s="19">
        <v>3</v>
      </c>
      <c r="V301" s="19">
        <v>166</v>
      </c>
      <c r="W301" s="19">
        <v>3.09</v>
      </c>
      <c r="X301" s="19">
        <v>0</v>
      </c>
      <c r="Y301" s="20">
        <v>0</v>
      </c>
      <c r="Z301" s="19">
        <v>2</v>
      </c>
      <c r="AA301" s="19">
        <v>0</v>
      </c>
      <c r="AB301" t="str">
        <f>VLOOKUP(E:E,笔记匹配!A:N,3,FALSE)</f>
        <v>爱跳绳的粥粥</v>
      </c>
      <c r="AC301" t="str">
        <f>VLOOKUP(E:E,笔记匹配!A:N,2,FALSE)</f>
        <v>跳绳</v>
      </c>
      <c r="AD301" t="str">
        <f>VLOOKUP(E:E,笔记匹配!A:N,4,FALSE)</f>
        <v>云麦跳绳心率款</v>
      </c>
      <c r="AE301" t="str">
        <f>VLOOKUP(E:E,笔记匹配!A:N,14,FALSE)</f>
        <v>云麦心率跳绳</v>
      </c>
      <c r="AF301" t="str">
        <f>VLOOKUP(E:E,笔记匹配!A:N,6,FALSE)</f>
        <v>坚持跳绳瘦24斤这个高效跳绳组合你一定要跳</v>
      </c>
    </row>
    <row r="302" spans="1:32">
      <c r="A302" s="18" t="s">
        <v>42</v>
      </c>
      <c r="B302" s="18" t="s">
        <v>646</v>
      </c>
      <c r="C302" s="19">
        <v>14439020</v>
      </c>
      <c r="D302" s="18" t="s">
        <v>209</v>
      </c>
      <c r="E302" s="18" t="s">
        <v>519</v>
      </c>
      <c r="F302" s="18" t="s">
        <v>1017</v>
      </c>
      <c r="G302" s="19">
        <v>2918831</v>
      </c>
      <c r="H302" s="18" t="s">
        <v>1017</v>
      </c>
      <c r="I302" s="19">
        <v>2325093</v>
      </c>
      <c r="J302" s="18" t="s">
        <v>1015</v>
      </c>
      <c r="K302" s="19">
        <v>0</v>
      </c>
      <c r="L302" s="19">
        <v>0</v>
      </c>
      <c r="M302" s="19">
        <v>0</v>
      </c>
      <c r="N302" s="20">
        <v>0</v>
      </c>
      <c r="O302" s="19">
        <v>0</v>
      </c>
      <c r="P302" s="19">
        <v>0</v>
      </c>
      <c r="Q302" s="19">
        <v>0</v>
      </c>
      <c r="R302" s="19">
        <v>0</v>
      </c>
      <c r="S302" s="19">
        <v>0</v>
      </c>
      <c r="T302" s="19">
        <v>0</v>
      </c>
      <c r="U302" s="19">
        <v>0</v>
      </c>
      <c r="V302" s="19">
        <v>0</v>
      </c>
      <c r="W302" s="19">
        <v>0</v>
      </c>
      <c r="X302" s="19">
        <v>0</v>
      </c>
      <c r="Y302" s="20">
        <v>0</v>
      </c>
      <c r="Z302" s="19">
        <v>0</v>
      </c>
      <c r="AA302" s="19">
        <v>0</v>
      </c>
      <c r="AB302" t="str">
        <f>VLOOKUP(E:E,笔记匹配!A:N,3,FALSE)</f>
        <v>大敏敏的蜕变日记</v>
      </c>
      <c r="AC302" t="str">
        <f>VLOOKUP(E:E,笔记匹配!A:N,2,FALSE)</f>
        <v>体脂秤</v>
      </c>
      <c r="AD302" t="str">
        <f>VLOOKUP(E:E,笔记匹配!A:N,4,FALSE)</f>
        <v>云麦3mini</v>
      </c>
      <c r="AE302" t="str">
        <f>VLOOKUP(E:E,笔记匹配!A:N,14,FALSE)</f>
        <v>云麦体脂秤3mini</v>
      </c>
      <c r="AF302" t="str">
        <f>VLOOKUP(E:E,笔记匹配!A:N,6,FALSE)</f>
        <v>刘畊宏女孩的21天虐腹计划‼谁练谁瘦💪</v>
      </c>
    </row>
    <row r="303" spans="1:32">
      <c r="A303" s="18" t="s">
        <v>42</v>
      </c>
      <c r="B303" s="18" t="s">
        <v>1057</v>
      </c>
      <c r="C303" s="19">
        <v>14976642</v>
      </c>
      <c r="D303" s="18" t="s">
        <v>209</v>
      </c>
      <c r="E303" s="18" t="s">
        <v>509</v>
      </c>
      <c r="F303" s="18" t="s">
        <v>1058</v>
      </c>
      <c r="G303" s="19">
        <v>2984144</v>
      </c>
      <c r="H303" s="18" t="s">
        <v>1059</v>
      </c>
      <c r="I303" s="19">
        <v>2385921</v>
      </c>
      <c r="J303" s="18" t="s">
        <v>1015</v>
      </c>
      <c r="K303" s="19">
        <v>0</v>
      </c>
      <c r="L303" s="19">
        <v>0</v>
      </c>
      <c r="M303" s="19">
        <v>0</v>
      </c>
      <c r="N303" s="20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0</v>
      </c>
      <c r="V303" s="19">
        <v>0</v>
      </c>
      <c r="W303" s="19">
        <v>0</v>
      </c>
      <c r="X303" s="19">
        <v>0</v>
      </c>
      <c r="Y303" s="20">
        <v>0</v>
      </c>
      <c r="Z303" s="19">
        <v>0</v>
      </c>
      <c r="AA303" s="19">
        <v>0</v>
      </c>
      <c r="AB303" t="str">
        <f>VLOOKUP(E:E,笔记匹配!A:N,3,FALSE)</f>
        <v>小小李</v>
      </c>
      <c r="AC303" t="str">
        <f>VLOOKUP(E:E,笔记匹配!A:N,2,FALSE)</f>
        <v>跳绳</v>
      </c>
      <c r="AD303" t="str">
        <f>VLOOKUP(E:E,笔记匹配!A:N,4,FALSE)</f>
        <v>云麦心率跳绳</v>
      </c>
      <c r="AE303" t="str">
        <f>VLOOKUP(E:E,笔记匹配!A:N,14,FALSE)</f>
        <v>云麦心率跳绳</v>
      </c>
      <c r="AF303" t="str">
        <f>VLOOKUP(E:E,笔记匹配!A:N,6,FALSE)</f>
        <v>4分钟跳绳TABATA | 居家高效燃脂瘦全身</v>
      </c>
    </row>
    <row r="304" spans="1:32">
      <c r="A304" s="18" t="s">
        <v>42</v>
      </c>
      <c r="B304" s="18" t="s">
        <v>680</v>
      </c>
      <c r="C304" s="19">
        <v>14978184</v>
      </c>
      <c r="D304" s="18" t="s">
        <v>209</v>
      </c>
      <c r="E304" s="18" t="s">
        <v>513</v>
      </c>
      <c r="F304" s="18" t="s">
        <v>1062</v>
      </c>
      <c r="G304" s="19">
        <v>2984400</v>
      </c>
      <c r="H304" s="18" t="s">
        <v>1062</v>
      </c>
      <c r="I304" s="19">
        <v>2386169</v>
      </c>
      <c r="J304" s="18" t="s">
        <v>1015</v>
      </c>
      <c r="K304" s="19">
        <v>0</v>
      </c>
      <c r="L304" s="19">
        <v>0</v>
      </c>
      <c r="M304" s="19">
        <v>0</v>
      </c>
      <c r="N304" s="20">
        <v>0</v>
      </c>
      <c r="O304" s="19">
        <v>0</v>
      </c>
      <c r="P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9">
        <v>0</v>
      </c>
      <c r="W304" s="19">
        <v>0</v>
      </c>
      <c r="X304" s="19">
        <v>0</v>
      </c>
      <c r="Y304" s="20">
        <v>0</v>
      </c>
      <c r="Z304" s="19">
        <v>0</v>
      </c>
      <c r="AA304" s="19">
        <v>0</v>
      </c>
      <c r="AB304" t="str">
        <f>VLOOKUP(E:E,笔记匹配!A:N,3,FALSE)</f>
        <v>大桐yoto</v>
      </c>
      <c r="AC304" t="str">
        <f>VLOOKUP(E:E,笔记匹配!A:N,2,FALSE)</f>
        <v>跳绳</v>
      </c>
      <c r="AD304" t="str">
        <f>VLOOKUP(E:E,笔记匹配!A:N,4,FALSE)</f>
        <v>云麦3mini</v>
      </c>
      <c r="AE304" t="str">
        <f>VLOOKUP(E:E,笔记匹配!A:N,14,FALSE)</f>
        <v>云麦体脂秤3mini</v>
      </c>
      <c r="AF304" t="str">
        <f>VLOOKUP(E:E,笔记匹配!A:N,6,FALSE)</f>
        <v>减肥就是要饿｜饮食和运动的完整计划在这里</v>
      </c>
    </row>
    <row r="305" spans="1:32">
      <c r="A305" s="18" t="s">
        <v>42</v>
      </c>
      <c r="B305" s="18" t="s">
        <v>704</v>
      </c>
      <c r="C305" s="19">
        <v>15248253</v>
      </c>
      <c r="D305" s="18" t="s">
        <v>209</v>
      </c>
      <c r="E305" s="18" t="s">
        <v>497</v>
      </c>
      <c r="F305" s="18" t="s">
        <v>1084</v>
      </c>
      <c r="G305" s="19">
        <v>3014764</v>
      </c>
      <c r="H305" s="18" t="s">
        <v>1085</v>
      </c>
      <c r="I305" s="19">
        <v>2412653</v>
      </c>
      <c r="J305" s="18" t="s">
        <v>1015</v>
      </c>
      <c r="K305" s="19">
        <v>0.27</v>
      </c>
      <c r="L305" s="19">
        <v>21</v>
      </c>
      <c r="M305" s="19">
        <v>1</v>
      </c>
      <c r="N305" s="20">
        <v>0.0476</v>
      </c>
      <c r="O305" s="19">
        <v>0.27</v>
      </c>
      <c r="P305" s="19">
        <v>12.86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20">
        <v>0</v>
      </c>
      <c r="Z305" s="19">
        <v>0</v>
      </c>
      <c r="AA305" s="19">
        <v>0</v>
      </c>
      <c r="AB305" t="str">
        <f>VLOOKUP(E:E,笔记匹配!A:N,3,FALSE)</f>
        <v>小方今天瘦了吗</v>
      </c>
      <c r="AC305" t="str">
        <f>VLOOKUP(E:E,笔记匹配!A:N,2,FALSE)</f>
        <v>体脂秤</v>
      </c>
      <c r="AD305" t="str">
        <f>VLOOKUP(E:E,笔记匹配!A:N,4,FALSE)</f>
        <v>云麦3mini</v>
      </c>
      <c r="AE305" t="str">
        <f>VLOOKUP(E:E,笔记匹配!A:N,14,FALSE)</f>
        <v>云麦体脂秤3mini</v>
      </c>
      <c r="AF305" t="str">
        <f>VLOOKUP(E:E,笔记匹配!A:N,6,FALSE)</f>
        <v>大基数无运动节食减45斤 （饮食习惯/食谱‼️）</v>
      </c>
    </row>
    <row r="306" spans="1:32">
      <c r="A306" s="18" t="s">
        <v>42</v>
      </c>
      <c r="B306" s="18" t="s">
        <v>1086</v>
      </c>
      <c r="C306" s="19">
        <v>15248439</v>
      </c>
      <c r="D306" s="18" t="s">
        <v>196</v>
      </c>
      <c r="E306" s="18" t="s">
        <v>234</v>
      </c>
      <c r="F306" s="18" t="s">
        <v>1087</v>
      </c>
      <c r="G306" s="19">
        <v>3014779</v>
      </c>
      <c r="H306" s="18" t="s">
        <v>1088</v>
      </c>
      <c r="I306" s="19">
        <v>2412665</v>
      </c>
      <c r="J306" s="18" t="s">
        <v>1015</v>
      </c>
      <c r="K306" s="19">
        <v>1009.64</v>
      </c>
      <c r="L306" s="19">
        <v>13998</v>
      </c>
      <c r="M306" s="19">
        <v>1465</v>
      </c>
      <c r="N306" s="20">
        <v>0.1047</v>
      </c>
      <c r="O306" s="19">
        <v>0.69</v>
      </c>
      <c r="P306" s="19">
        <v>72.13</v>
      </c>
      <c r="Q306" s="19">
        <v>8</v>
      </c>
      <c r="R306" s="19">
        <v>1</v>
      </c>
      <c r="S306" s="19">
        <v>4</v>
      </c>
      <c r="T306" s="19">
        <v>0</v>
      </c>
      <c r="U306" s="19">
        <v>0</v>
      </c>
      <c r="V306" s="19">
        <v>13</v>
      </c>
      <c r="W306" s="19">
        <v>77.66</v>
      </c>
      <c r="X306" s="19">
        <v>0</v>
      </c>
      <c r="Y306" s="20">
        <v>0</v>
      </c>
      <c r="Z306" s="19">
        <v>13</v>
      </c>
      <c r="AA306" s="19">
        <v>0</v>
      </c>
      <c r="AB306" t="str">
        <f>VLOOKUP(E:E,笔记匹配!A:N,3,FALSE)</f>
        <v>pp</v>
      </c>
      <c r="AC306" t="str">
        <f>VLOOKUP(E:E,笔记匹配!A:N,2,FALSE)</f>
        <v>体脂秤</v>
      </c>
      <c r="AD306" t="str">
        <f>VLOOKUP(E:E,笔记匹配!A:N,4,FALSE)</f>
        <v>云麦体脂秤3mini</v>
      </c>
      <c r="AE306" t="str">
        <f>VLOOKUP(E:E,笔记匹配!A:N,14,FALSE)</f>
        <v>云麦体脂秤3mini</v>
      </c>
      <c r="AF306" t="str">
        <f>VLOOKUP(E:E,笔记匹配!A:N,6,FALSE)</f>
        <v>110到88 一些减肥小建议｜如何正确运动</v>
      </c>
    </row>
    <row r="307" spans="1:32">
      <c r="A307" s="18" t="s">
        <v>42</v>
      </c>
      <c r="B307" s="18" t="s">
        <v>231</v>
      </c>
      <c r="C307" s="19">
        <v>15248486</v>
      </c>
      <c r="D307" s="18" t="s">
        <v>209</v>
      </c>
      <c r="E307" s="18" t="s">
        <v>234</v>
      </c>
      <c r="F307" s="18" t="s">
        <v>1089</v>
      </c>
      <c r="G307" s="19">
        <v>3014783</v>
      </c>
      <c r="H307" s="18" t="s">
        <v>1089</v>
      </c>
      <c r="I307" s="19">
        <v>2412680</v>
      </c>
      <c r="J307" s="18" t="s">
        <v>1015</v>
      </c>
      <c r="K307" s="19">
        <v>843.4</v>
      </c>
      <c r="L307" s="19">
        <v>86475</v>
      </c>
      <c r="M307" s="19">
        <v>4324</v>
      </c>
      <c r="N307" s="20">
        <v>0.05</v>
      </c>
      <c r="O307" s="19">
        <v>0.2</v>
      </c>
      <c r="P307" s="19">
        <v>9.75</v>
      </c>
      <c r="Q307" s="19">
        <v>70</v>
      </c>
      <c r="R307" s="19">
        <v>5</v>
      </c>
      <c r="S307" s="19">
        <v>17</v>
      </c>
      <c r="T307" s="19">
        <v>4</v>
      </c>
      <c r="U307" s="19">
        <v>0</v>
      </c>
      <c r="V307" s="19">
        <v>96</v>
      </c>
      <c r="W307" s="19">
        <v>8.79</v>
      </c>
      <c r="X307" s="19">
        <v>0</v>
      </c>
      <c r="Y307" s="20">
        <v>0</v>
      </c>
      <c r="Z307" s="19">
        <v>3</v>
      </c>
      <c r="AA307" s="19">
        <v>1</v>
      </c>
      <c r="AB307" t="str">
        <f>VLOOKUP(E:E,笔记匹配!A:N,3,FALSE)</f>
        <v>pp</v>
      </c>
      <c r="AC307" t="str">
        <f>VLOOKUP(E:E,笔记匹配!A:N,2,FALSE)</f>
        <v>体脂秤</v>
      </c>
      <c r="AD307" t="str">
        <f>VLOOKUP(E:E,笔记匹配!A:N,4,FALSE)</f>
        <v>云麦体脂秤3mini</v>
      </c>
      <c r="AE307" t="str">
        <f>VLOOKUP(E:E,笔记匹配!A:N,14,FALSE)</f>
        <v>云麦体脂秤3mini</v>
      </c>
      <c r="AF307" t="str">
        <f>VLOOKUP(E:E,笔记匹配!A:N,6,FALSE)</f>
        <v>110到88 一些减肥小建议｜如何正确运动</v>
      </c>
    </row>
    <row r="308" spans="1:32">
      <c r="A308" s="18" t="s">
        <v>42</v>
      </c>
      <c r="B308" s="18" t="s">
        <v>587</v>
      </c>
      <c r="C308" s="19">
        <v>15295967</v>
      </c>
      <c r="D308" s="18" t="s">
        <v>209</v>
      </c>
      <c r="E308" s="18" t="s">
        <v>400</v>
      </c>
      <c r="F308" s="18" t="s">
        <v>1090</v>
      </c>
      <c r="G308" s="19">
        <v>3020475</v>
      </c>
      <c r="H308" s="18" t="s">
        <v>1091</v>
      </c>
      <c r="I308" s="19">
        <v>2418288</v>
      </c>
      <c r="J308" s="18" t="s">
        <v>1015</v>
      </c>
      <c r="K308" s="19">
        <v>1576.27</v>
      </c>
      <c r="L308" s="19">
        <v>137956</v>
      </c>
      <c r="M308" s="19">
        <v>7932</v>
      </c>
      <c r="N308" s="20">
        <v>0.0575</v>
      </c>
      <c r="O308" s="19">
        <v>0.2</v>
      </c>
      <c r="P308" s="19">
        <v>11.43</v>
      </c>
      <c r="Q308" s="19">
        <v>215</v>
      </c>
      <c r="R308" s="19">
        <v>5</v>
      </c>
      <c r="S308" s="19">
        <v>163</v>
      </c>
      <c r="T308" s="19">
        <v>18</v>
      </c>
      <c r="U308" s="19">
        <v>12</v>
      </c>
      <c r="V308" s="19">
        <v>413</v>
      </c>
      <c r="W308" s="19">
        <v>3.82</v>
      </c>
      <c r="X308" s="19">
        <v>0</v>
      </c>
      <c r="Y308" s="20">
        <v>0</v>
      </c>
      <c r="Z308" s="19">
        <v>4</v>
      </c>
      <c r="AA308" s="19">
        <v>3</v>
      </c>
      <c r="AB308" t="str">
        <f>VLOOKUP(E:E,笔记匹配!A:N,3,FALSE)</f>
        <v>小雪教瑜伽</v>
      </c>
      <c r="AC308" t="str">
        <f>VLOOKUP(E:E,笔记匹配!A:N,2,FALSE)</f>
        <v>筋膜枪</v>
      </c>
      <c r="AD308" t="str">
        <f>VLOOKUP(E:E,笔记匹配!A:N,4,FALSE)</f>
        <v>云麦筋膜枪cc</v>
      </c>
      <c r="AE308" t="str">
        <f>VLOOKUP(E:E,笔记匹配!A:N,14,FALSE)</f>
        <v>云麦筋膜枪cc</v>
      </c>
      <c r="AF308" t="str">
        <f>VLOOKUP(E:E,笔记匹配!A:N,6,FALSE)</f>
        <v>瘦肌肉腿必备&amp;筋膜枪按摩跟练教程</v>
      </c>
    </row>
    <row r="309" spans="1:32">
      <c r="A309" s="18" t="s">
        <v>42</v>
      </c>
      <c r="B309" s="18" t="s">
        <v>716</v>
      </c>
      <c r="C309" s="19">
        <v>15296992</v>
      </c>
      <c r="D309" s="18" t="s">
        <v>209</v>
      </c>
      <c r="E309" s="18" t="s">
        <v>494</v>
      </c>
      <c r="F309" s="18" t="s">
        <v>1094</v>
      </c>
      <c r="G309" s="19">
        <v>3020613</v>
      </c>
      <c r="H309" s="18" t="s">
        <v>1094</v>
      </c>
      <c r="I309" s="19">
        <v>2418438</v>
      </c>
      <c r="J309" s="18" t="s">
        <v>1015</v>
      </c>
      <c r="K309" s="19">
        <v>0</v>
      </c>
      <c r="L309" s="19">
        <v>0</v>
      </c>
      <c r="M309" s="19">
        <v>0</v>
      </c>
      <c r="N309" s="20">
        <v>0</v>
      </c>
      <c r="O309" s="19">
        <v>0</v>
      </c>
      <c r="P309" s="19">
        <v>0</v>
      </c>
      <c r="Q309" s="19">
        <v>0</v>
      </c>
      <c r="R309" s="19">
        <v>0</v>
      </c>
      <c r="S309" s="19">
        <v>0</v>
      </c>
      <c r="T309" s="19">
        <v>0</v>
      </c>
      <c r="U309" s="19">
        <v>0</v>
      </c>
      <c r="V309" s="19">
        <v>0</v>
      </c>
      <c r="W309" s="19">
        <v>0</v>
      </c>
      <c r="X309" s="19">
        <v>0</v>
      </c>
      <c r="Y309" s="20">
        <v>0</v>
      </c>
      <c r="Z309" s="19">
        <v>1</v>
      </c>
      <c r="AA309" s="19">
        <v>0</v>
      </c>
      <c r="AB309" t="str">
        <f>VLOOKUP(E:E,笔记匹配!A:N,3,FALSE)</f>
        <v>凯琳KatherineW</v>
      </c>
      <c r="AC309" t="str">
        <f>VLOOKUP(E:E,笔记匹配!A:N,2,FALSE)</f>
        <v>跳绳</v>
      </c>
      <c r="AD309" t="str">
        <f>VLOOKUP(E:E,笔记匹配!A:N,4,FALSE)</f>
        <v>云麦心率跳绳</v>
      </c>
      <c r="AE309" t="str">
        <f>VLOOKUP(E:E,笔记匹配!A:N,14,FALSE)</f>
        <v>云麦心率跳绳</v>
      </c>
      <c r="AF309" t="str">
        <f>VLOOKUP(E:E,笔记匹配!A:N,6,FALSE)</f>
        <v>无绳卡点暴汗230卡跟练 ｜小基数瘦腿瘦全身</v>
      </c>
    </row>
    <row r="310" spans="1:32">
      <c r="A310" s="18" t="s">
        <v>42</v>
      </c>
      <c r="B310" s="18" t="s">
        <v>728</v>
      </c>
      <c r="C310" s="19">
        <v>15678633</v>
      </c>
      <c r="D310" s="18" t="s">
        <v>209</v>
      </c>
      <c r="E310" s="18" t="s">
        <v>483</v>
      </c>
      <c r="F310" s="18" t="s">
        <v>1097</v>
      </c>
      <c r="G310" s="19">
        <v>3067706</v>
      </c>
      <c r="H310" s="18" t="s">
        <v>1097</v>
      </c>
      <c r="I310" s="19">
        <v>2464957</v>
      </c>
      <c r="J310" s="18" t="s">
        <v>1015</v>
      </c>
      <c r="K310" s="19">
        <v>841.48</v>
      </c>
      <c r="L310" s="19">
        <v>91610</v>
      </c>
      <c r="M310" s="19">
        <v>6994</v>
      </c>
      <c r="N310" s="20">
        <v>0.0763</v>
      </c>
      <c r="O310" s="19">
        <v>0.12</v>
      </c>
      <c r="P310" s="19">
        <v>9.19</v>
      </c>
      <c r="Q310" s="19">
        <v>180</v>
      </c>
      <c r="R310" s="19">
        <v>11</v>
      </c>
      <c r="S310" s="19">
        <v>114</v>
      </c>
      <c r="T310" s="19">
        <v>17</v>
      </c>
      <c r="U310" s="19">
        <v>5</v>
      </c>
      <c r="V310" s="19">
        <v>327</v>
      </c>
      <c r="W310" s="19">
        <v>2.57</v>
      </c>
      <c r="X310" s="19">
        <v>0</v>
      </c>
      <c r="Y310" s="20">
        <v>0</v>
      </c>
      <c r="Z310" s="19">
        <v>41</v>
      </c>
      <c r="AA310" s="19">
        <v>70</v>
      </c>
      <c r="AB310" t="str">
        <f>VLOOKUP(E:E,笔记匹配!A:N,3,FALSE)</f>
        <v>六月炎妍</v>
      </c>
      <c r="AC310" t="str">
        <f>VLOOKUP(E:E,笔记匹配!A:N,2,FALSE)</f>
        <v>体脂秤</v>
      </c>
      <c r="AD310" t="str">
        <f>VLOOKUP(E:E,笔记匹配!A:N,4,FALSE)</f>
        <v>云麦3mini</v>
      </c>
      <c r="AE310" t="str">
        <f>VLOOKUP(E:E,笔记匹配!A:N,14,FALSE)</f>
        <v>云麦体脂秤3mini</v>
      </c>
      <c r="AF310" t="str">
        <f>VLOOKUP(E:E,笔记匹配!A:N,6,FALSE)</f>
        <v>体脂秤监测|瘦了23斤的经验无保留分享</v>
      </c>
    </row>
    <row r="311" spans="1:32">
      <c r="A311" s="18" t="s">
        <v>42</v>
      </c>
      <c r="B311" s="18" t="s">
        <v>731</v>
      </c>
      <c r="C311" s="19">
        <v>15678822</v>
      </c>
      <c r="D311" s="18" t="s">
        <v>209</v>
      </c>
      <c r="E311" s="18" t="s">
        <v>423</v>
      </c>
      <c r="F311" s="18" t="s">
        <v>1098</v>
      </c>
      <c r="G311" s="19">
        <v>3067718</v>
      </c>
      <c r="H311" s="18" t="s">
        <v>1098</v>
      </c>
      <c r="I311" s="19">
        <v>2464972</v>
      </c>
      <c r="J311" s="18" t="s">
        <v>1015</v>
      </c>
      <c r="K311" s="19">
        <v>0</v>
      </c>
      <c r="L311" s="19">
        <v>0</v>
      </c>
      <c r="M311" s="19">
        <v>0</v>
      </c>
      <c r="N311" s="20">
        <v>0</v>
      </c>
      <c r="O311" s="19">
        <v>0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0</v>
      </c>
      <c r="Y311" s="20">
        <v>0</v>
      </c>
      <c r="Z311" s="19">
        <v>0</v>
      </c>
      <c r="AA311" s="19">
        <v>0</v>
      </c>
      <c r="AB311" t="str">
        <f>VLOOKUP(E:E,笔记匹配!A:N,3,FALSE)</f>
        <v>星星要变瘦</v>
      </c>
      <c r="AC311" t="str">
        <f>VLOOKUP(E:E,笔记匹配!A:N,2,FALSE)</f>
        <v>筋膜枪</v>
      </c>
      <c r="AD311" t="str">
        <f>VLOOKUP(E:E,笔记匹配!A:N,4,FALSE)</f>
        <v>云麦cc筋膜枪</v>
      </c>
      <c r="AE311" t="str">
        <f>VLOOKUP(E:E,笔记匹配!A:N,14,FALSE)</f>
        <v>云麦筋膜枪cc</v>
      </c>
      <c r="AF311" t="str">
        <f>VLOOKUP(E:E,笔记匹配!A:N,6,FALSE)</f>
        <v>瘦腿真的不难！成功瘦腿之后才知道的！（2）</v>
      </c>
    </row>
    <row r="312" spans="1:32">
      <c r="A312" s="18" t="s">
        <v>42</v>
      </c>
      <c r="B312" s="18" t="s">
        <v>1099</v>
      </c>
      <c r="C312" s="19">
        <v>15678883</v>
      </c>
      <c r="D312" s="18" t="s">
        <v>209</v>
      </c>
      <c r="E312" s="18" t="s">
        <v>549</v>
      </c>
      <c r="F312" s="18" t="s">
        <v>1100</v>
      </c>
      <c r="G312" s="19">
        <v>3067721</v>
      </c>
      <c r="H312" s="18" t="s">
        <v>1100</v>
      </c>
      <c r="I312" s="19">
        <v>2464984</v>
      </c>
      <c r="J312" s="18" t="s">
        <v>1015</v>
      </c>
      <c r="K312" s="19">
        <v>576.96</v>
      </c>
      <c r="L312" s="19">
        <v>41097</v>
      </c>
      <c r="M312" s="19">
        <v>3517</v>
      </c>
      <c r="N312" s="20">
        <v>0.0856</v>
      </c>
      <c r="O312" s="19">
        <v>0.16</v>
      </c>
      <c r="P312" s="19">
        <v>14.04</v>
      </c>
      <c r="Q312" s="19">
        <v>67</v>
      </c>
      <c r="R312" s="19">
        <v>3</v>
      </c>
      <c r="S312" s="19">
        <v>29</v>
      </c>
      <c r="T312" s="19">
        <v>12</v>
      </c>
      <c r="U312" s="19">
        <v>3</v>
      </c>
      <c r="V312" s="19">
        <v>114</v>
      </c>
      <c r="W312" s="19">
        <v>5.06</v>
      </c>
      <c r="X312" s="19">
        <v>0</v>
      </c>
      <c r="Y312" s="20">
        <v>0</v>
      </c>
      <c r="Z312" s="19">
        <v>1</v>
      </c>
      <c r="AA312" s="19">
        <v>0</v>
      </c>
      <c r="AB312" t="str">
        <f>VLOOKUP(E:E,笔记匹配!A:N,3,FALSE)</f>
        <v>爽姐腿特长</v>
      </c>
      <c r="AC312" t="str">
        <f>VLOOKUP(E:E,笔记匹配!A:N,2,FALSE)</f>
        <v>筋膜枪</v>
      </c>
      <c r="AD312" t="str">
        <f>VLOOKUP(E:E,笔记匹配!A:N,4,FALSE)</f>
        <v>云麦筋膜枪cc</v>
      </c>
      <c r="AE312" t="str">
        <f>VLOOKUP(E:E,笔记匹配!A:N,14,FALSE)</f>
        <v>云麦筋膜枪cc</v>
      </c>
      <c r="AF312" t="str">
        <f>VLOOKUP(E:E,笔记匹配!A:N,6,FALSE)</f>
        <v>筋膜枪有效放松|顽固肌肉腿有救了🦵</v>
      </c>
    </row>
    <row r="313" spans="1:32">
      <c r="A313" s="18" t="s">
        <v>42</v>
      </c>
      <c r="B313" s="18" t="s">
        <v>1102</v>
      </c>
      <c r="C313" s="19">
        <v>15688208</v>
      </c>
      <c r="D313" s="18" t="s">
        <v>196</v>
      </c>
      <c r="E313" s="18" t="s">
        <v>420</v>
      </c>
      <c r="F313" s="18" t="s">
        <v>1103</v>
      </c>
      <c r="G313" s="19">
        <v>3068565</v>
      </c>
      <c r="H313" s="18" t="s">
        <v>1104</v>
      </c>
      <c r="I313" s="19">
        <v>2465715</v>
      </c>
      <c r="J313" s="18" t="s">
        <v>1015</v>
      </c>
      <c r="K313" s="19">
        <v>1028.27</v>
      </c>
      <c r="L313" s="19">
        <v>26578</v>
      </c>
      <c r="M313" s="19">
        <v>1128</v>
      </c>
      <c r="N313" s="20">
        <v>0.0424</v>
      </c>
      <c r="O313" s="19">
        <v>0.91</v>
      </c>
      <c r="P313" s="19">
        <v>38.69</v>
      </c>
      <c r="Q313" s="19">
        <v>21</v>
      </c>
      <c r="R313" s="19">
        <v>0</v>
      </c>
      <c r="S313" s="19">
        <v>8</v>
      </c>
      <c r="T313" s="19">
        <v>2</v>
      </c>
      <c r="U313" s="19">
        <v>2</v>
      </c>
      <c r="V313" s="19">
        <v>33</v>
      </c>
      <c r="W313" s="19">
        <v>31.16</v>
      </c>
      <c r="X313" s="19">
        <v>0</v>
      </c>
      <c r="Y313" s="20">
        <v>0</v>
      </c>
      <c r="Z313" s="19">
        <v>2</v>
      </c>
      <c r="AA313" s="19">
        <v>0</v>
      </c>
      <c r="AB313" t="str">
        <f>VLOOKUP(E:E,笔记匹配!A:N,3,FALSE)</f>
        <v>干坐着的小瑶</v>
      </c>
      <c r="AC313" t="str">
        <f>VLOOKUP(E:E,笔记匹配!A:N,2,FALSE)</f>
        <v>筋膜枪</v>
      </c>
      <c r="AD313" t="str">
        <f>VLOOKUP(E:E,笔记匹配!A:N,4,FALSE)</f>
        <v>云麦cc筋膜枪</v>
      </c>
      <c r="AE313" t="str">
        <f>VLOOKUP(E:E,笔记匹配!A:N,14,FALSE)</f>
        <v>云麦筋膜枪cc</v>
      </c>
      <c r="AF313" t="str">
        <f>VLOOKUP(E:E,笔记匹配!A:N,6,FALSE)</f>
        <v>筋膜枪🆚泡沫轴🆚筋膜球，怎么选❓哪个好❓</v>
      </c>
    </row>
    <row r="314" spans="1:32">
      <c r="A314" s="18" t="s">
        <v>42</v>
      </c>
      <c r="B314" s="18" t="s">
        <v>1105</v>
      </c>
      <c r="C314" s="19">
        <v>15720852</v>
      </c>
      <c r="D314" s="18" t="s">
        <v>196</v>
      </c>
      <c r="E314" s="18" t="s">
        <v>494</v>
      </c>
      <c r="F314" s="18" t="s">
        <v>1106</v>
      </c>
      <c r="G314" s="19">
        <v>3074136</v>
      </c>
      <c r="H314" s="18" t="s">
        <v>1106</v>
      </c>
      <c r="I314" s="19">
        <v>2470597</v>
      </c>
      <c r="J314" s="18" t="s">
        <v>1015</v>
      </c>
      <c r="K314" s="19">
        <v>0</v>
      </c>
      <c r="L314" s="19">
        <v>9</v>
      </c>
      <c r="M314" s="19">
        <v>0</v>
      </c>
      <c r="N314" s="20">
        <v>0</v>
      </c>
      <c r="O314" s="19">
        <v>0</v>
      </c>
      <c r="P314" s="19">
        <v>0</v>
      </c>
      <c r="Q314" s="19">
        <v>0</v>
      </c>
      <c r="R314" s="19">
        <v>0</v>
      </c>
      <c r="S314" s="19">
        <v>0</v>
      </c>
      <c r="T314" s="19">
        <v>0</v>
      </c>
      <c r="U314" s="19">
        <v>0</v>
      </c>
      <c r="V314" s="19">
        <v>0</v>
      </c>
      <c r="W314" s="19">
        <v>0</v>
      </c>
      <c r="X314" s="19">
        <v>0</v>
      </c>
      <c r="Y314" s="20">
        <v>0</v>
      </c>
      <c r="Z314" s="19">
        <v>0</v>
      </c>
      <c r="AA314" s="19">
        <v>0</v>
      </c>
      <c r="AB314" t="str">
        <f>VLOOKUP(E:E,笔记匹配!A:N,3,FALSE)</f>
        <v>凯琳KatherineW</v>
      </c>
      <c r="AC314" t="str">
        <f>VLOOKUP(E:E,笔记匹配!A:N,2,FALSE)</f>
        <v>跳绳</v>
      </c>
      <c r="AD314" t="str">
        <f>VLOOKUP(E:E,笔记匹配!A:N,4,FALSE)</f>
        <v>云麦心率跳绳</v>
      </c>
      <c r="AE314" t="str">
        <f>VLOOKUP(E:E,笔记匹配!A:N,14,FALSE)</f>
        <v>云麦心率跳绳</v>
      </c>
      <c r="AF314" t="str">
        <f>VLOOKUP(E:E,笔记匹配!A:N,6,FALSE)</f>
        <v>无绳卡点暴汗230卡跟练 ｜小基数瘦腿瘦全身</v>
      </c>
    </row>
    <row r="315" spans="1:32">
      <c r="A315" s="18" t="s">
        <v>42</v>
      </c>
      <c r="B315" s="18" t="s">
        <v>1107</v>
      </c>
      <c r="C315" s="19">
        <v>15732722</v>
      </c>
      <c r="D315" s="18" t="s">
        <v>196</v>
      </c>
      <c r="E315" s="18" t="s">
        <v>483</v>
      </c>
      <c r="F315" s="18" t="s">
        <v>1108</v>
      </c>
      <c r="G315" s="19">
        <v>3076866</v>
      </c>
      <c r="H315" s="18" t="s">
        <v>1109</v>
      </c>
      <c r="I315" s="19">
        <v>2473013</v>
      </c>
      <c r="J315" s="18" t="s">
        <v>1015</v>
      </c>
      <c r="K315" s="19">
        <v>458.39</v>
      </c>
      <c r="L315" s="19">
        <v>23868</v>
      </c>
      <c r="M315" s="19">
        <v>1092</v>
      </c>
      <c r="N315" s="20">
        <v>0.0458</v>
      </c>
      <c r="O315" s="19">
        <v>0.42</v>
      </c>
      <c r="P315" s="19">
        <v>19.21</v>
      </c>
      <c r="Q315" s="19">
        <v>13</v>
      </c>
      <c r="R315" s="19">
        <v>0</v>
      </c>
      <c r="S315" s="19">
        <v>12</v>
      </c>
      <c r="T315" s="19">
        <v>2</v>
      </c>
      <c r="U315" s="19">
        <v>4</v>
      </c>
      <c r="V315" s="19">
        <v>31</v>
      </c>
      <c r="W315" s="19">
        <v>14.79</v>
      </c>
      <c r="X315" s="19">
        <v>0</v>
      </c>
      <c r="Y315" s="20">
        <v>0</v>
      </c>
      <c r="Z315" s="19">
        <v>8</v>
      </c>
      <c r="AA315" s="19">
        <v>10</v>
      </c>
      <c r="AB315" t="str">
        <f>VLOOKUP(E:E,笔记匹配!A:N,3,FALSE)</f>
        <v>六月炎妍</v>
      </c>
      <c r="AC315" t="str">
        <f>VLOOKUP(E:E,笔记匹配!A:N,2,FALSE)</f>
        <v>体脂秤</v>
      </c>
      <c r="AD315" t="str">
        <f>VLOOKUP(E:E,笔记匹配!A:N,4,FALSE)</f>
        <v>云麦3mini</v>
      </c>
      <c r="AE315" t="str">
        <f>VLOOKUP(E:E,笔记匹配!A:N,14,FALSE)</f>
        <v>云麦体脂秤3mini</v>
      </c>
      <c r="AF315" t="str">
        <f>VLOOKUP(E:E,笔记匹配!A:N,6,FALSE)</f>
        <v>体脂秤监测|瘦了23斤的经验无保留分享</v>
      </c>
    </row>
    <row r="316" spans="1:32">
      <c r="A316" s="18" t="s">
        <v>42</v>
      </c>
      <c r="B316" s="18" t="s">
        <v>202</v>
      </c>
      <c r="C316" s="19">
        <v>15733280</v>
      </c>
      <c r="D316" s="18" t="s">
        <v>209</v>
      </c>
      <c r="E316" s="18" t="s">
        <v>480</v>
      </c>
      <c r="F316" s="18" t="s">
        <v>1110</v>
      </c>
      <c r="G316" s="19">
        <v>3076999</v>
      </c>
      <c r="H316" s="18" t="s">
        <v>1110</v>
      </c>
      <c r="I316" s="19">
        <v>2473124</v>
      </c>
      <c r="J316" s="18" t="s">
        <v>1015</v>
      </c>
      <c r="K316" s="19">
        <v>0.17</v>
      </c>
      <c r="L316" s="19">
        <v>36</v>
      </c>
      <c r="M316" s="19">
        <v>2</v>
      </c>
      <c r="N316" s="20">
        <v>0.0556</v>
      </c>
      <c r="O316" s="19">
        <v>0.08</v>
      </c>
      <c r="P316" s="19">
        <v>4.72</v>
      </c>
      <c r="Q316" s="19">
        <v>1</v>
      </c>
      <c r="R316" s="19">
        <v>0</v>
      </c>
      <c r="S316" s="19">
        <v>0</v>
      </c>
      <c r="T316" s="19">
        <v>0</v>
      </c>
      <c r="U316" s="19">
        <v>0</v>
      </c>
      <c r="V316" s="19">
        <v>1</v>
      </c>
      <c r="W316" s="19">
        <v>0.17</v>
      </c>
      <c r="X316" s="19">
        <v>0</v>
      </c>
      <c r="Y316" s="20">
        <v>0</v>
      </c>
      <c r="Z316" s="19">
        <v>0</v>
      </c>
      <c r="AA316" s="19">
        <v>0</v>
      </c>
      <c r="AB316" t="str">
        <f>VLOOKUP(E:E,笔记匹配!A:N,3,FALSE)</f>
        <v>马可乐cora</v>
      </c>
      <c r="AC316" t="str">
        <f>VLOOKUP(E:E,笔记匹配!A:N,2,FALSE)</f>
        <v>体脂秤</v>
      </c>
      <c r="AD316" t="str">
        <f>VLOOKUP(E:E,笔记匹配!A:N,4,FALSE)</f>
        <v>云麦3mini（无埋词）</v>
      </c>
      <c r="AE316" t="str">
        <f>VLOOKUP(E:E,笔记匹配!A:N,14,FALSE)</f>
        <v>云麦体脂秤3mini</v>
      </c>
      <c r="AF316" t="str">
        <f>VLOOKUP(E:E,笔记匹配!A:N,6,FALSE)</f>
        <v>‼️真心劝你们想成功瘦下来这6件事别再做了</v>
      </c>
    </row>
    <row r="317" spans="1:32">
      <c r="A317" s="18" t="s">
        <v>42</v>
      </c>
      <c r="B317" s="18" t="s">
        <v>1111</v>
      </c>
      <c r="C317" s="19">
        <v>15734437</v>
      </c>
      <c r="D317" s="18" t="s">
        <v>196</v>
      </c>
      <c r="E317" s="18" t="s">
        <v>549</v>
      </c>
      <c r="F317" s="18" t="s">
        <v>1112</v>
      </c>
      <c r="G317" s="19">
        <v>3077376</v>
      </c>
      <c r="H317" s="18" t="s">
        <v>1112</v>
      </c>
      <c r="I317" s="19">
        <v>2473298</v>
      </c>
      <c r="J317" s="18" t="s">
        <v>1015</v>
      </c>
      <c r="K317" s="19">
        <v>712.11</v>
      </c>
      <c r="L317" s="19">
        <v>18934</v>
      </c>
      <c r="M317" s="19">
        <v>1034</v>
      </c>
      <c r="N317" s="20">
        <v>0.0546</v>
      </c>
      <c r="O317" s="19">
        <v>0.69</v>
      </c>
      <c r="P317" s="19">
        <v>37.61</v>
      </c>
      <c r="Q317" s="19">
        <v>22</v>
      </c>
      <c r="R317" s="19">
        <v>2</v>
      </c>
      <c r="S317" s="19">
        <v>13</v>
      </c>
      <c r="T317" s="19">
        <v>2</v>
      </c>
      <c r="U317" s="19">
        <v>0</v>
      </c>
      <c r="V317" s="19">
        <v>39</v>
      </c>
      <c r="W317" s="19">
        <v>18.26</v>
      </c>
      <c r="X317" s="19">
        <v>0</v>
      </c>
      <c r="Y317" s="20">
        <v>0</v>
      </c>
      <c r="Z317" s="19">
        <v>1</v>
      </c>
      <c r="AA317" s="19">
        <v>2</v>
      </c>
      <c r="AB317" t="str">
        <f>VLOOKUP(E:E,笔记匹配!A:N,3,FALSE)</f>
        <v>爽姐腿特长</v>
      </c>
      <c r="AC317" t="str">
        <f>VLOOKUP(E:E,笔记匹配!A:N,2,FALSE)</f>
        <v>筋膜枪</v>
      </c>
      <c r="AD317" t="str">
        <f>VLOOKUP(E:E,笔记匹配!A:N,4,FALSE)</f>
        <v>云麦筋膜枪cc</v>
      </c>
      <c r="AE317" t="str">
        <f>VLOOKUP(E:E,笔记匹配!A:N,14,FALSE)</f>
        <v>云麦筋膜枪cc</v>
      </c>
      <c r="AF317" t="str">
        <f>VLOOKUP(E:E,笔记匹配!A:N,6,FALSE)</f>
        <v>筋膜枪有效放松|顽固肌肉腿有救了🦵</v>
      </c>
    </row>
    <row r="318" spans="1:32">
      <c r="A318" s="18" t="s">
        <v>42</v>
      </c>
      <c r="B318" s="18" t="s">
        <v>1113</v>
      </c>
      <c r="C318" s="19">
        <v>15734941</v>
      </c>
      <c r="D318" s="18" t="s">
        <v>196</v>
      </c>
      <c r="E318" s="18" t="s">
        <v>312</v>
      </c>
      <c r="F318" s="18" t="s">
        <v>1114</v>
      </c>
      <c r="G318" s="19">
        <v>3077590</v>
      </c>
      <c r="H318" s="18" t="s">
        <v>1114</v>
      </c>
      <c r="I318" s="19">
        <v>2473348</v>
      </c>
      <c r="J318" s="18" t="s">
        <v>1015</v>
      </c>
      <c r="K318" s="19">
        <v>1545.81</v>
      </c>
      <c r="L318" s="19">
        <v>33600</v>
      </c>
      <c r="M318" s="19">
        <v>1484</v>
      </c>
      <c r="N318" s="20">
        <v>0.0442</v>
      </c>
      <c r="O318" s="19">
        <v>1.04</v>
      </c>
      <c r="P318" s="19">
        <v>46.01</v>
      </c>
      <c r="Q318" s="19">
        <v>49</v>
      </c>
      <c r="R318" s="19">
        <v>1</v>
      </c>
      <c r="S318" s="19">
        <v>35</v>
      </c>
      <c r="T318" s="19">
        <v>0</v>
      </c>
      <c r="U318" s="19">
        <v>4</v>
      </c>
      <c r="V318" s="19">
        <v>89</v>
      </c>
      <c r="W318" s="19">
        <v>17.37</v>
      </c>
      <c r="X318" s="19">
        <v>0</v>
      </c>
      <c r="Y318" s="20">
        <v>0</v>
      </c>
      <c r="Z318" s="19">
        <v>3</v>
      </c>
      <c r="AA318" s="19">
        <v>2</v>
      </c>
      <c r="AB318" t="str">
        <f>VLOOKUP(E:E,笔记匹配!A:N,3,FALSE)</f>
        <v>郝有金</v>
      </c>
      <c r="AC318" t="str">
        <f>VLOOKUP(E:E,笔记匹配!A:N,2,FALSE)</f>
        <v>筋膜枪</v>
      </c>
      <c r="AD318" t="str">
        <f>VLOOKUP(E:E,笔记匹配!A:N,4,FALSE)</f>
        <v>云麦cc筋膜枪</v>
      </c>
      <c r="AE318" t="str">
        <f>VLOOKUP(E:E,笔记匹配!A:N,14,FALSE)</f>
        <v>云麦筋膜枪cc</v>
      </c>
      <c r="AF318" t="str">
        <f>VLOOKUP(E:E,笔记匹配!A:N,6,FALSE)</f>
        <v>别用错❗️筋膜枪正确使用方法，不同肌肉部位放松大全</v>
      </c>
    </row>
    <row r="319" spans="1:32">
      <c r="A319" s="18" t="s">
        <v>42</v>
      </c>
      <c r="B319" s="18" t="s">
        <v>1115</v>
      </c>
      <c r="C319" s="19">
        <v>15735260</v>
      </c>
      <c r="D319" s="18" t="s">
        <v>196</v>
      </c>
      <c r="E319" s="18" t="s">
        <v>516</v>
      </c>
      <c r="F319" s="18" t="s">
        <v>1116</v>
      </c>
      <c r="G319" s="19">
        <v>3077734</v>
      </c>
      <c r="H319" s="18" t="s">
        <v>1116</v>
      </c>
      <c r="I319" s="19">
        <v>2473395</v>
      </c>
      <c r="J319" s="18" t="s">
        <v>1015</v>
      </c>
      <c r="K319" s="19">
        <v>0</v>
      </c>
      <c r="L319" s="19">
        <v>2</v>
      </c>
      <c r="M319" s="19">
        <v>0</v>
      </c>
      <c r="N319" s="20">
        <v>0</v>
      </c>
      <c r="O319" s="19">
        <v>0</v>
      </c>
      <c r="P319" s="19">
        <v>0</v>
      </c>
      <c r="Q319" s="19">
        <v>0</v>
      </c>
      <c r="R319" s="19">
        <v>0</v>
      </c>
      <c r="S319" s="19">
        <v>0</v>
      </c>
      <c r="T319" s="19">
        <v>0</v>
      </c>
      <c r="U319" s="19">
        <v>0</v>
      </c>
      <c r="V319" s="19">
        <v>0</v>
      </c>
      <c r="W319" s="19">
        <v>0</v>
      </c>
      <c r="X319" s="19">
        <v>0</v>
      </c>
      <c r="Y319" s="20">
        <v>0</v>
      </c>
      <c r="Z319" s="19">
        <v>0</v>
      </c>
      <c r="AA319" s="19">
        <v>0</v>
      </c>
      <c r="AB319" t="str">
        <f>VLOOKUP(E:E,笔记匹配!A:N,3,FALSE)</f>
        <v>爱跳绳的粥粥</v>
      </c>
      <c r="AC319" t="str">
        <f>VLOOKUP(E:E,笔记匹配!A:N,2,FALSE)</f>
        <v>跳绳</v>
      </c>
      <c r="AD319" t="str">
        <f>VLOOKUP(E:E,笔记匹配!A:N,4,FALSE)</f>
        <v>云麦跳绳心率款</v>
      </c>
      <c r="AE319" t="str">
        <f>VLOOKUP(E:E,笔记匹配!A:N,14,FALSE)</f>
        <v>云麦心率跳绳</v>
      </c>
      <c r="AF319" t="str">
        <f>VLOOKUP(E:E,笔记匹配!A:N,6,FALSE)</f>
        <v>坚持跳绳瘦24斤这个高效跳绳组合你一定要跳</v>
      </c>
    </row>
    <row r="320" spans="1:32">
      <c r="A320" s="18" t="s">
        <v>42</v>
      </c>
      <c r="B320" s="18" t="s">
        <v>1117</v>
      </c>
      <c r="C320" s="19">
        <v>15803975</v>
      </c>
      <c r="D320" s="18" t="s">
        <v>196</v>
      </c>
      <c r="E320" s="18" t="s">
        <v>480</v>
      </c>
      <c r="F320" s="18" t="s">
        <v>1118</v>
      </c>
      <c r="G320" s="19">
        <v>3087946</v>
      </c>
      <c r="H320" s="18" t="s">
        <v>1118</v>
      </c>
      <c r="I320" s="19">
        <v>2483361</v>
      </c>
      <c r="J320" s="18" t="s">
        <v>1015</v>
      </c>
      <c r="K320" s="19">
        <v>534.48</v>
      </c>
      <c r="L320" s="19">
        <v>22494</v>
      </c>
      <c r="M320" s="19">
        <v>1967</v>
      </c>
      <c r="N320" s="20">
        <v>0.0874</v>
      </c>
      <c r="O320" s="19">
        <v>0.27</v>
      </c>
      <c r="P320" s="19">
        <v>23.76</v>
      </c>
      <c r="Q320" s="19">
        <v>79</v>
      </c>
      <c r="R320" s="19">
        <v>1</v>
      </c>
      <c r="S320" s="19">
        <v>67</v>
      </c>
      <c r="T320" s="19">
        <v>28</v>
      </c>
      <c r="U320" s="19">
        <v>10</v>
      </c>
      <c r="V320" s="19">
        <v>185</v>
      </c>
      <c r="W320" s="19">
        <v>2.89</v>
      </c>
      <c r="X320" s="19">
        <v>0</v>
      </c>
      <c r="Y320" s="20">
        <v>0</v>
      </c>
      <c r="Z320" s="19">
        <v>34</v>
      </c>
      <c r="AA320" s="19">
        <v>0</v>
      </c>
      <c r="AB320" t="str">
        <f>VLOOKUP(E:E,笔记匹配!A:N,3,FALSE)</f>
        <v>马可乐cora</v>
      </c>
      <c r="AC320" t="str">
        <f>VLOOKUP(E:E,笔记匹配!A:N,2,FALSE)</f>
        <v>体脂秤</v>
      </c>
      <c r="AD320" t="str">
        <f>VLOOKUP(E:E,笔记匹配!A:N,4,FALSE)</f>
        <v>云麦3mini（无埋词）</v>
      </c>
      <c r="AE320" t="str">
        <f>VLOOKUP(E:E,笔记匹配!A:N,14,FALSE)</f>
        <v>云麦体脂秤3mini</v>
      </c>
      <c r="AF320" t="str">
        <f>VLOOKUP(E:E,笔记匹配!A:N,6,FALSE)</f>
        <v>‼️真心劝你们想成功瘦下来这6件事别再做了</v>
      </c>
    </row>
    <row r="321" spans="1:32">
      <c r="A321" s="18" t="s">
        <v>42</v>
      </c>
      <c r="B321" s="18" t="s">
        <v>740</v>
      </c>
      <c r="C321" s="19">
        <v>15804098</v>
      </c>
      <c r="D321" s="18" t="s">
        <v>209</v>
      </c>
      <c r="E321" s="18" t="s">
        <v>473</v>
      </c>
      <c r="F321" s="18" t="s">
        <v>1119</v>
      </c>
      <c r="G321" s="19">
        <v>3087955</v>
      </c>
      <c r="H321" s="18" t="s">
        <v>1119</v>
      </c>
      <c r="I321" s="19">
        <v>2483370</v>
      </c>
      <c r="J321" s="18" t="s">
        <v>1015</v>
      </c>
      <c r="K321" s="19">
        <v>505.2</v>
      </c>
      <c r="L321" s="19">
        <v>22949</v>
      </c>
      <c r="M321" s="19">
        <v>5377</v>
      </c>
      <c r="N321" s="20">
        <v>0.2343</v>
      </c>
      <c r="O321" s="19">
        <v>0.09</v>
      </c>
      <c r="P321" s="19">
        <v>22.01</v>
      </c>
      <c r="Q321" s="19">
        <v>89</v>
      </c>
      <c r="R321" s="19">
        <v>2</v>
      </c>
      <c r="S321" s="19">
        <v>34</v>
      </c>
      <c r="T321" s="19">
        <v>32</v>
      </c>
      <c r="U321" s="19">
        <v>2</v>
      </c>
      <c r="V321" s="19">
        <v>159</v>
      </c>
      <c r="W321" s="19">
        <v>3.18</v>
      </c>
      <c r="X321" s="19">
        <v>0</v>
      </c>
      <c r="Y321" s="20">
        <v>0</v>
      </c>
      <c r="Z321" s="19">
        <v>3</v>
      </c>
      <c r="AA321" s="19">
        <v>5</v>
      </c>
      <c r="AB321" t="str">
        <f>VLOOKUP(E:E,笔记匹配!A:N,3,FALSE)</f>
        <v>茜茜子</v>
      </c>
      <c r="AC321" t="str">
        <f>VLOOKUP(E:E,笔记匹配!A:N,2,FALSE)</f>
        <v>体脂秤</v>
      </c>
      <c r="AD321" t="str">
        <f>VLOOKUP(E:E,笔记匹配!A:N,4,FALSE)</f>
        <v>云麦3mini体脂秤</v>
      </c>
      <c r="AE321" t="str">
        <f>VLOOKUP(E:E,笔记匹配!A:N,14,FALSE)</f>
        <v>云麦体脂秤3mini</v>
      </c>
      <c r="AF321" t="str">
        <f>VLOOKUP(E:E,笔记匹配!A:N,6,FALSE)</f>
        <v>我真的很会瘦肚子❗️</v>
      </c>
    </row>
    <row r="322" spans="1:32">
      <c r="A322" s="18" t="s">
        <v>42</v>
      </c>
      <c r="B322" s="18" t="s">
        <v>748</v>
      </c>
      <c r="C322" s="19">
        <v>15804284</v>
      </c>
      <c r="D322" s="18" t="s">
        <v>209</v>
      </c>
      <c r="E322" s="18" t="s">
        <v>449</v>
      </c>
      <c r="F322" s="18" t="s">
        <v>1120</v>
      </c>
      <c r="G322" s="19">
        <v>3087971</v>
      </c>
      <c r="H322" s="18" t="s">
        <v>1120</v>
      </c>
      <c r="I322" s="19">
        <v>2483385</v>
      </c>
      <c r="J322" s="18" t="s">
        <v>1015</v>
      </c>
      <c r="K322" s="19">
        <v>505.54</v>
      </c>
      <c r="L322" s="19">
        <v>71681</v>
      </c>
      <c r="M322" s="19">
        <v>3396</v>
      </c>
      <c r="N322" s="20">
        <v>0.0474</v>
      </c>
      <c r="O322" s="19">
        <v>0.15</v>
      </c>
      <c r="P322" s="19">
        <v>7.05</v>
      </c>
      <c r="Q322" s="19">
        <v>114</v>
      </c>
      <c r="R322" s="19">
        <v>3</v>
      </c>
      <c r="S322" s="19">
        <v>177</v>
      </c>
      <c r="T322" s="19">
        <v>4</v>
      </c>
      <c r="U322" s="19">
        <v>5</v>
      </c>
      <c r="V322" s="19">
        <v>303</v>
      </c>
      <c r="W322" s="19">
        <v>1.67</v>
      </c>
      <c r="X322" s="19">
        <v>0</v>
      </c>
      <c r="Y322" s="20">
        <v>0</v>
      </c>
      <c r="Z322" s="19">
        <v>1</v>
      </c>
      <c r="AA322" s="19">
        <v>0</v>
      </c>
      <c r="AB322" t="str">
        <f>VLOOKUP(E:E,笔记匹配!A:N,3,FALSE)</f>
        <v>Celine丹丹</v>
      </c>
      <c r="AC322" t="str">
        <f>VLOOKUP(E:E,笔记匹配!A:N,2,FALSE)</f>
        <v>筋膜枪</v>
      </c>
      <c r="AD322" t="str">
        <f>VLOOKUP(E:E,笔记匹配!A:N,4,FALSE)</f>
        <v>云麦cc筋膜枪</v>
      </c>
      <c r="AE322" t="str">
        <f>VLOOKUP(E:E,笔记匹配!A:N,14,FALSE)</f>
        <v>云麦筋膜枪cc</v>
      </c>
      <c r="AF322" t="str">
        <f>VLOOKUP(E:E,笔记匹配!A:N,6,FALSE)</f>
        <v>不服不行,练完手臂抖到根本停不下来‼️</v>
      </c>
    </row>
    <row r="323" spans="1:32">
      <c r="A323" s="18" t="s">
        <v>42</v>
      </c>
      <c r="B323" s="18" t="s">
        <v>737</v>
      </c>
      <c r="C323" s="19">
        <v>15804340</v>
      </c>
      <c r="D323" s="18" t="s">
        <v>209</v>
      </c>
      <c r="E323" s="18" t="s">
        <v>458</v>
      </c>
      <c r="F323" s="18" t="s">
        <v>1121</v>
      </c>
      <c r="G323" s="19">
        <v>3087973</v>
      </c>
      <c r="H323" s="18" t="s">
        <v>1121</v>
      </c>
      <c r="I323" s="19">
        <v>2483391</v>
      </c>
      <c r="J323" s="18" t="s">
        <v>1015</v>
      </c>
      <c r="K323" s="19">
        <v>504.41</v>
      </c>
      <c r="L323" s="19">
        <v>60090</v>
      </c>
      <c r="M323" s="19">
        <v>2542</v>
      </c>
      <c r="N323" s="20">
        <v>0.0423</v>
      </c>
      <c r="O323" s="19">
        <v>0.2</v>
      </c>
      <c r="P323" s="19">
        <v>8.39</v>
      </c>
      <c r="Q323" s="19">
        <v>95</v>
      </c>
      <c r="R323" s="19">
        <v>4</v>
      </c>
      <c r="S323" s="19">
        <v>60</v>
      </c>
      <c r="T323" s="19">
        <v>15</v>
      </c>
      <c r="U323" s="19">
        <v>4</v>
      </c>
      <c r="V323" s="19">
        <v>178</v>
      </c>
      <c r="W323" s="19">
        <v>2.83</v>
      </c>
      <c r="X323" s="19">
        <v>2</v>
      </c>
      <c r="Y323" s="20">
        <v>0.0008</v>
      </c>
      <c r="Z323" s="19">
        <v>14</v>
      </c>
      <c r="AA323" s="19">
        <v>2</v>
      </c>
      <c r="AB323" t="str">
        <f>VLOOKUP(E:E,笔记匹配!A:N,3,FALSE)</f>
        <v>林菀桃桃</v>
      </c>
      <c r="AC323" t="str">
        <f>VLOOKUP(E:E,笔记匹配!A:N,2,FALSE)</f>
        <v>筋膜枪</v>
      </c>
      <c r="AD323" t="str">
        <f>VLOOKUP(E:E,笔记匹配!A:N,4,FALSE)</f>
        <v>云麦cc筋膜枪</v>
      </c>
      <c r="AE323" t="str">
        <f>VLOOKUP(E:E,笔记匹配!A:N,14,FALSE)</f>
        <v>云麦筋膜枪cc</v>
      </c>
      <c r="AF323" t="str">
        <f>VLOOKUP(E:E,笔记匹配!A:N,6,FALSE)</f>
        <v>vlog饱满蜜桃+提高臀线+筋膜枪放松胫骨前肌</v>
      </c>
    </row>
    <row r="324" spans="1:32">
      <c r="A324" s="18" t="s">
        <v>42</v>
      </c>
      <c r="B324" s="18" t="s">
        <v>751</v>
      </c>
      <c r="C324" s="19">
        <v>15804452</v>
      </c>
      <c r="D324" s="18" t="s">
        <v>209</v>
      </c>
      <c r="E324" s="18" t="s">
        <v>535</v>
      </c>
      <c r="F324" s="18" t="s">
        <v>1122</v>
      </c>
      <c r="G324" s="19">
        <v>3087983</v>
      </c>
      <c r="H324" s="18" t="s">
        <v>1122</v>
      </c>
      <c r="I324" s="19">
        <v>2483401</v>
      </c>
      <c r="J324" s="18" t="s">
        <v>1015</v>
      </c>
      <c r="K324" s="19">
        <v>509.16</v>
      </c>
      <c r="L324" s="19">
        <v>58161</v>
      </c>
      <c r="M324" s="19">
        <v>2194</v>
      </c>
      <c r="N324" s="20">
        <v>0.0377</v>
      </c>
      <c r="O324" s="19">
        <v>0.23</v>
      </c>
      <c r="P324" s="19">
        <v>8.75</v>
      </c>
      <c r="Q324" s="19">
        <v>17</v>
      </c>
      <c r="R324" s="19">
        <v>0</v>
      </c>
      <c r="S324" s="19">
        <v>10</v>
      </c>
      <c r="T324" s="19">
        <v>0</v>
      </c>
      <c r="U324" s="19">
        <v>2</v>
      </c>
      <c r="V324" s="19">
        <v>29</v>
      </c>
      <c r="W324" s="19">
        <v>17.56</v>
      </c>
      <c r="X324" s="19">
        <v>0</v>
      </c>
      <c r="Y324" s="20">
        <v>0</v>
      </c>
      <c r="Z324" s="19">
        <v>1</v>
      </c>
      <c r="AA324" s="19">
        <v>4</v>
      </c>
      <c r="AB324" t="str">
        <f>VLOOKUP(E:E,笔记匹配!A:N,3,FALSE)</f>
        <v>爱撸铁的丁</v>
      </c>
      <c r="AC324" t="str">
        <f>VLOOKUP(E:E,笔记匹配!A:N,2,FALSE)</f>
        <v>筋膜枪</v>
      </c>
      <c r="AD324" t="str">
        <f>VLOOKUP(E:E,笔记匹配!A:N,4,FALSE)</f>
        <v>云麦cc筋膜枪</v>
      </c>
      <c r="AE324" t="str">
        <f>VLOOKUP(E:E,笔记匹配!A:N,14,FALSE)</f>
        <v>云麦筋膜枪cc</v>
      </c>
      <c r="AF324" t="str">
        <f>VLOOKUP(E:E,笔记匹配!A:N,6,FALSE)</f>
        <v>身高165 体重52 翘臀不粗腿🦵我悟了！！</v>
      </c>
    </row>
    <row r="325" spans="1:32">
      <c r="A325" s="18" t="s">
        <v>42</v>
      </c>
      <c r="B325" s="18" t="s">
        <v>744</v>
      </c>
      <c r="C325" s="19">
        <v>15804507</v>
      </c>
      <c r="D325" s="18" t="s">
        <v>209</v>
      </c>
      <c r="E325" s="18" t="s">
        <v>447</v>
      </c>
      <c r="F325" s="18" t="s">
        <v>1123</v>
      </c>
      <c r="G325" s="19">
        <v>3087989</v>
      </c>
      <c r="H325" s="18" t="s">
        <v>1123</v>
      </c>
      <c r="I325" s="19">
        <v>2483404</v>
      </c>
      <c r="J325" s="18" t="s">
        <v>1015</v>
      </c>
      <c r="K325" s="19">
        <v>506.12</v>
      </c>
      <c r="L325" s="19">
        <v>89634</v>
      </c>
      <c r="M325" s="19">
        <v>3355</v>
      </c>
      <c r="N325" s="20">
        <v>0.0374</v>
      </c>
      <c r="O325" s="19">
        <v>0.15</v>
      </c>
      <c r="P325" s="19">
        <v>5.65</v>
      </c>
      <c r="Q325" s="19">
        <v>228</v>
      </c>
      <c r="R325" s="19">
        <v>1</v>
      </c>
      <c r="S325" s="19">
        <v>186</v>
      </c>
      <c r="T325" s="19">
        <v>6</v>
      </c>
      <c r="U325" s="19">
        <v>22</v>
      </c>
      <c r="V325" s="19">
        <v>443</v>
      </c>
      <c r="W325" s="19">
        <v>1.14</v>
      </c>
      <c r="X325" s="19">
        <v>0</v>
      </c>
      <c r="Y325" s="20">
        <v>0</v>
      </c>
      <c r="Z325" s="19">
        <v>3</v>
      </c>
      <c r="AA325" s="19">
        <v>12</v>
      </c>
      <c r="AB325" t="str">
        <f>VLOOKUP(E:E,笔记匹配!A:N,3,FALSE)</f>
        <v>熊猫叮</v>
      </c>
      <c r="AC325" t="str">
        <f>VLOOKUP(E:E,笔记匹配!A:N,2,FALSE)</f>
        <v>筋膜枪</v>
      </c>
      <c r="AD325" t="str">
        <f>VLOOKUP(E:E,笔记匹配!A:N,4,FALSE)</f>
        <v> 云麦cc</v>
      </c>
      <c r="AE325" t="str">
        <f>VLOOKUP(E:E,笔记匹配!A:N,14,FALSE)</f>
        <v>云麦筋膜枪cc</v>
      </c>
      <c r="AF325" t="str">
        <f>VLOOKUP(E:E,笔记匹配!A:N,6,FALSE)</f>
        <v>瘦小腿训练🔥消除肌肉腿脂包肌‼️筋膜枪放松</v>
      </c>
    </row>
    <row r="326" spans="1:32">
      <c r="A326" s="18" t="s">
        <v>43</v>
      </c>
      <c r="B326" s="18" t="s">
        <v>1057</v>
      </c>
      <c r="C326" s="19">
        <v>14976642</v>
      </c>
      <c r="D326" s="18" t="s">
        <v>209</v>
      </c>
      <c r="E326" s="18" t="s">
        <v>509</v>
      </c>
      <c r="F326" s="18" t="s">
        <v>1058</v>
      </c>
      <c r="G326" s="19">
        <v>2984144</v>
      </c>
      <c r="H326" s="18" t="s">
        <v>1059</v>
      </c>
      <c r="I326" s="19">
        <v>2385921</v>
      </c>
      <c r="J326" s="18" t="s">
        <v>1015</v>
      </c>
      <c r="K326" s="19">
        <v>0</v>
      </c>
      <c r="L326" s="19">
        <v>0</v>
      </c>
      <c r="M326" s="19">
        <v>0</v>
      </c>
      <c r="N326" s="20">
        <v>0</v>
      </c>
      <c r="O326" s="19">
        <v>0</v>
      </c>
      <c r="P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20">
        <v>0</v>
      </c>
      <c r="Z326" s="19">
        <v>0</v>
      </c>
      <c r="AA326" s="19">
        <v>0</v>
      </c>
      <c r="AB326" t="str">
        <f>VLOOKUP(E:E,笔记匹配!A:N,3,FALSE)</f>
        <v>小小李</v>
      </c>
      <c r="AC326" t="str">
        <f>VLOOKUP(E:E,笔记匹配!A:N,2,FALSE)</f>
        <v>跳绳</v>
      </c>
      <c r="AD326" t="str">
        <f>VLOOKUP(E:E,笔记匹配!A:N,4,FALSE)</f>
        <v>云麦心率跳绳</v>
      </c>
      <c r="AE326" t="str">
        <f>VLOOKUP(E:E,笔记匹配!A:N,14,FALSE)</f>
        <v>云麦心率跳绳</v>
      </c>
      <c r="AF326" t="str">
        <f>VLOOKUP(E:E,笔记匹配!A:N,6,FALSE)</f>
        <v>4分钟跳绳TABATA | 居家高效燃脂瘦全身</v>
      </c>
    </row>
    <row r="327" spans="1:32">
      <c r="A327" s="18" t="s">
        <v>43</v>
      </c>
      <c r="B327" s="18" t="s">
        <v>680</v>
      </c>
      <c r="C327" s="19">
        <v>14978184</v>
      </c>
      <c r="D327" s="18" t="s">
        <v>209</v>
      </c>
      <c r="E327" s="18" t="s">
        <v>513</v>
      </c>
      <c r="F327" s="18" t="s">
        <v>1062</v>
      </c>
      <c r="G327" s="19">
        <v>2984400</v>
      </c>
      <c r="H327" s="18" t="s">
        <v>1062</v>
      </c>
      <c r="I327" s="19">
        <v>2386169</v>
      </c>
      <c r="J327" s="18" t="s">
        <v>1015</v>
      </c>
      <c r="K327" s="19">
        <v>0</v>
      </c>
      <c r="L327" s="19">
        <v>0</v>
      </c>
      <c r="M327" s="19">
        <v>0</v>
      </c>
      <c r="N327" s="20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20">
        <v>0</v>
      </c>
      <c r="Z327" s="19">
        <v>0</v>
      </c>
      <c r="AA327" s="19">
        <v>0</v>
      </c>
      <c r="AB327" t="str">
        <f>VLOOKUP(E:E,笔记匹配!A:N,3,FALSE)</f>
        <v>大桐yoto</v>
      </c>
      <c r="AC327" t="str">
        <f>VLOOKUP(E:E,笔记匹配!A:N,2,FALSE)</f>
        <v>跳绳</v>
      </c>
      <c r="AD327" t="str">
        <f>VLOOKUP(E:E,笔记匹配!A:N,4,FALSE)</f>
        <v>云麦3mini</v>
      </c>
      <c r="AE327" t="str">
        <f>VLOOKUP(E:E,笔记匹配!A:N,14,FALSE)</f>
        <v>云麦体脂秤3mini</v>
      </c>
      <c r="AF327" t="str">
        <f>VLOOKUP(E:E,笔记匹配!A:N,6,FALSE)</f>
        <v>减肥就是要饿｜饮食和运动的完整计划在这里</v>
      </c>
    </row>
    <row r="328" spans="1:32">
      <c r="A328" s="18" t="s">
        <v>43</v>
      </c>
      <c r="B328" s="18" t="s">
        <v>704</v>
      </c>
      <c r="C328" s="19">
        <v>15248253</v>
      </c>
      <c r="D328" s="18" t="s">
        <v>209</v>
      </c>
      <c r="E328" s="18" t="s">
        <v>497</v>
      </c>
      <c r="F328" s="18" t="s">
        <v>1084</v>
      </c>
      <c r="G328" s="19">
        <v>3014764</v>
      </c>
      <c r="H328" s="18" t="s">
        <v>1085</v>
      </c>
      <c r="I328" s="19">
        <v>2412653</v>
      </c>
      <c r="J328" s="18" t="s">
        <v>1015</v>
      </c>
      <c r="K328" s="19">
        <v>0</v>
      </c>
      <c r="L328" s="19">
        <v>0</v>
      </c>
      <c r="M328" s="19">
        <v>0</v>
      </c>
      <c r="N328" s="20">
        <v>0</v>
      </c>
      <c r="O328" s="19">
        <v>0</v>
      </c>
      <c r="P328" s="19">
        <v>0</v>
      </c>
      <c r="Q328" s="19">
        <v>0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9">
        <v>0</v>
      </c>
      <c r="Y328" s="20">
        <v>0</v>
      </c>
      <c r="Z328" s="19">
        <v>0</v>
      </c>
      <c r="AA328" s="19">
        <v>0</v>
      </c>
      <c r="AB328" t="str">
        <f>VLOOKUP(E:E,笔记匹配!A:N,3,FALSE)</f>
        <v>小方今天瘦了吗</v>
      </c>
      <c r="AC328" t="str">
        <f>VLOOKUP(E:E,笔记匹配!A:N,2,FALSE)</f>
        <v>体脂秤</v>
      </c>
      <c r="AD328" t="str">
        <f>VLOOKUP(E:E,笔记匹配!A:N,4,FALSE)</f>
        <v>云麦3mini</v>
      </c>
      <c r="AE328" t="str">
        <f>VLOOKUP(E:E,笔记匹配!A:N,14,FALSE)</f>
        <v>云麦体脂秤3mini</v>
      </c>
      <c r="AF328" t="str">
        <f>VLOOKUP(E:E,笔记匹配!A:N,6,FALSE)</f>
        <v>大基数无运动节食减45斤 （饮食习惯/食谱‼️）</v>
      </c>
    </row>
    <row r="329" spans="1:32">
      <c r="A329" s="18" t="s">
        <v>43</v>
      </c>
      <c r="B329" s="18" t="s">
        <v>1086</v>
      </c>
      <c r="C329" s="19">
        <v>15248439</v>
      </c>
      <c r="D329" s="18" t="s">
        <v>196</v>
      </c>
      <c r="E329" s="18" t="s">
        <v>234</v>
      </c>
      <c r="F329" s="18" t="s">
        <v>1087</v>
      </c>
      <c r="G329" s="19">
        <v>3014779</v>
      </c>
      <c r="H329" s="18" t="s">
        <v>1088</v>
      </c>
      <c r="I329" s="19">
        <v>2412665</v>
      </c>
      <c r="J329" s="18" t="s">
        <v>1015</v>
      </c>
      <c r="K329" s="19">
        <v>913.76</v>
      </c>
      <c r="L329" s="19">
        <v>10753</v>
      </c>
      <c r="M329" s="19">
        <v>1258</v>
      </c>
      <c r="N329" s="20">
        <v>0.117</v>
      </c>
      <c r="O329" s="19">
        <v>0.73</v>
      </c>
      <c r="P329" s="19">
        <v>84.98</v>
      </c>
      <c r="Q329" s="19">
        <v>11</v>
      </c>
      <c r="R329" s="19">
        <v>0</v>
      </c>
      <c r="S329" s="19">
        <v>5</v>
      </c>
      <c r="T329" s="19">
        <v>0</v>
      </c>
      <c r="U329" s="19">
        <v>1</v>
      </c>
      <c r="V329" s="19">
        <v>17</v>
      </c>
      <c r="W329" s="19">
        <v>53.75</v>
      </c>
      <c r="X329" s="19">
        <v>0</v>
      </c>
      <c r="Y329" s="20">
        <v>0</v>
      </c>
      <c r="Z329" s="19">
        <v>3</v>
      </c>
      <c r="AA329" s="19">
        <v>1</v>
      </c>
      <c r="AB329" t="str">
        <f>VLOOKUP(E:E,笔记匹配!A:N,3,FALSE)</f>
        <v>pp</v>
      </c>
      <c r="AC329" t="str">
        <f>VLOOKUP(E:E,笔记匹配!A:N,2,FALSE)</f>
        <v>体脂秤</v>
      </c>
      <c r="AD329" t="str">
        <f>VLOOKUP(E:E,笔记匹配!A:N,4,FALSE)</f>
        <v>云麦体脂秤3mini</v>
      </c>
      <c r="AE329" t="str">
        <f>VLOOKUP(E:E,笔记匹配!A:N,14,FALSE)</f>
        <v>云麦体脂秤3mini</v>
      </c>
      <c r="AF329" t="str">
        <f>VLOOKUP(E:E,笔记匹配!A:N,6,FALSE)</f>
        <v>110到88 一些减肥小建议｜如何正确运动</v>
      </c>
    </row>
    <row r="330" spans="1:32">
      <c r="A330" s="18" t="s">
        <v>43</v>
      </c>
      <c r="B330" s="18" t="s">
        <v>231</v>
      </c>
      <c r="C330" s="19">
        <v>15248486</v>
      </c>
      <c r="D330" s="18" t="s">
        <v>209</v>
      </c>
      <c r="E330" s="18" t="s">
        <v>234</v>
      </c>
      <c r="F330" s="18" t="s">
        <v>1089</v>
      </c>
      <c r="G330" s="19">
        <v>3014783</v>
      </c>
      <c r="H330" s="18" t="s">
        <v>1089</v>
      </c>
      <c r="I330" s="19">
        <v>2412680</v>
      </c>
      <c r="J330" s="18" t="s">
        <v>1015</v>
      </c>
      <c r="K330" s="19">
        <v>482.1</v>
      </c>
      <c r="L330" s="19">
        <v>49771</v>
      </c>
      <c r="M330" s="19">
        <v>2403</v>
      </c>
      <c r="N330" s="20">
        <v>0.0483</v>
      </c>
      <c r="O330" s="19">
        <v>0.2</v>
      </c>
      <c r="P330" s="19">
        <v>9.69</v>
      </c>
      <c r="Q330" s="19">
        <v>36</v>
      </c>
      <c r="R330" s="19">
        <v>0</v>
      </c>
      <c r="S330" s="19">
        <v>11</v>
      </c>
      <c r="T330" s="19">
        <v>7</v>
      </c>
      <c r="U330" s="19">
        <v>0</v>
      </c>
      <c r="V330" s="19">
        <v>54</v>
      </c>
      <c r="W330" s="19">
        <v>8.93</v>
      </c>
      <c r="X330" s="19">
        <v>0</v>
      </c>
      <c r="Y330" s="20">
        <v>0</v>
      </c>
      <c r="Z330" s="19">
        <v>2</v>
      </c>
      <c r="AA330" s="19">
        <v>0</v>
      </c>
      <c r="AB330" t="str">
        <f>VLOOKUP(E:E,笔记匹配!A:N,3,FALSE)</f>
        <v>pp</v>
      </c>
      <c r="AC330" t="str">
        <f>VLOOKUP(E:E,笔记匹配!A:N,2,FALSE)</f>
        <v>体脂秤</v>
      </c>
      <c r="AD330" t="str">
        <f>VLOOKUP(E:E,笔记匹配!A:N,4,FALSE)</f>
        <v>云麦体脂秤3mini</v>
      </c>
      <c r="AE330" t="str">
        <f>VLOOKUP(E:E,笔记匹配!A:N,14,FALSE)</f>
        <v>云麦体脂秤3mini</v>
      </c>
      <c r="AF330" t="str">
        <f>VLOOKUP(E:E,笔记匹配!A:N,6,FALSE)</f>
        <v>110到88 一些减肥小建议｜如何正确运动</v>
      </c>
    </row>
    <row r="331" spans="1:32">
      <c r="A331" s="18" t="s">
        <v>43</v>
      </c>
      <c r="B331" s="18" t="s">
        <v>587</v>
      </c>
      <c r="C331" s="19">
        <v>15295967</v>
      </c>
      <c r="D331" s="18" t="s">
        <v>209</v>
      </c>
      <c r="E331" s="18" t="s">
        <v>400</v>
      </c>
      <c r="F331" s="18" t="s">
        <v>1090</v>
      </c>
      <c r="G331" s="19">
        <v>3020475</v>
      </c>
      <c r="H331" s="18" t="s">
        <v>1091</v>
      </c>
      <c r="I331" s="19">
        <v>2418288</v>
      </c>
      <c r="J331" s="18" t="s">
        <v>1015</v>
      </c>
      <c r="K331" s="19">
        <v>24.99</v>
      </c>
      <c r="L331" s="19">
        <v>2003</v>
      </c>
      <c r="M331" s="19">
        <v>178</v>
      </c>
      <c r="N331" s="20">
        <v>0.0889</v>
      </c>
      <c r="O331" s="19">
        <v>0.14</v>
      </c>
      <c r="P331" s="19">
        <v>12.48</v>
      </c>
      <c r="Q331" s="19">
        <v>2</v>
      </c>
      <c r="R331" s="19">
        <v>0</v>
      </c>
      <c r="S331" s="19">
        <v>1</v>
      </c>
      <c r="T331" s="19">
        <v>0</v>
      </c>
      <c r="U331" s="19">
        <v>0</v>
      </c>
      <c r="V331" s="19">
        <v>3</v>
      </c>
      <c r="W331" s="19">
        <v>8.33</v>
      </c>
      <c r="X331" s="19">
        <v>0</v>
      </c>
      <c r="Y331" s="20">
        <v>0</v>
      </c>
      <c r="Z331" s="19">
        <v>0</v>
      </c>
      <c r="AA331" s="19">
        <v>0</v>
      </c>
      <c r="AB331" t="str">
        <f>VLOOKUP(E:E,笔记匹配!A:N,3,FALSE)</f>
        <v>小雪教瑜伽</v>
      </c>
      <c r="AC331" t="str">
        <f>VLOOKUP(E:E,笔记匹配!A:N,2,FALSE)</f>
        <v>筋膜枪</v>
      </c>
      <c r="AD331" t="str">
        <f>VLOOKUP(E:E,笔记匹配!A:N,4,FALSE)</f>
        <v>云麦筋膜枪cc</v>
      </c>
      <c r="AE331" t="str">
        <f>VLOOKUP(E:E,笔记匹配!A:N,14,FALSE)</f>
        <v>云麦筋膜枪cc</v>
      </c>
      <c r="AF331" t="str">
        <f>VLOOKUP(E:E,笔记匹配!A:N,6,FALSE)</f>
        <v>瘦肌肉腿必备&amp;筋膜枪按摩跟练教程</v>
      </c>
    </row>
    <row r="332" spans="1:32">
      <c r="A332" s="18" t="s">
        <v>43</v>
      </c>
      <c r="B332" s="18" t="s">
        <v>728</v>
      </c>
      <c r="C332" s="19">
        <v>15678633</v>
      </c>
      <c r="D332" s="18" t="s">
        <v>209</v>
      </c>
      <c r="E332" s="18" t="s">
        <v>483</v>
      </c>
      <c r="F332" s="18" t="s">
        <v>1097</v>
      </c>
      <c r="G332" s="19">
        <v>3067706</v>
      </c>
      <c r="H332" s="18" t="s">
        <v>1097</v>
      </c>
      <c r="I332" s="19">
        <v>2464957</v>
      </c>
      <c r="J332" s="18" t="s">
        <v>1015</v>
      </c>
      <c r="K332" s="19">
        <v>1444.74</v>
      </c>
      <c r="L332" s="19">
        <v>121866</v>
      </c>
      <c r="M332" s="19">
        <v>9978</v>
      </c>
      <c r="N332" s="20">
        <v>0.0819</v>
      </c>
      <c r="O332" s="19">
        <v>0.14</v>
      </c>
      <c r="P332" s="19">
        <v>11.86</v>
      </c>
      <c r="Q332" s="19">
        <v>238</v>
      </c>
      <c r="R332" s="19">
        <v>4</v>
      </c>
      <c r="S332" s="19">
        <v>181</v>
      </c>
      <c r="T332" s="19">
        <v>14</v>
      </c>
      <c r="U332" s="19">
        <v>11</v>
      </c>
      <c r="V332" s="19">
        <v>448</v>
      </c>
      <c r="W332" s="19">
        <v>3.22</v>
      </c>
      <c r="X332" s="19">
        <v>0</v>
      </c>
      <c r="Y332" s="20">
        <v>0</v>
      </c>
      <c r="Z332" s="19">
        <v>60</v>
      </c>
      <c r="AA332" s="19">
        <v>80</v>
      </c>
      <c r="AB332" t="str">
        <f>VLOOKUP(E:E,笔记匹配!A:N,3,FALSE)</f>
        <v>六月炎妍</v>
      </c>
      <c r="AC332" t="str">
        <f>VLOOKUP(E:E,笔记匹配!A:N,2,FALSE)</f>
        <v>体脂秤</v>
      </c>
      <c r="AD332" t="str">
        <f>VLOOKUP(E:E,笔记匹配!A:N,4,FALSE)</f>
        <v>云麦3mini</v>
      </c>
      <c r="AE332" t="str">
        <f>VLOOKUP(E:E,笔记匹配!A:N,14,FALSE)</f>
        <v>云麦体脂秤3mini</v>
      </c>
      <c r="AF332" t="str">
        <f>VLOOKUP(E:E,笔记匹配!A:N,6,FALSE)</f>
        <v>体脂秤监测|瘦了23斤的经验无保留分享</v>
      </c>
    </row>
    <row r="333" spans="1:32">
      <c r="A333" s="18" t="s">
        <v>43</v>
      </c>
      <c r="B333" s="18" t="s">
        <v>731</v>
      </c>
      <c r="C333" s="19">
        <v>15678822</v>
      </c>
      <c r="D333" s="18" t="s">
        <v>209</v>
      </c>
      <c r="E333" s="18" t="s">
        <v>423</v>
      </c>
      <c r="F333" s="18" t="s">
        <v>1098</v>
      </c>
      <c r="G333" s="19">
        <v>3067718</v>
      </c>
      <c r="H333" s="18" t="s">
        <v>1098</v>
      </c>
      <c r="I333" s="19">
        <v>2464972</v>
      </c>
      <c r="J333" s="18" t="s">
        <v>1015</v>
      </c>
      <c r="K333" s="19">
        <v>0</v>
      </c>
      <c r="L333" s="19">
        <v>0</v>
      </c>
      <c r="M333" s="19">
        <v>0</v>
      </c>
      <c r="N333" s="20">
        <v>0</v>
      </c>
      <c r="O333" s="19">
        <v>0</v>
      </c>
      <c r="P333" s="19">
        <v>0</v>
      </c>
      <c r="Q333" s="19">
        <v>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0</v>
      </c>
      <c r="Y333" s="20">
        <v>0</v>
      </c>
      <c r="Z333" s="19">
        <v>0</v>
      </c>
      <c r="AA333" s="19">
        <v>0</v>
      </c>
      <c r="AB333" t="str">
        <f>VLOOKUP(E:E,笔记匹配!A:N,3,FALSE)</f>
        <v>星星要变瘦</v>
      </c>
      <c r="AC333" t="str">
        <f>VLOOKUP(E:E,笔记匹配!A:N,2,FALSE)</f>
        <v>筋膜枪</v>
      </c>
      <c r="AD333" t="str">
        <f>VLOOKUP(E:E,笔记匹配!A:N,4,FALSE)</f>
        <v>云麦cc筋膜枪</v>
      </c>
      <c r="AE333" t="str">
        <f>VLOOKUP(E:E,笔记匹配!A:N,14,FALSE)</f>
        <v>云麦筋膜枪cc</v>
      </c>
      <c r="AF333" t="str">
        <f>VLOOKUP(E:E,笔记匹配!A:N,6,FALSE)</f>
        <v>瘦腿真的不难！成功瘦腿之后才知道的！（2）</v>
      </c>
    </row>
    <row r="334" spans="1:32">
      <c r="A334" s="18" t="s">
        <v>43</v>
      </c>
      <c r="B334" s="18" t="s">
        <v>1099</v>
      </c>
      <c r="C334" s="19">
        <v>15678883</v>
      </c>
      <c r="D334" s="18" t="s">
        <v>209</v>
      </c>
      <c r="E334" s="18" t="s">
        <v>549</v>
      </c>
      <c r="F334" s="18" t="s">
        <v>1100</v>
      </c>
      <c r="G334" s="19">
        <v>3067721</v>
      </c>
      <c r="H334" s="18" t="s">
        <v>1100</v>
      </c>
      <c r="I334" s="19">
        <v>2464984</v>
      </c>
      <c r="J334" s="18" t="s">
        <v>1015</v>
      </c>
      <c r="K334" s="19">
        <v>1473.85</v>
      </c>
      <c r="L334" s="19">
        <v>120204</v>
      </c>
      <c r="M334" s="19">
        <v>11588</v>
      </c>
      <c r="N334" s="20">
        <v>0.0964</v>
      </c>
      <c r="O334" s="19">
        <v>0.13</v>
      </c>
      <c r="P334" s="19">
        <v>12.26</v>
      </c>
      <c r="Q334" s="19">
        <v>252</v>
      </c>
      <c r="R334" s="19">
        <v>5</v>
      </c>
      <c r="S334" s="19">
        <v>75</v>
      </c>
      <c r="T334" s="19">
        <v>56</v>
      </c>
      <c r="U334" s="19">
        <v>20</v>
      </c>
      <c r="V334" s="19">
        <v>408</v>
      </c>
      <c r="W334" s="19">
        <v>3.61</v>
      </c>
      <c r="X334" s="19">
        <v>0</v>
      </c>
      <c r="Y334" s="20">
        <v>0</v>
      </c>
      <c r="Z334" s="19">
        <v>0</v>
      </c>
      <c r="AA334" s="19">
        <v>3</v>
      </c>
      <c r="AB334" t="str">
        <f>VLOOKUP(E:E,笔记匹配!A:N,3,FALSE)</f>
        <v>爽姐腿特长</v>
      </c>
      <c r="AC334" t="str">
        <f>VLOOKUP(E:E,笔记匹配!A:N,2,FALSE)</f>
        <v>筋膜枪</v>
      </c>
      <c r="AD334" t="str">
        <f>VLOOKUP(E:E,笔记匹配!A:N,4,FALSE)</f>
        <v>云麦筋膜枪cc</v>
      </c>
      <c r="AE334" t="str">
        <f>VLOOKUP(E:E,笔记匹配!A:N,14,FALSE)</f>
        <v>云麦筋膜枪cc</v>
      </c>
      <c r="AF334" t="str">
        <f>VLOOKUP(E:E,笔记匹配!A:N,6,FALSE)</f>
        <v>筋膜枪有效放松|顽固肌肉腿有救了🦵</v>
      </c>
    </row>
    <row r="335" spans="1:32">
      <c r="A335" s="18" t="s">
        <v>43</v>
      </c>
      <c r="B335" s="18" t="s">
        <v>725</v>
      </c>
      <c r="C335" s="19">
        <v>15679270</v>
      </c>
      <c r="D335" s="18" t="s">
        <v>209</v>
      </c>
      <c r="E335" s="18" t="s">
        <v>486</v>
      </c>
      <c r="F335" s="18" t="s">
        <v>1101</v>
      </c>
      <c r="G335" s="19">
        <v>3067744</v>
      </c>
      <c r="H335" s="18" t="s">
        <v>1101</v>
      </c>
      <c r="I335" s="19">
        <v>2465008</v>
      </c>
      <c r="J335" s="18" t="s">
        <v>1015</v>
      </c>
      <c r="K335" s="19">
        <v>0</v>
      </c>
      <c r="L335" s="19">
        <v>0</v>
      </c>
      <c r="M335" s="19">
        <v>0</v>
      </c>
      <c r="N335" s="20">
        <v>0</v>
      </c>
      <c r="O335" s="19">
        <v>0</v>
      </c>
      <c r="P335" s="19">
        <v>0</v>
      </c>
      <c r="Q335" s="19">
        <v>0</v>
      </c>
      <c r="R335" s="19">
        <v>0</v>
      </c>
      <c r="S335" s="19">
        <v>0</v>
      </c>
      <c r="T335" s="19">
        <v>0</v>
      </c>
      <c r="U335" s="19">
        <v>0</v>
      </c>
      <c r="V335" s="19">
        <v>0</v>
      </c>
      <c r="W335" s="19">
        <v>0</v>
      </c>
      <c r="X335" s="19">
        <v>0</v>
      </c>
      <c r="Y335" s="20">
        <v>0</v>
      </c>
      <c r="Z335" s="19">
        <v>0</v>
      </c>
      <c r="AA335" s="19">
        <v>0</v>
      </c>
      <c r="AB335" t="str">
        <f>VLOOKUP(E:E,笔记匹配!A:N,3,FALSE)</f>
        <v>小月月</v>
      </c>
      <c r="AC335" t="str">
        <f>VLOOKUP(E:E,笔记匹配!A:N,2,FALSE)</f>
        <v>体脂秤</v>
      </c>
      <c r="AD335" t="str">
        <f>VLOOKUP(E:E,笔记匹配!A:N,4,FALSE)</f>
        <v>云麦体脂秤3</v>
      </c>
      <c r="AE335" t="str">
        <f>VLOOKUP(E:E,笔记匹配!A:N,14,FALSE)</f>
        <v>云麦体脂秤3</v>
      </c>
      <c r="AF335" t="str">
        <f>VLOOKUP(E:E,笔记匹配!A:N,6,FALSE)</f>
        <v>体重秤上的数字告诉我：你是个失败者</v>
      </c>
    </row>
    <row r="336" spans="1:32">
      <c r="A336" s="18" t="s">
        <v>43</v>
      </c>
      <c r="B336" s="18" t="s">
        <v>1102</v>
      </c>
      <c r="C336" s="19">
        <v>15688208</v>
      </c>
      <c r="D336" s="18" t="s">
        <v>196</v>
      </c>
      <c r="E336" s="18" t="s">
        <v>420</v>
      </c>
      <c r="F336" s="18" t="s">
        <v>1103</v>
      </c>
      <c r="G336" s="19">
        <v>3068565</v>
      </c>
      <c r="H336" s="18" t="s">
        <v>1104</v>
      </c>
      <c r="I336" s="19">
        <v>2465715</v>
      </c>
      <c r="J336" s="18" t="s">
        <v>1015</v>
      </c>
      <c r="K336" s="19">
        <v>1012.93</v>
      </c>
      <c r="L336" s="19">
        <v>28795</v>
      </c>
      <c r="M336" s="19">
        <v>1180</v>
      </c>
      <c r="N336" s="20">
        <v>0.041</v>
      </c>
      <c r="O336" s="19">
        <v>0.86</v>
      </c>
      <c r="P336" s="19">
        <v>35.18</v>
      </c>
      <c r="Q336" s="19">
        <v>18</v>
      </c>
      <c r="R336" s="19">
        <v>2</v>
      </c>
      <c r="S336" s="19">
        <v>5</v>
      </c>
      <c r="T336" s="19">
        <v>3</v>
      </c>
      <c r="U336" s="19">
        <v>1</v>
      </c>
      <c r="V336" s="19">
        <v>29</v>
      </c>
      <c r="W336" s="19">
        <v>34.93</v>
      </c>
      <c r="X336" s="19">
        <v>0</v>
      </c>
      <c r="Y336" s="20">
        <v>0</v>
      </c>
      <c r="Z336" s="19">
        <v>2</v>
      </c>
      <c r="AA336" s="19">
        <v>0</v>
      </c>
      <c r="AB336" t="str">
        <f>VLOOKUP(E:E,笔记匹配!A:N,3,FALSE)</f>
        <v>干坐着的小瑶</v>
      </c>
      <c r="AC336" t="str">
        <f>VLOOKUP(E:E,笔记匹配!A:N,2,FALSE)</f>
        <v>筋膜枪</v>
      </c>
      <c r="AD336" t="str">
        <f>VLOOKUP(E:E,笔记匹配!A:N,4,FALSE)</f>
        <v>云麦cc筋膜枪</v>
      </c>
      <c r="AE336" t="str">
        <f>VLOOKUP(E:E,笔记匹配!A:N,14,FALSE)</f>
        <v>云麦筋膜枪cc</v>
      </c>
      <c r="AF336" t="str">
        <f>VLOOKUP(E:E,笔记匹配!A:N,6,FALSE)</f>
        <v>筋膜枪🆚泡沫轴🆚筋膜球，怎么选❓哪个好❓</v>
      </c>
    </row>
    <row r="337" spans="1:32">
      <c r="A337" s="18" t="s">
        <v>43</v>
      </c>
      <c r="B337" s="18" t="s">
        <v>1107</v>
      </c>
      <c r="C337" s="19">
        <v>15732722</v>
      </c>
      <c r="D337" s="18" t="s">
        <v>196</v>
      </c>
      <c r="E337" s="18" t="s">
        <v>483</v>
      </c>
      <c r="F337" s="18" t="s">
        <v>1108</v>
      </c>
      <c r="G337" s="19">
        <v>3076866</v>
      </c>
      <c r="H337" s="18" t="s">
        <v>1109</v>
      </c>
      <c r="I337" s="19">
        <v>2473013</v>
      </c>
      <c r="J337" s="18" t="s">
        <v>1015</v>
      </c>
      <c r="K337" s="19">
        <v>236.39</v>
      </c>
      <c r="L337" s="19">
        <v>8136</v>
      </c>
      <c r="M337" s="19">
        <v>553</v>
      </c>
      <c r="N337" s="20">
        <v>0.068</v>
      </c>
      <c r="O337" s="19">
        <v>0.43</v>
      </c>
      <c r="P337" s="19">
        <v>29.05</v>
      </c>
      <c r="Q337" s="19">
        <v>9</v>
      </c>
      <c r="R337" s="19">
        <v>0</v>
      </c>
      <c r="S337" s="19">
        <v>2</v>
      </c>
      <c r="T337" s="19">
        <v>1</v>
      </c>
      <c r="U337" s="19">
        <v>0</v>
      </c>
      <c r="V337" s="19">
        <v>12</v>
      </c>
      <c r="W337" s="19">
        <v>19.7</v>
      </c>
      <c r="X337" s="19">
        <v>0</v>
      </c>
      <c r="Y337" s="20">
        <v>0</v>
      </c>
      <c r="Z337" s="19">
        <v>3</v>
      </c>
      <c r="AA337" s="19">
        <v>2</v>
      </c>
      <c r="AB337" t="str">
        <f>VLOOKUP(E:E,笔记匹配!A:N,3,FALSE)</f>
        <v>六月炎妍</v>
      </c>
      <c r="AC337" t="str">
        <f>VLOOKUP(E:E,笔记匹配!A:N,2,FALSE)</f>
        <v>体脂秤</v>
      </c>
      <c r="AD337" t="str">
        <f>VLOOKUP(E:E,笔记匹配!A:N,4,FALSE)</f>
        <v>云麦3mini</v>
      </c>
      <c r="AE337" t="str">
        <f>VLOOKUP(E:E,笔记匹配!A:N,14,FALSE)</f>
        <v>云麦体脂秤3mini</v>
      </c>
      <c r="AF337" t="str">
        <f>VLOOKUP(E:E,笔记匹配!A:N,6,FALSE)</f>
        <v>体脂秤监测|瘦了23斤的经验无保留分享</v>
      </c>
    </row>
    <row r="338" spans="1:32">
      <c r="A338" s="18" t="s">
        <v>43</v>
      </c>
      <c r="B338" s="18" t="s">
        <v>1111</v>
      </c>
      <c r="C338" s="19">
        <v>15734437</v>
      </c>
      <c r="D338" s="18" t="s">
        <v>196</v>
      </c>
      <c r="E338" s="18" t="s">
        <v>549</v>
      </c>
      <c r="F338" s="18" t="s">
        <v>1112</v>
      </c>
      <c r="G338" s="19">
        <v>3077376</v>
      </c>
      <c r="H338" s="18" t="s">
        <v>1112</v>
      </c>
      <c r="I338" s="19">
        <v>2473298</v>
      </c>
      <c r="J338" s="18" t="s">
        <v>1015</v>
      </c>
      <c r="K338" s="19">
        <v>1015.18</v>
      </c>
      <c r="L338" s="19">
        <v>27078</v>
      </c>
      <c r="M338" s="19">
        <v>1440</v>
      </c>
      <c r="N338" s="20">
        <v>0.0532</v>
      </c>
      <c r="O338" s="19">
        <v>0.7</v>
      </c>
      <c r="P338" s="19">
        <v>37.49</v>
      </c>
      <c r="Q338" s="19">
        <v>38</v>
      </c>
      <c r="R338" s="19">
        <v>0</v>
      </c>
      <c r="S338" s="19">
        <v>24</v>
      </c>
      <c r="T338" s="19">
        <v>4</v>
      </c>
      <c r="U338" s="19">
        <v>2</v>
      </c>
      <c r="V338" s="19">
        <v>68</v>
      </c>
      <c r="W338" s="19">
        <v>14.93</v>
      </c>
      <c r="X338" s="19">
        <v>0</v>
      </c>
      <c r="Y338" s="20">
        <v>0</v>
      </c>
      <c r="Z338" s="19">
        <v>0</v>
      </c>
      <c r="AA338" s="19">
        <v>2</v>
      </c>
      <c r="AB338" t="str">
        <f>VLOOKUP(E:E,笔记匹配!A:N,3,FALSE)</f>
        <v>爽姐腿特长</v>
      </c>
      <c r="AC338" t="str">
        <f>VLOOKUP(E:E,笔记匹配!A:N,2,FALSE)</f>
        <v>筋膜枪</v>
      </c>
      <c r="AD338" t="str">
        <f>VLOOKUP(E:E,笔记匹配!A:N,4,FALSE)</f>
        <v>云麦筋膜枪cc</v>
      </c>
      <c r="AE338" t="str">
        <f>VLOOKUP(E:E,笔记匹配!A:N,14,FALSE)</f>
        <v>云麦筋膜枪cc</v>
      </c>
      <c r="AF338" t="str">
        <f>VLOOKUP(E:E,笔记匹配!A:N,6,FALSE)</f>
        <v>筋膜枪有效放松|顽固肌肉腿有救了🦵</v>
      </c>
    </row>
    <row r="339" spans="1:32">
      <c r="A339" s="18" t="s">
        <v>43</v>
      </c>
      <c r="B339" s="18" t="s">
        <v>1113</v>
      </c>
      <c r="C339" s="19">
        <v>15734941</v>
      </c>
      <c r="D339" s="18" t="s">
        <v>196</v>
      </c>
      <c r="E339" s="18" t="s">
        <v>312</v>
      </c>
      <c r="F339" s="18" t="s">
        <v>1114</v>
      </c>
      <c r="G339" s="19">
        <v>3077590</v>
      </c>
      <c r="H339" s="18" t="s">
        <v>1114</v>
      </c>
      <c r="I339" s="19">
        <v>2473348</v>
      </c>
      <c r="J339" s="18" t="s">
        <v>1015</v>
      </c>
      <c r="K339" s="19">
        <v>1011.09</v>
      </c>
      <c r="L339" s="19">
        <v>11125</v>
      </c>
      <c r="M339" s="19">
        <v>521</v>
      </c>
      <c r="N339" s="20">
        <v>0.0468</v>
      </c>
      <c r="O339" s="19">
        <v>1.94</v>
      </c>
      <c r="P339" s="19">
        <v>90.88</v>
      </c>
      <c r="Q339" s="19">
        <v>23</v>
      </c>
      <c r="R339" s="19">
        <v>0</v>
      </c>
      <c r="S339" s="19">
        <v>12</v>
      </c>
      <c r="T339" s="19">
        <v>1</v>
      </c>
      <c r="U339" s="19">
        <v>1</v>
      </c>
      <c r="V339" s="19">
        <v>37</v>
      </c>
      <c r="W339" s="19">
        <v>27.33</v>
      </c>
      <c r="X339" s="19">
        <v>0</v>
      </c>
      <c r="Y339" s="20">
        <v>0</v>
      </c>
      <c r="Z339" s="19">
        <v>0</v>
      </c>
      <c r="AA339" s="19">
        <v>3</v>
      </c>
      <c r="AB339" t="str">
        <f>VLOOKUP(E:E,笔记匹配!A:N,3,FALSE)</f>
        <v>郝有金</v>
      </c>
      <c r="AC339" t="str">
        <f>VLOOKUP(E:E,笔记匹配!A:N,2,FALSE)</f>
        <v>筋膜枪</v>
      </c>
      <c r="AD339" t="str">
        <f>VLOOKUP(E:E,笔记匹配!A:N,4,FALSE)</f>
        <v>云麦cc筋膜枪</v>
      </c>
      <c r="AE339" t="str">
        <f>VLOOKUP(E:E,笔记匹配!A:N,14,FALSE)</f>
        <v>云麦筋膜枪cc</v>
      </c>
      <c r="AF339" t="str">
        <f>VLOOKUP(E:E,笔记匹配!A:N,6,FALSE)</f>
        <v>别用错❗️筋膜枪正确使用方法，不同肌肉部位放松大全</v>
      </c>
    </row>
    <row r="340" spans="1:32">
      <c r="A340" s="18" t="s">
        <v>43</v>
      </c>
      <c r="B340" s="18" t="s">
        <v>1117</v>
      </c>
      <c r="C340" s="19">
        <v>15803975</v>
      </c>
      <c r="D340" s="18" t="s">
        <v>196</v>
      </c>
      <c r="E340" s="18" t="s">
        <v>480</v>
      </c>
      <c r="F340" s="18" t="s">
        <v>1118</v>
      </c>
      <c r="G340" s="19">
        <v>3087946</v>
      </c>
      <c r="H340" s="18" t="s">
        <v>1118</v>
      </c>
      <c r="I340" s="19">
        <v>2483361</v>
      </c>
      <c r="J340" s="18" t="s">
        <v>1015</v>
      </c>
      <c r="K340" s="19">
        <v>511.14</v>
      </c>
      <c r="L340" s="19">
        <v>21187</v>
      </c>
      <c r="M340" s="19">
        <v>1914</v>
      </c>
      <c r="N340" s="20">
        <v>0.0903</v>
      </c>
      <c r="O340" s="19">
        <v>0.27</v>
      </c>
      <c r="P340" s="19">
        <v>24.13</v>
      </c>
      <c r="Q340" s="19">
        <v>84</v>
      </c>
      <c r="R340" s="19">
        <v>1</v>
      </c>
      <c r="S340" s="19">
        <v>75</v>
      </c>
      <c r="T340" s="19">
        <v>22</v>
      </c>
      <c r="U340" s="19">
        <v>10</v>
      </c>
      <c r="V340" s="19">
        <v>192</v>
      </c>
      <c r="W340" s="19">
        <v>2.66</v>
      </c>
      <c r="X340" s="19">
        <v>1</v>
      </c>
      <c r="Y340" s="20">
        <v>0.0005</v>
      </c>
      <c r="Z340" s="19">
        <v>34</v>
      </c>
      <c r="AA340" s="19">
        <v>0</v>
      </c>
      <c r="AB340" t="str">
        <f>VLOOKUP(E:E,笔记匹配!A:N,3,FALSE)</f>
        <v>马可乐cora</v>
      </c>
      <c r="AC340" t="str">
        <f>VLOOKUP(E:E,笔记匹配!A:N,2,FALSE)</f>
        <v>体脂秤</v>
      </c>
      <c r="AD340" t="str">
        <f>VLOOKUP(E:E,笔记匹配!A:N,4,FALSE)</f>
        <v>云麦3mini（无埋词）</v>
      </c>
      <c r="AE340" t="str">
        <f>VLOOKUP(E:E,笔记匹配!A:N,14,FALSE)</f>
        <v>云麦体脂秤3mini</v>
      </c>
      <c r="AF340" t="str">
        <f>VLOOKUP(E:E,笔记匹配!A:N,6,FALSE)</f>
        <v>‼️真心劝你们想成功瘦下来这6件事别再做了</v>
      </c>
    </row>
    <row r="341" spans="1:32">
      <c r="A341" s="18" t="s">
        <v>43</v>
      </c>
      <c r="B341" s="18" t="s">
        <v>740</v>
      </c>
      <c r="C341" s="19">
        <v>15804098</v>
      </c>
      <c r="D341" s="18" t="s">
        <v>209</v>
      </c>
      <c r="E341" s="18" t="s">
        <v>473</v>
      </c>
      <c r="F341" s="18" t="s">
        <v>1119</v>
      </c>
      <c r="G341" s="19">
        <v>3087955</v>
      </c>
      <c r="H341" s="18" t="s">
        <v>1119</v>
      </c>
      <c r="I341" s="19">
        <v>2483370</v>
      </c>
      <c r="J341" s="18" t="s">
        <v>1015</v>
      </c>
      <c r="K341" s="19">
        <v>502.19</v>
      </c>
      <c r="L341" s="19">
        <v>35388</v>
      </c>
      <c r="M341" s="19">
        <v>7210</v>
      </c>
      <c r="N341" s="20">
        <v>0.2037</v>
      </c>
      <c r="O341" s="19">
        <v>0.07</v>
      </c>
      <c r="P341" s="19">
        <v>14.19</v>
      </c>
      <c r="Q341" s="19">
        <v>92</v>
      </c>
      <c r="R341" s="19">
        <v>4</v>
      </c>
      <c r="S341" s="19">
        <v>36</v>
      </c>
      <c r="T341" s="19">
        <v>31</v>
      </c>
      <c r="U341" s="19">
        <v>5</v>
      </c>
      <c r="V341" s="19">
        <v>168</v>
      </c>
      <c r="W341" s="19">
        <v>2.99</v>
      </c>
      <c r="X341" s="19">
        <v>0</v>
      </c>
      <c r="Y341" s="20">
        <v>0</v>
      </c>
      <c r="Z341" s="19">
        <v>6</v>
      </c>
      <c r="AA341" s="19">
        <v>5</v>
      </c>
      <c r="AB341" t="str">
        <f>VLOOKUP(E:E,笔记匹配!A:N,3,FALSE)</f>
        <v>茜茜子</v>
      </c>
      <c r="AC341" t="str">
        <f>VLOOKUP(E:E,笔记匹配!A:N,2,FALSE)</f>
        <v>体脂秤</v>
      </c>
      <c r="AD341" t="str">
        <f>VLOOKUP(E:E,笔记匹配!A:N,4,FALSE)</f>
        <v>云麦3mini体脂秤</v>
      </c>
      <c r="AE341" t="str">
        <f>VLOOKUP(E:E,笔记匹配!A:N,14,FALSE)</f>
        <v>云麦体脂秤3mini</v>
      </c>
      <c r="AF341" t="str">
        <f>VLOOKUP(E:E,笔记匹配!A:N,6,FALSE)</f>
        <v>我真的很会瘦肚子❗️</v>
      </c>
    </row>
    <row r="342" spans="1:32">
      <c r="A342" s="18" t="s">
        <v>43</v>
      </c>
      <c r="B342" s="18" t="s">
        <v>748</v>
      </c>
      <c r="C342" s="19">
        <v>15804284</v>
      </c>
      <c r="D342" s="18" t="s">
        <v>209</v>
      </c>
      <c r="E342" s="18" t="s">
        <v>449</v>
      </c>
      <c r="F342" s="18" t="s">
        <v>1120</v>
      </c>
      <c r="G342" s="19">
        <v>3087971</v>
      </c>
      <c r="H342" s="18" t="s">
        <v>1120</v>
      </c>
      <c r="I342" s="19">
        <v>2483385</v>
      </c>
      <c r="J342" s="18" t="s">
        <v>1015</v>
      </c>
      <c r="K342" s="19">
        <v>465.42</v>
      </c>
      <c r="L342" s="19">
        <v>80807</v>
      </c>
      <c r="M342" s="19">
        <v>3259</v>
      </c>
      <c r="N342" s="20">
        <v>0.0403</v>
      </c>
      <c r="O342" s="19">
        <v>0.14</v>
      </c>
      <c r="P342" s="19">
        <v>5.76</v>
      </c>
      <c r="Q342" s="19">
        <v>89</v>
      </c>
      <c r="R342" s="19">
        <v>0</v>
      </c>
      <c r="S342" s="19">
        <v>128</v>
      </c>
      <c r="T342" s="19">
        <v>3</v>
      </c>
      <c r="U342" s="19">
        <v>4</v>
      </c>
      <c r="V342" s="19">
        <v>224</v>
      </c>
      <c r="W342" s="19">
        <v>2.08</v>
      </c>
      <c r="X342" s="19">
        <v>0</v>
      </c>
      <c r="Y342" s="20">
        <v>0</v>
      </c>
      <c r="Z342" s="19">
        <v>2</v>
      </c>
      <c r="AA342" s="19">
        <v>0</v>
      </c>
      <c r="AB342" t="str">
        <f>VLOOKUP(E:E,笔记匹配!A:N,3,FALSE)</f>
        <v>Celine丹丹</v>
      </c>
      <c r="AC342" t="str">
        <f>VLOOKUP(E:E,笔记匹配!A:N,2,FALSE)</f>
        <v>筋膜枪</v>
      </c>
      <c r="AD342" t="str">
        <f>VLOOKUP(E:E,笔记匹配!A:N,4,FALSE)</f>
        <v>云麦cc筋膜枪</v>
      </c>
      <c r="AE342" t="str">
        <f>VLOOKUP(E:E,笔记匹配!A:N,14,FALSE)</f>
        <v>云麦筋膜枪cc</v>
      </c>
      <c r="AF342" t="str">
        <f>VLOOKUP(E:E,笔记匹配!A:N,6,FALSE)</f>
        <v>不服不行,练完手臂抖到根本停不下来‼️</v>
      </c>
    </row>
    <row r="343" spans="1:32">
      <c r="A343" s="18" t="s">
        <v>43</v>
      </c>
      <c r="B343" s="18" t="s">
        <v>737</v>
      </c>
      <c r="C343" s="19">
        <v>15804340</v>
      </c>
      <c r="D343" s="18" t="s">
        <v>209</v>
      </c>
      <c r="E343" s="18" t="s">
        <v>458</v>
      </c>
      <c r="F343" s="18" t="s">
        <v>1121</v>
      </c>
      <c r="G343" s="19">
        <v>3087973</v>
      </c>
      <c r="H343" s="18" t="s">
        <v>1121</v>
      </c>
      <c r="I343" s="19">
        <v>2483391</v>
      </c>
      <c r="J343" s="18" t="s">
        <v>1015</v>
      </c>
      <c r="K343" s="19">
        <v>475.7</v>
      </c>
      <c r="L343" s="19">
        <v>38034</v>
      </c>
      <c r="M343" s="19">
        <v>2021</v>
      </c>
      <c r="N343" s="20">
        <v>0.0531</v>
      </c>
      <c r="O343" s="19">
        <v>0.24</v>
      </c>
      <c r="P343" s="19">
        <v>12.51</v>
      </c>
      <c r="Q343" s="19">
        <v>80</v>
      </c>
      <c r="R343" s="19">
        <v>2</v>
      </c>
      <c r="S343" s="19">
        <v>68</v>
      </c>
      <c r="T343" s="19">
        <v>19</v>
      </c>
      <c r="U343" s="19">
        <v>2</v>
      </c>
      <c r="V343" s="19">
        <v>171</v>
      </c>
      <c r="W343" s="19">
        <v>2.78</v>
      </c>
      <c r="X343" s="19">
        <v>0</v>
      </c>
      <c r="Y343" s="20">
        <v>0</v>
      </c>
      <c r="Z343" s="19">
        <v>7</v>
      </c>
      <c r="AA343" s="19">
        <v>0</v>
      </c>
      <c r="AB343" t="str">
        <f>VLOOKUP(E:E,笔记匹配!A:N,3,FALSE)</f>
        <v>林菀桃桃</v>
      </c>
      <c r="AC343" t="str">
        <f>VLOOKUP(E:E,笔记匹配!A:N,2,FALSE)</f>
        <v>筋膜枪</v>
      </c>
      <c r="AD343" t="str">
        <f>VLOOKUP(E:E,笔记匹配!A:N,4,FALSE)</f>
        <v>云麦cc筋膜枪</v>
      </c>
      <c r="AE343" t="str">
        <f>VLOOKUP(E:E,笔记匹配!A:N,14,FALSE)</f>
        <v>云麦筋膜枪cc</v>
      </c>
      <c r="AF343" t="str">
        <f>VLOOKUP(E:E,笔记匹配!A:N,6,FALSE)</f>
        <v>vlog饱满蜜桃+提高臀线+筋膜枪放松胫骨前肌</v>
      </c>
    </row>
    <row r="344" spans="1:32">
      <c r="A344" s="18" t="s">
        <v>43</v>
      </c>
      <c r="B344" s="18" t="s">
        <v>751</v>
      </c>
      <c r="C344" s="19">
        <v>15804452</v>
      </c>
      <c r="D344" s="18" t="s">
        <v>209</v>
      </c>
      <c r="E344" s="18" t="s">
        <v>535</v>
      </c>
      <c r="F344" s="18" t="s">
        <v>1122</v>
      </c>
      <c r="G344" s="19">
        <v>3087983</v>
      </c>
      <c r="H344" s="18" t="s">
        <v>1122</v>
      </c>
      <c r="I344" s="19">
        <v>2483401</v>
      </c>
      <c r="J344" s="18" t="s">
        <v>1015</v>
      </c>
      <c r="K344" s="19">
        <v>1.26</v>
      </c>
      <c r="L344" s="19">
        <v>82</v>
      </c>
      <c r="M344" s="19">
        <v>4</v>
      </c>
      <c r="N344" s="20">
        <v>0.0488</v>
      </c>
      <c r="O344" s="19">
        <v>0.32</v>
      </c>
      <c r="P344" s="19">
        <v>15.37</v>
      </c>
      <c r="Q344" s="19">
        <v>0</v>
      </c>
      <c r="R344" s="19">
        <v>0</v>
      </c>
      <c r="S344" s="19">
        <v>1</v>
      </c>
      <c r="T344" s="19">
        <v>0</v>
      </c>
      <c r="U344" s="19">
        <v>0</v>
      </c>
      <c r="V344" s="19">
        <v>1</v>
      </c>
      <c r="W344" s="19">
        <v>1.26</v>
      </c>
      <c r="X344" s="19">
        <v>0</v>
      </c>
      <c r="Y344" s="20">
        <v>0</v>
      </c>
      <c r="Z344" s="19">
        <v>0</v>
      </c>
      <c r="AA344" s="19">
        <v>0</v>
      </c>
      <c r="AB344" t="str">
        <f>VLOOKUP(E:E,笔记匹配!A:N,3,FALSE)</f>
        <v>爱撸铁的丁</v>
      </c>
      <c r="AC344" t="str">
        <f>VLOOKUP(E:E,笔记匹配!A:N,2,FALSE)</f>
        <v>筋膜枪</v>
      </c>
      <c r="AD344" t="str">
        <f>VLOOKUP(E:E,笔记匹配!A:N,4,FALSE)</f>
        <v>云麦cc筋膜枪</v>
      </c>
      <c r="AE344" t="str">
        <f>VLOOKUP(E:E,笔记匹配!A:N,14,FALSE)</f>
        <v>云麦筋膜枪cc</v>
      </c>
      <c r="AF344" t="str">
        <f>VLOOKUP(E:E,笔记匹配!A:N,6,FALSE)</f>
        <v>身高165 体重52 翘臀不粗腿🦵我悟了！！</v>
      </c>
    </row>
    <row r="345" spans="1:32">
      <c r="A345" s="18" t="s">
        <v>43</v>
      </c>
      <c r="B345" s="18" t="s">
        <v>744</v>
      </c>
      <c r="C345" s="19">
        <v>15804507</v>
      </c>
      <c r="D345" s="18" t="s">
        <v>209</v>
      </c>
      <c r="E345" s="18" t="s">
        <v>447</v>
      </c>
      <c r="F345" s="18" t="s">
        <v>1123</v>
      </c>
      <c r="G345" s="19">
        <v>3087989</v>
      </c>
      <c r="H345" s="18" t="s">
        <v>1123</v>
      </c>
      <c r="I345" s="19">
        <v>2483404</v>
      </c>
      <c r="J345" s="18" t="s">
        <v>1015</v>
      </c>
      <c r="K345" s="19">
        <v>475.51</v>
      </c>
      <c r="L345" s="19">
        <v>51836</v>
      </c>
      <c r="M345" s="19">
        <v>2511</v>
      </c>
      <c r="N345" s="20">
        <v>0.0484</v>
      </c>
      <c r="O345" s="19">
        <v>0.19</v>
      </c>
      <c r="P345" s="19">
        <v>9.17</v>
      </c>
      <c r="Q345" s="19">
        <v>275</v>
      </c>
      <c r="R345" s="19">
        <v>2</v>
      </c>
      <c r="S345" s="19">
        <v>229</v>
      </c>
      <c r="T345" s="19">
        <v>9</v>
      </c>
      <c r="U345" s="19">
        <v>11</v>
      </c>
      <c r="V345" s="19">
        <v>526</v>
      </c>
      <c r="W345" s="19">
        <v>0.9</v>
      </c>
      <c r="X345" s="19">
        <v>0</v>
      </c>
      <c r="Y345" s="20">
        <v>0</v>
      </c>
      <c r="Z345" s="19">
        <v>1</v>
      </c>
      <c r="AA345" s="19">
        <v>11</v>
      </c>
      <c r="AB345" t="str">
        <f>VLOOKUP(E:E,笔记匹配!A:N,3,FALSE)</f>
        <v>熊猫叮</v>
      </c>
      <c r="AC345" t="str">
        <f>VLOOKUP(E:E,笔记匹配!A:N,2,FALSE)</f>
        <v>筋膜枪</v>
      </c>
      <c r="AD345" t="str">
        <f>VLOOKUP(E:E,笔记匹配!A:N,4,FALSE)</f>
        <v> 云麦cc</v>
      </c>
      <c r="AE345" t="str">
        <f>VLOOKUP(E:E,笔记匹配!A:N,14,FALSE)</f>
        <v>云麦筋膜枪cc</v>
      </c>
      <c r="AF345" t="str">
        <f>VLOOKUP(E:E,笔记匹配!A:N,6,FALSE)</f>
        <v>瘦小腿训练🔥消除肌肉腿脂包肌‼️筋膜枪放松</v>
      </c>
    </row>
    <row r="346" spans="1:32">
      <c r="A346" s="18" t="s">
        <v>43</v>
      </c>
      <c r="B346" s="18" t="s">
        <v>757</v>
      </c>
      <c r="C346" s="19">
        <v>15867913</v>
      </c>
      <c r="D346" s="18" t="s">
        <v>209</v>
      </c>
      <c r="E346" s="18" t="s">
        <v>468</v>
      </c>
      <c r="F346" s="18" t="s">
        <v>1124</v>
      </c>
      <c r="G346" s="19">
        <v>3099180</v>
      </c>
      <c r="H346" s="18" t="s">
        <v>1124</v>
      </c>
      <c r="I346" s="19">
        <v>2494227</v>
      </c>
      <c r="J346" s="18" t="s">
        <v>1015</v>
      </c>
      <c r="K346" s="19">
        <v>502.78</v>
      </c>
      <c r="L346" s="19">
        <v>37346</v>
      </c>
      <c r="M346" s="19">
        <v>2235</v>
      </c>
      <c r="N346" s="20">
        <v>0.0598</v>
      </c>
      <c r="O346" s="19">
        <v>0.22</v>
      </c>
      <c r="P346" s="19">
        <v>13.46</v>
      </c>
      <c r="Q346" s="19">
        <v>289</v>
      </c>
      <c r="R346" s="19">
        <v>0</v>
      </c>
      <c r="S346" s="19">
        <v>331</v>
      </c>
      <c r="T346" s="19">
        <v>21</v>
      </c>
      <c r="U346" s="19">
        <v>14</v>
      </c>
      <c r="V346" s="19">
        <v>655</v>
      </c>
      <c r="W346" s="19">
        <v>0.77</v>
      </c>
      <c r="X346" s="19">
        <v>0</v>
      </c>
      <c r="Y346" s="20">
        <v>0</v>
      </c>
      <c r="Z346" s="19">
        <v>2</v>
      </c>
      <c r="AA346" s="19">
        <v>0</v>
      </c>
      <c r="AB346" t="str">
        <f>VLOOKUP(E:E,笔记匹配!A:N,3,FALSE)</f>
        <v>生椰黎子yoga</v>
      </c>
      <c r="AC346" t="str">
        <f>VLOOKUP(E:E,笔记匹配!A:N,2,FALSE)</f>
        <v>体脂秤</v>
      </c>
      <c r="AD346" t="str">
        <f>VLOOKUP(E:E,笔记匹配!A:N,4,FALSE)</f>
        <v>云麦体脂秤3mini</v>
      </c>
      <c r="AE346" t="str">
        <f>VLOOKUP(E:E,笔记匹配!A:N,14,FALSE)</f>
        <v>云麦体脂秤3mini</v>
      </c>
      <c r="AF346" t="str">
        <f>VLOOKUP(E:E,笔记匹配!A:N,6,FALSE)</f>
        <v>超🔥极速瘦肚子！太有用了‼️6分钟紧致腰腹</v>
      </c>
    </row>
    <row r="347" spans="1:32">
      <c r="A347" s="18" t="s">
        <v>43</v>
      </c>
      <c r="B347" s="18" t="s">
        <v>754</v>
      </c>
      <c r="C347" s="19">
        <v>15869520</v>
      </c>
      <c r="D347" s="18" t="s">
        <v>209</v>
      </c>
      <c r="E347" s="18" t="s">
        <v>544</v>
      </c>
      <c r="F347" s="18" t="s">
        <v>1125</v>
      </c>
      <c r="G347" s="19">
        <v>3099710</v>
      </c>
      <c r="H347" s="18" t="s">
        <v>1125</v>
      </c>
      <c r="I347" s="19">
        <v>2494725</v>
      </c>
      <c r="J347" s="18" t="s">
        <v>1015</v>
      </c>
      <c r="K347" s="19">
        <v>503.9</v>
      </c>
      <c r="L347" s="19">
        <v>86093</v>
      </c>
      <c r="M347" s="19">
        <v>3191</v>
      </c>
      <c r="N347" s="20">
        <v>0.0371</v>
      </c>
      <c r="O347" s="19">
        <v>0.16</v>
      </c>
      <c r="P347" s="19">
        <v>5.85</v>
      </c>
      <c r="Q347" s="19">
        <v>187</v>
      </c>
      <c r="R347" s="19">
        <v>2</v>
      </c>
      <c r="S347" s="19">
        <v>121</v>
      </c>
      <c r="T347" s="19">
        <v>39</v>
      </c>
      <c r="U347" s="19">
        <v>5</v>
      </c>
      <c r="V347" s="19">
        <v>354</v>
      </c>
      <c r="W347" s="19">
        <v>1.42</v>
      </c>
      <c r="X347" s="19">
        <v>0</v>
      </c>
      <c r="Y347" s="20">
        <v>0</v>
      </c>
      <c r="Z347" s="19">
        <v>6</v>
      </c>
      <c r="AA347" s="19">
        <v>0</v>
      </c>
      <c r="AB347" t="str">
        <f>VLOOKUP(E:E,笔记匹配!A:N,3,FALSE)</f>
        <v>福崽</v>
      </c>
      <c r="AC347" t="str">
        <f>VLOOKUP(E:E,笔记匹配!A:N,2,FALSE)</f>
        <v>筋膜枪</v>
      </c>
      <c r="AD347" t="str">
        <f>VLOOKUP(E:E,笔记匹配!A:N,4,FALSE)</f>
        <v>云麦筋膜枪cc</v>
      </c>
      <c r="AE347" t="str">
        <f>VLOOKUP(E:E,笔记匹配!A:N,14,FALSE)</f>
        <v>云麦筋膜枪cc</v>
      </c>
      <c r="AF347" t="str">
        <f>VLOOKUP(E:E,笔记匹配!A:N,6,FALSE)</f>
        <v>脂包肌的消除逻辑｜瘦小腿❌盲目</v>
      </c>
    </row>
    <row r="348" spans="1:32">
      <c r="A348" s="18" t="s">
        <v>43</v>
      </c>
      <c r="B348" s="18" t="s">
        <v>760</v>
      </c>
      <c r="C348" s="19">
        <v>15869599</v>
      </c>
      <c r="D348" s="18" t="s">
        <v>209</v>
      </c>
      <c r="E348" s="18" t="s">
        <v>466</v>
      </c>
      <c r="F348" s="18" t="s">
        <v>1126</v>
      </c>
      <c r="G348" s="19">
        <v>3099720</v>
      </c>
      <c r="H348" s="18" t="s">
        <v>1126</v>
      </c>
      <c r="I348" s="19">
        <v>2494738</v>
      </c>
      <c r="J348" s="18" t="s">
        <v>1015</v>
      </c>
      <c r="K348" s="19">
        <v>505.56</v>
      </c>
      <c r="L348" s="19">
        <v>68416</v>
      </c>
      <c r="M348" s="19">
        <v>3827</v>
      </c>
      <c r="N348" s="20">
        <v>0.0559</v>
      </c>
      <c r="O348" s="19">
        <v>0.13</v>
      </c>
      <c r="P348" s="19">
        <v>7.39</v>
      </c>
      <c r="Q348" s="19">
        <v>39</v>
      </c>
      <c r="R348" s="19">
        <v>7</v>
      </c>
      <c r="S348" s="19">
        <v>20</v>
      </c>
      <c r="T348" s="19">
        <v>0</v>
      </c>
      <c r="U348" s="19">
        <v>15</v>
      </c>
      <c r="V348" s="19">
        <v>81</v>
      </c>
      <c r="W348" s="19">
        <v>6.24</v>
      </c>
      <c r="X348" s="19">
        <v>0</v>
      </c>
      <c r="Y348" s="20">
        <v>0</v>
      </c>
      <c r="Z348" s="19">
        <v>6</v>
      </c>
      <c r="AA348" s="19">
        <v>3</v>
      </c>
      <c r="AB348" t="str">
        <f>VLOOKUP(E:E,笔记匹配!A:N,3,FALSE)</f>
        <v>小胡的张张</v>
      </c>
      <c r="AC348" t="str">
        <f>VLOOKUP(E:E,笔记匹配!A:N,2,FALSE)</f>
        <v>筋膜枪</v>
      </c>
      <c r="AD348" t="str">
        <f>VLOOKUP(E:E,笔记匹配!A:N,4,FALSE)</f>
        <v>云麦cc筋膜枪</v>
      </c>
      <c r="AE348" t="str">
        <f>VLOOKUP(E:E,笔记匹配!A:N,14,FALSE)</f>
        <v>云麦筋膜枪cc</v>
      </c>
      <c r="AF348" t="str">
        <f>VLOOKUP(E:E,笔记匹配!A:N,6,FALSE)</f>
        <v>筋膜枪正确使用指南️⚠️千万别乱用！</v>
      </c>
    </row>
    <row r="349" spans="1:32">
      <c r="A349" s="18" t="s">
        <v>44</v>
      </c>
      <c r="B349" s="18" t="s">
        <v>1057</v>
      </c>
      <c r="C349" s="19">
        <v>14976642</v>
      </c>
      <c r="D349" s="18" t="s">
        <v>209</v>
      </c>
      <c r="E349" s="18" t="s">
        <v>509</v>
      </c>
      <c r="F349" s="18" t="s">
        <v>1058</v>
      </c>
      <c r="G349" s="19">
        <v>2984144</v>
      </c>
      <c r="H349" s="18" t="s">
        <v>1059</v>
      </c>
      <c r="I349" s="19">
        <v>2385921</v>
      </c>
      <c r="J349" s="18" t="s">
        <v>1015</v>
      </c>
      <c r="K349" s="19">
        <v>0</v>
      </c>
      <c r="L349" s="19">
        <v>0</v>
      </c>
      <c r="M349" s="19">
        <v>0</v>
      </c>
      <c r="N349" s="20">
        <v>0</v>
      </c>
      <c r="O349" s="19">
        <v>0</v>
      </c>
      <c r="P349" s="19">
        <v>0</v>
      </c>
      <c r="Q349" s="19">
        <v>0</v>
      </c>
      <c r="R349" s="19">
        <v>0</v>
      </c>
      <c r="S349" s="19">
        <v>0</v>
      </c>
      <c r="T349" s="19">
        <v>0</v>
      </c>
      <c r="U349" s="19">
        <v>0</v>
      </c>
      <c r="V349" s="19">
        <v>0</v>
      </c>
      <c r="W349" s="19">
        <v>0</v>
      </c>
      <c r="X349" s="19">
        <v>0</v>
      </c>
      <c r="Y349" s="20">
        <v>0</v>
      </c>
      <c r="Z349" s="19">
        <v>0</v>
      </c>
      <c r="AA349" s="19">
        <v>0</v>
      </c>
      <c r="AB349" t="str">
        <f>VLOOKUP(E:E,笔记匹配!A:N,3,FALSE)</f>
        <v>小小李</v>
      </c>
      <c r="AC349" t="str">
        <f>VLOOKUP(E:E,笔记匹配!A:N,2,FALSE)</f>
        <v>跳绳</v>
      </c>
      <c r="AD349" t="str">
        <f>VLOOKUP(E:E,笔记匹配!A:N,4,FALSE)</f>
        <v>云麦心率跳绳</v>
      </c>
      <c r="AE349" t="str">
        <f>VLOOKUP(E:E,笔记匹配!A:N,14,FALSE)</f>
        <v>云麦心率跳绳</v>
      </c>
      <c r="AF349" t="str">
        <f>VLOOKUP(E:E,笔记匹配!A:N,6,FALSE)</f>
        <v>4分钟跳绳TABATA | 居家高效燃脂瘦全身</v>
      </c>
    </row>
    <row r="350" spans="1:32">
      <c r="A350" s="18" t="s">
        <v>44</v>
      </c>
      <c r="B350" s="18" t="s">
        <v>587</v>
      </c>
      <c r="C350" s="19">
        <v>15179597</v>
      </c>
      <c r="D350" s="18" t="s">
        <v>209</v>
      </c>
      <c r="E350" s="18" t="s">
        <v>400</v>
      </c>
      <c r="F350" s="18" t="s">
        <v>1074</v>
      </c>
      <c r="G350" s="19">
        <v>3007578</v>
      </c>
      <c r="H350" s="18" t="s">
        <v>1074</v>
      </c>
      <c r="I350" s="19">
        <v>2405816</v>
      </c>
      <c r="J350" s="18" t="s">
        <v>1015</v>
      </c>
      <c r="K350" s="19">
        <v>0</v>
      </c>
      <c r="L350" s="19">
        <v>0</v>
      </c>
      <c r="M350" s="19">
        <v>0</v>
      </c>
      <c r="N350" s="20">
        <v>0</v>
      </c>
      <c r="O350" s="19">
        <v>0</v>
      </c>
      <c r="P350" s="19">
        <v>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20">
        <v>0</v>
      </c>
      <c r="Z350" s="19">
        <v>0</v>
      </c>
      <c r="AA350" s="19">
        <v>0</v>
      </c>
      <c r="AB350" t="str">
        <f>VLOOKUP(E:E,笔记匹配!A:N,3,FALSE)</f>
        <v>小雪教瑜伽</v>
      </c>
      <c r="AC350" t="str">
        <f>VLOOKUP(E:E,笔记匹配!A:N,2,FALSE)</f>
        <v>筋膜枪</v>
      </c>
      <c r="AD350" t="str">
        <f>VLOOKUP(E:E,笔记匹配!A:N,4,FALSE)</f>
        <v>云麦筋膜枪cc</v>
      </c>
      <c r="AE350" t="str">
        <f>VLOOKUP(E:E,笔记匹配!A:N,14,FALSE)</f>
        <v>云麦筋膜枪cc</v>
      </c>
      <c r="AF350" t="str">
        <f>VLOOKUP(E:E,笔记匹配!A:N,6,FALSE)</f>
        <v>瘦肌肉腿必备&amp;筋膜枪按摩跟练教程</v>
      </c>
    </row>
    <row r="351" spans="1:32">
      <c r="A351" s="18" t="s">
        <v>44</v>
      </c>
      <c r="B351" s="18" t="s">
        <v>704</v>
      </c>
      <c r="C351" s="19">
        <v>15248253</v>
      </c>
      <c r="D351" s="18" t="s">
        <v>209</v>
      </c>
      <c r="E351" s="18" t="s">
        <v>497</v>
      </c>
      <c r="F351" s="18" t="s">
        <v>1084</v>
      </c>
      <c r="G351" s="19">
        <v>3014764</v>
      </c>
      <c r="H351" s="18" t="s">
        <v>1085</v>
      </c>
      <c r="I351" s="19">
        <v>2412653</v>
      </c>
      <c r="J351" s="18" t="s">
        <v>1015</v>
      </c>
      <c r="K351" s="19">
        <v>0</v>
      </c>
      <c r="L351" s="19">
        <v>0</v>
      </c>
      <c r="M351" s="19">
        <v>0</v>
      </c>
      <c r="N351" s="20">
        <v>0</v>
      </c>
      <c r="O351" s="19">
        <v>0</v>
      </c>
      <c r="P351" s="19">
        <v>0</v>
      </c>
      <c r="Q351" s="19">
        <v>0</v>
      </c>
      <c r="R351" s="19">
        <v>0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20">
        <v>0</v>
      </c>
      <c r="Z351" s="19">
        <v>0</v>
      </c>
      <c r="AA351" s="19">
        <v>0</v>
      </c>
      <c r="AB351" t="str">
        <f>VLOOKUP(E:E,笔记匹配!A:N,3,FALSE)</f>
        <v>小方今天瘦了吗</v>
      </c>
      <c r="AC351" t="str">
        <f>VLOOKUP(E:E,笔记匹配!A:N,2,FALSE)</f>
        <v>体脂秤</v>
      </c>
      <c r="AD351" t="str">
        <f>VLOOKUP(E:E,笔记匹配!A:N,4,FALSE)</f>
        <v>云麦3mini</v>
      </c>
      <c r="AE351" t="str">
        <f>VLOOKUP(E:E,笔记匹配!A:N,14,FALSE)</f>
        <v>云麦体脂秤3mini</v>
      </c>
      <c r="AF351" t="str">
        <f>VLOOKUP(E:E,笔记匹配!A:N,6,FALSE)</f>
        <v>大基数无运动节食减45斤 （饮食习惯/食谱‼️）</v>
      </c>
    </row>
    <row r="352" spans="1:32">
      <c r="A352" s="18" t="s">
        <v>44</v>
      </c>
      <c r="B352" s="18" t="s">
        <v>1086</v>
      </c>
      <c r="C352" s="19">
        <v>15248439</v>
      </c>
      <c r="D352" s="18" t="s">
        <v>196</v>
      </c>
      <c r="E352" s="18" t="s">
        <v>234</v>
      </c>
      <c r="F352" s="18" t="s">
        <v>1087</v>
      </c>
      <c r="G352" s="19">
        <v>3014779</v>
      </c>
      <c r="H352" s="18" t="s">
        <v>1088</v>
      </c>
      <c r="I352" s="19">
        <v>2412665</v>
      </c>
      <c r="J352" s="18" t="s">
        <v>1015</v>
      </c>
      <c r="K352" s="19">
        <v>1245.98</v>
      </c>
      <c r="L352" s="19">
        <v>18237</v>
      </c>
      <c r="M352" s="19">
        <v>1741</v>
      </c>
      <c r="N352" s="20">
        <v>0.0955</v>
      </c>
      <c r="O352" s="19">
        <v>0.72</v>
      </c>
      <c r="P352" s="19">
        <v>68.32</v>
      </c>
      <c r="Q352" s="19">
        <v>7</v>
      </c>
      <c r="R352" s="19">
        <v>2</v>
      </c>
      <c r="S352" s="19">
        <v>3</v>
      </c>
      <c r="T352" s="19">
        <v>0</v>
      </c>
      <c r="U352" s="19">
        <v>0</v>
      </c>
      <c r="V352" s="19">
        <v>12</v>
      </c>
      <c r="W352" s="19">
        <v>103.83</v>
      </c>
      <c r="X352" s="19">
        <v>0</v>
      </c>
      <c r="Y352" s="20">
        <v>0</v>
      </c>
      <c r="Z352" s="19">
        <v>2</v>
      </c>
      <c r="AA352" s="19">
        <v>7</v>
      </c>
      <c r="AB352" t="str">
        <f>VLOOKUP(E:E,笔记匹配!A:N,3,FALSE)</f>
        <v>pp</v>
      </c>
      <c r="AC352" t="str">
        <f>VLOOKUP(E:E,笔记匹配!A:N,2,FALSE)</f>
        <v>体脂秤</v>
      </c>
      <c r="AD352" t="str">
        <f>VLOOKUP(E:E,笔记匹配!A:N,4,FALSE)</f>
        <v>云麦体脂秤3mini</v>
      </c>
      <c r="AE352" t="str">
        <f>VLOOKUP(E:E,笔记匹配!A:N,14,FALSE)</f>
        <v>云麦体脂秤3mini</v>
      </c>
      <c r="AF352" t="str">
        <f>VLOOKUP(E:E,笔记匹配!A:N,6,FALSE)</f>
        <v>110到88 一些减肥小建议｜如何正确运动</v>
      </c>
    </row>
    <row r="353" spans="1:32">
      <c r="A353" s="18" t="s">
        <v>44</v>
      </c>
      <c r="B353" s="18" t="s">
        <v>231</v>
      </c>
      <c r="C353" s="19">
        <v>15248486</v>
      </c>
      <c r="D353" s="18" t="s">
        <v>209</v>
      </c>
      <c r="E353" s="18" t="s">
        <v>234</v>
      </c>
      <c r="F353" s="18" t="s">
        <v>1089</v>
      </c>
      <c r="G353" s="19">
        <v>3014783</v>
      </c>
      <c r="H353" s="18" t="s">
        <v>1089</v>
      </c>
      <c r="I353" s="19">
        <v>2412680</v>
      </c>
      <c r="J353" s="18" t="s">
        <v>1015</v>
      </c>
      <c r="K353" s="19">
        <v>4.66</v>
      </c>
      <c r="L353" s="19">
        <v>337</v>
      </c>
      <c r="M353" s="19">
        <v>24</v>
      </c>
      <c r="N353" s="20">
        <v>0.0712</v>
      </c>
      <c r="O353" s="19">
        <v>0.19</v>
      </c>
      <c r="P353" s="19">
        <v>13.83</v>
      </c>
      <c r="Q353" s="19">
        <v>1</v>
      </c>
      <c r="R353" s="19">
        <v>0</v>
      </c>
      <c r="S353" s="19">
        <v>1</v>
      </c>
      <c r="T353" s="19">
        <v>0</v>
      </c>
      <c r="U353" s="19">
        <v>0</v>
      </c>
      <c r="V353" s="19">
        <v>2</v>
      </c>
      <c r="W353" s="19">
        <v>2.33</v>
      </c>
      <c r="X353" s="19">
        <v>0</v>
      </c>
      <c r="Y353" s="20">
        <v>0</v>
      </c>
      <c r="Z353" s="19">
        <v>0</v>
      </c>
      <c r="AA353" s="19">
        <v>0</v>
      </c>
      <c r="AB353" t="str">
        <f>VLOOKUP(E:E,笔记匹配!A:N,3,FALSE)</f>
        <v>pp</v>
      </c>
      <c r="AC353" t="str">
        <f>VLOOKUP(E:E,笔记匹配!A:N,2,FALSE)</f>
        <v>体脂秤</v>
      </c>
      <c r="AD353" t="str">
        <f>VLOOKUP(E:E,笔记匹配!A:N,4,FALSE)</f>
        <v>云麦体脂秤3mini</v>
      </c>
      <c r="AE353" t="str">
        <f>VLOOKUP(E:E,笔记匹配!A:N,14,FALSE)</f>
        <v>云麦体脂秤3mini</v>
      </c>
      <c r="AF353" t="str">
        <f>VLOOKUP(E:E,笔记匹配!A:N,6,FALSE)</f>
        <v>110到88 一些减肥小建议｜如何正确运动</v>
      </c>
    </row>
    <row r="354" spans="1:32">
      <c r="A354" s="18" t="s">
        <v>44</v>
      </c>
      <c r="B354" s="18" t="s">
        <v>587</v>
      </c>
      <c r="C354" s="19">
        <v>15295967</v>
      </c>
      <c r="D354" s="18" t="s">
        <v>209</v>
      </c>
      <c r="E354" s="18" t="s">
        <v>400</v>
      </c>
      <c r="F354" s="18" t="s">
        <v>1090</v>
      </c>
      <c r="G354" s="19">
        <v>3020475</v>
      </c>
      <c r="H354" s="18" t="s">
        <v>1091</v>
      </c>
      <c r="I354" s="19">
        <v>2418288</v>
      </c>
      <c r="J354" s="18" t="s">
        <v>1015</v>
      </c>
      <c r="K354" s="19">
        <v>0</v>
      </c>
      <c r="L354" s="19">
        <v>0</v>
      </c>
      <c r="M354" s="19">
        <v>0</v>
      </c>
      <c r="N354" s="20">
        <v>0</v>
      </c>
      <c r="O354" s="19">
        <v>0</v>
      </c>
      <c r="P354" s="19">
        <v>0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9">
        <v>0</v>
      </c>
      <c r="Y354" s="20">
        <v>0</v>
      </c>
      <c r="Z354" s="19">
        <v>0</v>
      </c>
      <c r="AA354" s="19">
        <v>0</v>
      </c>
      <c r="AB354" t="str">
        <f>VLOOKUP(E:E,笔记匹配!A:N,3,FALSE)</f>
        <v>小雪教瑜伽</v>
      </c>
      <c r="AC354" t="str">
        <f>VLOOKUP(E:E,笔记匹配!A:N,2,FALSE)</f>
        <v>筋膜枪</v>
      </c>
      <c r="AD354" t="str">
        <f>VLOOKUP(E:E,笔记匹配!A:N,4,FALSE)</f>
        <v>云麦筋膜枪cc</v>
      </c>
      <c r="AE354" t="str">
        <f>VLOOKUP(E:E,笔记匹配!A:N,14,FALSE)</f>
        <v>云麦筋膜枪cc</v>
      </c>
      <c r="AF354" t="str">
        <f>VLOOKUP(E:E,笔记匹配!A:N,6,FALSE)</f>
        <v>瘦肌肉腿必备&amp;筋膜枪按摩跟练教程</v>
      </c>
    </row>
    <row r="355" spans="1:32">
      <c r="A355" s="18" t="s">
        <v>44</v>
      </c>
      <c r="B355" s="18" t="s">
        <v>716</v>
      </c>
      <c r="C355" s="19">
        <v>15296992</v>
      </c>
      <c r="D355" s="18" t="s">
        <v>209</v>
      </c>
      <c r="E355" s="18" t="s">
        <v>494</v>
      </c>
      <c r="F355" s="18" t="s">
        <v>1094</v>
      </c>
      <c r="G355" s="19">
        <v>3020613</v>
      </c>
      <c r="H355" s="18" t="s">
        <v>1094</v>
      </c>
      <c r="I355" s="19">
        <v>2418438</v>
      </c>
      <c r="J355" s="18" t="s">
        <v>1015</v>
      </c>
      <c r="K355" s="19">
        <v>0</v>
      </c>
      <c r="L355" s="19">
        <v>0</v>
      </c>
      <c r="M355" s="19">
        <v>0</v>
      </c>
      <c r="N355" s="20">
        <v>0</v>
      </c>
      <c r="O355" s="19">
        <v>0</v>
      </c>
      <c r="P355" s="19">
        <v>0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  <c r="X355" s="19">
        <v>0</v>
      </c>
      <c r="Y355" s="20">
        <v>0</v>
      </c>
      <c r="Z355" s="19">
        <v>0</v>
      </c>
      <c r="AA355" s="19">
        <v>0</v>
      </c>
      <c r="AB355" t="str">
        <f>VLOOKUP(E:E,笔记匹配!A:N,3,FALSE)</f>
        <v>凯琳KatherineW</v>
      </c>
      <c r="AC355" t="str">
        <f>VLOOKUP(E:E,笔记匹配!A:N,2,FALSE)</f>
        <v>跳绳</v>
      </c>
      <c r="AD355" t="str">
        <f>VLOOKUP(E:E,笔记匹配!A:N,4,FALSE)</f>
        <v>云麦心率跳绳</v>
      </c>
      <c r="AE355" t="str">
        <f>VLOOKUP(E:E,笔记匹配!A:N,14,FALSE)</f>
        <v>云麦心率跳绳</v>
      </c>
      <c r="AF355" t="str">
        <f>VLOOKUP(E:E,笔记匹配!A:N,6,FALSE)</f>
        <v>无绳卡点暴汗230卡跟练 ｜小基数瘦腿瘦全身</v>
      </c>
    </row>
    <row r="356" spans="1:32">
      <c r="A356" s="18" t="s">
        <v>44</v>
      </c>
      <c r="B356" s="18" t="s">
        <v>728</v>
      </c>
      <c r="C356" s="19">
        <v>15678633</v>
      </c>
      <c r="D356" s="18" t="s">
        <v>209</v>
      </c>
      <c r="E356" s="18" t="s">
        <v>483</v>
      </c>
      <c r="F356" s="18" t="s">
        <v>1097</v>
      </c>
      <c r="G356" s="19">
        <v>3067706</v>
      </c>
      <c r="H356" s="18" t="s">
        <v>1097</v>
      </c>
      <c r="I356" s="19">
        <v>2464957</v>
      </c>
      <c r="J356" s="18" t="s">
        <v>1015</v>
      </c>
      <c r="K356" s="19">
        <v>7</v>
      </c>
      <c r="L356" s="19">
        <v>508</v>
      </c>
      <c r="M356" s="19">
        <v>71</v>
      </c>
      <c r="N356" s="20">
        <v>0.1398</v>
      </c>
      <c r="O356" s="19">
        <v>0.1</v>
      </c>
      <c r="P356" s="19">
        <v>13.78</v>
      </c>
      <c r="Q356" s="19">
        <v>0</v>
      </c>
      <c r="R356" s="19">
        <v>0</v>
      </c>
      <c r="S356" s="19">
        <v>1</v>
      </c>
      <c r="T356" s="19">
        <v>0</v>
      </c>
      <c r="U356" s="19">
        <v>0</v>
      </c>
      <c r="V356" s="19">
        <v>1</v>
      </c>
      <c r="W356" s="19">
        <v>7</v>
      </c>
      <c r="X356" s="19">
        <v>0</v>
      </c>
      <c r="Y356" s="20">
        <v>0</v>
      </c>
      <c r="Z356" s="19">
        <v>0</v>
      </c>
      <c r="AA356" s="19">
        <v>0</v>
      </c>
      <c r="AB356" t="str">
        <f>VLOOKUP(E:E,笔记匹配!A:N,3,FALSE)</f>
        <v>六月炎妍</v>
      </c>
      <c r="AC356" t="str">
        <f>VLOOKUP(E:E,笔记匹配!A:N,2,FALSE)</f>
        <v>体脂秤</v>
      </c>
      <c r="AD356" t="str">
        <f>VLOOKUP(E:E,笔记匹配!A:N,4,FALSE)</f>
        <v>云麦3mini</v>
      </c>
      <c r="AE356" t="str">
        <f>VLOOKUP(E:E,笔记匹配!A:N,14,FALSE)</f>
        <v>云麦体脂秤3mini</v>
      </c>
      <c r="AF356" t="str">
        <f>VLOOKUP(E:E,笔记匹配!A:N,6,FALSE)</f>
        <v>体脂秤监测|瘦了23斤的经验无保留分享</v>
      </c>
    </row>
    <row r="357" spans="1:32">
      <c r="A357" s="18" t="s">
        <v>44</v>
      </c>
      <c r="B357" s="18" t="s">
        <v>1099</v>
      </c>
      <c r="C357" s="19">
        <v>15678883</v>
      </c>
      <c r="D357" s="18" t="s">
        <v>209</v>
      </c>
      <c r="E357" s="18" t="s">
        <v>549</v>
      </c>
      <c r="F357" s="18" t="s">
        <v>1100</v>
      </c>
      <c r="G357" s="19">
        <v>3067721</v>
      </c>
      <c r="H357" s="18" t="s">
        <v>1100</v>
      </c>
      <c r="I357" s="19">
        <v>2464984</v>
      </c>
      <c r="J357" s="18" t="s">
        <v>1015</v>
      </c>
      <c r="K357" s="19">
        <v>14.09</v>
      </c>
      <c r="L357" s="19">
        <v>1251</v>
      </c>
      <c r="M357" s="19">
        <v>172</v>
      </c>
      <c r="N357" s="20">
        <v>0.1375</v>
      </c>
      <c r="O357" s="19">
        <v>0.08</v>
      </c>
      <c r="P357" s="19">
        <v>11.26</v>
      </c>
      <c r="Q357" s="19">
        <v>2</v>
      </c>
      <c r="R357" s="19">
        <v>0</v>
      </c>
      <c r="S357" s="19">
        <v>1</v>
      </c>
      <c r="T357" s="19">
        <v>1</v>
      </c>
      <c r="U357" s="19">
        <v>0</v>
      </c>
      <c r="V357" s="19">
        <v>4</v>
      </c>
      <c r="W357" s="19">
        <v>3.52</v>
      </c>
      <c r="X357" s="19">
        <v>0</v>
      </c>
      <c r="Y357" s="20">
        <v>0</v>
      </c>
      <c r="Z357" s="19">
        <v>0</v>
      </c>
      <c r="AA357" s="19">
        <v>0</v>
      </c>
      <c r="AB357" t="str">
        <f>VLOOKUP(E:E,笔记匹配!A:N,3,FALSE)</f>
        <v>爽姐腿特长</v>
      </c>
      <c r="AC357" t="str">
        <f>VLOOKUP(E:E,笔记匹配!A:N,2,FALSE)</f>
        <v>筋膜枪</v>
      </c>
      <c r="AD357" t="str">
        <f>VLOOKUP(E:E,笔记匹配!A:N,4,FALSE)</f>
        <v>云麦筋膜枪cc</v>
      </c>
      <c r="AE357" t="str">
        <f>VLOOKUP(E:E,笔记匹配!A:N,14,FALSE)</f>
        <v>云麦筋膜枪cc</v>
      </c>
      <c r="AF357" t="str">
        <f>VLOOKUP(E:E,笔记匹配!A:N,6,FALSE)</f>
        <v>筋膜枪有效放松|顽固肌肉腿有救了🦵</v>
      </c>
    </row>
    <row r="358" spans="1:32">
      <c r="A358" s="18" t="s">
        <v>44</v>
      </c>
      <c r="B358" s="18" t="s">
        <v>1102</v>
      </c>
      <c r="C358" s="19">
        <v>15688208</v>
      </c>
      <c r="D358" s="18" t="s">
        <v>196</v>
      </c>
      <c r="E358" s="18" t="s">
        <v>420</v>
      </c>
      <c r="F358" s="18" t="s">
        <v>1103</v>
      </c>
      <c r="G358" s="19">
        <v>3068565</v>
      </c>
      <c r="H358" s="18" t="s">
        <v>1104</v>
      </c>
      <c r="I358" s="19">
        <v>2465715</v>
      </c>
      <c r="J358" s="18" t="s">
        <v>1015</v>
      </c>
      <c r="K358" s="19">
        <v>1015.41</v>
      </c>
      <c r="L358" s="19">
        <v>22848</v>
      </c>
      <c r="M358" s="19">
        <v>1072</v>
      </c>
      <c r="N358" s="20">
        <v>0.0469</v>
      </c>
      <c r="O358" s="19">
        <v>0.95</v>
      </c>
      <c r="P358" s="19">
        <v>44.44</v>
      </c>
      <c r="Q358" s="19">
        <v>17</v>
      </c>
      <c r="R358" s="19">
        <v>0</v>
      </c>
      <c r="S358" s="19">
        <v>9</v>
      </c>
      <c r="T358" s="19">
        <v>2</v>
      </c>
      <c r="U358" s="19">
        <v>1</v>
      </c>
      <c r="V358" s="19">
        <v>29</v>
      </c>
      <c r="W358" s="19">
        <v>35.01</v>
      </c>
      <c r="X358" s="19">
        <v>0</v>
      </c>
      <c r="Y358" s="20">
        <v>0</v>
      </c>
      <c r="Z358" s="19">
        <v>4</v>
      </c>
      <c r="AA358" s="19">
        <v>1</v>
      </c>
      <c r="AB358" t="str">
        <f>VLOOKUP(E:E,笔记匹配!A:N,3,FALSE)</f>
        <v>干坐着的小瑶</v>
      </c>
      <c r="AC358" t="str">
        <f>VLOOKUP(E:E,笔记匹配!A:N,2,FALSE)</f>
        <v>筋膜枪</v>
      </c>
      <c r="AD358" t="str">
        <f>VLOOKUP(E:E,笔记匹配!A:N,4,FALSE)</f>
        <v>云麦cc筋膜枪</v>
      </c>
      <c r="AE358" t="str">
        <f>VLOOKUP(E:E,笔记匹配!A:N,14,FALSE)</f>
        <v>云麦筋膜枪cc</v>
      </c>
      <c r="AF358" t="str">
        <f>VLOOKUP(E:E,笔记匹配!A:N,6,FALSE)</f>
        <v>筋膜枪🆚泡沫轴🆚筋膜球，怎么选❓哪个好❓</v>
      </c>
    </row>
    <row r="359" spans="1:32">
      <c r="A359" s="18" t="s">
        <v>44</v>
      </c>
      <c r="B359" s="18" t="s">
        <v>1107</v>
      </c>
      <c r="C359" s="19">
        <v>15732722</v>
      </c>
      <c r="D359" s="18" t="s">
        <v>196</v>
      </c>
      <c r="E359" s="18" t="s">
        <v>483</v>
      </c>
      <c r="F359" s="18" t="s">
        <v>1108</v>
      </c>
      <c r="G359" s="19">
        <v>3076866</v>
      </c>
      <c r="H359" s="18" t="s">
        <v>1109</v>
      </c>
      <c r="I359" s="19">
        <v>2473013</v>
      </c>
      <c r="J359" s="18" t="s">
        <v>1015</v>
      </c>
      <c r="K359" s="19">
        <v>371.94</v>
      </c>
      <c r="L359" s="19">
        <v>11458</v>
      </c>
      <c r="M359" s="19">
        <v>812</v>
      </c>
      <c r="N359" s="20">
        <v>0.0709</v>
      </c>
      <c r="O359" s="19">
        <v>0.46</v>
      </c>
      <c r="P359" s="19">
        <v>32.46</v>
      </c>
      <c r="Q359" s="19">
        <v>14</v>
      </c>
      <c r="R359" s="19">
        <v>0</v>
      </c>
      <c r="S359" s="19">
        <v>10</v>
      </c>
      <c r="T359" s="19">
        <v>1</v>
      </c>
      <c r="U359" s="19">
        <v>0</v>
      </c>
      <c r="V359" s="19">
        <v>25</v>
      </c>
      <c r="W359" s="19">
        <v>14.88</v>
      </c>
      <c r="X359" s="19">
        <v>0</v>
      </c>
      <c r="Y359" s="20">
        <v>0</v>
      </c>
      <c r="Z359" s="19">
        <v>5</v>
      </c>
      <c r="AA359" s="19">
        <v>3</v>
      </c>
      <c r="AB359" t="str">
        <f>VLOOKUP(E:E,笔记匹配!A:N,3,FALSE)</f>
        <v>六月炎妍</v>
      </c>
      <c r="AC359" t="str">
        <f>VLOOKUP(E:E,笔记匹配!A:N,2,FALSE)</f>
        <v>体脂秤</v>
      </c>
      <c r="AD359" t="str">
        <f>VLOOKUP(E:E,笔记匹配!A:N,4,FALSE)</f>
        <v>云麦3mini</v>
      </c>
      <c r="AE359" t="str">
        <f>VLOOKUP(E:E,笔记匹配!A:N,14,FALSE)</f>
        <v>云麦体脂秤3mini</v>
      </c>
      <c r="AF359" t="str">
        <f>VLOOKUP(E:E,笔记匹配!A:N,6,FALSE)</f>
        <v>体脂秤监测|瘦了23斤的经验无保留分享</v>
      </c>
    </row>
    <row r="360" spans="1:32">
      <c r="A360" s="18" t="s">
        <v>44</v>
      </c>
      <c r="B360" s="18" t="s">
        <v>1111</v>
      </c>
      <c r="C360" s="19">
        <v>15734437</v>
      </c>
      <c r="D360" s="18" t="s">
        <v>196</v>
      </c>
      <c r="E360" s="18" t="s">
        <v>549</v>
      </c>
      <c r="F360" s="18" t="s">
        <v>1112</v>
      </c>
      <c r="G360" s="19">
        <v>3077376</v>
      </c>
      <c r="H360" s="18" t="s">
        <v>1112</v>
      </c>
      <c r="I360" s="19">
        <v>2473298</v>
      </c>
      <c r="J360" s="18" t="s">
        <v>1015</v>
      </c>
      <c r="K360" s="19">
        <v>2543.55</v>
      </c>
      <c r="L360" s="19">
        <v>52193</v>
      </c>
      <c r="M360" s="19">
        <v>3282</v>
      </c>
      <c r="N360" s="20">
        <v>0.0629</v>
      </c>
      <c r="O360" s="19">
        <v>0.78</v>
      </c>
      <c r="P360" s="19">
        <v>48.73</v>
      </c>
      <c r="Q360" s="19">
        <v>66</v>
      </c>
      <c r="R360" s="19">
        <v>1</v>
      </c>
      <c r="S360" s="19">
        <v>31</v>
      </c>
      <c r="T360" s="19">
        <v>9</v>
      </c>
      <c r="U360" s="19">
        <v>3</v>
      </c>
      <c r="V360" s="19">
        <v>110</v>
      </c>
      <c r="W360" s="19">
        <v>23.12</v>
      </c>
      <c r="X360" s="19">
        <v>0</v>
      </c>
      <c r="Y360" s="20">
        <v>0</v>
      </c>
      <c r="Z360" s="19">
        <v>4</v>
      </c>
      <c r="AA360" s="19">
        <v>5</v>
      </c>
      <c r="AB360" t="str">
        <f>VLOOKUP(E:E,笔记匹配!A:N,3,FALSE)</f>
        <v>爽姐腿特长</v>
      </c>
      <c r="AC360" t="str">
        <f>VLOOKUP(E:E,笔记匹配!A:N,2,FALSE)</f>
        <v>筋膜枪</v>
      </c>
      <c r="AD360" t="str">
        <f>VLOOKUP(E:E,笔记匹配!A:N,4,FALSE)</f>
        <v>云麦筋膜枪cc</v>
      </c>
      <c r="AE360" t="str">
        <f>VLOOKUP(E:E,笔记匹配!A:N,14,FALSE)</f>
        <v>云麦筋膜枪cc</v>
      </c>
      <c r="AF360" t="str">
        <f>VLOOKUP(E:E,笔记匹配!A:N,6,FALSE)</f>
        <v>筋膜枪有效放松|顽固肌肉腿有救了🦵</v>
      </c>
    </row>
    <row r="361" spans="1:32">
      <c r="A361" s="18" t="s">
        <v>44</v>
      </c>
      <c r="B361" s="18" t="s">
        <v>1113</v>
      </c>
      <c r="C361" s="19">
        <v>15734941</v>
      </c>
      <c r="D361" s="18" t="s">
        <v>196</v>
      </c>
      <c r="E361" s="18" t="s">
        <v>312</v>
      </c>
      <c r="F361" s="18" t="s">
        <v>1114</v>
      </c>
      <c r="G361" s="19">
        <v>3077590</v>
      </c>
      <c r="H361" s="18" t="s">
        <v>1114</v>
      </c>
      <c r="I361" s="19">
        <v>2473348</v>
      </c>
      <c r="J361" s="18" t="s">
        <v>1015</v>
      </c>
      <c r="K361" s="19">
        <v>2035.81</v>
      </c>
      <c r="L361" s="19">
        <v>23869</v>
      </c>
      <c r="M361" s="19">
        <v>1147</v>
      </c>
      <c r="N361" s="20">
        <v>0.0481</v>
      </c>
      <c r="O361" s="19">
        <v>1.77</v>
      </c>
      <c r="P361" s="19">
        <v>85.29</v>
      </c>
      <c r="Q361" s="19">
        <v>39</v>
      </c>
      <c r="R361" s="19">
        <v>1</v>
      </c>
      <c r="S361" s="19">
        <v>29</v>
      </c>
      <c r="T361" s="19">
        <v>0</v>
      </c>
      <c r="U361" s="19">
        <v>2</v>
      </c>
      <c r="V361" s="19">
        <v>71</v>
      </c>
      <c r="W361" s="19">
        <v>28.67</v>
      </c>
      <c r="X361" s="19">
        <v>0</v>
      </c>
      <c r="Y361" s="20">
        <v>0</v>
      </c>
      <c r="Z361" s="19">
        <v>4</v>
      </c>
      <c r="AA361" s="19">
        <v>0</v>
      </c>
      <c r="AB361" t="str">
        <f>VLOOKUP(E:E,笔记匹配!A:N,3,FALSE)</f>
        <v>郝有金</v>
      </c>
      <c r="AC361" t="str">
        <f>VLOOKUP(E:E,笔记匹配!A:N,2,FALSE)</f>
        <v>筋膜枪</v>
      </c>
      <c r="AD361" t="str">
        <f>VLOOKUP(E:E,笔记匹配!A:N,4,FALSE)</f>
        <v>云麦cc筋膜枪</v>
      </c>
      <c r="AE361" t="str">
        <f>VLOOKUP(E:E,笔记匹配!A:N,14,FALSE)</f>
        <v>云麦筋膜枪cc</v>
      </c>
      <c r="AF361" t="str">
        <f>VLOOKUP(E:E,笔记匹配!A:N,6,FALSE)</f>
        <v>别用错❗️筋膜枪正确使用方法，不同肌肉部位放松大全</v>
      </c>
    </row>
    <row r="362" spans="1:32">
      <c r="A362" s="18" t="s">
        <v>44</v>
      </c>
      <c r="B362" s="18" t="s">
        <v>1117</v>
      </c>
      <c r="C362" s="19">
        <v>15803975</v>
      </c>
      <c r="D362" s="18" t="s">
        <v>196</v>
      </c>
      <c r="E362" s="18" t="s">
        <v>480</v>
      </c>
      <c r="F362" s="18" t="s">
        <v>1118</v>
      </c>
      <c r="G362" s="19">
        <v>3087946</v>
      </c>
      <c r="H362" s="18" t="s">
        <v>1118</v>
      </c>
      <c r="I362" s="19">
        <v>2483361</v>
      </c>
      <c r="J362" s="18" t="s">
        <v>1015</v>
      </c>
      <c r="K362" s="19">
        <v>509.74</v>
      </c>
      <c r="L362" s="19">
        <v>22301</v>
      </c>
      <c r="M362" s="19">
        <v>1803</v>
      </c>
      <c r="N362" s="20">
        <v>0.0808</v>
      </c>
      <c r="O362" s="19">
        <v>0.28</v>
      </c>
      <c r="P362" s="19">
        <v>22.86</v>
      </c>
      <c r="Q362" s="19">
        <v>107</v>
      </c>
      <c r="R362" s="19">
        <v>1</v>
      </c>
      <c r="S362" s="19">
        <v>85</v>
      </c>
      <c r="T362" s="19">
        <v>36</v>
      </c>
      <c r="U362" s="19">
        <v>6</v>
      </c>
      <c r="V362" s="19">
        <v>235</v>
      </c>
      <c r="W362" s="19">
        <v>2.17</v>
      </c>
      <c r="X362" s="19">
        <v>0</v>
      </c>
      <c r="Y362" s="20">
        <v>0</v>
      </c>
      <c r="Z362" s="19">
        <v>46</v>
      </c>
      <c r="AA362" s="19">
        <v>0</v>
      </c>
      <c r="AB362" t="str">
        <f>VLOOKUP(E:E,笔记匹配!A:N,3,FALSE)</f>
        <v>马可乐cora</v>
      </c>
      <c r="AC362" t="str">
        <f>VLOOKUP(E:E,笔记匹配!A:N,2,FALSE)</f>
        <v>体脂秤</v>
      </c>
      <c r="AD362" t="str">
        <f>VLOOKUP(E:E,笔记匹配!A:N,4,FALSE)</f>
        <v>云麦3mini（无埋词）</v>
      </c>
      <c r="AE362" t="str">
        <f>VLOOKUP(E:E,笔记匹配!A:N,14,FALSE)</f>
        <v>云麦体脂秤3mini</v>
      </c>
      <c r="AF362" t="str">
        <f>VLOOKUP(E:E,笔记匹配!A:N,6,FALSE)</f>
        <v>‼️真心劝你们想成功瘦下来这6件事别再做了</v>
      </c>
    </row>
    <row r="363" spans="1:32">
      <c r="A363" s="18" t="s">
        <v>44</v>
      </c>
      <c r="B363" s="18" t="s">
        <v>740</v>
      </c>
      <c r="C363" s="19">
        <v>15804098</v>
      </c>
      <c r="D363" s="18" t="s">
        <v>209</v>
      </c>
      <c r="E363" s="18" t="s">
        <v>473</v>
      </c>
      <c r="F363" s="18" t="s">
        <v>1119</v>
      </c>
      <c r="G363" s="19">
        <v>3087955</v>
      </c>
      <c r="H363" s="18" t="s">
        <v>1119</v>
      </c>
      <c r="I363" s="19">
        <v>2483370</v>
      </c>
      <c r="J363" s="18" t="s">
        <v>1015</v>
      </c>
      <c r="K363" s="19">
        <v>0</v>
      </c>
      <c r="L363" s="19">
        <v>0</v>
      </c>
      <c r="M363" s="19">
        <v>0</v>
      </c>
      <c r="N363" s="20">
        <v>0</v>
      </c>
      <c r="O363" s="19">
        <v>0</v>
      </c>
      <c r="P363" s="19">
        <v>0</v>
      </c>
      <c r="Q363" s="19">
        <v>0</v>
      </c>
      <c r="R363" s="19">
        <v>0</v>
      </c>
      <c r="S363" s="19">
        <v>0</v>
      </c>
      <c r="T363" s="19">
        <v>0</v>
      </c>
      <c r="U363" s="19">
        <v>0</v>
      </c>
      <c r="V363" s="19">
        <v>0</v>
      </c>
      <c r="W363" s="19">
        <v>0</v>
      </c>
      <c r="X363" s="19">
        <v>0</v>
      </c>
      <c r="Y363" s="20">
        <v>0</v>
      </c>
      <c r="Z363" s="19">
        <v>0</v>
      </c>
      <c r="AA363" s="19">
        <v>0</v>
      </c>
      <c r="AB363" t="str">
        <f>VLOOKUP(E:E,笔记匹配!A:N,3,FALSE)</f>
        <v>茜茜子</v>
      </c>
      <c r="AC363" t="str">
        <f>VLOOKUP(E:E,笔记匹配!A:N,2,FALSE)</f>
        <v>体脂秤</v>
      </c>
      <c r="AD363" t="str">
        <f>VLOOKUP(E:E,笔记匹配!A:N,4,FALSE)</f>
        <v>云麦3mini体脂秤</v>
      </c>
      <c r="AE363" t="str">
        <f>VLOOKUP(E:E,笔记匹配!A:N,14,FALSE)</f>
        <v>云麦体脂秤3mini</v>
      </c>
      <c r="AF363" t="str">
        <f>VLOOKUP(E:E,笔记匹配!A:N,6,FALSE)</f>
        <v>我真的很会瘦肚子❗️</v>
      </c>
    </row>
    <row r="364" spans="1:32">
      <c r="A364" s="18" t="s">
        <v>44</v>
      </c>
      <c r="B364" s="18" t="s">
        <v>748</v>
      </c>
      <c r="C364" s="19">
        <v>15804284</v>
      </c>
      <c r="D364" s="18" t="s">
        <v>209</v>
      </c>
      <c r="E364" s="18" t="s">
        <v>449</v>
      </c>
      <c r="F364" s="18" t="s">
        <v>1120</v>
      </c>
      <c r="G364" s="19">
        <v>3087971</v>
      </c>
      <c r="H364" s="18" t="s">
        <v>1120</v>
      </c>
      <c r="I364" s="19">
        <v>2483385</v>
      </c>
      <c r="J364" s="18" t="s">
        <v>1015</v>
      </c>
      <c r="K364" s="19">
        <v>5.95</v>
      </c>
      <c r="L364" s="19">
        <v>677</v>
      </c>
      <c r="M364" s="19">
        <v>53</v>
      </c>
      <c r="N364" s="20">
        <v>0.0783</v>
      </c>
      <c r="O364" s="19">
        <v>0.11</v>
      </c>
      <c r="P364" s="19">
        <v>8.79</v>
      </c>
      <c r="Q364" s="19">
        <v>2</v>
      </c>
      <c r="R364" s="19">
        <v>0</v>
      </c>
      <c r="S364" s="19">
        <v>3</v>
      </c>
      <c r="T364" s="19">
        <v>0</v>
      </c>
      <c r="U364" s="19">
        <v>0</v>
      </c>
      <c r="V364" s="19">
        <v>5</v>
      </c>
      <c r="W364" s="19">
        <v>1.19</v>
      </c>
      <c r="X364" s="19">
        <v>0</v>
      </c>
      <c r="Y364" s="20">
        <v>0</v>
      </c>
      <c r="Z364" s="19">
        <v>0</v>
      </c>
      <c r="AA364" s="19">
        <v>0</v>
      </c>
      <c r="AB364" t="str">
        <f>VLOOKUP(E:E,笔记匹配!A:N,3,FALSE)</f>
        <v>Celine丹丹</v>
      </c>
      <c r="AC364" t="str">
        <f>VLOOKUP(E:E,笔记匹配!A:N,2,FALSE)</f>
        <v>筋膜枪</v>
      </c>
      <c r="AD364" t="str">
        <f>VLOOKUP(E:E,笔记匹配!A:N,4,FALSE)</f>
        <v>云麦cc筋膜枪</v>
      </c>
      <c r="AE364" t="str">
        <f>VLOOKUP(E:E,笔记匹配!A:N,14,FALSE)</f>
        <v>云麦筋膜枪cc</v>
      </c>
      <c r="AF364" t="str">
        <f>VLOOKUP(E:E,笔记匹配!A:N,6,FALSE)</f>
        <v>不服不行,练完手臂抖到根本停不下来‼️</v>
      </c>
    </row>
    <row r="365" spans="1:32">
      <c r="A365" s="18" t="s">
        <v>44</v>
      </c>
      <c r="B365" s="18" t="s">
        <v>737</v>
      </c>
      <c r="C365" s="19">
        <v>15804340</v>
      </c>
      <c r="D365" s="18" t="s">
        <v>209</v>
      </c>
      <c r="E365" s="18" t="s">
        <v>458</v>
      </c>
      <c r="F365" s="18" t="s">
        <v>1121</v>
      </c>
      <c r="G365" s="19">
        <v>3087973</v>
      </c>
      <c r="H365" s="18" t="s">
        <v>1121</v>
      </c>
      <c r="I365" s="19">
        <v>2483391</v>
      </c>
      <c r="J365" s="18" t="s">
        <v>1015</v>
      </c>
      <c r="K365" s="19">
        <v>5</v>
      </c>
      <c r="L365" s="19">
        <v>254</v>
      </c>
      <c r="M365" s="19">
        <v>26</v>
      </c>
      <c r="N365" s="20">
        <v>0.1024</v>
      </c>
      <c r="O365" s="19">
        <v>0.19</v>
      </c>
      <c r="P365" s="19">
        <v>19.69</v>
      </c>
      <c r="Q365" s="19">
        <v>0</v>
      </c>
      <c r="R365" s="19">
        <v>0</v>
      </c>
      <c r="S365" s="19">
        <v>1</v>
      </c>
      <c r="T365" s="19">
        <v>1</v>
      </c>
      <c r="U365" s="19">
        <v>0</v>
      </c>
      <c r="V365" s="19">
        <v>2</v>
      </c>
      <c r="W365" s="19">
        <v>2.5</v>
      </c>
      <c r="X365" s="19">
        <v>0</v>
      </c>
      <c r="Y365" s="20">
        <v>0</v>
      </c>
      <c r="Z365" s="19">
        <v>0</v>
      </c>
      <c r="AA365" s="19">
        <v>0</v>
      </c>
      <c r="AB365" t="str">
        <f>VLOOKUP(E:E,笔记匹配!A:N,3,FALSE)</f>
        <v>林菀桃桃</v>
      </c>
      <c r="AC365" t="str">
        <f>VLOOKUP(E:E,笔记匹配!A:N,2,FALSE)</f>
        <v>筋膜枪</v>
      </c>
      <c r="AD365" t="str">
        <f>VLOOKUP(E:E,笔记匹配!A:N,4,FALSE)</f>
        <v>云麦cc筋膜枪</v>
      </c>
      <c r="AE365" t="str">
        <f>VLOOKUP(E:E,笔记匹配!A:N,14,FALSE)</f>
        <v>云麦筋膜枪cc</v>
      </c>
      <c r="AF365" t="str">
        <f>VLOOKUP(E:E,笔记匹配!A:N,6,FALSE)</f>
        <v>vlog饱满蜜桃+提高臀线+筋膜枪放松胫骨前肌</v>
      </c>
    </row>
    <row r="366" spans="1:32">
      <c r="A366" s="18" t="s">
        <v>44</v>
      </c>
      <c r="B366" s="18" t="s">
        <v>751</v>
      </c>
      <c r="C366" s="19">
        <v>15804452</v>
      </c>
      <c r="D366" s="18" t="s">
        <v>209</v>
      </c>
      <c r="E366" s="18" t="s">
        <v>535</v>
      </c>
      <c r="F366" s="18" t="s">
        <v>1122</v>
      </c>
      <c r="G366" s="19">
        <v>3087983</v>
      </c>
      <c r="H366" s="18" t="s">
        <v>1122</v>
      </c>
      <c r="I366" s="19">
        <v>2483401</v>
      </c>
      <c r="J366" s="18" t="s">
        <v>1015</v>
      </c>
      <c r="K366" s="19">
        <v>0</v>
      </c>
      <c r="L366" s="19">
        <v>0</v>
      </c>
      <c r="M366" s="19">
        <v>0</v>
      </c>
      <c r="N366" s="20">
        <v>0</v>
      </c>
      <c r="O366" s="19">
        <v>0</v>
      </c>
      <c r="P366" s="19">
        <v>0</v>
      </c>
      <c r="Q366" s="19">
        <v>0</v>
      </c>
      <c r="R366" s="19">
        <v>0</v>
      </c>
      <c r="S366" s="19">
        <v>0</v>
      </c>
      <c r="T366" s="19">
        <v>0</v>
      </c>
      <c r="U366" s="19">
        <v>0</v>
      </c>
      <c r="V366" s="19">
        <v>0</v>
      </c>
      <c r="W366" s="19">
        <v>0</v>
      </c>
      <c r="X366" s="19">
        <v>0</v>
      </c>
      <c r="Y366" s="20">
        <v>0</v>
      </c>
      <c r="Z366" s="19">
        <v>0</v>
      </c>
      <c r="AA366" s="19">
        <v>0</v>
      </c>
      <c r="AB366" t="str">
        <f>VLOOKUP(E:E,笔记匹配!A:N,3,FALSE)</f>
        <v>爱撸铁的丁</v>
      </c>
      <c r="AC366" t="str">
        <f>VLOOKUP(E:E,笔记匹配!A:N,2,FALSE)</f>
        <v>筋膜枪</v>
      </c>
      <c r="AD366" t="str">
        <f>VLOOKUP(E:E,笔记匹配!A:N,4,FALSE)</f>
        <v>云麦cc筋膜枪</v>
      </c>
      <c r="AE366" t="str">
        <f>VLOOKUP(E:E,笔记匹配!A:N,14,FALSE)</f>
        <v>云麦筋膜枪cc</v>
      </c>
      <c r="AF366" t="str">
        <f>VLOOKUP(E:E,笔记匹配!A:N,6,FALSE)</f>
        <v>身高165 体重52 翘臀不粗腿🦵我悟了！！</v>
      </c>
    </row>
    <row r="367" spans="1:32">
      <c r="A367" s="18" t="s">
        <v>44</v>
      </c>
      <c r="B367" s="18" t="s">
        <v>744</v>
      </c>
      <c r="C367" s="19">
        <v>15804507</v>
      </c>
      <c r="D367" s="18" t="s">
        <v>209</v>
      </c>
      <c r="E367" s="18" t="s">
        <v>447</v>
      </c>
      <c r="F367" s="18" t="s">
        <v>1123</v>
      </c>
      <c r="G367" s="19">
        <v>3087989</v>
      </c>
      <c r="H367" s="18" t="s">
        <v>1123</v>
      </c>
      <c r="I367" s="19">
        <v>2483404</v>
      </c>
      <c r="J367" s="18" t="s">
        <v>1015</v>
      </c>
      <c r="K367" s="19">
        <v>2.77</v>
      </c>
      <c r="L367" s="19">
        <v>539</v>
      </c>
      <c r="M367" s="19">
        <v>36</v>
      </c>
      <c r="N367" s="20">
        <v>0.0668</v>
      </c>
      <c r="O367" s="19">
        <v>0.08</v>
      </c>
      <c r="P367" s="19">
        <v>5.14</v>
      </c>
      <c r="Q367" s="19">
        <v>2</v>
      </c>
      <c r="R367" s="19">
        <v>0</v>
      </c>
      <c r="S367" s="19">
        <v>3</v>
      </c>
      <c r="T367" s="19">
        <v>0</v>
      </c>
      <c r="U367" s="19">
        <v>0</v>
      </c>
      <c r="V367" s="19">
        <v>5</v>
      </c>
      <c r="W367" s="19">
        <v>0.55</v>
      </c>
      <c r="X367" s="19">
        <v>0</v>
      </c>
      <c r="Y367" s="20">
        <v>0</v>
      </c>
      <c r="Z367" s="19">
        <v>0</v>
      </c>
      <c r="AA367" s="19">
        <v>0</v>
      </c>
      <c r="AB367" t="str">
        <f>VLOOKUP(E:E,笔记匹配!A:N,3,FALSE)</f>
        <v>熊猫叮</v>
      </c>
      <c r="AC367" t="str">
        <f>VLOOKUP(E:E,笔记匹配!A:N,2,FALSE)</f>
        <v>筋膜枪</v>
      </c>
      <c r="AD367" t="str">
        <f>VLOOKUP(E:E,笔记匹配!A:N,4,FALSE)</f>
        <v> 云麦cc</v>
      </c>
      <c r="AE367" t="str">
        <f>VLOOKUP(E:E,笔记匹配!A:N,14,FALSE)</f>
        <v>云麦筋膜枪cc</v>
      </c>
      <c r="AF367" t="str">
        <f>VLOOKUP(E:E,笔记匹配!A:N,6,FALSE)</f>
        <v>瘦小腿训练🔥消除肌肉腿脂包肌‼️筋膜枪放松</v>
      </c>
    </row>
    <row r="368" spans="1:32">
      <c r="A368" s="18" t="s">
        <v>44</v>
      </c>
      <c r="B368" s="18" t="s">
        <v>757</v>
      </c>
      <c r="C368" s="19">
        <v>15867913</v>
      </c>
      <c r="D368" s="18" t="s">
        <v>209</v>
      </c>
      <c r="E368" s="18" t="s">
        <v>468</v>
      </c>
      <c r="F368" s="18" t="s">
        <v>1124</v>
      </c>
      <c r="G368" s="19">
        <v>3099180</v>
      </c>
      <c r="H368" s="18" t="s">
        <v>1124</v>
      </c>
      <c r="I368" s="19">
        <v>2494227</v>
      </c>
      <c r="J368" s="18" t="s">
        <v>1015</v>
      </c>
      <c r="K368" s="19">
        <v>0.49</v>
      </c>
      <c r="L368" s="19">
        <v>68</v>
      </c>
      <c r="M368" s="19">
        <v>4</v>
      </c>
      <c r="N368" s="20">
        <v>0.0588</v>
      </c>
      <c r="O368" s="19">
        <v>0.12</v>
      </c>
      <c r="P368" s="19">
        <v>7.21</v>
      </c>
      <c r="Q368" s="19">
        <v>0</v>
      </c>
      <c r="R368" s="19">
        <v>0</v>
      </c>
      <c r="S368" s="19">
        <v>0</v>
      </c>
      <c r="T368" s="19">
        <v>0</v>
      </c>
      <c r="U368" s="19">
        <v>0</v>
      </c>
      <c r="V368" s="19">
        <v>0</v>
      </c>
      <c r="W368" s="19">
        <v>0</v>
      </c>
      <c r="X368" s="19">
        <v>0</v>
      </c>
      <c r="Y368" s="20">
        <v>0</v>
      </c>
      <c r="Z368" s="19">
        <v>0</v>
      </c>
      <c r="AA368" s="19">
        <v>0</v>
      </c>
      <c r="AB368" t="str">
        <f>VLOOKUP(E:E,笔记匹配!A:N,3,FALSE)</f>
        <v>生椰黎子yoga</v>
      </c>
      <c r="AC368" t="str">
        <f>VLOOKUP(E:E,笔记匹配!A:N,2,FALSE)</f>
        <v>体脂秤</v>
      </c>
      <c r="AD368" t="str">
        <f>VLOOKUP(E:E,笔记匹配!A:N,4,FALSE)</f>
        <v>云麦体脂秤3mini</v>
      </c>
      <c r="AE368" t="str">
        <f>VLOOKUP(E:E,笔记匹配!A:N,14,FALSE)</f>
        <v>云麦体脂秤3mini</v>
      </c>
      <c r="AF368" t="str">
        <f>VLOOKUP(E:E,笔记匹配!A:N,6,FALSE)</f>
        <v>超🔥极速瘦肚子！太有用了‼️6分钟紧致腰腹</v>
      </c>
    </row>
    <row r="369" spans="1:32">
      <c r="A369" s="18" t="s">
        <v>44</v>
      </c>
      <c r="B369" s="18" t="s">
        <v>754</v>
      </c>
      <c r="C369" s="19">
        <v>15869520</v>
      </c>
      <c r="D369" s="18" t="s">
        <v>209</v>
      </c>
      <c r="E369" s="18" t="s">
        <v>544</v>
      </c>
      <c r="F369" s="18" t="s">
        <v>1125</v>
      </c>
      <c r="G369" s="19">
        <v>3099710</v>
      </c>
      <c r="H369" s="18" t="s">
        <v>1125</v>
      </c>
      <c r="I369" s="19">
        <v>2494725</v>
      </c>
      <c r="J369" s="18" t="s">
        <v>1015</v>
      </c>
      <c r="K369" s="19">
        <v>0.78</v>
      </c>
      <c r="L369" s="19">
        <v>200</v>
      </c>
      <c r="M369" s="19">
        <v>4</v>
      </c>
      <c r="N369" s="20">
        <v>0.02</v>
      </c>
      <c r="O369" s="19">
        <v>0.2</v>
      </c>
      <c r="P369" s="19">
        <v>3.9</v>
      </c>
      <c r="Q369" s="19">
        <v>1</v>
      </c>
      <c r="R369" s="19">
        <v>0</v>
      </c>
      <c r="S369" s="19">
        <v>0</v>
      </c>
      <c r="T369" s="19">
        <v>0</v>
      </c>
      <c r="U369" s="19">
        <v>0</v>
      </c>
      <c r="V369" s="19">
        <v>1</v>
      </c>
      <c r="W369" s="19">
        <v>0.78</v>
      </c>
      <c r="X369" s="19">
        <v>0</v>
      </c>
      <c r="Y369" s="20">
        <v>0</v>
      </c>
      <c r="Z369" s="19">
        <v>0</v>
      </c>
      <c r="AA369" s="19">
        <v>0</v>
      </c>
      <c r="AB369" t="str">
        <f>VLOOKUP(E:E,笔记匹配!A:N,3,FALSE)</f>
        <v>福崽</v>
      </c>
      <c r="AC369" t="str">
        <f>VLOOKUP(E:E,笔记匹配!A:N,2,FALSE)</f>
        <v>筋膜枪</v>
      </c>
      <c r="AD369" t="str">
        <f>VLOOKUP(E:E,笔记匹配!A:N,4,FALSE)</f>
        <v>云麦筋膜枪cc</v>
      </c>
      <c r="AE369" t="str">
        <f>VLOOKUP(E:E,笔记匹配!A:N,14,FALSE)</f>
        <v>云麦筋膜枪cc</v>
      </c>
      <c r="AF369" t="str">
        <f>VLOOKUP(E:E,笔记匹配!A:N,6,FALSE)</f>
        <v>脂包肌的消除逻辑｜瘦小腿❌盲目</v>
      </c>
    </row>
    <row r="370" spans="1:32">
      <c r="A370" s="18" t="s">
        <v>44</v>
      </c>
      <c r="B370" s="18" t="s">
        <v>760</v>
      </c>
      <c r="C370" s="19">
        <v>15869599</v>
      </c>
      <c r="D370" s="18" t="s">
        <v>209</v>
      </c>
      <c r="E370" s="18" t="s">
        <v>466</v>
      </c>
      <c r="F370" s="18" t="s">
        <v>1126</v>
      </c>
      <c r="G370" s="19">
        <v>3099720</v>
      </c>
      <c r="H370" s="18" t="s">
        <v>1126</v>
      </c>
      <c r="I370" s="19">
        <v>2494738</v>
      </c>
      <c r="J370" s="18" t="s">
        <v>1015</v>
      </c>
      <c r="K370" s="19">
        <v>0.27</v>
      </c>
      <c r="L370" s="19">
        <v>106</v>
      </c>
      <c r="M370" s="19">
        <v>3</v>
      </c>
      <c r="N370" s="20">
        <v>0.0283</v>
      </c>
      <c r="O370" s="19">
        <v>0.09</v>
      </c>
      <c r="P370" s="19">
        <v>2.55</v>
      </c>
      <c r="Q370" s="19">
        <v>0</v>
      </c>
      <c r="R370" s="19">
        <v>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9">
        <v>0</v>
      </c>
      <c r="Y370" s="20">
        <v>0</v>
      </c>
      <c r="Z370" s="19">
        <v>0</v>
      </c>
      <c r="AA370" s="19">
        <v>0</v>
      </c>
      <c r="AB370" t="str">
        <f>VLOOKUP(E:E,笔记匹配!A:N,3,FALSE)</f>
        <v>小胡的张张</v>
      </c>
      <c r="AC370" t="str">
        <f>VLOOKUP(E:E,笔记匹配!A:N,2,FALSE)</f>
        <v>筋膜枪</v>
      </c>
      <c r="AD370" t="str">
        <f>VLOOKUP(E:E,笔记匹配!A:N,4,FALSE)</f>
        <v>云麦cc筋膜枪</v>
      </c>
      <c r="AE370" t="str">
        <f>VLOOKUP(E:E,笔记匹配!A:N,14,FALSE)</f>
        <v>云麦筋膜枪cc</v>
      </c>
      <c r="AF370" t="str">
        <f>VLOOKUP(E:E,笔记匹配!A:N,6,FALSE)</f>
        <v>筋膜枪正确使用指南️⚠️千万别乱用！</v>
      </c>
    </row>
    <row r="371" spans="1:32">
      <c r="A371" s="18" t="s">
        <v>45</v>
      </c>
      <c r="B371" s="18" t="s">
        <v>680</v>
      </c>
      <c r="C371" s="19">
        <v>14978184</v>
      </c>
      <c r="D371" s="18" t="s">
        <v>209</v>
      </c>
      <c r="E371" s="18" t="s">
        <v>513</v>
      </c>
      <c r="F371" s="18" t="s">
        <v>1062</v>
      </c>
      <c r="G371" s="19">
        <v>2984400</v>
      </c>
      <c r="H371" s="18" t="s">
        <v>1062</v>
      </c>
      <c r="I371" s="19">
        <v>2386169</v>
      </c>
      <c r="J371" s="18" t="s">
        <v>1015</v>
      </c>
      <c r="K371" s="19">
        <v>0</v>
      </c>
      <c r="L371" s="19">
        <v>0</v>
      </c>
      <c r="M371" s="19">
        <v>0</v>
      </c>
      <c r="N371" s="20">
        <v>0</v>
      </c>
      <c r="O371" s="19">
        <v>0</v>
      </c>
      <c r="P371" s="19">
        <v>0</v>
      </c>
      <c r="Q371" s="19">
        <v>0</v>
      </c>
      <c r="R371" s="19">
        <v>0</v>
      </c>
      <c r="S371" s="19">
        <v>0</v>
      </c>
      <c r="T371" s="19">
        <v>0</v>
      </c>
      <c r="U371" s="19">
        <v>0</v>
      </c>
      <c r="V371" s="19">
        <v>0</v>
      </c>
      <c r="W371" s="19">
        <v>0</v>
      </c>
      <c r="X371" s="19">
        <v>0</v>
      </c>
      <c r="Y371" s="20">
        <v>0</v>
      </c>
      <c r="Z371" s="19">
        <v>0</v>
      </c>
      <c r="AA371" s="19">
        <v>0</v>
      </c>
      <c r="AB371" t="str">
        <f>VLOOKUP(E:E,笔记匹配!A:N,3,FALSE)</f>
        <v>大桐yoto</v>
      </c>
      <c r="AC371" t="str">
        <f>VLOOKUP(E:E,笔记匹配!A:N,2,FALSE)</f>
        <v>跳绳</v>
      </c>
      <c r="AD371" t="str">
        <f>VLOOKUP(E:E,笔记匹配!A:N,4,FALSE)</f>
        <v>云麦3mini</v>
      </c>
      <c r="AE371" t="str">
        <f>VLOOKUP(E:E,笔记匹配!A:N,14,FALSE)</f>
        <v>云麦体脂秤3mini</v>
      </c>
      <c r="AF371" t="str">
        <f>VLOOKUP(E:E,笔记匹配!A:N,6,FALSE)</f>
        <v>减肥就是要饿｜饮食和运动的完整计划在这里</v>
      </c>
    </row>
    <row r="372" spans="1:32">
      <c r="A372" s="18" t="s">
        <v>45</v>
      </c>
      <c r="B372" s="18" t="s">
        <v>698</v>
      </c>
      <c r="C372" s="19">
        <v>15180603</v>
      </c>
      <c r="D372" s="18" t="s">
        <v>209</v>
      </c>
      <c r="E372" s="18" t="s">
        <v>501</v>
      </c>
      <c r="F372" s="18" t="s">
        <v>1076</v>
      </c>
      <c r="G372" s="19">
        <v>3007662</v>
      </c>
      <c r="H372" s="18" t="s">
        <v>1076</v>
      </c>
      <c r="I372" s="19">
        <v>2405908</v>
      </c>
      <c r="J372" s="18" t="s">
        <v>1015</v>
      </c>
      <c r="K372" s="19">
        <v>0</v>
      </c>
      <c r="L372" s="19">
        <v>0</v>
      </c>
      <c r="M372" s="19">
        <v>0</v>
      </c>
      <c r="N372" s="20">
        <v>0</v>
      </c>
      <c r="O372" s="19">
        <v>0</v>
      </c>
      <c r="P372" s="19">
        <v>0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0</v>
      </c>
      <c r="W372" s="19">
        <v>0</v>
      </c>
      <c r="X372" s="19">
        <v>0</v>
      </c>
      <c r="Y372" s="20">
        <v>0</v>
      </c>
      <c r="Z372" s="19">
        <v>0</v>
      </c>
      <c r="AA372" s="19">
        <v>0</v>
      </c>
      <c r="AB372" t="str">
        <f>VLOOKUP(E:E,笔记匹配!A:N,3,FALSE)</f>
        <v>咕咕猪小短腿</v>
      </c>
      <c r="AC372" t="str">
        <f>VLOOKUP(E:E,笔记匹配!A:N,2,FALSE)</f>
        <v>体脂秤</v>
      </c>
      <c r="AD372" t="str">
        <f>VLOOKUP(E:E,笔记匹配!A:N,4,FALSE)</f>
        <v>云麦体脂秤3</v>
      </c>
      <c r="AE372" t="str">
        <f>VLOOKUP(E:E,笔记匹配!A:N,14,FALSE)</f>
        <v>云麦体脂秤3</v>
      </c>
      <c r="AF372" t="str">
        <f>VLOOKUP(E:E,笔记匹配!A:N,6,FALSE)</f>
        <v>笑死！一到称重就心虚到没耳朵</v>
      </c>
    </row>
    <row r="373" spans="1:32">
      <c r="A373" s="18" t="s">
        <v>45</v>
      </c>
      <c r="B373" s="18" t="s">
        <v>1086</v>
      </c>
      <c r="C373" s="19">
        <v>15248439</v>
      </c>
      <c r="D373" s="18" t="s">
        <v>196</v>
      </c>
      <c r="E373" s="18" t="s">
        <v>234</v>
      </c>
      <c r="F373" s="18" t="s">
        <v>1087</v>
      </c>
      <c r="G373" s="19">
        <v>3014779</v>
      </c>
      <c r="H373" s="18" t="s">
        <v>1088</v>
      </c>
      <c r="I373" s="19">
        <v>2412665</v>
      </c>
      <c r="J373" s="18" t="s">
        <v>1015</v>
      </c>
      <c r="K373" s="19">
        <v>514.62</v>
      </c>
      <c r="L373" s="19">
        <v>14659</v>
      </c>
      <c r="M373" s="19">
        <v>741</v>
      </c>
      <c r="N373" s="20">
        <v>0.0505</v>
      </c>
      <c r="O373" s="19">
        <v>0.69</v>
      </c>
      <c r="P373" s="19">
        <v>35.11</v>
      </c>
      <c r="Q373" s="19">
        <v>4</v>
      </c>
      <c r="R373" s="19">
        <v>0</v>
      </c>
      <c r="S373" s="19">
        <v>4</v>
      </c>
      <c r="T373" s="19">
        <v>0</v>
      </c>
      <c r="U373" s="19">
        <v>0</v>
      </c>
      <c r="V373" s="19">
        <v>8</v>
      </c>
      <c r="W373" s="19">
        <v>64.33</v>
      </c>
      <c r="X373" s="19">
        <v>0</v>
      </c>
      <c r="Y373" s="20">
        <v>0</v>
      </c>
      <c r="Z373" s="19">
        <v>1</v>
      </c>
      <c r="AA373" s="19">
        <v>2</v>
      </c>
      <c r="AB373" t="str">
        <f>VLOOKUP(E:E,笔记匹配!A:N,3,FALSE)</f>
        <v>pp</v>
      </c>
      <c r="AC373" t="str">
        <f>VLOOKUP(E:E,笔记匹配!A:N,2,FALSE)</f>
        <v>体脂秤</v>
      </c>
      <c r="AD373" t="str">
        <f>VLOOKUP(E:E,笔记匹配!A:N,4,FALSE)</f>
        <v>云麦体脂秤3mini</v>
      </c>
      <c r="AE373" t="str">
        <f>VLOOKUP(E:E,笔记匹配!A:N,14,FALSE)</f>
        <v>云麦体脂秤3mini</v>
      </c>
      <c r="AF373" t="str">
        <f>VLOOKUP(E:E,笔记匹配!A:N,6,FALSE)</f>
        <v>110到88 一些减肥小建议｜如何正确运动</v>
      </c>
    </row>
    <row r="374" spans="1:32">
      <c r="A374" s="18" t="s">
        <v>45</v>
      </c>
      <c r="B374" s="18" t="s">
        <v>231</v>
      </c>
      <c r="C374" s="19">
        <v>15248486</v>
      </c>
      <c r="D374" s="18" t="s">
        <v>209</v>
      </c>
      <c r="E374" s="18" t="s">
        <v>234</v>
      </c>
      <c r="F374" s="18" t="s">
        <v>1089</v>
      </c>
      <c r="G374" s="19">
        <v>3014783</v>
      </c>
      <c r="H374" s="18" t="s">
        <v>1089</v>
      </c>
      <c r="I374" s="19">
        <v>2412680</v>
      </c>
      <c r="J374" s="18" t="s">
        <v>1015</v>
      </c>
      <c r="K374" s="19">
        <v>0</v>
      </c>
      <c r="L374" s="19">
        <v>0</v>
      </c>
      <c r="M374" s="19">
        <v>0</v>
      </c>
      <c r="N374" s="20">
        <v>0</v>
      </c>
      <c r="O374" s="19">
        <v>0</v>
      </c>
      <c r="P374" s="19">
        <v>0</v>
      </c>
      <c r="Q374" s="19">
        <v>0</v>
      </c>
      <c r="R374" s="19">
        <v>0</v>
      </c>
      <c r="S374" s="19">
        <v>0</v>
      </c>
      <c r="T374" s="19">
        <v>0</v>
      </c>
      <c r="U374" s="19">
        <v>0</v>
      </c>
      <c r="V374" s="19">
        <v>0</v>
      </c>
      <c r="W374" s="19">
        <v>0</v>
      </c>
      <c r="X374" s="19">
        <v>0</v>
      </c>
      <c r="Y374" s="20">
        <v>0</v>
      </c>
      <c r="Z374" s="19">
        <v>1</v>
      </c>
      <c r="AA374" s="19">
        <v>0</v>
      </c>
      <c r="AB374" t="str">
        <f>VLOOKUP(E:E,笔记匹配!A:N,3,FALSE)</f>
        <v>pp</v>
      </c>
      <c r="AC374" t="str">
        <f>VLOOKUP(E:E,笔记匹配!A:N,2,FALSE)</f>
        <v>体脂秤</v>
      </c>
      <c r="AD374" t="str">
        <f>VLOOKUP(E:E,笔记匹配!A:N,4,FALSE)</f>
        <v>云麦体脂秤3mini</v>
      </c>
      <c r="AE374" t="str">
        <f>VLOOKUP(E:E,笔记匹配!A:N,14,FALSE)</f>
        <v>云麦体脂秤3mini</v>
      </c>
      <c r="AF374" t="str">
        <f>VLOOKUP(E:E,笔记匹配!A:N,6,FALSE)</f>
        <v>110到88 一些减肥小建议｜如何正确运动</v>
      </c>
    </row>
    <row r="375" spans="1:32">
      <c r="A375" s="18" t="s">
        <v>45</v>
      </c>
      <c r="B375" s="18" t="s">
        <v>587</v>
      </c>
      <c r="C375" s="19">
        <v>15295967</v>
      </c>
      <c r="D375" s="18" t="s">
        <v>209</v>
      </c>
      <c r="E375" s="18" t="s">
        <v>400</v>
      </c>
      <c r="F375" s="18" t="s">
        <v>1090</v>
      </c>
      <c r="G375" s="19">
        <v>3020475</v>
      </c>
      <c r="H375" s="18" t="s">
        <v>1091</v>
      </c>
      <c r="I375" s="19">
        <v>2418288</v>
      </c>
      <c r="J375" s="18" t="s">
        <v>1015</v>
      </c>
      <c r="K375" s="19">
        <v>502.13</v>
      </c>
      <c r="L375" s="19">
        <v>56586</v>
      </c>
      <c r="M375" s="19">
        <v>4036</v>
      </c>
      <c r="N375" s="20">
        <v>0.0713</v>
      </c>
      <c r="O375" s="19">
        <v>0.12</v>
      </c>
      <c r="P375" s="19">
        <v>8.87</v>
      </c>
      <c r="Q375" s="19">
        <v>65</v>
      </c>
      <c r="R375" s="19">
        <v>1</v>
      </c>
      <c r="S375" s="19">
        <v>48</v>
      </c>
      <c r="T375" s="19">
        <v>4</v>
      </c>
      <c r="U375" s="19">
        <v>6</v>
      </c>
      <c r="V375" s="19">
        <v>124</v>
      </c>
      <c r="W375" s="19">
        <v>4.05</v>
      </c>
      <c r="X375" s="19">
        <v>2</v>
      </c>
      <c r="Y375" s="20">
        <v>0.0005</v>
      </c>
      <c r="Z375" s="19">
        <v>4</v>
      </c>
      <c r="AA375" s="19">
        <v>2</v>
      </c>
      <c r="AB375" t="str">
        <f>VLOOKUP(E:E,笔记匹配!A:N,3,FALSE)</f>
        <v>小雪教瑜伽</v>
      </c>
      <c r="AC375" t="str">
        <f>VLOOKUP(E:E,笔记匹配!A:N,2,FALSE)</f>
        <v>筋膜枪</v>
      </c>
      <c r="AD375" t="str">
        <f>VLOOKUP(E:E,笔记匹配!A:N,4,FALSE)</f>
        <v>云麦筋膜枪cc</v>
      </c>
      <c r="AE375" t="str">
        <f>VLOOKUP(E:E,笔记匹配!A:N,14,FALSE)</f>
        <v>云麦筋膜枪cc</v>
      </c>
      <c r="AF375" t="str">
        <f>VLOOKUP(E:E,笔记匹配!A:N,6,FALSE)</f>
        <v>瘦肌肉腿必备&amp;筋膜枪按摩跟练教程</v>
      </c>
    </row>
    <row r="376" spans="1:32">
      <c r="A376" s="18" t="s">
        <v>45</v>
      </c>
      <c r="B376" s="18" t="s">
        <v>716</v>
      </c>
      <c r="C376" s="19">
        <v>15296992</v>
      </c>
      <c r="D376" s="18" t="s">
        <v>209</v>
      </c>
      <c r="E376" s="18" t="s">
        <v>494</v>
      </c>
      <c r="F376" s="18" t="s">
        <v>1094</v>
      </c>
      <c r="G376" s="19">
        <v>3020613</v>
      </c>
      <c r="H376" s="18" t="s">
        <v>1094</v>
      </c>
      <c r="I376" s="19">
        <v>2418438</v>
      </c>
      <c r="J376" s="18" t="s">
        <v>1015</v>
      </c>
      <c r="K376" s="19">
        <v>0</v>
      </c>
      <c r="L376" s="19">
        <v>0</v>
      </c>
      <c r="M376" s="19">
        <v>0</v>
      </c>
      <c r="N376" s="20">
        <v>0</v>
      </c>
      <c r="O376" s="19">
        <v>0</v>
      </c>
      <c r="P376" s="19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0</v>
      </c>
      <c r="Y376" s="20">
        <v>0</v>
      </c>
      <c r="Z376" s="19">
        <v>0</v>
      </c>
      <c r="AA376" s="19">
        <v>0</v>
      </c>
      <c r="AB376" t="str">
        <f>VLOOKUP(E:E,笔记匹配!A:N,3,FALSE)</f>
        <v>凯琳KatherineW</v>
      </c>
      <c r="AC376" t="str">
        <f>VLOOKUP(E:E,笔记匹配!A:N,2,FALSE)</f>
        <v>跳绳</v>
      </c>
      <c r="AD376" t="str">
        <f>VLOOKUP(E:E,笔记匹配!A:N,4,FALSE)</f>
        <v>云麦心率跳绳</v>
      </c>
      <c r="AE376" t="str">
        <f>VLOOKUP(E:E,笔记匹配!A:N,14,FALSE)</f>
        <v>云麦心率跳绳</v>
      </c>
      <c r="AF376" t="str">
        <f>VLOOKUP(E:E,笔记匹配!A:N,6,FALSE)</f>
        <v>无绳卡点暴汗230卡跟练 ｜小基数瘦腿瘦全身</v>
      </c>
    </row>
    <row r="377" spans="1:32">
      <c r="A377" s="18" t="s">
        <v>45</v>
      </c>
      <c r="B377" s="18" t="s">
        <v>1099</v>
      </c>
      <c r="C377" s="19">
        <v>15678883</v>
      </c>
      <c r="D377" s="18" t="s">
        <v>209</v>
      </c>
      <c r="E377" s="18" t="s">
        <v>549</v>
      </c>
      <c r="F377" s="18" t="s">
        <v>1100</v>
      </c>
      <c r="G377" s="19">
        <v>3067721</v>
      </c>
      <c r="H377" s="18" t="s">
        <v>1100</v>
      </c>
      <c r="I377" s="19">
        <v>2464984</v>
      </c>
      <c r="J377" s="18" t="s">
        <v>1015</v>
      </c>
      <c r="K377" s="19">
        <v>1006.52</v>
      </c>
      <c r="L377" s="19">
        <v>113325</v>
      </c>
      <c r="M377" s="19">
        <v>11827</v>
      </c>
      <c r="N377" s="20">
        <v>0.1044</v>
      </c>
      <c r="O377" s="19">
        <v>0.09</v>
      </c>
      <c r="P377" s="19">
        <v>8.88</v>
      </c>
      <c r="Q377" s="19">
        <v>165</v>
      </c>
      <c r="R377" s="19">
        <v>5</v>
      </c>
      <c r="S377" s="19">
        <v>65</v>
      </c>
      <c r="T377" s="19">
        <v>52</v>
      </c>
      <c r="U377" s="19">
        <v>13</v>
      </c>
      <c r="V377" s="19">
        <v>300</v>
      </c>
      <c r="W377" s="19">
        <v>3.36</v>
      </c>
      <c r="X377" s="19">
        <v>0</v>
      </c>
      <c r="Y377" s="20">
        <v>0</v>
      </c>
      <c r="Z377" s="19">
        <v>6</v>
      </c>
      <c r="AA377" s="19">
        <v>1</v>
      </c>
      <c r="AB377" t="str">
        <f>VLOOKUP(E:E,笔记匹配!A:N,3,FALSE)</f>
        <v>爽姐腿特长</v>
      </c>
      <c r="AC377" t="str">
        <f>VLOOKUP(E:E,笔记匹配!A:N,2,FALSE)</f>
        <v>筋膜枪</v>
      </c>
      <c r="AD377" t="str">
        <f>VLOOKUP(E:E,笔记匹配!A:N,4,FALSE)</f>
        <v>云麦筋膜枪cc</v>
      </c>
      <c r="AE377" t="str">
        <f>VLOOKUP(E:E,笔记匹配!A:N,14,FALSE)</f>
        <v>云麦筋膜枪cc</v>
      </c>
      <c r="AF377" t="str">
        <f>VLOOKUP(E:E,笔记匹配!A:N,6,FALSE)</f>
        <v>筋膜枪有效放松|顽固肌肉腿有救了🦵</v>
      </c>
    </row>
    <row r="378" spans="1:32">
      <c r="A378" s="18" t="s">
        <v>45</v>
      </c>
      <c r="B378" s="18" t="s">
        <v>725</v>
      </c>
      <c r="C378" s="19">
        <v>15679270</v>
      </c>
      <c r="D378" s="18" t="s">
        <v>209</v>
      </c>
      <c r="E378" s="18" t="s">
        <v>486</v>
      </c>
      <c r="F378" s="18" t="s">
        <v>1101</v>
      </c>
      <c r="G378" s="19">
        <v>3067744</v>
      </c>
      <c r="H378" s="18" t="s">
        <v>1101</v>
      </c>
      <c r="I378" s="19">
        <v>2465008</v>
      </c>
      <c r="J378" s="18" t="s">
        <v>1015</v>
      </c>
      <c r="K378" s="19">
        <v>0</v>
      </c>
      <c r="L378" s="19">
        <v>0</v>
      </c>
      <c r="M378" s="19">
        <v>0</v>
      </c>
      <c r="N378" s="20">
        <v>0</v>
      </c>
      <c r="O378" s="19">
        <v>0</v>
      </c>
      <c r="P378" s="19">
        <v>0</v>
      </c>
      <c r="Q378" s="19">
        <v>0</v>
      </c>
      <c r="R378" s="19">
        <v>0</v>
      </c>
      <c r="S378" s="19">
        <v>0</v>
      </c>
      <c r="T378" s="19">
        <v>0</v>
      </c>
      <c r="U378" s="19">
        <v>0</v>
      </c>
      <c r="V378" s="19">
        <v>0</v>
      </c>
      <c r="W378" s="19">
        <v>0</v>
      </c>
      <c r="X378" s="19">
        <v>0</v>
      </c>
      <c r="Y378" s="20">
        <v>0</v>
      </c>
      <c r="Z378" s="19">
        <v>0</v>
      </c>
      <c r="AA378" s="19">
        <v>0</v>
      </c>
      <c r="AB378" t="str">
        <f>VLOOKUP(E:E,笔记匹配!A:N,3,FALSE)</f>
        <v>小月月</v>
      </c>
      <c r="AC378" t="str">
        <f>VLOOKUP(E:E,笔记匹配!A:N,2,FALSE)</f>
        <v>体脂秤</v>
      </c>
      <c r="AD378" t="str">
        <f>VLOOKUP(E:E,笔记匹配!A:N,4,FALSE)</f>
        <v>云麦体脂秤3</v>
      </c>
      <c r="AE378" t="str">
        <f>VLOOKUP(E:E,笔记匹配!A:N,14,FALSE)</f>
        <v>云麦体脂秤3</v>
      </c>
      <c r="AF378" t="str">
        <f>VLOOKUP(E:E,笔记匹配!A:N,6,FALSE)</f>
        <v>体重秤上的数字告诉我：你是个失败者</v>
      </c>
    </row>
    <row r="379" spans="1:32">
      <c r="A379" s="18" t="s">
        <v>45</v>
      </c>
      <c r="B379" s="18" t="s">
        <v>1102</v>
      </c>
      <c r="C379" s="19">
        <v>15688208</v>
      </c>
      <c r="D379" s="18" t="s">
        <v>196</v>
      </c>
      <c r="E379" s="18" t="s">
        <v>420</v>
      </c>
      <c r="F379" s="18" t="s">
        <v>1103</v>
      </c>
      <c r="G379" s="19">
        <v>3068565</v>
      </c>
      <c r="H379" s="18" t="s">
        <v>1104</v>
      </c>
      <c r="I379" s="19">
        <v>2465715</v>
      </c>
      <c r="J379" s="18" t="s">
        <v>1015</v>
      </c>
      <c r="K379" s="19">
        <v>1085.66</v>
      </c>
      <c r="L379" s="19">
        <v>23668</v>
      </c>
      <c r="M379" s="19">
        <v>1193</v>
      </c>
      <c r="N379" s="20">
        <v>0.0504</v>
      </c>
      <c r="O379" s="19">
        <v>0.91</v>
      </c>
      <c r="P379" s="19">
        <v>45.87</v>
      </c>
      <c r="Q379" s="19">
        <v>21</v>
      </c>
      <c r="R379" s="19">
        <v>0</v>
      </c>
      <c r="S379" s="19">
        <v>7</v>
      </c>
      <c r="T379" s="19">
        <v>0</v>
      </c>
      <c r="U379" s="19">
        <v>0</v>
      </c>
      <c r="V379" s="19">
        <v>28</v>
      </c>
      <c r="W379" s="19">
        <v>38.77</v>
      </c>
      <c r="X379" s="19">
        <v>1</v>
      </c>
      <c r="Y379" s="20">
        <v>0.0008</v>
      </c>
      <c r="Z379" s="19">
        <v>3</v>
      </c>
      <c r="AA379" s="19">
        <v>0</v>
      </c>
      <c r="AB379" t="str">
        <f>VLOOKUP(E:E,笔记匹配!A:N,3,FALSE)</f>
        <v>干坐着的小瑶</v>
      </c>
      <c r="AC379" t="str">
        <f>VLOOKUP(E:E,笔记匹配!A:N,2,FALSE)</f>
        <v>筋膜枪</v>
      </c>
      <c r="AD379" t="str">
        <f>VLOOKUP(E:E,笔记匹配!A:N,4,FALSE)</f>
        <v>云麦cc筋膜枪</v>
      </c>
      <c r="AE379" t="str">
        <f>VLOOKUP(E:E,笔记匹配!A:N,14,FALSE)</f>
        <v>云麦筋膜枪cc</v>
      </c>
      <c r="AF379" t="str">
        <f>VLOOKUP(E:E,笔记匹配!A:N,6,FALSE)</f>
        <v>筋膜枪🆚泡沫轴🆚筋膜球，怎么选❓哪个好❓</v>
      </c>
    </row>
    <row r="380" spans="1:32">
      <c r="A380" s="18" t="s">
        <v>45</v>
      </c>
      <c r="B380" s="18" t="s">
        <v>1107</v>
      </c>
      <c r="C380" s="19">
        <v>15732722</v>
      </c>
      <c r="D380" s="18" t="s">
        <v>196</v>
      </c>
      <c r="E380" s="18" t="s">
        <v>483</v>
      </c>
      <c r="F380" s="18" t="s">
        <v>1108</v>
      </c>
      <c r="G380" s="19">
        <v>3076866</v>
      </c>
      <c r="H380" s="18" t="s">
        <v>1109</v>
      </c>
      <c r="I380" s="19">
        <v>2473013</v>
      </c>
      <c r="J380" s="18" t="s">
        <v>1015</v>
      </c>
      <c r="K380" s="19">
        <v>585.34</v>
      </c>
      <c r="L380" s="19">
        <v>38023</v>
      </c>
      <c r="M380" s="19">
        <v>1277</v>
      </c>
      <c r="N380" s="20">
        <v>0.0336</v>
      </c>
      <c r="O380" s="19">
        <v>0.46</v>
      </c>
      <c r="P380" s="19">
        <v>15.39</v>
      </c>
      <c r="Q380" s="19">
        <v>29</v>
      </c>
      <c r="R380" s="19">
        <v>0</v>
      </c>
      <c r="S380" s="19">
        <v>20</v>
      </c>
      <c r="T380" s="19">
        <v>0</v>
      </c>
      <c r="U380" s="19">
        <v>3</v>
      </c>
      <c r="V380" s="19">
        <v>52</v>
      </c>
      <c r="W380" s="19">
        <v>11.26</v>
      </c>
      <c r="X380" s="19">
        <v>0</v>
      </c>
      <c r="Y380" s="20">
        <v>0</v>
      </c>
      <c r="Z380" s="19">
        <v>5</v>
      </c>
      <c r="AA380" s="19">
        <v>11</v>
      </c>
      <c r="AB380" t="str">
        <f>VLOOKUP(E:E,笔记匹配!A:N,3,FALSE)</f>
        <v>六月炎妍</v>
      </c>
      <c r="AC380" t="str">
        <f>VLOOKUP(E:E,笔记匹配!A:N,2,FALSE)</f>
        <v>体脂秤</v>
      </c>
      <c r="AD380" t="str">
        <f>VLOOKUP(E:E,笔记匹配!A:N,4,FALSE)</f>
        <v>云麦3mini</v>
      </c>
      <c r="AE380" t="str">
        <f>VLOOKUP(E:E,笔记匹配!A:N,14,FALSE)</f>
        <v>云麦体脂秤3mini</v>
      </c>
      <c r="AF380" t="str">
        <f>VLOOKUP(E:E,笔记匹配!A:N,6,FALSE)</f>
        <v>体脂秤监测|瘦了23斤的经验无保留分享</v>
      </c>
    </row>
    <row r="381" spans="1:32">
      <c r="A381" s="18" t="s">
        <v>45</v>
      </c>
      <c r="B381" s="18" t="s">
        <v>202</v>
      </c>
      <c r="C381" s="19">
        <v>15733280</v>
      </c>
      <c r="D381" s="18" t="s">
        <v>209</v>
      </c>
      <c r="E381" s="18" t="s">
        <v>480</v>
      </c>
      <c r="F381" s="18" t="s">
        <v>1110</v>
      </c>
      <c r="G381" s="19">
        <v>3076999</v>
      </c>
      <c r="H381" s="18" t="s">
        <v>1110</v>
      </c>
      <c r="I381" s="19">
        <v>2473124</v>
      </c>
      <c r="J381" s="18" t="s">
        <v>1015</v>
      </c>
      <c r="K381" s="19">
        <v>0</v>
      </c>
      <c r="L381" s="19">
        <v>0</v>
      </c>
      <c r="M381" s="19">
        <v>0</v>
      </c>
      <c r="N381" s="20">
        <v>0</v>
      </c>
      <c r="O381" s="19">
        <v>0</v>
      </c>
      <c r="P381" s="19">
        <v>0</v>
      </c>
      <c r="Q381" s="19">
        <v>0</v>
      </c>
      <c r="R381" s="19">
        <v>0</v>
      </c>
      <c r="S381" s="19">
        <v>0</v>
      </c>
      <c r="T381" s="19">
        <v>0</v>
      </c>
      <c r="U381" s="19">
        <v>0</v>
      </c>
      <c r="V381" s="19">
        <v>0</v>
      </c>
      <c r="W381" s="19">
        <v>0</v>
      </c>
      <c r="X381" s="19">
        <v>0</v>
      </c>
      <c r="Y381" s="20">
        <v>0</v>
      </c>
      <c r="Z381" s="19">
        <v>0</v>
      </c>
      <c r="AA381" s="19">
        <v>0</v>
      </c>
      <c r="AB381" t="str">
        <f>VLOOKUP(E:E,笔记匹配!A:N,3,FALSE)</f>
        <v>马可乐cora</v>
      </c>
      <c r="AC381" t="str">
        <f>VLOOKUP(E:E,笔记匹配!A:N,2,FALSE)</f>
        <v>体脂秤</v>
      </c>
      <c r="AD381" t="str">
        <f>VLOOKUP(E:E,笔记匹配!A:N,4,FALSE)</f>
        <v>云麦3mini（无埋词）</v>
      </c>
      <c r="AE381" t="str">
        <f>VLOOKUP(E:E,笔记匹配!A:N,14,FALSE)</f>
        <v>云麦体脂秤3mini</v>
      </c>
      <c r="AF381" t="str">
        <f>VLOOKUP(E:E,笔记匹配!A:N,6,FALSE)</f>
        <v>‼️真心劝你们想成功瘦下来这6件事别再做了</v>
      </c>
    </row>
    <row r="382" spans="1:32">
      <c r="A382" s="18" t="s">
        <v>45</v>
      </c>
      <c r="B382" s="18" t="s">
        <v>1111</v>
      </c>
      <c r="C382" s="19">
        <v>15734437</v>
      </c>
      <c r="D382" s="18" t="s">
        <v>196</v>
      </c>
      <c r="E382" s="18" t="s">
        <v>549</v>
      </c>
      <c r="F382" s="18" t="s">
        <v>1112</v>
      </c>
      <c r="G382" s="19">
        <v>3077376</v>
      </c>
      <c r="H382" s="18" t="s">
        <v>1112</v>
      </c>
      <c r="I382" s="19">
        <v>2473298</v>
      </c>
      <c r="J382" s="18" t="s">
        <v>1015</v>
      </c>
      <c r="K382" s="19">
        <v>790.16</v>
      </c>
      <c r="L382" s="19">
        <v>17065</v>
      </c>
      <c r="M382" s="19">
        <v>987</v>
      </c>
      <c r="N382" s="20">
        <v>0.0578</v>
      </c>
      <c r="O382" s="19">
        <v>0.8</v>
      </c>
      <c r="P382" s="19">
        <v>46.3</v>
      </c>
      <c r="Q382" s="19">
        <v>22</v>
      </c>
      <c r="R382" s="19">
        <v>1</v>
      </c>
      <c r="S382" s="19">
        <v>8</v>
      </c>
      <c r="T382" s="19">
        <v>1</v>
      </c>
      <c r="U382" s="19">
        <v>0</v>
      </c>
      <c r="V382" s="19">
        <v>32</v>
      </c>
      <c r="W382" s="19">
        <v>24.69</v>
      </c>
      <c r="X382" s="19">
        <v>7</v>
      </c>
      <c r="Y382" s="20">
        <v>0.0071</v>
      </c>
      <c r="Z382" s="19">
        <v>1</v>
      </c>
      <c r="AA382" s="19">
        <v>0</v>
      </c>
      <c r="AB382" t="str">
        <f>VLOOKUP(E:E,笔记匹配!A:N,3,FALSE)</f>
        <v>爽姐腿特长</v>
      </c>
      <c r="AC382" t="str">
        <f>VLOOKUP(E:E,笔记匹配!A:N,2,FALSE)</f>
        <v>筋膜枪</v>
      </c>
      <c r="AD382" t="str">
        <f>VLOOKUP(E:E,笔记匹配!A:N,4,FALSE)</f>
        <v>云麦筋膜枪cc</v>
      </c>
      <c r="AE382" t="str">
        <f>VLOOKUP(E:E,笔记匹配!A:N,14,FALSE)</f>
        <v>云麦筋膜枪cc</v>
      </c>
      <c r="AF382" t="str">
        <f>VLOOKUP(E:E,笔记匹配!A:N,6,FALSE)</f>
        <v>筋膜枪有效放松|顽固肌肉腿有救了🦵</v>
      </c>
    </row>
    <row r="383" spans="1:32">
      <c r="A383" s="18" t="s">
        <v>45</v>
      </c>
      <c r="B383" s="18" t="s">
        <v>1113</v>
      </c>
      <c r="C383" s="19">
        <v>15734941</v>
      </c>
      <c r="D383" s="18" t="s">
        <v>196</v>
      </c>
      <c r="E383" s="18" t="s">
        <v>312</v>
      </c>
      <c r="F383" s="18" t="s">
        <v>1114</v>
      </c>
      <c r="G383" s="19">
        <v>3077590</v>
      </c>
      <c r="H383" s="18" t="s">
        <v>1114</v>
      </c>
      <c r="I383" s="19">
        <v>2473348</v>
      </c>
      <c r="J383" s="18" t="s">
        <v>1015</v>
      </c>
      <c r="K383" s="19">
        <v>2048.07</v>
      </c>
      <c r="L383" s="19">
        <v>30563</v>
      </c>
      <c r="M383" s="19">
        <v>1449</v>
      </c>
      <c r="N383" s="20">
        <v>0.0474</v>
      </c>
      <c r="O383" s="19">
        <v>1.41</v>
      </c>
      <c r="P383" s="19">
        <v>67.01</v>
      </c>
      <c r="Q383" s="19">
        <v>58</v>
      </c>
      <c r="R383" s="19">
        <v>0</v>
      </c>
      <c r="S383" s="19">
        <v>30</v>
      </c>
      <c r="T383" s="19">
        <v>2</v>
      </c>
      <c r="U383" s="19">
        <v>3</v>
      </c>
      <c r="V383" s="19">
        <v>93</v>
      </c>
      <c r="W383" s="19">
        <v>22.02</v>
      </c>
      <c r="X383" s="19">
        <v>1</v>
      </c>
      <c r="Y383" s="20">
        <v>0.0007</v>
      </c>
      <c r="Z383" s="19">
        <v>3</v>
      </c>
      <c r="AA383" s="19">
        <v>2</v>
      </c>
      <c r="AB383" t="str">
        <f>VLOOKUP(E:E,笔记匹配!A:N,3,FALSE)</f>
        <v>郝有金</v>
      </c>
      <c r="AC383" t="str">
        <f>VLOOKUP(E:E,笔记匹配!A:N,2,FALSE)</f>
        <v>筋膜枪</v>
      </c>
      <c r="AD383" t="str">
        <f>VLOOKUP(E:E,笔记匹配!A:N,4,FALSE)</f>
        <v>云麦cc筋膜枪</v>
      </c>
      <c r="AE383" t="str">
        <f>VLOOKUP(E:E,笔记匹配!A:N,14,FALSE)</f>
        <v>云麦筋膜枪cc</v>
      </c>
      <c r="AF383" t="str">
        <f>VLOOKUP(E:E,笔记匹配!A:N,6,FALSE)</f>
        <v>别用错❗️筋膜枪正确使用方法，不同肌肉部位放松大全</v>
      </c>
    </row>
    <row r="384" spans="1:32">
      <c r="A384" s="18" t="s">
        <v>45</v>
      </c>
      <c r="B384" s="18" t="s">
        <v>1117</v>
      </c>
      <c r="C384" s="19">
        <v>15803975</v>
      </c>
      <c r="D384" s="18" t="s">
        <v>196</v>
      </c>
      <c r="E384" s="18" t="s">
        <v>480</v>
      </c>
      <c r="F384" s="18" t="s">
        <v>1118</v>
      </c>
      <c r="G384" s="19">
        <v>3087946</v>
      </c>
      <c r="H384" s="18" t="s">
        <v>1118</v>
      </c>
      <c r="I384" s="19">
        <v>2483361</v>
      </c>
      <c r="J384" s="18" t="s">
        <v>1015</v>
      </c>
      <c r="K384" s="19">
        <v>512.99</v>
      </c>
      <c r="L384" s="19">
        <v>20341</v>
      </c>
      <c r="M384" s="19">
        <v>1935</v>
      </c>
      <c r="N384" s="20">
        <v>0.0951</v>
      </c>
      <c r="O384" s="19">
        <v>0.27</v>
      </c>
      <c r="P384" s="19">
        <v>25.22</v>
      </c>
      <c r="Q384" s="19">
        <v>98</v>
      </c>
      <c r="R384" s="19">
        <v>0</v>
      </c>
      <c r="S384" s="19">
        <v>80</v>
      </c>
      <c r="T384" s="19">
        <v>28</v>
      </c>
      <c r="U384" s="19">
        <v>10</v>
      </c>
      <c r="V384" s="19">
        <v>216</v>
      </c>
      <c r="W384" s="19">
        <v>2.37</v>
      </c>
      <c r="X384" s="19">
        <v>0</v>
      </c>
      <c r="Y384" s="20">
        <v>0</v>
      </c>
      <c r="Z384" s="19">
        <v>50</v>
      </c>
      <c r="AA384" s="19">
        <v>0</v>
      </c>
      <c r="AB384" t="str">
        <f>VLOOKUP(E:E,笔记匹配!A:N,3,FALSE)</f>
        <v>马可乐cora</v>
      </c>
      <c r="AC384" t="str">
        <f>VLOOKUP(E:E,笔记匹配!A:N,2,FALSE)</f>
        <v>体脂秤</v>
      </c>
      <c r="AD384" t="str">
        <f>VLOOKUP(E:E,笔记匹配!A:N,4,FALSE)</f>
        <v>云麦3mini（无埋词）</v>
      </c>
      <c r="AE384" t="str">
        <f>VLOOKUP(E:E,笔记匹配!A:N,14,FALSE)</f>
        <v>云麦体脂秤3mini</v>
      </c>
      <c r="AF384" t="str">
        <f>VLOOKUP(E:E,笔记匹配!A:N,6,FALSE)</f>
        <v>‼️真心劝你们想成功瘦下来这6件事别再做了</v>
      </c>
    </row>
    <row r="385" spans="1:32">
      <c r="A385" s="18" t="s">
        <v>45</v>
      </c>
      <c r="B385" s="18" t="s">
        <v>740</v>
      </c>
      <c r="C385" s="19">
        <v>15804098</v>
      </c>
      <c r="D385" s="18" t="s">
        <v>209</v>
      </c>
      <c r="E385" s="18" t="s">
        <v>473</v>
      </c>
      <c r="F385" s="18" t="s">
        <v>1119</v>
      </c>
      <c r="G385" s="19">
        <v>3087955</v>
      </c>
      <c r="H385" s="18" t="s">
        <v>1119</v>
      </c>
      <c r="I385" s="19">
        <v>2483370</v>
      </c>
      <c r="J385" s="18" t="s">
        <v>1015</v>
      </c>
      <c r="K385" s="19">
        <v>1016.02</v>
      </c>
      <c r="L385" s="19">
        <v>110082</v>
      </c>
      <c r="M385" s="19">
        <v>25483</v>
      </c>
      <c r="N385" s="20">
        <v>0.2315</v>
      </c>
      <c r="O385" s="19">
        <v>0.04</v>
      </c>
      <c r="P385" s="19">
        <v>9.23</v>
      </c>
      <c r="Q385" s="19">
        <v>360</v>
      </c>
      <c r="R385" s="19">
        <v>6</v>
      </c>
      <c r="S385" s="19">
        <v>95</v>
      </c>
      <c r="T385" s="19">
        <v>121</v>
      </c>
      <c r="U385" s="19">
        <v>22</v>
      </c>
      <c r="V385" s="19">
        <v>604</v>
      </c>
      <c r="W385" s="19">
        <v>1.68</v>
      </c>
      <c r="X385" s="19">
        <v>0</v>
      </c>
      <c r="Y385" s="20">
        <v>0</v>
      </c>
      <c r="Z385" s="19">
        <v>25</v>
      </c>
      <c r="AA385" s="19">
        <v>9</v>
      </c>
      <c r="AB385" t="str">
        <f>VLOOKUP(E:E,笔记匹配!A:N,3,FALSE)</f>
        <v>茜茜子</v>
      </c>
      <c r="AC385" t="str">
        <f>VLOOKUP(E:E,笔记匹配!A:N,2,FALSE)</f>
        <v>体脂秤</v>
      </c>
      <c r="AD385" t="str">
        <f>VLOOKUP(E:E,笔记匹配!A:N,4,FALSE)</f>
        <v>云麦3mini体脂秤</v>
      </c>
      <c r="AE385" t="str">
        <f>VLOOKUP(E:E,笔记匹配!A:N,14,FALSE)</f>
        <v>云麦体脂秤3mini</v>
      </c>
      <c r="AF385" t="str">
        <f>VLOOKUP(E:E,笔记匹配!A:N,6,FALSE)</f>
        <v>我真的很会瘦肚子❗️</v>
      </c>
    </row>
    <row r="386" spans="1:32">
      <c r="A386" s="18" t="s">
        <v>45</v>
      </c>
      <c r="B386" s="18" t="s">
        <v>744</v>
      </c>
      <c r="C386" s="19">
        <v>15804507</v>
      </c>
      <c r="D386" s="18" t="s">
        <v>209</v>
      </c>
      <c r="E386" s="18" t="s">
        <v>447</v>
      </c>
      <c r="F386" s="18" t="s">
        <v>1123</v>
      </c>
      <c r="G386" s="19">
        <v>3087989</v>
      </c>
      <c r="H386" s="18" t="s">
        <v>1123</v>
      </c>
      <c r="I386" s="19">
        <v>2483404</v>
      </c>
      <c r="J386" s="18" t="s">
        <v>1015</v>
      </c>
      <c r="K386" s="19">
        <v>0</v>
      </c>
      <c r="L386" s="19">
        <v>0</v>
      </c>
      <c r="M386" s="19">
        <v>0</v>
      </c>
      <c r="N386" s="20">
        <v>0</v>
      </c>
      <c r="O386" s="19">
        <v>0</v>
      </c>
      <c r="P386" s="19">
        <v>0</v>
      </c>
      <c r="Q386" s="19">
        <v>0</v>
      </c>
      <c r="R386" s="19">
        <v>0</v>
      </c>
      <c r="S386" s="19">
        <v>0</v>
      </c>
      <c r="T386" s="19">
        <v>0</v>
      </c>
      <c r="U386" s="19">
        <v>0</v>
      </c>
      <c r="V386" s="19">
        <v>0</v>
      </c>
      <c r="W386" s="19">
        <v>0</v>
      </c>
      <c r="X386" s="19">
        <v>0</v>
      </c>
      <c r="Y386" s="20">
        <v>0</v>
      </c>
      <c r="Z386" s="19">
        <v>0</v>
      </c>
      <c r="AA386" s="19">
        <v>0</v>
      </c>
      <c r="AB386" t="str">
        <f>VLOOKUP(E:E,笔记匹配!A:N,3,FALSE)</f>
        <v>熊猫叮</v>
      </c>
      <c r="AC386" t="str">
        <f>VLOOKUP(E:E,笔记匹配!A:N,2,FALSE)</f>
        <v>筋膜枪</v>
      </c>
      <c r="AD386" t="str">
        <f>VLOOKUP(E:E,笔记匹配!A:N,4,FALSE)</f>
        <v> 云麦cc</v>
      </c>
      <c r="AE386" t="str">
        <f>VLOOKUP(E:E,笔记匹配!A:N,14,FALSE)</f>
        <v>云麦筋膜枪cc</v>
      </c>
      <c r="AF386" t="str">
        <f>VLOOKUP(E:E,笔记匹配!A:N,6,FALSE)</f>
        <v>瘦小腿训练🔥消除肌肉腿脂包肌‼️筋膜枪放松</v>
      </c>
    </row>
    <row r="387" spans="1:32">
      <c r="A387" s="18" t="s">
        <v>45</v>
      </c>
      <c r="B387" s="18" t="s">
        <v>757</v>
      </c>
      <c r="C387" s="19">
        <v>15867913</v>
      </c>
      <c r="D387" s="18" t="s">
        <v>209</v>
      </c>
      <c r="E387" s="18" t="s">
        <v>468</v>
      </c>
      <c r="F387" s="18" t="s">
        <v>1124</v>
      </c>
      <c r="G387" s="19">
        <v>3099180</v>
      </c>
      <c r="H387" s="18" t="s">
        <v>1124</v>
      </c>
      <c r="I387" s="19">
        <v>2494227</v>
      </c>
      <c r="J387" s="18" t="s">
        <v>1015</v>
      </c>
      <c r="K387" s="19">
        <v>506.72</v>
      </c>
      <c r="L387" s="19">
        <v>40485</v>
      </c>
      <c r="M387" s="19">
        <v>3186</v>
      </c>
      <c r="N387" s="20">
        <v>0.0787</v>
      </c>
      <c r="O387" s="19">
        <v>0.16</v>
      </c>
      <c r="P387" s="19">
        <v>12.52</v>
      </c>
      <c r="Q387" s="19">
        <v>371</v>
      </c>
      <c r="R387" s="19">
        <v>4</v>
      </c>
      <c r="S387" s="19">
        <v>428</v>
      </c>
      <c r="T387" s="19">
        <v>31</v>
      </c>
      <c r="U387" s="19">
        <v>24</v>
      </c>
      <c r="V387" s="19">
        <v>858</v>
      </c>
      <c r="W387" s="19">
        <v>0.59</v>
      </c>
      <c r="X387" s="19">
        <v>0</v>
      </c>
      <c r="Y387" s="20">
        <v>0</v>
      </c>
      <c r="Z387" s="19">
        <v>11</v>
      </c>
      <c r="AA387" s="19">
        <v>0</v>
      </c>
      <c r="AB387" t="str">
        <f>VLOOKUP(E:E,笔记匹配!A:N,3,FALSE)</f>
        <v>生椰黎子yoga</v>
      </c>
      <c r="AC387" t="str">
        <f>VLOOKUP(E:E,笔记匹配!A:N,2,FALSE)</f>
        <v>体脂秤</v>
      </c>
      <c r="AD387" t="str">
        <f>VLOOKUP(E:E,笔记匹配!A:N,4,FALSE)</f>
        <v>云麦体脂秤3mini</v>
      </c>
      <c r="AE387" t="str">
        <f>VLOOKUP(E:E,笔记匹配!A:N,14,FALSE)</f>
        <v>云麦体脂秤3mini</v>
      </c>
      <c r="AF387" t="str">
        <f>VLOOKUP(E:E,笔记匹配!A:N,6,FALSE)</f>
        <v>超🔥极速瘦肚子！太有用了‼️6分钟紧致腰腹</v>
      </c>
    </row>
    <row r="388" spans="1:32">
      <c r="A388" s="18" t="s">
        <v>45</v>
      </c>
      <c r="B388" s="18" t="s">
        <v>754</v>
      </c>
      <c r="C388" s="19">
        <v>15869520</v>
      </c>
      <c r="D388" s="18" t="s">
        <v>209</v>
      </c>
      <c r="E388" s="18" t="s">
        <v>544</v>
      </c>
      <c r="F388" s="18" t="s">
        <v>1125</v>
      </c>
      <c r="G388" s="19">
        <v>3099710</v>
      </c>
      <c r="H388" s="18" t="s">
        <v>1125</v>
      </c>
      <c r="I388" s="19">
        <v>2494725</v>
      </c>
      <c r="J388" s="18" t="s">
        <v>1015</v>
      </c>
      <c r="K388" s="19">
        <v>0</v>
      </c>
      <c r="L388" s="19">
        <v>0</v>
      </c>
      <c r="M388" s="19">
        <v>0</v>
      </c>
      <c r="N388" s="20">
        <v>0</v>
      </c>
      <c r="O388" s="19">
        <v>0</v>
      </c>
      <c r="P388" s="19">
        <v>0</v>
      </c>
      <c r="Q388" s="19">
        <v>0</v>
      </c>
      <c r="R388" s="19">
        <v>0</v>
      </c>
      <c r="S388" s="19">
        <v>0</v>
      </c>
      <c r="T388" s="19">
        <v>0</v>
      </c>
      <c r="U388" s="19">
        <v>0</v>
      </c>
      <c r="V388" s="19">
        <v>0</v>
      </c>
      <c r="W388" s="19">
        <v>0</v>
      </c>
      <c r="X388" s="19">
        <v>0</v>
      </c>
      <c r="Y388" s="20">
        <v>0</v>
      </c>
      <c r="Z388" s="19">
        <v>0</v>
      </c>
      <c r="AA388" s="19">
        <v>0</v>
      </c>
      <c r="AB388" t="str">
        <f>VLOOKUP(E:E,笔记匹配!A:N,3,FALSE)</f>
        <v>福崽</v>
      </c>
      <c r="AC388" t="str">
        <f>VLOOKUP(E:E,笔记匹配!A:N,2,FALSE)</f>
        <v>筋膜枪</v>
      </c>
      <c r="AD388" t="str">
        <f>VLOOKUP(E:E,笔记匹配!A:N,4,FALSE)</f>
        <v>云麦筋膜枪cc</v>
      </c>
      <c r="AE388" t="str">
        <f>VLOOKUP(E:E,笔记匹配!A:N,14,FALSE)</f>
        <v>云麦筋膜枪cc</v>
      </c>
      <c r="AF388" t="str">
        <f>VLOOKUP(E:E,笔记匹配!A:N,6,FALSE)</f>
        <v>脂包肌的消除逻辑｜瘦小腿❌盲目</v>
      </c>
    </row>
    <row r="389" spans="1:32">
      <c r="A389" s="18" t="s">
        <v>45</v>
      </c>
      <c r="B389" s="18" t="s">
        <v>760</v>
      </c>
      <c r="C389" s="19">
        <v>15869599</v>
      </c>
      <c r="D389" s="18" t="s">
        <v>209</v>
      </c>
      <c r="E389" s="18" t="s">
        <v>466</v>
      </c>
      <c r="F389" s="18" t="s">
        <v>1126</v>
      </c>
      <c r="G389" s="19">
        <v>3099720</v>
      </c>
      <c r="H389" s="18" t="s">
        <v>1126</v>
      </c>
      <c r="I389" s="19">
        <v>2494738</v>
      </c>
      <c r="J389" s="18" t="s">
        <v>1015</v>
      </c>
      <c r="K389" s="19">
        <v>504.78</v>
      </c>
      <c r="L389" s="19">
        <v>76896</v>
      </c>
      <c r="M389" s="19">
        <v>5284</v>
      </c>
      <c r="N389" s="20">
        <v>0.0687</v>
      </c>
      <c r="O389" s="19">
        <v>0.1</v>
      </c>
      <c r="P389" s="19">
        <v>6.56</v>
      </c>
      <c r="Q389" s="19">
        <v>71</v>
      </c>
      <c r="R389" s="19">
        <v>4</v>
      </c>
      <c r="S389" s="19">
        <v>18</v>
      </c>
      <c r="T389" s="19">
        <v>1</v>
      </c>
      <c r="U389" s="19">
        <v>10</v>
      </c>
      <c r="V389" s="19">
        <v>104</v>
      </c>
      <c r="W389" s="19">
        <v>4.85</v>
      </c>
      <c r="X389" s="19">
        <v>0</v>
      </c>
      <c r="Y389" s="20">
        <v>0</v>
      </c>
      <c r="Z389" s="19">
        <v>11</v>
      </c>
      <c r="AA389" s="19">
        <v>4</v>
      </c>
      <c r="AB389" t="str">
        <f>VLOOKUP(E:E,笔记匹配!A:N,3,FALSE)</f>
        <v>小胡的张张</v>
      </c>
      <c r="AC389" t="str">
        <f>VLOOKUP(E:E,笔记匹配!A:N,2,FALSE)</f>
        <v>筋膜枪</v>
      </c>
      <c r="AD389" t="str">
        <f>VLOOKUP(E:E,笔记匹配!A:N,4,FALSE)</f>
        <v>云麦cc筋膜枪</v>
      </c>
      <c r="AE389" t="str">
        <f>VLOOKUP(E:E,笔记匹配!A:N,14,FALSE)</f>
        <v>云麦筋膜枪cc</v>
      </c>
      <c r="AF389" t="str">
        <f>VLOOKUP(E:E,笔记匹配!A:N,6,FALSE)</f>
        <v>筋膜枪正确使用指南️⚠️千万别乱用！</v>
      </c>
    </row>
    <row r="390" spans="1:32">
      <c r="A390" s="18" t="s">
        <v>46</v>
      </c>
      <c r="B390" s="18" t="s">
        <v>1086</v>
      </c>
      <c r="C390" s="19">
        <v>15248439</v>
      </c>
      <c r="D390" s="18" t="s">
        <v>196</v>
      </c>
      <c r="E390" s="18" t="s">
        <v>234</v>
      </c>
      <c r="F390" s="18" t="s">
        <v>1087</v>
      </c>
      <c r="G390" s="19">
        <v>3014779</v>
      </c>
      <c r="H390" s="18" t="s">
        <v>1088</v>
      </c>
      <c r="I390" s="19">
        <v>2412665</v>
      </c>
      <c r="J390" s="18" t="s">
        <v>1015</v>
      </c>
      <c r="K390" s="19">
        <v>889.86</v>
      </c>
      <c r="L390" s="19">
        <v>14616</v>
      </c>
      <c r="M390" s="19">
        <v>1317</v>
      </c>
      <c r="N390" s="20">
        <v>0.0901</v>
      </c>
      <c r="O390" s="19">
        <v>0.68</v>
      </c>
      <c r="P390" s="19">
        <v>60.88</v>
      </c>
      <c r="Q390" s="19">
        <v>15</v>
      </c>
      <c r="R390" s="19">
        <v>0</v>
      </c>
      <c r="S390" s="19">
        <v>2</v>
      </c>
      <c r="T390" s="19">
        <v>0</v>
      </c>
      <c r="U390" s="19">
        <v>2</v>
      </c>
      <c r="V390" s="19">
        <v>19</v>
      </c>
      <c r="W390" s="19">
        <v>46.83</v>
      </c>
      <c r="X390" s="19">
        <v>0</v>
      </c>
      <c r="Y390" s="20">
        <v>0</v>
      </c>
      <c r="Z390" s="19">
        <v>22</v>
      </c>
      <c r="AA390" s="19">
        <v>12</v>
      </c>
      <c r="AB390" t="str">
        <f>VLOOKUP(E:E,笔记匹配!A:N,3,FALSE)</f>
        <v>pp</v>
      </c>
      <c r="AC390" t="str">
        <f>VLOOKUP(E:E,笔记匹配!A:N,2,FALSE)</f>
        <v>体脂秤</v>
      </c>
      <c r="AD390" t="str">
        <f>VLOOKUP(E:E,笔记匹配!A:N,4,FALSE)</f>
        <v>云麦体脂秤3mini</v>
      </c>
      <c r="AE390" t="str">
        <f>VLOOKUP(E:E,笔记匹配!A:N,14,FALSE)</f>
        <v>云麦体脂秤3mini</v>
      </c>
      <c r="AF390" t="str">
        <f>VLOOKUP(E:E,笔记匹配!A:N,6,FALSE)</f>
        <v>110到88 一些减肥小建议｜如何正确运动</v>
      </c>
    </row>
    <row r="391" spans="1:32">
      <c r="A391" s="18" t="s">
        <v>46</v>
      </c>
      <c r="B391" s="18" t="s">
        <v>231</v>
      </c>
      <c r="C391" s="19">
        <v>15248486</v>
      </c>
      <c r="D391" s="18" t="s">
        <v>209</v>
      </c>
      <c r="E391" s="18" t="s">
        <v>234</v>
      </c>
      <c r="F391" s="18" t="s">
        <v>1089</v>
      </c>
      <c r="G391" s="19">
        <v>3014783</v>
      </c>
      <c r="H391" s="18" t="s">
        <v>1089</v>
      </c>
      <c r="I391" s="19">
        <v>2412680</v>
      </c>
      <c r="J391" s="18" t="s">
        <v>1015</v>
      </c>
      <c r="K391" s="19">
        <v>757.79</v>
      </c>
      <c r="L391" s="19">
        <v>87951</v>
      </c>
      <c r="M391" s="19">
        <v>4925</v>
      </c>
      <c r="N391" s="20">
        <v>0.056</v>
      </c>
      <c r="O391" s="19">
        <v>0.15</v>
      </c>
      <c r="P391" s="19">
        <v>8.62</v>
      </c>
      <c r="Q391" s="19">
        <v>75</v>
      </c>
      <c r="R391" s="19">
        <v>4</v>
      </c>
      <c r="S391" s="19">
        <v>33</v>
      </c>
      <c r="T391" s="19">
        <v>5</v>
      </c>
      <c r="U391" s="19">
        <v>0</v>
      </c>
      <c r="V391" s="19">
        <v>117</v>
      </c>
      <c r="W391" s="19">
        <v>6.48</v>
      </c>
      <c r="X391" s="19">
        <v>0</v>
      </c>
      <c r="Y391" s="20">
        <v>0</v>
      </c>
      <c r="Z391" s="19">
        <v>14</v>
      </c>
      <c r="AA391" s="19">
        <v>1</v>
      </c>
      <c r="AB391" t="str">
        <f>VLOOKUP(E:E,笔记匹配!A:N,3,FALSE)</f>
        <v>pp</v>
      </c>
      <c r="AC391" t="str">
        <f>VLOOKUP(E:E,笔记匹配!A:N,2,FALSE)</f>
        <v>体脂秤</v>
      </c>
      <c r="AD391" t="str">
        <f>VLOOKUP(E:E,笔记匹配!A:N,4,FALSE)</f>
        <v>云麦体脂秤3mini</v>
      </c>
      <c r="AE391" t="str">
        <f>VLOOKUP(E:E,笔记匹配!A:N,14,FALSE)</f>
        <v>云麦体脂秤3mini</v>
      </c>
      <c r="AF391" t="str">
        <f>VLOOKUP(E:E,笔记匹配!A:N,6,FALSE)</f>
        <v>110到88 一些减肥小建议｜如何正确运动</v>
      </c>
    </row>
    <row r="392" spans="1:32">
      <c r="A392" s="18" t="s">
        <v>46</v>
      </c>
      <c r="B392" s="18" t="s">
        <v>587</v>
      </c>
      <c r="C392" s="19">
        <v>15295967</v>
      </c>
      <c r="D392" s="18" t="s">
        <v>209</v>
      </c>
      <c r="E392" s="18" t="s">
        <v>400</v>
      </c>
      <c r="F392" s="18" t="s">
        <v>1090</v>
      </c>
      <c r="G392" s="19">
        <v>3020475</v>
      </c>
      <c r="H392" s="18" t="s">
        <v>1091</v>
      </c>
      <c r="I392" s="19">
        <v>2418288</v>
      </c>
      <c r="J392" s="18" t="s">
        <v>1015</v>
      </c>
      <c r="K392" s="19">
        <v>0</v>
      </c>
      <c r="L392" s="19">
        <v>0</v>
      </c>
      <c r="M392" s="19">
        <v>0</v>
      </c>
      <c r="N392" s="20">
        <v>0</v>
      </c>
      <c r="O392" s="19">
        <v>0</v>
      </c>
      <c r="P392" s="19">
        <v>0</v>
      </c>
      <c r="Q392" s="19">
        <v>0</v>
      </c>
      <c r="R392" s="19">
        <v>0</v>
      </c>
      <c r="S392" s="19">
        <v>0</v>
      </c>
      <c r="T392" s="19">
        <v>0</v>
      </c>
      <c r="U392" s="19">
        <v>0</v>
      </c>
      <c r="V392" s="19">
        <v>0</v>
      </c>
      <c r="W392" s="19">
        <v>0</v>
      </c>
      <c r="X392" s="19">
        <v>0</v>
      </c>
      <c r="Y392" s="20">
        <v>0</v>
      </c>
      <c r="Z392" s="19">
        <v>0</v>
      </c>
      <c r="AA392" s="19">
        <v>0</v>
      </c>
      <c r="AB392" t="str">
        <f>VLOOKUP(E:E,笔记匹配!A:N,3,FALSE)</f>
        <v>小雪教瑜伽</v>
      </c>
      <c r="AC392" t="str">
        <f>VLOOKUP(E:E,笔记匹配!A:N,2,FALSE)</f>
        <v>筋膜枪</v>
      </c>
      <c r="AD392" t="str">
        <f>VLOOKUP(E:E,笔记匹配!A:N,4,FALSE)</f>
        <v>云麦筋膜枪cc</v>
      </c>
      <c r="AE392" t="str">
        <f>VLOOKUP(E:E,笔记匹配!A:N,14,FALSE)</f>
        <v>云麦筋膜枪cc</v>
      </c>
      <c r="AF392" t="str">
        <f>VLOOKUP(E:E,笔记匹配!A:N,6,FALSE)</f>
        <v>瘦肌肉腿必备&amp;筋膜枪按摩跟练教程</v>
      </c>
    </row>
    <row r="393" spans="1:32">
      <c r="A393" s="18" t="s">
        <v>46</v>
      </c>
      <c r="B393" s="18" t="s">
        <v>716</v>
      </c>
      <c r="C393" s="19">
        <v>15296992</v>
      </c>
      <c r="D393" s="18" t="s">
        <v>209</v>
      </c>
      <c r="E393" s="18" t="s">
        <v>494</v>
      </c>
      <c r="F393" s="18" t="s">
        <v>1094</v>
      </c>
      <c r="G393" s="19">
        <v>3020613</v>
      </c>
      <c r="H393" s="18" t="s">
        <v>1094</v>
      </c>
      <c r="I393" s="19">
        <v>2418438</v>
      </c>
      <c r="J393" s="18" t="s">
        <v>1015</v>
      </c>
      <c r="K393" s="19">
        <v>0</v>
      </c>
      <c r="L393" s="19">
        <v>0</v>
      </c>
      <c r="M393" s="19">
        <v>0</v>
      </c>
      <c r="N393" s="20">
        <v>0</v>
      </c>
      <c r="O393" s="19">
        <v>0</v>
      </c>
      <c r="P393" s="19">
        <v>0</v>
      </c>
      <c r="Q393" s="19">
        <v>0</v>
      </c>
      <c r="R393" s="19">
        <v>0</v>
      </c>
      <c r="S393" s="19">
        <v>0</v>
      </c>
      <c r="T393" s="19">
        <v>0</v>
      </c>
      <c r="U393" s="19">
        <v>0</v>
      </c>
      <c r="V393" s="19">
        <v>0</v>
      </c>
      <c r="W393" s="19">
        <v>0</v>
      </c>
      <c r="X393" s="19">
        <v>0</v>
      </c>
      <c r="Y393" s="20">
        <v>0</v>
      </c>
      <c r="Z393" s="19">
        <v>0</v>
      </c>
      <c r="AA393" s="19">
        <v>0</v>
      </c>
      <c r="AB393" t="str">
        <f>VLOOKUP(E:E,笔记匹配!A:N,3,FALSE)</f>
        <v>凯琳KatherineW</v>
      </c>
      <c r="AC393" t="str">
        <f>VLOOKUP(E:E,笔记匹配!A:N,2,FALSE)</f>
        <v>跳绳</v>
      </c>
      <c r="AD393" t="str">
        <f>VLOOKUP(E:E,笔记匹配!A:N,4,FALSE)</f>
        <v>云麦心率跳绳</v>
      </c>
      <c r="AE393" t="str">
        <f>VLOOKUP(E:E,笔记匹配!A:N,14,FALSE)</f>
        <v>云麦心率跳绳</v>
      </c>
      <c r="AF393" t="str">
        <f>VLOOKUP(E:E,笔记匹配!A:N,6,FALSE)</f>
        <v>无绳卡点暴汗230卡跟练 ｜小基数瘦腿瘦全身</v>
      </c>
    </row>
    <row r="394" spans="1:32">
      <c r="A394" s="18" t="s">
        <v>46</v>
      </c>
      <c r="B394" s="18" t="s">
        <v>728</v>
      </c>
      <c r="C394" s="19">
        <v>15678633</v>
      </c>
      <c r="D394" s="18" t="s">
        <v>209</v>
      </c>
      <c r="E394" s="18" t="s">
        <v>483</v>
      </c>
      <c r="F394" s="18" t="s">
        <v>1097</v>
      </c>
      <c r="G394" s="19">
        <v>3067706</v>
      </c>
      <c r="H394" s="18" t="s">
        <v>1097</v>
      </c>
      <c r="I394" s="19">
        <v>2464957</v>
      </c>
      <c r="J394" s="18" t="s">
        <v>1015</v>
      </c>
      <c r="K394" s="19">
        <v>1572.01</v>
      </c>
      <c r="L394" s="19">
        <v>157911</v>
      </c>
      <c r="M394" s="19">
        <v>14619</v>
      </c>
      <c r="N394" s="20">
        <v>0.0926</v>
      </c>
      <c r="O394" s="19">
        <v>0.11</v>
      </c>
      <c r="P394" s="19">
        <v>9.96</v>
      </c>
      <c r="Q394" s="19">
        <v>303</v>
      </c>
      <c r="R394" s="19">
        <v>12</v>
      </c>
      <c r="S394" s="19">
        <v>229</v>
      </c>
      <c r="T394" s="19">
        <v>25</v>
      </c>
      <c r="U394" s="19">
        <v>8</v>
      </c>
      <c r="V394" s="19">
        <v>577</v>
      </c>
      <c r="W394" s="19">
        <v>2.72</v>
      </c>
      <c r="X394" s="19">
        <v>0</v>
      </c>
      <c r="Y394" s="20">
        <v>0</v>
      </c>
      <c r="Z394" s="19">
        <v>86</v>
      </c>
      <c r="AA394" s="19">
        <v>147</v>
      </c>
      <c r="AB394" t="str">
        <f>VLOOKUP(E:E,笔记匹配!A:N,3,FALSE)</f>
        <v>六月炎妍</v>
      </c>
      <c r="AC394" t="str">
        <f>VLOOKUP(E:E,笔记匹配!A:N,2,FALSE)</f>
        <v>体脂秤</v>
      </c>
      <c r="AD394" t="str">
        <f>VLOOKUP(E:E,笔记匹配!A:N,4,FALSE)</f>
        <v>云麦3mini</v>
      </c>
      <c r="AE394" t="str">
        <f>VLOOKUP(E:E,笔记匹配!A:N,14,FALSE)</f>
        <v>云麦体脂秤3mini</v>
      </c>
      <c r="AF394" t="str">
        <f>VLOOKUP(E:E,笔记匹配!A:N,6,FALSE)</f>
        <v>体脂秤监测|瘦了23斤的经验无保留分享</v>
      </c>
    </row>
    <row r="395" spans="1:32">
      <c r="A395" s="18" t="s">
        <v>46</v>
      </c>
      <c r="B395" s="18" t="s">
        <v>1099</v>
      </c>
      <c r="C395" s="19">
        <v>15678883</v>
      </c>
      <c r="D395" s="18" t="s">
        <v>209</v>
      </c>
      <c r="E395" s="18" t="s">
        <v>549</v>
      </c>
      <c r="F395" s="18" t="s">
        <v>1100</v>
      </c>
      <c r="G395" s="19">
        <v>3067721</v>
      </c>
      <c r="H395" s="18" t="s">
        <v>1100</v>
      </c>
      <c r="I395" s="19">
        <v>2464984</v>
      </c>
      <c r="J395" s="18" t="s">
        <v>1015</v>
      </c>
      <c r="K395" s="19">
        <v>2413.04</v>
      </c>
      <c r="L395" s="19">
        <v>248554</v>
      </c>
      <c r="M395" s="19">
        <v>22108</v>
      </c>
      <c r="N395" s="20">
        <v>0.0889</v>
      </c>
      <c r="O395" s="19">
        <v>0.11</v>
      </c>
      <c r="P395" s="19">
        <v>9.71</v>
      </c>
      <c r="Q395" s="19">
        <v>408</v>
      </c>
      <c r="R395" s="19">
        <v>20</v>
      </c>
      <c r="S395" s="19">
        <v>181</v>
      </c>
      <c r="T395" s="19">
        <v>104</v>
      </c>
      <c r="U395" s="19">
        <v>48</v>
      </c>
      <c r="V395" s="19">
        <v>761</v>
      </c>
      <c r="W395" s="19">
        <v>3.17</v>
      </c>
      <c r="X395" s="19">
        <v>0</v>
      </c>
      <c r="Y395" s="20">
        <v>0</v>
      </c>
      <c r="Z395" s="19">
        <v>60</v>
      </c>
      <c r="AA395" s="19">
        <v>12</v>
      </c>
      <c r="AB395" t="str">
        <f>VLOOKUP(E:E,笔记匹配!A:N,3,FALSE)</f>
        <v>爽姐腿特长</v>
      </c>
      <c r="AC395" t="str">
        <f>VLOOKUP(E:E,笔记匹配!A:N,2,FALSE)</f>
        <v>筋膜枪</v>
      </c>
      <c r="AD395" t="str">
        <f>VLOOKUP(E:E,笔记匹配!A:N,4,FALSE)</f>
        <v>云麦筋膜枪cc</v>
      </c>
      <c r="AE395" t="str">
        <f>VLOOKUP(E:E,笔记匹配!A:N,14,FALSE)</f>
        <v>云麦筋膜枪cc</v>
      </c>
      <c r="AF395" t="str">
        <f>VLOOKUP(E:E,笔记匹配!A:N,6,FALSE)</f>
        <v>筋膜枪有效放松|顽固肌肉腿有救了🦵</v>
      </c>
    </row>
    <row r="396" spans="1:32">
      <c r="A396" s="18" t="s">
        <v>46</v>
      </c>
      <c r="B396" s="18" t="s">
        <v>1102</v>
      </c>
      <c r="C396" s="19">
        <v>15688208</v>
      </c>
      <c r="D396" s="18" t="s">
        <v>196</v>
      </c>
      <c r="E396" s="18" t="s">
        <v>420</v>
      </c>
      <c r="F396" s="18" t="s">
        <v>1103</v>
      </c>
      <c r="G396" s="19">
        <v>3068565</v>
      </c>
      <c r="H396" s="18" t="s">
        <v>1104</v>
      </c>
      <c r="I396" s="19">
        <v>2465715</v>
      </c>
      <c r="J396" s="18" t="s">
        <v>1015</v>
      </c>
      <c r="K396" s="19">
        <v>936.74</v>
      </c>
      <c r="L396" s="19">
        <v>19617</v>
      </c>
      <c r="M396" s="19">
        <v>961</v>
      </c>
      <c r="N396" s="20">
        <v>0.049</v>
      </c>
      <c r="O396" s="19">
        <v>0.97</v>
      </c>
      <c r="P396" s="19">
        <v>47.75</v>
      </c>
      <c r="Q396" s="19">
        <v>11</v>
      </c>
      <c r="R396" s="19">
        <v>0</v>
      </c>
      <c r="S396" s="19">
        <v>3</v>
      </c>
      <c r="T396" s="19">
        <v>2</v>
      </c>
      <c r="U396" s="19">
        <v>1</v>
      </c>
      <c r="V396" s="19">
        <v>17</v>
      </c>
      <c r="W396" s="19">
        <v>55.1</v>
      </c>
      <c r="X396" s="19">
        <v>0</v>
      </c>
      <c r="Y396" s="20">
        <v>0</v>
      </c>
      <c r="Z396" s="19">
        <v>1</v>
      </c>
      <c r="AA396" s="19">
        <v>1</v>
      </c>
      <c r="AB396" t="str">
        <f>VLOOKUP(E:E,笔记匹配!A:N,3,FALSE)</f>
        <v>干坐着的小瑶</v>
      </c>
      <c r="AC396" t="str">
        <f>VLOOKUP(E:E,笔记匹配!A:N,2,FALSE)</f>
        <v>筋膜枪</v>
      </c>
      <c r="AD396" t="str">
        <f>VLOOKUP(E:E,笔记匹配!A:N,4,FALSE)</f>
        <v>云麦cc筋膜枪</v>
      </c>
      <c r="AE396" t="str">
        <f>VLOOKUP(E:E,笔记匹配!A:N,14,FALSE)</f>
        <v>云麦筋膜枪cc</v>
      </c>
      <c r="AF396" t="str">
        <f>VLOOKUP(E:E,笔记匹配!A:N,6,FALSE)</f>
        <v>筋膜枪🆚泡沫轴🆚筋膜球，怎么选❓哪个好❓</v>
      </c>
    </row>
    <row r="397" spans="1:32">
      <c r="A397" s="18" t="s">
        <v>46</v>
      </c>
      <c r="B397" s="18" t="s">
        <v>1107</v>
      </c>
      <c r="C397" s="19">
        <v>15732722</v>
      </c>
      <c r="D397" s="18" t="s">
        <v>196</v>
      </c>
      <c r="E397" s="18" t="s">
        <v>483</v>
      </c>
      <c r="F397" s="18" t="s">
        <v>1108</v>
      </c>
      <c r="G397" s="19">
        <v>3076866</v>
      </c>
      <c r="H397" s="18" t="s">
        <v>1109</v>
      </c>
      <c r="I397" s="19">
        <v>2473013</v>
      </c>
      <c r="J397" s="18" t="s">
        <v>1015</v>
      </c>
      <c r="K397" s="19">
        <v>304.85</v>
      </c>
      <c r="L397" s="19">
        <v>9340</v>
      </c>
      <c r="M397" s="19">
        <v>683</v>
      </c>
      <c r="N397" s="20">
        <v>0.0731</v>
      </c>
      <c r="O397" s="19">
        <v>0.45</v>
      </c>
      <c r="P397" s="19">
        <v>32.64</v>
      </c>
      <c r="Q397" s="19">
        <v>12</v>
      </c>
      <c r="R397" s="19">
        <v>1</v>
      </c>
      <c r="S397" s="19">
        <v>13</v>
      </c>
      <c r="T397" s="19">
        <v>0</v>
      </c>
      <c r="U397" s="19">
        <v>0</v>
      </c>
      <c r="V397" s="19">
        <v>26</v>
      </c>
      <c r="W397" s="19">
        <v>11.73</v>
      </c>
      <c r="X397" s="19">
        <v>0</v>
      </c>
      <c r="Y397" s="20">
        <v>0</v>
      </c>
      <c r="Z397" s="19">
        <v>7</v>
      </c>
      <c r="AA397" s="19">
        <v>8</v>
      </c>
      <c r="AB397" t="str">
        <f>VLOOKUP(E:E,笔记匹配!A:N,3,FALSE)</f>
        <v>六月炎妍</v>
      </c>
      <c r="AC397" t="str">
        <f>VLOOKUP(E:E,笔记匹配!A:N,2,FALSE)</f>
        <v>体脂秤</v>
      </c>
      <c r="AD397" t="str">
        <f>VLOOKUP(E:E,笔记匹配!A:N,4,FALSE)</f>
        <v>云麦3mini</v>
      </c>
      <c r="AE397" t="str">
        <f>VLOOKUP(E:E,笔记匹配!A:N,14,FALSE)</f>
        <v>云麦体脂秤3mini</v>
      </c>
      <c r="AF397" t="str">
        <f>VLOOKUP(E:E,笔记匹配!A:N,6,FALSE)</f>
        <v>体脂秤监测|瘦了23斤的经验无保留分享</v>
      </c>
    </row>
    <row r="398" spans="1:32">
      <c r="A398" s="18" t="s">
        <v>46</v>
      </c>
      <c r="B398" s="18" t="s">
        <v>1111</v>
      </c>
      <c r="C398" s="19">
        <v>15734437</v>
      </c>
      <c r="D398" s="18" t="s">
        <v>196</v>
      </c>
      <c r="E398" s="18" t="s">
        <v>549</v>
      </c>
      <c r="F398" s="18" t="s">
        <v>1112</v>
      </c>
      <c r="G398" s="19">
        <v>3077376</v>
      </c>
      <c r="H398" s="18" t="s">
        <v>1112</v>
      </c>
      <c r="I398" s="19">
        <v>2473298</v>
      </c>
      <c r="J398" s="18" t="s">
        <v>1015</v>
      </c>
      <c r="K398" s="19">
        <v>910.32</v>
      </c>
      <c r="L398" s="19">
        <v>23977</v>
      </c>
      <c r="M398" s="19">
        <v>1323</v>
      </c>
      <c r="N398" s="20">
        <v>0.0552</v>
      </c>
      <c r="O398" s="19">
        <v>0.69</v>
      </c>
      <c r="P398" s="19">
        <v>37.97</v>
      </c>
      <c r="Q398" s="19">
        <v>26</v>
      </c>
      <c r="R398" s="19">
        <v>0</v>
      </c>
      <c r="S398" s="19">
        <v>16</v>
      </c>
      <c r="T398" s="19">
        <v>4</v>
      </c>
      <c r="U398" s="19">
        <v>1</v>
      </c>
      <c r="V398" s="19">
        <v>47</v>
      </c>
      <c r="W398" s="19">
        <v>19.37</v>
      </c>
      <c r="X398" s="19">
        <v>0</v>
      </c>
      <c r="Y398" s="20">
        <v>0</v>
      </c>
      <c r="Z398" s="19">
        <v>3</v>
      </c>
      <c r="AA398" s="19">
        <v>0</v>
      </c>
      <c r="AB398" t="str">
        <f>VLOOKUP(E:E,笔记匹配!A:N,3,FALSE)</f>
        <v>爽姐腿特长</v>
      </c>
      <c r="AC398" t="str">
        <f>VLOOKUP(E:E,笔记匹配!A:N,2,FALSE)</f>
        <v>筋膜枪</v>
      </c>
      <c r="AD398" t="str">
        <f>VLOOKUP(E:E,笔记匹配!A:N,4,FALSE)</f>
        <v>云麦筋膜枪cc</v>
      </c>
      <c r="AE398" t="str">
        <f>VLOOKUP(E:E,笔记匹配!A:N,14,FALSE)</f>
        <v>云麦筋膜枪cc</v>
      </c>
      <c r="AF398" t="str">
        <f>VLOOKUP(E:E,笔记匹配!A:N,6,FALSE)</f>
        <v>筋膜枪有效放松|顽固肌肉腿有救了🦵</v>
      </c>
    </row>
    <row r="399" spans="1:32">
      <c r="A399" s="18" t="s">
        <v>46</v>
      </c>
      <c r="B399" s="18" t="s">
        <v>1113</v>
      </c>
      <c r="C399" s="19">
        <v>15734941</v>
      </c>
      <c r="D399" s="18" t="s">
        <v>196</v>
      </c>
      <c r="E399" s="18" t="s">
        <v>312</v>
      </c>
      <c r="F399" s="18" t="s">
        <v>1114</v>
      </c>
      <c r="G399" s="19">
        <v>3077590</v>
      </c>
      <c r="H399" s="18" t="s">
        <v>1114</v>
      </c>
      <c r="I399" s="19">
        <v>2473348</v>
      </c>
      <c r="J399" s="18" t="s">
        <v>1015</v>
      </c>
      <c r="K399" s="19">
        <v>2029.34</v>
      </c>
      <c r="L399" s="19">
        <v>35160</v>
      </c>
      <c r="M399" s="19">
        <v>1477</v>
      </c>
      <c r="N399" s="20">
        <v>0.042</v>
      </c>
      <c r="O399" s="19">
        <v>1.37</v>
      </c>
      <c r="P399" s="19">
        <v>57.72</v>
      </c>
      <c r="Q399" s="19">
        <v>67</v>
      </c>
      <c r="R399" s="19">
        <v>0</v>
      </c>
      <c r="S399" s="19">
        <v>41</v>
      </c>
      <c r="T399" s="19">
        <v>2</v>
      </c>
      <c r="U399" s="19">
        <v>2</v>
      </c>
      <c r="V399" s="19">
        <v>112</v>
      </c>
      <c r="W399" s="19">
        <v>18.12</v>
      </c>
      <c r="X399" s="19">
        <v>0</v>
      </c>
      <c r="Y399" s="20">
        <v>0</v>
      </c>
      <c r="Z399" s="19">
        <v>9</v>
      </c>
      <c r="AA399" s="19">
        <v>4</v>
      </c>
      <c r="AB399" t="str">
        <f>VLOOKUP(E:E,笔记匹配!A:N,3,FALSE)</f>
        <v>郝有金</v>
      </c>
      <c r="AC399" t="str">
        <f>VLOOKUP(E:E,笔记匹配!A:N,2,FALSE)</f>
        <v>筋膜枪</v>
      </c>
      <c r="AD399" t="str">
        <f>VLOOKUP(E:E,笔记匹配!A:N,4,FALSE)</f>
        <v>云麦cc筋膜枪</v>
      </c>
      <c r="AE399" t="str">
        <f>VLOOKUP(E:E,笔记匹配!A:N,14,FALSE)</f>
        <v>云麦筋膜枪cc</v>
      </c>
      <c r="AF399" t="str">
        <f>VLOOKUP(E:E,笔记匹配!A:N,6,FALSE)</f>
        <v>别用错❗️筋膜枪正确使用方法，不同肌肉部位放松大全</v>
      </c>
    </row>
    <row r="400" spans="1:32">
      <c r="A400" s="18" t="s">
        <v>46</v>
      </c>
      <c r="B400" s="18" t="s">
        <v>740</v>
      </c>
      <c r="C400" s="19">
        <v>15804098</v>
      </c>
      <c r="D400" s="18" t="s">
        <v>209</v>
      </c>
      <c r="E400" s="18" t="s">
        <v>473</v>
      </c>
      <c r="F400" s="18" t="s">
        <v>1119</v>
      </c>
      <c r="G400" s="19">
        <v>3087955</v>
      </c>
      <c r="H400" s="18" t="s">
        <v>1119</v>
      </c>
      <c r="I400" s="19">
        <v>2483370</v>
      </c>
      <c r="J400" s="18" t="s">
        <v>1015</v>
      </c>
      <c r="K400" s="19">
        <v>0</v>
      </c>
      <c r="L400" s="19">
        <v>0</v>
      </c>
      <c r="M400" s="19">
        <v>0</v>
      </c>
      <c r="N400" s="20">
        <v>0</v>
      </c>
      <c r="O400" s="19">
        <v>0</v>
      </c>
      <c r="P400" s="19">
        <v>0</v>
      </c>
      <c r="Q400" s="19">
        <v>0</v>
      </c>
      <c r="R400" s="19">
        <v>0</v>
      </c>
      <c r="S400" s="19">
        <v>0</v>
      </c>
      <c r="T400" s="19">
        <v>0</v>
      </c>
      <c r="U400" s="19">
        <v>0</v>
      </c>
      <c r="V400" s="19">
        <v>0</v>
      </c>
      <c r="W400" s="19">
        <v>0</v>
      </c>
      <c r="X400" s="19">
        <v>0</v>
      </c>
      <c r="Y400" s="20">
        <v>0</v>
      </c>
      <c r="Z400" s="19">
        <v>0</v>
      </c>
      <c r="AA400" s="19">
        <v>0</v>
      </c>
      <c r="AB400" t="str">
        <f>VLOOKUP(E:E,笔记匹配!A:N,3,FALSE)</f>
        <v>茜茜子</v>
      </c>
      <c r="AC400" t="str">
        <f>VLOOKUP(E:E,笔记匹配!A:N,2,FALSE)</f>
        <v>体脂秤</v>
      </c>
      <c r="AD400" t="str">
        <f>VLOOKUP(E:E,笔记匹配!A:N,4,FALSE)</f>
        <v>云麦3mini体脂秤</v>
      </c>
      <c r="AE400" t="str">
        <f>VLOOKUP(E:E,笔记匹配!A:N,14,FALSE)</f>
        <v>云麦体脂秤3mini</v>
      </c>
      <c r="AF400" t="str">
        <f>VLOOKUP(E:E,笔记匹配!A:N,6,FALSE)</f>
        <v>我真的很会瘦肚子❗️</v>
      </c>
    </row>
    <row r="401" spans="1:32">
      <c r="A401" s="18" t="s">
        <v>46</v>
      </c>
      <c r="B401" s="18" t="s">
        <v>748</v>
      </c>
      <c r="C401" s="19">
        <v>15804284</v>
      </c>
      <c r="D401" s="18" t="s">
        <v>209</v>
      </c>
      <c r="E401" s="18" t="s">
        <v>449</v>
      </c>
      <c r="F401" s="18" t="s">
        <v>1120</v>
      </c>
      <c r="G401" s="19">
        <v>3087971</v>
      </c>
      <c r="H401" s="18" t="s">
        <v>1120</v>
      </c>
      <c r="I401" s="19">
        <v>2483385</v>
      </c>
      <c r="J401" s="18" t="s">
        <v>1015</v>
      </c>
      <c r="K401" s="19">
        <v>0</v>
      </c>
      <c r="L401" s="19">
        <v>0</v>
      </c>
      <c r="M401" s="19">
        <v>0</v>
      </c>
      <c r="N401" s="20">
        <v>0</v>
      </c>
      <c r="O401" s="19">
        <v>0</v>
      </c>
      <c r="P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20">
        <v>0</v>
      </c>
      <c r="Z401" s="19">
        <v>0</v>
      </c>
      <c r="AA401" s="19">
        <v>0</v>
      </c>
      <c r="AB401" t="str">
        <f>VLOOKUP(E:E,笔记匹配!A:N,3,FALSE)</f>
        <v>Celine丹丹</v>
      </c>
      <c r="AC401" t="str">
        <f>VLOOKUP(E:E,笔记匹配!A:N,2,FALSE)</f>
        <v>筋膜枪</v>
      </c>
      <c r="AD401" t="str">
        <f>VLOOKUP(E:E,笔记匹配!A:N,4,FALSE)</f>
        <v>云麦cc筋膜枪</v>
      </c>
      <c r="AE401" t="str">
        <f>VLOOKUP(E:E,笔记匹配!A:N,14,FALSE)</f>
        <v>云麦筋膜枪cc</v>
      </c>
      <c r="AF401" t="str">
        <f>VLOOKUP(E:E,笔记匹配!A:N,6,FALSE)</f>
        <v>不服不行,练完手臂抖到根本停不下来‼️</v>
      </c>
    </row>
    <row r="402" spans="1:32">
      <c r="A402" s="18" t="s">
        <v>46</v>
      </c>
      <c r="B402" s="18" t="s">
        <v>737</v>
      </c>
      <c r="C402" s="19">
        <v>15804340</v>
      </c>
      <c r="D402" s="18" t="s">
        <v>209</v>
      </c>
      <c r="E402" s="18" t="s">
        <v>458</v>
      </c>
      <c r="F402" s="18" t="s">
        <v>1121</v>
      </c>
      <c r="G402" s="19">
        <v>3087973</v>
      </c>
      <c r="H402" s="18" t="s">
        <v>1121</v>
      </c>
      <c r="I402" s="19">
        <v>2483391</v>
      </c>
      <c r="J402" s="18" t="s">
        <v>1015</v>
      </c>
      <c r="K402" s="19">
        <v>393.18</v>
      </c>
      <c r="L402" s="19">
        <v>31037</v>
      </c>
      <c r="M402" s="19">
        <v>2267</v>
      </c>
      <c r="N402" s="20">
        <v>0.073</v>
      </c>
      <c r="O402" s="19">
        <v>0.17</v>
      </c>
      <c r="P402" s="19">
        <v>12.67</v>
      </c>
      <c r="Q402" s="19">
        <v>75</v>
      </c>
      <c r="R402" s="19">
        <v>3</v>
      </c>
      <c r="S402" s="19">
        <v>47</v>
      </c>
      <c r="T402" s="19">
        <v>13</v>
      </c>
      <c r="U402" s="19">
        <v>4</v>
      </c>
      <c r="V402" s="19">
        <v>142</v>
      </c>
      <c r="W402" s="19">
        <v>2.77</v>
      </c>
      <c r="X402" s="19">
        <v>0</v>
      </c>
      <c r="Y402" s="20">
        <v>0</v>
      </c>
      <c r="Z402" s="19">
        <v>13</v>
      </c>
      <c r="AA402" s="19">
        <v>0</v>
      </c>
      <c r="AB402" t="str">
        <f>VLOOKUP(E:E,笔记匹配!A:N,3,FALSE)</f>
        <v>林菀桃桃</v>
      </c>
      <c r="AC402" t="str">
        <f>VLOOKUP(E:E,笔记匹配!A:N,2,FALSE)</f>
        <v>筋膜枪</v>
      </c>
      <c r="AD402" t="str">
        <f>VLOOKUP(E:E,笔记匹配!A:N,4,FALSE)</f>
        <v>云麦cc筋膜枪</v>
      </c>
      <c r="AE402" t="str">
        <f>VLOOKUP(E:E,笔记匹配!A:N,14,FALSE)</f>
        <v>云麦筋膜枪cc</v>
      </c>
      <c r="AF402" t="str">
        <f>VLOOKUP(E:E,笔记匹配!A:N,6,FALSE)</f>
        <v>vlog饱满蜜桃+提高臀线+筋膜枪放松胫骨前肌</v>
      </c>
    </row>
    <row r="403" spans="1:32">
      <c r="A403" s="18" t="s">
        <v>46</v>
      </c>
      <c r="B403" s="18" t="s">
        <v>757</v>
      </c>
      <c r="C403" s="19">
        <v>15867913</v>
      </c>
      <c r="D403" s="18" t="s">
        <v>209</v>
      </c>
      <c r="E403" s="18" t="s">
        <v>468</v>
      </c>
      <c r="F403" s="18" t="s">
        <v>1124</v>
      </c>
      <c r="G403" s="19">
        <v>3099180</v>
      </c>
      <c r="H403" s="18" t="s">
        <v>1124</v>
      </c>
      <c r="I403" s="19">
        <v>2494227</v>
      </c>
      <c r="J403" s="18" t="s">
        <v>1015</v>
      </c>
      <c r="K403" s="19">
        <v>791.01</v>
      </c>
      <c r="L403" s="19">
        <v>51316</v>
      </c>
      <c r="M403" s="19">
        <v>3922</v>
      </c>
      <c r="N403" s="20">
        <v>0.0764</v>
      </c>
      <c r="O403" s="19">
        <v>0.2</v>
      </c>
      <c r="P403" s="19">
        <v>15.41</v>
      </c>
      <c r="Q403" s="19">
        <v>507</v>
      </c>
      <c r="R403" s="19">
        <v>2</v>
      </c>
      <c r="S403" s="19">
        <v>617</v>
      </c>
      <c r="T403" s="19">
        <v>41</v>
      </c>
      <c r="U403" s="19">
        <v>34</v>
      </c>
      <c r="V403" s="19">
        <v>1201</v>
      </c>
      <c r="W403" s="19">
        <v>0.66</v>
      </c>
      <c r="X403" s="19">
        <v>0</v>
      </c>
      <c r="Y403" s="20">
        <v>0</v>
      </c>
      <c r="Z403" s="19">
        <v>12</v>
      </c>
      <c r="AA403" s="19">
        <v>0</v>
      </c>
      <c r="AB403" t="str">
        <f>VLOOKUP(E:E,笔记匹配!A:N,3,FALSE)</f>
        <v>生椰黎子yoga</v>
      </c>
      <c r="AC403" t="str">
        <f>VLOOKUP(E:E,笔记匹配!A:N,2,FALSE)</f>
        <v>体脂秤</v>
      </c>
      <c r="AD403" t="str">
        <f>VLOOKUP(E:E,笔记匹配!A:N,4,FALSE)</f>
        <v>云麦体脂秤3mini</v>
      </c>
      <c r="AE403" t="str">
        <f>VLOOKUP(E:E,笔记匹配!A:N,14,FALSE)</f>
        <v>云麦体脂秤3mini</v>
      </c>
      <c r="AF403" t="str">
        <f>VLOOKUP(E:E,笔记匹配!A:N,6,FALSE)</f>
        <v>超🔥极速瘦肚子！太有用了‼️6分钟紧致腰腹</v>
      </c>
    </row>
    <row r="404" spans="1:32">
      <c r="A404" s="18" t="s">
        <v>46</v>
      </c>
      <c r="B404" s="18" t="s">
        <v>760</v>
      </c>
      <c r="C404" s="19">
        <v>15869599</v>
      </c>
      <c r="D404" s="18" t="s">
        <v>209</v>
      </c>
      <c r="E404" s="18" t="s">
        <v>466</v>
      </c>
      <c r="F404" s="18" t="s">
        <v>1126</v>
      </c>
      <c r="G404" s="19">
        <v>3099720</v>
      </c>
      <c r="H404" s="18" t="s">
        <v>1126</v>
      </c>
      <c r="I404" s="19">
        <v>2494738</v>
      </c>
      <c r="J404" s="18" t="s">
        <v>1015</v>
      </c>
      <c r="K404" s="19">
        <v>503.44</v>
      </c>
      <c r="L404" s="19">
        <v>83947</v>
      </c>
      <c r="M404" s="19">
        <v>5260</v>
      </c>
      <c r="N404" s="20">
        <v>0.0627</v>
      </c>
      <c r="O404" s="19">
        <v>0.1</v>
      </c>
      <c r="P404" s="19">
        <v>6</v>
      </c>
      <c r="Q404" s="19">
        <v>56</v>
      </c>
      <c r="R404" s="19">
        <v>3</v>
      </c>
      <c r="S404" s="19">
        <v>28</v>
      </c>
      <c r="T404" s="19">
        <v>0</v>
      </c>
      <c r="U404" s="19">
        <v>15</v>
      </c>
      <c r="V404" s="19">
        <v>102</v>
      </c>
      <c r="W404" s="19">
        <v>4.94</v>
      </c>
      <c r="X404" s="19">
        <v>0</v>
      </c>
      <c r="Y404" s="20">
        <v>0</v>
      </c>
      <c r="Z404" s="19">
        <v>7</v>
      </c>
      <c r="AA404" s="19">
        <v>7</v>
      </c>
      <c r="AB404" t="str">
        <f>VLOOKUP(E:E,笔记匹配!A:N,3,FALSE)</f>
        <v>小胡的张张</v>
      </c>
      <c r="AC404" t="str">
        <f>VLOOKUP(E:E,笔记匹配!A:N,2,FALSE)</f>
        <v>筋膜枪</v>
      </c>
      <c r="AD404" t="str">
        <f>VLOOKUP(E:E,笔记匹配!A:N,4,FALSE)</f>
        <v>云麦cc筋膜枪</v>
      </c>
      <c r="AE404" t="str">
        <f>VLOOKUP(E:E,笔记匹配!A:N,14,FALSE)</f>
        <v>云麦筋膜枪cc</v>
      </c>
      <c r="AF404" t="str">
        <f>VLOOKUP(E:E,笔记匹配!A:N,6,FALSE)</f>
        <v>筋膜枪正确使用指南️⚠️千万别乱用！</v>
      </c>
    </row>
    <row r="405" spans="1:32">
      <c r="A405" s="18" t="s">
        <v>46</v>
      </c>
      <c r="B405" s="18" t="s">
        <v>763</v>
      </c>
      <c r="C405" s="19">
        <v>15993169</v>
      </c>
      <c r="D405" s="18" t="s">
        <v>209</v>
      </c>
      <c r="E405" s="18" t="s">
        <v>455</v>
      </c>
      <c r="F405" s="18" t="s">
        <v>1127</v>
      </c>
      <c r="G405" s="19">
        <v>3118218</v>
      </c>
      <c r="H405" s="18" t="s">
        <v>1127</v>
      </c>
      <c r="I405" s="19">
        <v>2512637</v>
      </c>
      <c r="J405" s="18" t="s">
        <v>1015</v>
      </c>
      <c r="K405" s="19">
        <v>76.77</v>
      </c>
      <c r="L405" s="19">
        <v>24991</v>
      </c>
      <c r="M405" s="19">
        <v>237</v>
      </c>
      <c r="N405" s="20">
        <v>0.0095</v>
      </c>
      <c r="O405" s="19">
        <v>0.32</v>
      </c>
      <c r="P405" s="19">
        <v>3.07</v>
      </c>
      <c r="Q405" s="19">
        <v>16</v>
      </c>
      <c r="R405" s="19">
        <v>0</v>
      </c>
      <c r="S405" s="19">
        <v>9</v>
      </c>
      <c r="T405" s="19">
        <v>0</v>
      </c>
      <c r="U405" s="19">
        <v>1</v>
      </c>
      <c r="V405" s="19">
        <v>26</v>
      </c>
      <c r="W405" s="19">
        <v>2.95</v>
      </c>
      <c r="X405" s="19">
        <v>0</v>
      </c>
      <c r="Y405" s="20">
        <v>0</v>
      </c>
      <c r="Z405" s="19">
        <v>0</v>
      </c>
      <c r="AA405" s="19">
        <v>1</v>
      </c>
      <c r="AB405" t="str">
        <f>VLOOKUP(E:E,笔记匹配!A:N,3,FALSE)</f>
        <v>Shirley小蕾</v>
      </c>
      <c r="AC405" t="str">
        <f>VLOOKUP(E:E,笔记匹配!A:N,2,FALSE)</f>
        <v>筋膜枪</v>
      </c>
      <c r="AD405" t="str">
        <f>VLOOKUP(E:E,笔记匹配!A:N,4,FALSE)</f>
        <v>云麦CC筋膜枪</v>
      </c>
      <c r="AE405" t="str">
        <f>VLOOKUP(E:E,笔记匹配!A:N,14,FALSE)</f>
        <v>云麦筋膜枪cc</v>
      </c>
      <c r="AF405" t="str">
        <f>VLOOKUP(E:E,笔记匹配!A:N,6,FALSE)</f>
        <v>1分钟写完期末学生评语🔥放松好物筋膜枪</v>
      </c>
    </row>
    <row r="406" spans="1:32">
      <c r="A406" s="18" t="s">
        <v>47</v>
      </c>
      <c r="B406" s="18" t="s">
        <v>680</v>
      </c>
      <c r="C406" s="19">
        <v>14978184</v>
      </c>
      <c r="D406" s="18" t="s">
        <v>209</v>
      </c>
      <c r="E406" s="18" t="s">
        <v>513</v>
      </c>
      <c r="F406" s="18" t="s">
        <v>1062</v>
      </c>
      <c r="G406" s="19">
        <v>2984400</v>
      </c>
      <c r="H406" s="18" t="s">
        <v>1062</v>
      </c>
      <c r="I406" s="19">
        <v>2386169</v>
      </c>
      <c r="J406" s="18" t="s">
        <v>1015</v>
      </c>
      <c r="K406" s="19">
        <v>0</v>
      </c>
      <c r="L406" s="19">
        <v>0</v>
      </c>
      <c r="M406" s="19">
        <v>0</v>
      </c>
      <c r="N406" s="20">
        <v>0</v>
      </c>
      <c r="O406" s="19">
        <v>0</v>
      </c>
      <c r="P406" s="19">
        <v>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9">
        <v>0</v>
      </c>
      <c r="Y406" s="20">
        <v>0</v>
      </c>
      <c r="Z406" s="19">
        <v>0</v>
      </c>
      <c r="AA406" s="19">
        <v>0</v>
      </c>
      <c r="AB406" t="str">
        <f>VLOOKUP(E:E,笔记匹配!A:N,3,FALSE)</f>
        <v>大桐yoto</v>
      </c>
      <c r="AC406" t="str">
        <f>VLOOKUP(E:E,笔记匹配!A:N,2,FALSE)</f>
        <v>跳绳</v>
      </c>
      <c r="AD406" t="str">
        <f>VLOOKUP(E:E,笔记匹配!A:N,4,FALSE)</f>
        <v>云麦3mini</v>
      </c>
      <c r="AE406" t="str">
        <f>VLOOKUP(E:E,笔记匹配!A:N,14,FALSE)</f>
        <v>云麦体脂秤3mini</v>
      </c>
      <c r="AF406" t="str">
        <f>VLOOKUP(E:E,笔记匹配!A:N,6,FALSE)</f>
        <v>减肥就是要饿｜饮食和运动的完整计划在这里</v>
      </c>
    </row>
    <row r="407" spans="1:32">
      <c r="A407" s="18" t="s">
        <v>47</v>
      </c>
      <c r="B407" s="18" t="s">
        <v>1086</v>
      </c>
      <c r="C407" s="19">
        <v>15248439</v>
      </c>
      <c r="D407" s="18" t="s">
        <v>196</v>
      </c>
      <c r="E407" s="18" t="s">
        <v>234</v>
      </c>
      <c r="F407" s="18" t="s">
        <v>1087</v>
      </c>
      <c r="G407" s="19">
        <v>3014779</v>
      </c>
      <c r="H407" s="18" t="s">
        <v>1088</v>
      </c>
      <c r="I407" s="19">
        <v>2412665</v>
      </c>
      <c r="J407" s="18" t="s">
        <v>1015</v>
      </c>
      <c r="K407" s="19">
        <v>1.93</v>
      </c>
      <c r="L407" s="19">
        <v>44</v>
      </c>
      <c r="M407" s="19">
        <v>4</v>
      </c>
      <c r="N407" s="20">
        <v>0.0909</v>
      </c>
      <c r="O407" s="19">
        <v>0.48</v>
      </c>
      <c r="P407" s="19">
        <v>43.86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0</v>
      </c>
      <c r="W407" s="19">
        <v>0</v>
      </c>
      <c r="X407" s="19">
        <v>0</v>
      </c>
      <c r="Y407" s="20">
        <v>0</v>
      </c>
      <c r="Z407" s="19">
        <v>0</v>
      </c>
      <c r="AA407" s="19">
        <v>0</v>
      </c>
      <c r="AB407" t="str">
        <f>VLOOKUP(E:E,笔记匹配!A:N,3,FALSE)</f>
        <v>pp</v>
      </c>
      <c r="AC407" t="str">
        <f>VLOOKUP(E:E,笔记匹配!A:N,2,FALSE)</f>
        <v>体脂秤</v>
      </c>
      <c r="AD407" t="str">
        <f>VLOOKUP(E:E,笔记匹配!A:N,4,FALSE)</f>
        <v>云麦体脂秤3mini</v>
      </c>
      <c r="AE407" t="str">
        <f>VLOOKUP(E:E,笔记匹配!A:N,14,FALSE)</f>
        <v>云麦体脂秤3mini</v>
      </c>
      <c r="AF407" t="str">
        <f>VLOOKUP(E:E,笔记匹配!A:N,6,FALSE)</f>
        <v>110到88 一些减肥小建议｜如何正确运动</v>
      </c>
    </row>
    <row r="408" spans="1:32">
      <c r="A408" s="18" t="s">
        <v>47</v>
      </c>
      <c r="B408" s="18" t="s">
        <v>231</v>
      </c>
      <c r="C408" s="19">
        <v>15248486</v>
      </c>
      <c r="D408" s="18" t="s">
        <v>209</v>
      </c>
      <c r="E408" s="18" t="s">
        <v>234</v>
      </c>
      <c r="F408" s="18" t="s">
        <v>1089</v>
      </c>
      <c r="G408" s="19">
        <v>3014783</v>
      </c>
      <c r="H408" s="18" t="s">
        <v>1089</v>
      </c>
      <c r="I408" s="19">
        <v>2412680</v>
      </c>
      <c r="J408" s="18" t="s">
        <v>1015</v>
      </c>
      <c r="K408" s="19">
        <v>9.77</v>
      </c>
      <c r="L408" s="19">
        <v>993</v>
      </c>
      <c r="M408" s="19">
        <v>77</v>
      </c>
      <c r="N408" s="20">
        <v>0.0775</v>
      </c>
      <c r="O408" s="19">
        <v>0.13</v>
      </c>
      <c r="P408" s="19">
        <v>9.84</v>
      </c>
      <c r="Q408" s="19">
        <v>2</v>
      </c>
      <c r="R408" s="19">
        <v>0</v>
      </c>
      <c r="S408" s="19">
        <v>1</v>
      </c>
      <c r="T408" s="19">
        <v>1</v>
      </c>
      <c r="U408" s="19">
        <v>0</v>
      </c>
      <c r="V408" s="19">
        <v>4</v>
      </c>
      <c r="W408" s="19">
        <v>2.44</v>
      </c>
      <c r="X408" s="19">
        <v>0</v>
      </c>
      <c r="Y408" s="20">
        <v>0</v>
      </c>
      <c r="Z408" s="19">
        <v>0</v>
      </c>
      <c r="AA408" s="19">
        <v>0</v>
      </c>
      <c r="AB408" t="str">
        <f>VLOOKUP(E:E,笔记匹配!A:N,3,FALSE)</f>
        <v>pp</v>
      </c>
      <c r="AC408" t="str">
        <f>VLOOKUP(E:E,笔记匹配!A:N,2,FALSE)</f>
        <v>体脂秤</v>
      </c>
      <c r="AD408" t="str">
        <f>VLOOKUP(E:E,笔记匹配!A:N,4,FALSE)</f>
        <v>云麦体脂秤3mini</v>
      </c>
      <c r="AE408" t="str">
        <f>VLOOKUP(E:E,笔记匹配!A:N,14,FALSE)</f>
        <v>云麦体脂秤3mini</v>
      </c>
      <c r="AF408" t="str">
        <f>VLOOKUP(E:E,笔记匹配!A:N,6,FALSE)</f>
        <v>110到88 一些减肥小建议｜如何正确运动</v>
      </c>
    </row>
    <row r="409" spans="1:32">
      <c r="A409" s="18" t="s">
        <v>47</v>
      </c>
      <c r="B409" s="18" t="s">
        <v>728</v>
      </c>
      <c r="C409" s="19">
        <v>15678633</v>
      </c>
      <c r="D409" s="18" t="s">
        <v>209</v>
      </c>
      <c r="E409" s="18" t="s">
        <v>483</v>
      </c>
      <c r="F409" s="18" t="s">
        <v>1097</v>
      </c>
      <c r="G409" s="19">
        <v>3067706</v>
      </c>
      <c r="H409" s="18" t="s">
        <v>1097</v>
      </c>
      <c r="I409" s="19">
        <v>2464957</v>
      </c>
      <c r="J409" s="18" t="s">
        <v>1015</v>
      </c>
      <c r="K409" s="19">
        <v>24.03</v>
      </c>
      <c r="L409" s="19">
        <v>1813</v>
      </c>
      <c r="M409" s="19">
        <v>257</v>
      </c>
      <c r="N409" s="20">
        <v>0.1418</v>
      </c>
      <c r="O409" s="19">
        <v>0.09</v>
      </c>
      <c r="P409" s="19">
        <v>13.25</v>
      </c>
      <c r="Q409" s="19">
        <v>9</v>
      </c>
      <c r="R409" s="19">
        <v>0</v>
      </c>
      <c r="S409" s="19">
        <v>4</v>
      </c>
      <c r="T409" s="19">
        <v>2</v>
      </c>
      <c r="U409" s="19">
        <v>0</v>
      </c>
      <c r="V409" s="19">
        <v>15</v>
      </c>
      <c r="W409" s="19">
        <v>1.6</v>
      </c>
      <c r="X409" s="19">
        <v>0</v>
      </c>
      <c r="Y409" s="20">
        <v>0</v>
      </c>
      <c r="Z409" s="19">
        <v>0</v>
      </c>
      <c r="AA409" s="19">
        <v>0</v>
      </c>
      <c r="AB409" t="str">
        <f>VLOOKUP(E:E,笔记匹配!A:N,3,FALSE)</f>
        <v>六月炎妍</v>
      </c>
      <c r="AC409" t="str">
        <f>VLOOKUP(E:E,笔记匹配!A:N,2,FALSE)</f>
        <v>体脂秤</v>
      </c>
      <c r="AD409" t="str">
        <f>VLOOKUP(E:E,笔记匹配!A:N,4,FALSE)</f>
        <v>云麦3mini</v>
      </c>
      <c r="AE409" t="str">
        <f>VLOOKUP(E:E,笔记匹配!A:N,14,FALSE)</f>
        <v>云麦体脂秤3mini</v>
      </c>
      <c r="AF409" t="str">
        <f>VLOOKUP(E:E,笔记匹配!A:N,6,FALSE)</f>
        <v>体脂秤监测|瘦了23斤的经验无保留分享</v>
      </c>
    </row>
    <row r="410" spans="1:32">
      <c r="A410" s="18" t="s">
        <v>47</v>
      </c>
      <c r="B410" s="18" t="s">
        <v>1099</v>
      </c>
      <c r="C410" s="19">
        <v>15678883</v>
      </c>
      <c r="D410" s="18" t="s">
        <v>209</v>
      </c>
      <c r="E410" s="18" t="s">
        <v>549</v>
      </c>
      <c r="F410" s="18" t="s">
        <v>1100</v>
      </c>
      <c r="G410" s="19">
        <v>3067721</v>
      </c>
      <c r="H410" s="18" t="s">
        <v>1100</v>
      </c>
      <c r="I410" s="19">
        <v>2464984</v>
      </c>
      <c r="J410" s="18" t="s">
        <v>1015</v>
      </c>
      <c r="K410" s="19">
        <v>49.47</v>
      </c>
      <c r="L410" s="19">
        <v>4244</v>
      </c>
      <c r="M410" s="19">
        <v>550</v>
      </c>
      <c r="N410" s="20">
        <v>0.1296</v>
      </c>
      <c r="O410" s="19">
        <v>0.09</v>
      </c>
      <c r="P410" s="19">
        <v>11.66</v>
      </c>
      <c r="Q410" s="19">
        <v>15</v>
      </c>
      <c r="R410" s="19">
        <v>1</v>
      </c>
      <c r="S410" s="19">
        <v>5</v>
      </c>
      <c r="T410" s="19">
        <v>2</v>
      </c>
      <c r="U410" s="19">
        <v>1</v>
      </c>
      <c r="V410" s="19">
        <v>24</v>
      </c>
      <c r="W410" s="19">
        <v>2.06</v>
      </c>
      <c r="X410" s="19">
        <v>0</v>
      </c>
      <c r="Y410" s="20">
        <v>0</v>
      </c>
      <c r="Z410" s="19">
        <v>0</v>
      </c>
      <c r="AA410" s="19">
        <v>0</v>
      </c>
      <c r="AB410" t="str">
        <f>VLOOKUP(E:E,笔记匹配!A:N,3,FALSE)</f>
        <v>爽姐腿特长</v>
      </c>
      <c r="AC410" t="str">
        <f>VLOOKUP(E:E,笔记匹配!A:N,2,FALSE)</f>
        <v>筋膜枪</v>
      </c>
      <c r="AD410" t="str">
        <f>VLOOKUP(E:E,笔记匹配!A:N,4,FALSE)</f>
        <v>云麦筋膜枪cc</v>
      </c>
      <c r="AE410" t="str">
        <f>VLOOKUP(E:E,笔记匹配!A:N,14,FALSE)</f>
        <v>云麦筋膜枪cc</v>
      </c>
      <c r="AF410" t="str">
        <f>VLOOKUP(E:E,笔记匹配!A:N,6,FALSE)</f>
        <v>筋膜枪有效放松|顽固肌肉腿有救了🦵</v>
      </c>
    </row>
    <row r="411" spans="1:32">
      <c r="A411" s="18" t="s">
        <v>47</v>
      </c>
      <c r="B411" s="18" t="s">
        <v>1102</v>
      </c>
      <c r="C411" s="19">
        <v>15688208</v>
      </c>
      <c r="D411" s="18" t="s">
        <v>196</v>
      </c>
      <c r="E411" s="18" t="s">
        <v>420</v>
      </c>
      <c r="F411" s="18" t="s">
        <v>1103</v>
      </c>
      <c r="G411" s="19">
        <v>3068565</v>
      </c>
      <c r="H411" s="18" t="s">
        <v>1104</v>
      </c>
      <c r="I411" s="19">
        <v>2465715</v>
      </c>
      <c r="J411" s="18" t="s">
        <v>1015</v>
      </c>
      <c r="K411" s="19">
        <v>3.79</v>
      </c>
      <c r="L411" s="19">
        <v>123</v>
      </c>
      <c r="M411" s="19">
        <v>7</v>
      </c>
      <c r="N411" s="20">
        <v>0.0569</v>
      </c>
      <c r="O411" s="19">
        <v>0.54</v>
      </c>
      <c r="P411" s="19">
        <v>30.81</v>
      </c>
      <c r="Q411" s="19">
        <v>0</v>
      </c>
      <c r="R411" s="19">
        <v>0</v>
      </c>
      <c r="S411" s="19">
        <v>0</v>
      </c>
      <c r="T411" s="19">
        <v>0</v>
      </c>
      <c r="U411" s="19">
        <v>0</v>
      </c>
      <c r="V411" s="19">
        <v>0</v>
      </c>
      <c r="W411" s="19">
        <v>0</v>
      </c>
      <c r="X411" s="19">
        <v>0</v>
      </c>
      <c r="Y411" s="20">
        <v>0</v>
      </c>
      <c r="Z411" s="19">
        <v>0</v>
      </c>
      <c r="AA411" s="19">
        <v>0</v>
      </c>
      <c r="AB411" t="str">
        <f>VLOOKUP(E:E,笔记匹配!A:N,3,FALSE)</f>
        <v>干坐着的小瑶</v>
      </c>
      <c r="AC411" t="str">
        <f>VLOOKUP(E:E,笔记匹配!A:N,2,FALSE)</f>
        <v>筋膜枪</v>
      </c>
      <c r="AD411" t="str">
        <f>VLOOKUP(E:E,笔记匹配!A:N,4,FALSE)</f>
        <v>云麦cc筋膜枪</v>
      </c>
      <c r="AE411" t="str">
        <f>VLOOKUP(E:E,笔记匹配!A:N,14,FALSE)</f>
        <v>云麦筋膜枪cc</v>
      </c>
      <c r="AF411" t="str">
        <f>VLOOKUP(E:E,笔记匹配!A:N,6,FALSE)</f>
        <v>筋膜枪🆚泡沫轴🆚筋膜球，怎么选❓哪个好❓</v>
      </c>
    </row>
    <row r="412" spans="1:32">
      <c r="A412" s="18" t="s">
        <v>47</v>
      </c>
      <c r="B412" s="18" t="s">
        <v>1107</v>
      </c>
      <c r="C412" s="19">
        <v>15732722</v>
      </c>
      <c r="D412" s="18" t="s">
        <v>196</v>
      </c>
      <c r="E412" s="18" t="s">
        <v>483</v>
      </c>
      <c r="F412" s="18" t="s">
        <v>1108</v>
      </c>
      <c r="G412" s="19">
        <v>3076866</v>
      </c>
      <c r="H412" s="18" t="s">
        <v>1109</v>
      </c>
      <c r="I412" s="19">
        <v>2473013</v>
      </c>
      <c r="J412" s="18" t="s">
        <v>1015</v>
      </c>
      <c r="K412" s="19">
        <v>0</v>
      </c>
      <c r="L412" s="19">
        <v>36</v>
      </c>
      <c r="M412" s="19">
        <v>0</v>
      </c>
      <c r="N412" s="20">
        <v>0</v>
      </c>
      <c r="O412" s="19">
        <v>0</v>
      </c>
      <c r="P412" s="19">
        <v>0</v>
      </c>
      <c r="Q412" s="19">
        <v>0</v>
      </c>
      <c r="R412" s="19">
        <v>0</v>
      </c>
      <c r="S412" s="19">
        <v>0</v>
      </c>
      <c r="T412" s="19">
        <v>0</v>
      </c>
      <c r="U412" s="19">
        <v>0</v>
      </c>
      <c r="V412" s="19">
        <v>0</v>
      </c>
      <c r="W412" s="19">
        <v>0</v>
      </c>
      <c r="X412" s="19">
        <v>0</v>
      </c>
      <c r="Y412" s="20">
        <v>0</v>
      </c>
      <c r="Z412" s="19">
        <v>0</v>
      </c>
      <c r="AA412" s="19">
        <v>0</v>
      </c>
      <c r="AB412" t="str">
        <f>VLOOKUP(E:E,笔记匹配!A:N,3,FALSE)</f>
        <v>六月炎妍</v>
      </c>
      <c r="AC412" t="str">
        <f>VLOOKUP(E:E,笔记匹配!A:N,2,FALSE)</f>
        <v>体脂秤</v>
      </c>
      <c r="AD412" t="str">
        <f>VLOOKUP(E:E,笔记匹配!A:N,4,FALSE)</f>
        <v>云麦3mini</v>
      </c>
      <c r="AE412" t="str">
        <f>VLOOKUP(E:E,笔记匹配!A:N,14,FALSE)</f>
        <v>云麦体脂秤3mini</v>
      </c>
      <c r="AF412" t="str">
        <f>VLOOKUP(E:E,笔记匹配!A:N,6,FALSE)</f>
        <v>体脂秤监测|瘦了23斤的经验无保留分享</v>
      </c>
    </row>
    <row r="413" spans="1:32">
      <c r="A413" s="18" t="s">
        <v>47</v>
      </c>
      <c r="B413" s="18" t="s">
        <v>1111</v>
      </c>
      <c r="C413" s="19">
        <v>15734437</v>
      </c>
      <c r="D413" s="18" t="s">
        <v>196</v>
      </c>
      <c r="E413" s="18" t="s">
        <v>549</v>
      </c>
      <c r="F413" s="18" t="s">
        <v>1112</v>
      </c>
      <c r="G413" s="19">
        <v>3077376</v>
      </c>
      <c r="H413" s="18" t="s">
        <v>1112</v>
      </c>
      <c r="I413" s="19">
        <v>2473298</v>
      </c>
      <c r="J413" s="18" t="s">
        <v>1015</v>
      </c>
      <c r="K413" s="19">
        <v>1.04</v>
      </c>
      <c r="L413" s="19">
        <v>57</v>
      </c>
      <c r="M413" s="19">
        <v>1</v>
      </c>
      <c r="N413" s="20">
        <v>0.0175</v>
      </c>
      <c r="O413" s="19">
        <v>1.04</v>
      </c>
      <c r="P413" s="19">
        <v>18.25</v>
      </c>
      <c r="Q413" s="19">
        <v>0</v>
      </c>
      <c r="R413" s="19">
        <v>0</v>
      </c>
      <c r="S413" s="19">
        <v>0</v>
      </c>
      <c r="T413" s="19">
        <v>0</v>
      </c>
      <c r="U413" s="19">
        <v>0</v>
      </c>
      <c r="V413" s="19">
        <v>0</v>
      </c>
      <c r="W413" s="19">
        <v>0</v>
      </c>
      <c r="X413" s="19">
        <v>0</v>
      </c>
      <c r="Y413" s="20">
        <v>0</v>
      </c>
      <c r="Z413" s="19">
        <v>0</v>
      </c>
      <c r="AA413" s="19">
        <v>0</v>
      </c>
      <c r="AB413" t="str">
        <f>VLOOKUP(E:E,笔记匹配!A:N,3,FALSE)</f>
        <v>爽姐腿特长</v>
      </c>
      <c r="AC413" t="str">
        <f>VLOOKUP(E:E,笔记匹配!A:N,2,FALSE)</f>
        <v>筋膜枪</v>
      </c>
      <c r="AD413" t="str">
        <f>VLOOKUP(E:E,笔记匹配!A:N,4,FALSE)</f>
        <v>云麦筋膜枪cc</v>
      </c>
      <c r="AE413" t="str">
        <f>VLOOKUP(E:E,笔记匹配!A:N,14,FALSE)</f>
        <v>云麦筋膜枪cc</v>
      </c>
      <c r="AF413" t="str">
        <f>VLOOKUP(E:E,笔记匹配!A:N,6,FALSE)</f>
        <v>筋膜枪有效放松|顽固肌肉腿有救了🦵</v>
      </c>
    </row>
    <row r="414" spans="1:32">
      <c r="A414" s="18" t="s">
        <v>47</v>
      </c>
      <c r="B414" s="18" t="s">
        <v>1113</v>
      </c>
      <c r="C414" s="19">
        <v>15734941</v>
      </c>
      <c r="D414" s="18" t="s">
        <v>196</v>
      </c>
      <c r="E414" s="18" t="s">
        <v>312</v>
      </c>
      <c r="F414" s="18" t="s">
        <v>1114</v>
      </c>
      <c r="G414" s="19">
        <v>3077590</v>
      </c>
      <c r="H414" s="18" t="s">
        <v>1114</v>
      </c>
      <c r="I414" s="19">
        <v>2473348</v>
      </c>
      <c r="J414" s="18" t="s">
        <v>1015</v>
      </c>
      <c r="K414" s="19">
        <v>0</v>
      </c>
      <c r="L414" s="19">
        <v>0</v>
      </c>
      <c r="M414" s="19">
        <v>0</v>
      </c>
      <c r="N414" s="20">
        <v>0</v>
      </c>
      <c r="O414" s="19">
        <v>0</v>
      </c>
      <c r="P414" s="19">
        <v>0</v>
      </c>
      <c r="Q414" s="19">
        <v>0</v>
      </c>
      <c r="R414" s="19">
        <v>0</v>
      </c>
      <c r="S414" s="19">
        <v>0</v>
      </c>
      <c r="T414" s="19">
        <v>0</v>
      </c>
      <c r="U414" s="19">
        <v>0</v>
      </c>
      <c r="V414" s="19">
        <v>0</v>
      </c>
      <c r="W414" s="19">
        <v>0</v>
      </c>
      <c r="X414" s="19">
        <v>0</v>
      </c>
      <c r="Y414" s="20">
        <v>0</v>
      </c>
      <c r="Z414" s="19">
        <v>0</v>
      </c>
      <c r="AA414" s="19">
        <v>0</v>
      </c>
      <c r="AB414" t="str">
        <f>VLOOKUP(E:E,笔记匹配!A:N,3,FALSE)</f>
        <v>郝有金</v>
      </c>
      <c r="AC414" t="str">
        <f>VLOOKUP(E:E,笔记匹配!A:N,2,FALSE)</f>
        <v>筋膜枪</v>
      </c>
      <c r="AD414" t="str">
        <f>VLOOKUP(E:E,笔记匹配!A:N,4,FALSE)</f>
        <v>云麦cc筋膜枪</v>
      </c>
      <c r="AE414" t="str">
        <f>VLOOKUP(E:E,笔记匹配!A:N,14,FALSE)</f>
        <v>云麦筋膜枪cc</v>
      </c>
      <c r="AF414" t="str">
        <f>VLOOKUP(E:E,笔记匹配!A:N,6,FALSE)</f>
        <v>别用错❗️筋膜枪正确使用方法，不同肌肉部位放松大全</v>
      </c>
    </row>
    <row r="415" spans="1:32">
      <c r="A415" s="18" t="s">
        <v>47</v>
      </c>
      <c r="B415" s="18" t="s">
        <v>740</v>
      </c>
      <c r="C415" s="19">
        <v>15804098</v>
      </c>
      <c r="D415" s="18" t="s">
        <v>209</v>
      </c>
      <c r="E415" s="18" t="s">
        <v>473</v>
      </c>
      <c r="F415" s="18" t="s">
        <v>1119</v>
      </c>
      <c r="G415" s="19">
        <v>3087955</v>
      </c>
      <c r="H415" s="18" t="s">
        <v>1119</v>
      </c>
      <c r="I415" s="19">
        <v>2483370</v>
      </c>
      <c r="J415" s="18" t="s">
        <v>1015</v>
      </c>
      <c r="K415" s="19">
        <v>0</v>
      </c>
      <c r="L415" s="19">
        <v>0</v>
      </c>
      <c r="M415" s="19">
        <v>0</v>
      </c>
      <c r="N415" s="20">
        <v>0</v>
      </c>
      <c r="O415" s="19">
        <v>0</v>
      </c>
      <c r="P415" s="19">
        <v>0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0</v>
      </c>
      <c r="Y415" s="20">
        <v>0</v>
      </c>
      <c r="Z415" s="19">
        <v>0</v>
      </c>
      <c r="AA415" s="19">
        <v>0</v>
      </c>
      <c r="AB415" t="str">
        <f>VLOOKUP(E:E,笔记匹配!A:N,3,FALSE)</f>
        <v>茜茜子</v>
      </c>
      <c r="AC415" t="str">
        <f>VLOOKUP(E:E,笔记匹配!A:N,2,FALSE)</f>
        <v>体脂秤</v>
      </c>
      <c r="AD415" t="str">
        <f>VLOOKUP(E:E,笔记匹配!A:N,4,FALSE)</f>
        <v>云麦3mini体脂秤</v>
      </c>
      <c r="AE415" t="str">
        <f>VLOOKUP(E:E,笔记匹配!A:N,14,FALSE)</f>
        <v>云麦体脂秤3mini</v>
      </c>
      <c r="AF415" t="str">
        <f>VLOOKUP(E:E,笔记匹配!A:N,6,FALSE)</f>
        <v>我真的很会瘦肚子❗️</v>
      </c>
    </row>
    <row r="416" spans="1:32">
      <c r="A416" s="18" t="s">
        <v>47</v>
      </c>
      <c r="B416" s="18" t="s">
        <v>748</v>
      </c>
      <c r="C416" s="19">
        <v>15804284</v>
      </c>
      <c r="D416" s="18" t="s">
        <v>209</v>
      </c>
      <c r="E416" s="18" t="s">
        <v>449</v>
      </c>
      <c r="F416" s="18" t="s">
        <v>1120</v>
      </c>
      <c r="G416" s="19">
        <v>3087971</v>
      </c>
      <c r="H416" s="18" t="s">
        <v>1120</v>
      </c>
      <c r="I416" s="19">
        <v>2483385</v>
      </c>
      <c r="J416" s="18" t="s">
        <v>1015</v>
      </c>
      <c r="K416" s="19">
        <v>0</v>
      </c>
      <c r="L416" s="19">
        <v>0</v>
      </c>
      <c r="M416" s="19">
        <v>0</v>
      </c>
      <c r="N416" s="20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19">
        <v>0</v>
      </c>
      <c r="U416" s="19">
        <v>0</v>
      </c>
      <c r="V416" s="19">
        <v>0</v>
      </c>
      <c r="W416" s="19">
        <v>0</v>
      </c>
      <c r="X416" s="19">
        <v>0</v>
      </c>
      <c r="Y416" s="20">
        <v>0</v>
      </c>
      <c r="Z416" s="19">
        <v>0</v>
      </c>
      <c r="AA416" s="19">
        <v>0</v>
      </c>
      <c r="AB416" t="str">
        <f>VLOOKUP(E:E,笔记匹配!A:N,3,FALSE)</f>
        <v>Celine丹丹</v>
      </c>
      <c r="AC416" t="str">
        <f>VLOOKUP(E:E,笔记匹配!A:N,2,FALSE)</f>
        <v>筋膜枪</v>
      </c>
      <c r="AD416" t="str">
        <f>VLOOKUP(E:E,笔记匹配!A:N,4,FALSE)</f>
        <v>云麦cc筋膜枪</v>
      </c>
      <c r="AE416" t="str">
        <f>VLOOKUP(E:E,笔记匹配!A:N,14,FALSE)</f>
        <v>云麦筋膜枪cc</v>
      </c>
      <c r="AF416" t="str">
        <f>VLOOKUP(E:E,笔记匹配!A:N,6,FALSE)</f>
        <v>不服不行,练完手臂抖到根本停不下来‼️</v>
      </c>
    </row>
    <row r="417" spans="1:32">
      <c r="A417" s="18" t="s">
        <v>47</v>
      </c>
      <c r="B417" s="18" t="s">
        <v>737</v>
      </c>
      <c r="C417" s="19">
        <v>15804340</v>
      </c>
      <c r="D417" s="18" t="s">
        <v>209</v>
      </c>
      <c r="E417" s="18" t="s">
        <v>458</v>
      </c>
      <c r="F417" s="18" t="s">
        <v>1121</v>
      </c>
      <c r="G417" s="19">
        <v>3087973</v>
      </c>
      <c r="H417" s="18" t="s">
        <v>1121</v>
      </c>
      <c r="I417" s="19">
        <v>2483391</v>
      </c>
      <c r="J417" s="18" t="s">
        <v>1015</v>
      </c>
      <c r="K417" s="19">
        <v>4.47</v>
      </c>
      <c r="L417" s="19">
        <v>317</v>
      </c>
      <c r="M417" s="19">
        <v>28</v>
      </c>
      <c r="N417" s="20">
        <v>0.0883</v>
      </c>
      <c r="O417" s="19">
        <v>0.16</v>
      </c>
      <c r="P417" s="19">
        <v>14.1</v>
      </c>
      <c r="Q417" s="19">
        <v>0</v>
      </c>
      <c r="R417" s="19">
        <v>0</v>
      </c>
      <c r="S417" s="19">
        <v>-1</v>
      </c>
      <c r="T417" s="19">
        <v>1</v>
      </c>
      <c r="U417" s="19">
        <v>0</v>
      </c>
      <c r="V417" s="19">
        <v>0</v>
      </c>
      <c r="W417" s="19">
        <v>0</v>
      </c>
      <c r="X417" s="19">
        <v>0</v>
      </c>
      <c r="Y417" s="20">
        <v>0</v>
      </c>
      <c r="Z417" s="19">
        <v>0</v>
      </c>
      <c r="AA417" s="19">
        <v>0</v>
      </c>
      <c r="AB417" t="str">
        <f>VLOOKUP(E:E,笔记匹配!A:N,3,FALSE)</f>
        <v>林菀桃桃</v>
      </c>
      <c r="AC417" t="str">
        <f>VLOOKUP(E:E,笔记匹配!A:N,2,FALSE)</f>
        <v>筋膜枪</v>
      </c>
      <c r="AD417" t="str">
        <f>VLOOKUP(E:E,笔记匹配!A:N,4,FALSE)</f>
        <v>云麦cc筋膜枪</v>
      </c>
      <c r="AE417" t="str">
        <f>VLOOKUP(E:E,笔记匹配!A:N,14,FALSE)</f>
        <v>云麦筋膜枪cc</v>
      </c>
      <c r="AF417" t="str">
        <f>VLOOKUP(E:E,笔记匹配!A:N,6,FALSE)</f>
        <v>vlog饱满蜜桃+提高臀线+筋膜枪放松胫骨前肌</v>
      </c>
    </row>
    <row r="418" spans="1:32">
      <c r="A418" s="18" t="s">
        <v>47</v>
      </c>
      <c r="B418" s="18" t="s">
        <v>757</v>
      </c>
      <c r="C418" s="19">
        <v>15867913</v>
      </c>
      <c r="D418" s="18" t="s">
        <v>209</v>
      </c>
      <c r="E418" s="18" t="s">
        <v>468</v>
      </c>
      <c r="F418" s="18" t="s">
        <v>1124</v>
      </c>
      <c r="G418" s="19">
        <v>3099180</v>
      </c>
      <c r="H418" s="18" t="s">
        <v>1124</v>
      </c>
      <c r="I418" s="19">
        <v>2494227</v>
      </c>
      <c r="J418" s="18" t="s">
        <v>1015</v>
      </c>
      <c r="K418" s="19">
        <v>7.6</v>
      </c>
      <c r="L418" s="19">
        <v>658</v>
      </c>
      <c r="M418" s="19">
        <v>51</v>
      </c>
      <c r="N418" s="20">
        <v>0.0775</v>
      </c>
      <c r="O418" s="19">
        <v>0.15</v>
      </c>
      <c r="P418" s="19">
        <v>11.55</v>
      </c>
      <c r="Q418" s="19">
        <v>5</v>
      </c>
      <c r="R418" s="19">
        <v>1</v>
      </c>
      <c r="S418" s="19">
        <v>10</v>
      </c>
      <c r="T418" s="19">
        <v>0</v>
      </c>
      <c r="U418" s="19">
        <v>0</v>
      </c>
      <c r="V418" s="19">
        <v>16</v>
      </c>
      <c r="W418" s="19">
        <v>0.48</v>
      </c>
      <c r="X418" s="19">
        <v>0</v>
      </c>
      <c r="Y418" s="20">
        <v>0</v>
      </c>
      <c r="Z418" s="19">
        <v>1</v>
      </c>
      <c r="AA418" s="19">
        <v>0</v>
      </c>
      <c r="AB418" t="str">
        <f>VLOOKUP(E:E,笔记匹配!A:N,3,FALSE)</f>
        <v>生椰黎子yoga</v>
      </c>
      <c r="AC418" t="str">
        <f>VLOOKUP(E:E,笔记匹配!A:N,2,FALSE)</f>
        <v>体脂秤</v>
      </c>
      <c r="AD418" t="str">
        <f>VLOOKUP(E:E,笔记匹配!A:N,4,FALSE)</f>
        <v>云麦体脂秤3mini</v>
      </c>
      <c r="AE418" t="str">
        <f>VLOOKUP(E:E,笔记匹配!A:N,14,FALSE)</f>
        <v>云麦体脂秤3mini</v>
      </c>
      <c r="AF418" t="str">
        <f>VLOOKUP(E:E,笔记匹配!A:N,6,FALSE)</f>
        <v>超🔥极速瘦肚子！太有用了‼️6分钟紧致腰腹</v>
      </c>
    </row>
    <row r="419" spans="1:32">
      <c r="A419" s="18" t="s">
        <v>47</v>
      </c>
      <c r="B419" s="18" t="s">
        <v>760</v>
      </c>
      <c r="C419" s="19">
        <v>15869599</v>
      </c>
      <c r="D419" s="18" t="s">
        <v>209</v>
      </c>
      <c r="E419" s="18" t="s">
        <v>466</v>
      </c>
      <c r="F419" s="18" t="s">
        <v>1126</v>
      </c>
      <c r="G419" s="19">
        <v>3099720</v>
      </c>
      <c r="H419" s="18" t="s">
        <v>1126</v>
      </c>
      <c r="I419" s="19">
        <v>2494738</v>
      </c>
      <c r="J419" s="18" t="s">
        <v>1015</v>
      </c>
      <c r="K419" s="19">
        <v>0</v>
      </c>
      <c r="L419" s="19">
        <v>0</v>
      </c>
      <c r="M419" s="19">
        <v>0</v>
      </c>
      <c r="N419" s="20">
        <v>0</v>
      </c>
      <c r="O419" s="19">
        <v>0</v>
      </c>
      <c r="P419" s="19">
        <v>0</v>
      </c>
      <c r="Q419" s="19">
        <v>0</v>
      </c>
      <c r="R419" s="19">
        <v>0</v>
      </c>
      <c r="S419" s="19">
        <v>0</v>
      </c>
      <c r="T419" s="19">
        <v>0</v>
      </c>
      <c r="U419" s="19">
        <v>0</v>
      </c>
      <c r="V419" s="19">
        <v>0</v>
      </c>
      <c r="W419" s="19">
        <v>0</v>
      </c>
      <c r="X419" s="19">
        <v>0</v>
      </c>
      <c r="Y419" s="20">
        <v>0</v>
      </c>
      <c r="Z419" s="19">
        <v>0</v>
      </c>
      <c r="AA419" s="19">
        <v>0</v>
      </c>
      <c r="AB419" t="str">
        <f>VLOOKUP(E:E,笔记匹配!A:N,3,FALSE)</f>
        <v>小胡的张张</v>
      </c>
      <c r="AC419" t="str">
        <f>VLOOKUP(E:E,笔记匹配!A:N,2,FALSE)</f>
        <v>筋膜枪</v>
      </c>
      <c r="AD419" t="str">
        <f>VLOOKUP(E:E,笔记匹配!A:N,4,FALSE)</f>
        <v>云麦cc筋膜枪</v>
      </c>
      <c r="AE419" t="str">
        <f>VLOOKUP(E:E,笔记匹配!A:N,14,FALSE)</f>
        <v>云麦筋膜枪cc</v>
      </c>
      <c r="AF419" t="str">
        <f>VLOOKUP(E:E,笔记匹配!A:N,6,FALSE)</f>
        <v>筋膜枪正确使用指南️⚠️千万别乱用！</v>
      </c>
    </row>
    <row r="420" spans="1:32">
      <c r="A420" s="18" t="s">
        <v>47</v>
      </c>
      <c r="B420" s="18" t="s">
        <v>763</v>
      </c>
      <c r="C420" s="19">
        <v>15993169</v>
      </c>
      <c r="D420" s="18" t="s">
        <v>209</v>
      </c>
      <c r="E420" s="18" t="s">
        <v>455</v>
      </c>
      <c r="F420" s="18" t="s">
        <v>1127</v>
      </c>
      <c r="G420" s="19">
        <v>3118218</v>
      </c>
      <c r="H420" s="18" t="s">
        <v>1127</v>
      </c>
      <c r="I420" s="19">
        <v>2512637</v>
      </c>
      <c r="J420" s="18" t="s">
        <v>1015</v>
      </c>
      <c r="K420" s="19">
        <v>3.55</v>
      </c>
      <c r="L420" s="19">
        <v>692</v>
      </c>
      <c r="M420" s="19">
        <v>12</v>
      </c>
      <c r="N420" s="20">
        <v>0.0173</v>
      </c>
      <c r="O420" s="19">
        <v>0.3</v>
      </c>
      <c r="P420" s="19">
        <v>5.13</v>
      </c>
      <c r="Q420" s="19">
        <v>0</v>
      </c>
      <c r="R420" s="19">
        <v>1</v>
      </c>
      <c r="S420" s="19">
        <v>1</v>
      </c>
      <c r="T420" s="19">
        <v>0</v>
      </c>
      <c r="U420" s="19">
        <v>0</v>
      </c>
      <c r="V420" s="19">
        <v>2</v>
      </c>
      <c r="W420" s="19">
        <v>1.78</v>
      </c>
      <c r="X420" s="19">
        <v>0</v>
      </c>
      <c r="Y420" s="20">
        <v>0</v>
      </c>
      <c r="Z420" s="19">
        <v>0</v>
      </c>
      <c r="AA420" s="19">
        <v>0</v>
      </c>
      <c r="AB420" t="str">
        <f>VLOOKUP(E:E,笔记匹配!A:N,3,FALSE)</f>
        <v>Shirley小蕾</v>
      </c>
      <c r="AC420" t="str">
        <f>VLOOKUP(E:E,笔记匹配!A:N,2,FALSE)</f>
        <v>筋膜枪</v>
      </c>
      <c r="AD420" t="str">
        <f>VLOOKUP(E:E,笔记匹配!A:N,4,FALSE)</f>
        <v>云麦CC筋膜枪</v>
      </c>
      <c r="AE420" t="str">
        <f>VLOOKUP(E:E,笔记匹配!A:N,14,FALSE)</f>
        <v>云麦筋膜枪cc</v>
      </c>
      <c r="AF420" t="str">
        <f>VLOOKUP(E:E,笔记匹配!A:N,6,FALSE)</f>
        <v>1分钟写完期末学生评语🔥放松好物筋膜枪</v>
      </c>
    </row>
    <row r="421" spans="1:32">
      <c r="A421" s="18" t="s">
        <v>48</v>
      </c>
      <c r="B421" s="18" t="s">
        <v>1057</v>
      </c>
      <c r="C421" s="19">
        <v>14976642</v>
      </c>
      <c r="D421" s="18" t="s">
        <v>209</v>
      </c>
      <c r="E421" s="18" t="s">
        <v>509</v>
      </c>
      <c r="F421" s="18" t="s">
        <v>1058</v>
      </c>
      <c r="G421" s="19">
        <v>2984144</v>
      </c>
      <c r="H421" s="18" t="s">
        <v>1059</v>
      </c>
      <c r="I421" s="19">
        <v>2385921</v>
      </c>
      <c r="J421" s="18" t="s">
        <v>1015</v>
      </c>
      <c r="K421" s="19">
        <v>0</v>
      </c>
      <c r="L421" s="19">
        <v>0</v>
      </c>
      <c r="M421" s="19">
        <v>0</v>
      </c>
      <c r="N421" s="20">
        <v>0</v>
      </c>
      <c r="O421" s="19">
        <v>0</v>
      </c>
      <c r="P421" s="19">
        <v>0</v>
      </c>
      <c r="Q421" s="19">
        <v>0</v>
      </c>
      <c r="R421" s="19">
        <v>0</v>
      </c>
      <c r="S421" s="19">
        <v>0</v>
      </c>
      <c r="T421" s="19">
        <v>0</v>
      </c>
      <c r="U421" s="19">
        <v>0</v>
      </c>
      <c r="V421" s="19">
        <v>0</v>
      </c>
      <c r="W421" s="19">
        <v>0</v>
      </c>
      <c r="X421" s="19">
        <v>0</v>
      </c>
      <c r="Y421" s="20">
        <v>0</v>
      </c>
      <c r="Z421" s="19">
        <v>0</v>
      </c>
      <c r="AA421" s="19">
        <v>0</v>
      </c>
      <c r="AB421" t="str">
        <f>VLOOKUP(E:E,笔记匹配!A:N,3,FALSE)</f>
        <v>小小李</v>
      </c>
      <c r="AC421" t="str">
        <f>VLOOKUP(E:E,笔记匹配!A:N,2,FALSE)</f>
        <v>跳绳</v>
      </c>
      <c r="AD421" t="str">
        <f>VLOOKUP(E:E,笔记匹配!A:N,4,FALSE)</f>
        <v>云麦心率跳绳</v>
      </c>
      <c r="AE421" t="str">
        <f>VLOOKUP(E:E,笔记匹配!A:N,14,FALSE)</f>
        <v>云麦心率跳绳</v>
      </c>
      <c r="AF421" t="str">
        <f>VLOOKUP(E:E,笔记匹配!A:N,6,FALSE)</f>
        <v>4分钟跳绳TABATA | 居家高效燃脂瘦全身</v>
      </c>
    </row>
    <row r="422" spans="1:32">
      <c r="A422" s="18" t="s">
        <v>48</v>
      </c>
      <c r="B422" s="18" t="s">
        <v>587</v>
      </c>
      <c r="C422" s="19">
        <v>15295967</v>
      </c>
      <c r="D422" s="18" t="s">
        <v>209</v>
      </c>
      <c r="E422" s="18" t="s">
        <v>400</v>
      </c>
      <c r="F422" s="18" t="s">
        <v>1090</v>
      </c>
      <c r="G422" s="19">
        <v>3020475</v>
      </c>
      <c r="H422" s="18" t="s">
        <v>1091</v>
      </c>
      <c r="I422" s="19">
        <v>2418288</v>
      </c>
      <c r="J422" s="18" t="s">
        <v>1015</v>
      </c>
      <c r="K422" s="19">
        <v>0</v>
      </c>
      <c r="L422" s="19">
        <v>0</v>
      </c>
      <c r="M422" s="19">
        <v>0</v>
      </c>
      <c r="N422" s="20">
        <v>0</v>
      </c>
      <c r="O422" s="19">
        <v>0</v>
      </c>
      <c r="P422" s="19">
        <v>0</v>
      </c>
      <c r="Q422" s="19">
        <v>0</v>
      </c>
      <c r="R422" s="19">
        <v>0</v>
      </c>
      <c r="S422" s="19">
        <v>0</v>
      </c>
      <c r="T422" s="19">
        <v>0</v>
      </c>
      <c r="U422" s="19">
        <v>0</v>
      </c>
      <c r="V422" s="19">
        <v>0</v>
      </c>
      <c r="W422" s="19">
        <v>0</v>
      </c>
      <c r="X422" s="19">
        <v>0</v>
      </c>
      <c r="Y422" s="20">
        <v>0</v>
      </c>
      <c r="Z422" s="19">
        <v>0</v>
      </c>
      <c r="AA422" s="19">
        <v>0</v>
      </c>
      <c r="AB422" t="str">
        <f>VLOOKUP(E:E,笔记匹配!A:N,3,FALSE)</f>
        <v>小雪教瑜伽</v>
      </c>
      <c r="AC422" t="str">
        <f>VLOOKUP(E:E,笔记匹配!A:N,2,FALSE)</f>
        <v>筋膜枪</v>
      </c>
      <c r="AD422" t="str">
        <f>VLOOKUP(E:E,笔记匹配!A:N,4,FALSE)</f>
        <v>云麦筋膜枪cc</v>
      </c>
      <c r="AE422" t="str">
        <f>VLOOKUP(E:E,笔记匹配!A:N,14,FALSE)</f>
        <v>云麦筋膜枪cc</v>
      </c>
      <c r="AF422" t="str">
        <f>VLOOKUP(E:E,笔记匹配!A:N,6,FALSE)</f>
        <v>瘦肌肉腿必备&amp;筋膜枪按摩跟练教程</v>
      </c>
    </row>
    <row r="423" spans="1:32">
      <c r="A423" s="18" t="s">
        <v>48</v>
      </c>
      <c r="B423" s="18" t="s">
        <v>728</v>
      </c>
      <c r="C423" s="19">
        <v>15678633</v>
      </c>
      <c r="D423" s="18" t="s">
        <v>209</v>
      </c>
      <c r="E423" s="18" t="s">
        <v>483</v>
      </c>
      <c r="F423" s="18" t="s">
        <v>1097</v>
      </c>
      <c r="G423" s="19">
        <v>3067706</v>
      </c>
      <c r="H423" s="18" t="s">
        <v>1097</v>
      </c>
      <c r="I423" s="19">
        <v>2464957</v>
      </c>
      <c r="J423" s="18" t="s">
        <v>1015</v>
      </c>
      <c r="K423" s="19">
        <v>0</v>
      </c>
      <c r="L423" s="19">
        <v>0</v>
      </c>
      <c r="M423" s="19">
        <v>0</v>
      </c>
      <c r="N423" s="20">
        <v>0</v>
      </c>
      <c r="O423" s="19">
        <v>0</v>
      </c>
      <c r="P423" s="19">
        <v>0</v>
      </c>
      <c r="Q423" s="19">
        <v>0</v>
      </c>
      <c r="R423" s="19">
        <v>0</v>
      </c>
      <c r="S423" s="19">
        <v>0</v>
      </c>
      <c r="T423" s="19">
        <v>0</v>
      </c>
      <c r="U423" s="19">
        <v>0</v>
      </c>
      <c r="V423" s="19">
        <v>0</v>
      </c>
      <c r="W423" s="19">
        <v>0</v>
      </c>
      <c r="X423" s="19">
        <v>0</v>
      </c>
      <c r="Y423" s="20">
        <v>0</v>
      </c>
      <c r="Z423" s="19">
        <v>0</v>
      </c>
      <c r="AA423" s="19">
        <v>0</v>
      </c>
      <c r="AB423" t="str">
        <f>VLOOKUP(E:E,笔记匹配!A:N,3,FALSE)</f>
        <v>六月炎妍</v>
      </c>
      <c r="AC423" t="str">
        <f>VLOOKUP(E:E,笔记匹配!A:N,2,FALSE)</f>
        <v>体脂秤</v>
      </c>
      <c r="AD423" t="str">
        <f>VLOOKUP(E:E,笔记匹配!A:N,4,FALSE)</f>
        <v>云麦3mini</v>
      </c>
      <c r="AE423" t="str">
        <f>VLOOKUP(E:E,笔记匹配!A:N,14,FALSE)</f>
        <v>云麦体脂秤3mini</v>
      </c>
      <c r="AF423" t="str">
        <f>VLOOKUP(E:E,笔记匹配!A:N,6,FALSE)</f>
        <v>体脂秤监测|瘦了23斤的经验无保留分享</v>
      </c>
    </row>
    <row r="424" spans="1:32">
      <c r="A424" s="18" t="s">
        <v>48</v>
      </c>
      <c r="B424" s="18" t="s">
        <v>731</v>
      </c>
      <c r="C424" s="19">
        <v>15678822</v>
      </c>
      <c r="D424" s="18" t="s">
        <v>209</v>
      </c>
      <c r="E424" s="18" t="s">
        <v>423</v>
      </c>
      <c r="F424" s="18" t="s">
        <v>1098</v>
      </c>
      <c r="G424" s="19">
        <v>3067718</v>
      </c>
      <c r="H424" s="18" t="s">
        <v>1098</v>
      </c>
      <c r="I424" s="19">
        <v>2464972</v>
      </c>
      <c r="J424" s="18" t="s">
        <v>1015</v>
      </c>
      <c r="K424" s="19">
        <v>0</v>
      </c>
      <c r="L424" s="19">
        <v>0</v>
      </c>
      <c r="M424" s="19">
        <v>0</v>
      </c>
      <c r="N424" s="20">
        <v>0</v>
      </c>
      <c r="O424" s="19">
        <v>0</v>
      </c>
      <c r="P424" s="19">
        <v>0</v>
      </c>
      <c r="Q424" s="19">
        <v>0</v>
      </c>
      <c r="R424" s="19">
        <v>0</v>
      </c>
      <c r="S424" s="19">
        <v>0</v>
      </c>
      <c r="T424" s="19">
        <v>0</v>
      </c>
      <c r="U424" s="19">
        <v>0</v>
      </c>
      <c r="V424" s="19">
        <v>0</v>
      </c>
      <c r="W424" s="19">
        <v>0</v>
      </c>
      <c r="X424" s="19">
        <v>0</v>
      </c>
      <c r="Y424" s="20">
        <v>0</v>
      </c>
      <c r="Z424" s="19">
        <v>0</v>
      </c>
      <c r="AA424" s="19">
        <v>0</v>
      </c>
      <c r="AB424" t="str">
        <f>VLOOKUP(E:E,笔记匹配!A:N,3,FALSE)</f>
        <v>星星要变瘦</v>
      </c>
      <c r="AC424" t="str">
        <f>VLOOKUP(E:E,笔记匹配!A:N,2,FALSE)</f>
        <v>筋膜枪</v>
      </c>
      <c r="AD424" t="str">
        <f>VLOOKUP(E:E,笔记匹配!A:N,4,FALSE)</f>
        <v>云麦cc筋膜枪</v>
      </c>
      <c r="AE424" t="str">
        <f>VLOOKUP(E:E,笔记匹配!A:N,14,FALSE)</f>
        <v>云麦筋膜枪cc</v>
      </c>
      <c r="AF424" t="str">
        <f>VLOOKUP(E:E,笔记匹配!A:N,6,FALSE)</f>
        <v>瘦腿真的不难！成功瘦腿之后才知道的！（2）</v>
      </c>
    </row>
    <row r="425" spans="1:32">
      <c r="A425" s="18" t="s">
        <v>48</v>
      </c>
      <c r="B425" s="18" t="s">
        <v>1099</v>
      </c>
      <c r="C425" s="19">
        <v>15678883</v>
      </c>
      <c r="D425" s="18" t="s">
        <v>209</v>
      </c>
      <c r="E425" s="18" t="s">
        <v>549</v>
      </c>
      <c r="F425" s="18" t="s">
        <v>1100</v>
      </c>
      <c r="G425" s="19">
        <v>3067721</v>
      </c>
      <c r="H425" s="18" t="s">
        <v>1100</v>
      </c>
      <c r="I425" s="19">
        <v>2464984</v>
      </c>
      <c r="J425" s="18" t="s">
        <v>1015</v>
      </c>
      <c r="K425" s="19">
        <v>0</v>
      </c>
      <c r="L425" s="19">
        <v>0</v>
      </c>
      <c r="M425" s="19">
        <v>0</v>
      </c>
      <c r="N425" s="20">
        <v>0</v>
      </c>
      <c r="O425" s="19">
        <v>0</v>
      </c>
      <c r="P425" s="19">
        <v>0</v>
      </c>
      <c r="Q425" s="19">
        <v>0</v>
      </c>
      <c r="R425" s="19">
        <v>0</v>
      </c>
      <c r="S425" s="19">
        <v>0</v>
      </c>
      <c r="T425" s="19">
        <v>0</v>
      </c>
      <c r="U425" s="19">
        <v>0</v>
      </c>
      <c r="V425" s="19">
        <v>0</v>
      </c>
      <c r="W425" s="19">
        <v>0</v>
      </c>
      <c r="X425" s="19">
        <v>0</v>
      </c>
      <c r="Y425" s="20">
        <v>0</v>
      </c>
      <c r="Z425" s="19">
        <v>0</v>
      </c>
      <c r="AA425" s="19">
        <v>0</v>
      </c>
      <c r="AB425" t="str">
        <f>VLOOKUP(E:E,笔记匹配!A:N,3,FALSE)</f>
        <v>爽姐腿特长</v>
      </c>
      <c r="AC425" t="str">
        <f>VLOOKUP(E:E,笔记匹配!A:N,2,FALSE)</f>
        <v>筋膜枪</v>
      </c>
      <c r="AD425" t="str">
        <f>VLOOKUP(E:E,笔记匹配!A:N,4,FALSE)</f>
        <v>云麦筋膜枪cc</v>
      </c>
      <c r="AE425" t="str">
        <f>VLOOKUP(E:E,笔记匹配!A:N,14,FALSE)</f>
        <v>云麦筋膜枪cc</v>
      </c>
      <c r="AF425" t="str">
        <f>VLOOKUP(E:E,笔记匹配!A:N,6,FALSE)</f>
        <v>筋膜枪有效放松|顽固肌肉腿有救了🦵</v>
      </c>
    </row>
    <row r="426" spans="1:32">
      <c r="A426" s="18" t="s">
        <v>48</v>
      </c>
      <c r="B426" s="18" t="s">
        <v>1111</v>
      </c>
      <c r="C426" s="19">
        <v>15734437</v>
      </c>
      <c r="D426" s="18" t="s">
        <v>196</v>
      </c>
      <c r="E426" s="18" t="s">
        <v>549</v>
      </c>
      <c r="F426" s="18" t="s">
        <v>1112</v>
      </c>
      <c r="G426" s="19">
        <v>3077376</v>
      </c>
      <c r="H426" s="18" t="s">
        <v>1112</v>
      </c>
      <c r="I426" s="19">
        <v>2473298</v>
      </c>
      <c r="J426" s="18" t="s">
        <v>1015</v>
      </c>
      <c r="K426" s="19">
        <v>0</v>
      </c>
      <c r="L426" s="19">
        <v>0</v>
      </c>
      <c r="M426" s="19">
        <v>0</v>
      </c>
      <c r="N426" s="20">
        <v>0</v>
      </c>
      <c r="O426" s="19">
        <v>0</v>
      </c>
      <c r="P426" s="19">
        <v>0</v>
      </c>
      <c r="Q426" s="19">
        <v>0</v>
      </c>
      <c r="R426" s="19">
        <v>0</v>
      </c>
      <c r="S426" s="19">
        <v>0</v>
      </c>
      <c r="T426" s="19">
        <v>0</v>
      </c>
      <c r="U426" s="19">
        <v>0</v>
      </c>
      <c r="V426" s="19">
        <v>0</v>
      </c>
      <c r="W426" s="19">
        <v>0</v>
      </c>
      <c r="X426" s="19">
        <v>0</v>
      </c>
      <c r="Y426" s="20">
        <v>0</v>
      </c>
      <c r="Z426" s="19">
        <v>0</v>
      </c>
      <c r="AA426" s="19">
        <v>0</v>
      </c>
      <c r="AB426" t="str">
        <f>VLOOKUP(E:E,笔记匹配!A:N,3,FALSE)</f>
        <v>爽姐腿特长</v>
      </c>
      <c r="AC426" t="str">
        <f>VLOOKUP(E:E,笔记匹配!A:N,2,FALSE)</f>
        <v>筋膜枪</v>
      </c>
      <c r="AD426" t="str">
        <f>VLOOKUP(E:E,笔记匹配!A:N,4,FALSE)</f>
        <v>云麦筋膜枪cc</v>
      </c>
      <c r="AE426" t="str">
        <f>VLOOKUP(E:E,笔记匹配!A:N,14,FALSE)</f>
        <v>云麦筋膜枪cc</v>
      </c>
      <c r="AF426" t="str">
        <f>VLOOKUP(E:E,笔记匹配!A:N,6,FALSE)</f>
        <v>筋膜枪有效放松|顽固肌肉腿有救了🦵</v>
      </c>
    </row>
    <row r="427" spans="1:32">
      <c r="A427" s="18" t="s">
        <v>48</v>
      </c>
      <c r="B427" s="18" t="s">
        <v>740</v>
      </c>
      <c r="C427" s="19">
        <v>15804098</v>
      </c>
      <c r="D427" s="18" t="s">
        <v>209</v>
      </c>
      <c r="E427" s="18" t="s">
        <v>473</v>
      </c>
      <c r="F427" s="18" t="s">
        <v>1119</v>
      </c>
      <c r="G427" s="19">
        <v>3087955</v>
      </c>
      <c r="H427" s="18" t="s">
        <v>1119</v>
      </c>
      <c r="I427" s="19">
        <v>2483370</v>
      </c>
      <c r="J427" s="18" t="s">
        <v>1015</v>
      </c>
      <c r="K427" s="19">
        <v>0</v>
      </c>
      <c r="L427" s="19">
        <v>0</v>
      </c>
      <c r="M427" s="19">
        <v>0</v>
      </c>
      <c r="N427" s="20">
        <v>0</v>
      </c>
      <c r="O427" s="19">
        <v>0</v>
      </c>
      <c r="P427" s="19">
        <v>0</v>
      </c>
      <c r="Q427" s="19">
        <v>0</v>
      </c>
      <c r="R427" s="19">
        <v>0</v>
      </c>
      <c r="S427" s="19">
        <v>0</v>
      </c>
      <c r="T427" s="19">
        <v>0</v>
      </c>
      <c r="U427" s="19">
        <v>0</v>
      </c>
      <c r="V427" s="19">
        <v>0</v>
      </c>
      <c r="W427" s="19">
        <v>0</v>
      </c>
      <c r="X427" s="19">
        <v>0</v>
      </c>
      <c r="Y427" s="20">
        <v>0</v>
      </c>
      <c r="Z427" s="19">
        <v>0</v>
      </c>
      <c r="AA427" s="19">
        <v>0</v>
      </c>
      <c r="AB427" t="str">
        <f>VLOOKUP(E:E,笔记匹配!A:N,3,FALSE)</f>
        <v>茜茜子</v>
      </c>
      <c r="AC427" t="str">
        <f>VLOOKUP(E:E,笔记匹配!A:N,2,FALSE)</f>
        <v>体脂秤</v>
      </c>
      <c r="AD427" t="str">
        <f>VLOOKUP(E:E,笔记匹配!A:N,4,FALSE)</f>
        <v>云麦3mini体脂秤</v>
      </c>
      <c r="AE427" t="str">
        <f>VLOOKUP(E:E,笔记匹配!A:N,14,FALSE)</f>
        <v>云麦体脂秤3mini</v>
      </c>
      <c r="AF427" t="str">
        <f>VLOOKUP(E:E,笔记匹配!A:N,6,FALSE)</f>
        <v>我真的很会瘦肚子❗️</v>
      </c>
    </row>
    <row r="428" spans="1:32">
      <c r="A428" s="18" t="s">
        <v>48</v>
      </c>
      <c r="B428" s="18" t="s">
        <v>737</v>
      </c>
      <c r="C428" s="19">
        <v>15804340</v>
      </c>
      <c r="D428" s="18" t="s">
        <v>209</v>
      </c>
      <c r="E428" s="18" t="s">
        <v>458</v>
      </c>
      <c r="F428" s="18" t="s">
        <v>1121</v>
      </c>
      <c r="G428" s="19">
        <v>3087973</v>
      </c>
      <c r="H428" s="18" t="s">
        <v>1121</v>
      </c>
      <c r="I428" s="19">
        <v>2483391</v>
      </c>
      <c r="J428" s="18" t="s">
        <v>1015</v>
      </c>
      <c r="K428" s="19">
        <v>0</v>
      </c>
      <c r="L428" s="19">
        <v>0</v>
      </c>
      <c r="M428" s="19">
        <v>0</v>
      </c>
      <c r="N428" s="20">
        <v>0</v>
      </c>
      <c r="O428" s="19">
        <v>0</v>
      </c>
      <c r="P428" s="19">
        <v>0</v>
      </c>
      <c r="Q428" s="19">
        <v>0</v>
      </c>
      <c r="R428" s="19">
        <v>0</v>
      </c>
      <c r="S428" s="19">
        <v>0</v>
      </c>
      <c r="T428" s="19">
        <v>0</v>
      </c>
      <c r="U428" s="19">
        <v>0</v>
      </c>
      <c r="V428" s="19">
        <v>0</v>
      </c>
      <c r="W428" s="19">
        <v>0</v>
      </c>
      <c r="X428" s="19">
        <v>0</v>
      </c>
      <c r="Y428" s="20">
        <v>0</v>
      </c>
      <c r="Z428" s="19">
        <v>0</v>
      </c>
      <c r="AA428" s="19">
        <v>0</v>
      </c>
      <c r="AB428" t="str">
        <f>VLOOKUP(E:E,笔记匹配!A:N,3,FALSE)</f>
        <v>林菀桃桃</v>
      </c>
      <c r="AC428" t="str">
        <f>VLOOKUP(E:E,笔记匹配!A:N,2,FALSE)</f>
        <v>筋膜枪</v>
      </c>
      <c r="AD428" t="str">
        <f>VLOOKUP(E:E,笔记匹配!A:N,4,FALSE)</f>
        <v>云麦cc筋膜枪</v>
      </c>
      <c r="AE428" t="str">
        <f>VLOOKUP(E:E,笔记匹配!A:N,14,FALSE)</f>
        <v>云麦筋膜枪cc</v>
      </c>
      <c r="AF428" t="str">
        <f>VLOOKUP(E:E,笔记匹配!A:N,6,FALSE)</f>
        <v>vlog饱满蜜桃+提高臀线+筋膜枪放松胫骨前肌</v>
      </c>
    </row>
    <row r="429" spans="1:32">
      <c r="A429" s="18" t="s">
        <v>48</v>
      </c>
      <c r="B429" s="18" t="s">
        <v>757</v>
      </c>
      <c r="C429" s="19">
        <v>15867913</v>
      </c>
      <c r="D429" s="18" t="s">
        <v>209</v>
      </c>
      <c r="E429" s="18" t="s">
        <v>468</v>
      </c>
      <c r="F429" s="18" t="s">
        <v>1124</v>
      </c>
      <c r="G429" s="19">
        <v>3099180</v>
      </c>
      <c r="H429" s="18" t="s">
        <v>1124</v>
      </c>
      <c r="I429" s="19">
        <v>2494227</v>
      </c>
      <c r="J429" s="18" t="s">
        <v>1015</v>
      </c>
      <c r="K429" s="19">
        <v>0</v>
      </c>
      <c r="L429" s="19">
        <v>0</v>
      </c>
      <c r="M429" s="19">
        <v>0</v>
      </c>
      <c r="N429" s="20">
        <v>0</v>
      </c>
      <c r="O429" s="19">
        <v>0</v>
      </c>
      <c r="P429" s="19">
        <v>0</v>
      </c>
      <c r="Q429" s="19">
        <v>0</v>
      </c>
      <c r="R429" s="19">
        <v>0</v>
      </c>
      <c r="S429" s="19">
        <v>0</v>
      </c>
      <c r="T429" s="19">
        <v>0</v>
      </c>
      <c r="U429" s="19">
        <v>0</v>
      </c>
      <c r="V429" s="19">
        <v>0</v>
      </c>
      <c r="W429" s="19">
        <v>0</v>
      </c>
      <c r="X429" s="19">
        <v>0</v>
      </c>
      <c r="Y429" s="20">
        <v>0</v>
      </c>
      <c r="Z429" s="19">
        <v>0</v>
      </c>
      <c r="AA429" s="19">
        <v>0</v>
      </c>
      <c r="AB429" t="str">
        <f>VLOOKUP(E:E,笔记匹配!A:N,3,FALSE)</f>
        <v>生椰黎子yoga</v>
      </c>
      <c r="AC429" t="str">
        <f>VLOOKUP(E:E,笔记匹配!A:N,2,FALSE)</f>
        <v>体脂秤</v>
      </c>
      <c r="AD429" t="str">
        <f>VLOOKUP(E:E,笔记匹配!A:N,4,FALSE)</f>
        <v>云麦体脂秤3mini</v>
      </c>
      <c r="AE429" t="str">
        <f>VLOOKUP(E:E,笔记匹配!A:N,14,FALSE)</f>
        <v>云麦体脂秤3mini</v>
      </c>
      <c r="AF429" t="str">
        <f>VLOOKUP(E:E,笔记匹配!A:N,6,FALSE)</f>
        <v>超🔥极速瘦肚子！太有用了‼️6分钟紧致腰腹</v>
      </c>
    </row>
    <row r="430" spans="1:32">
      <c r="A430" s="18" t="s">
        <v>49</v>
      </c>
      <c r="B430" s="18" t="s">
        <v>1057</v>
      </c>
      <c r="C430" s="19">
        <v>14976642</v>
      </c>
      <c r="D430" s="18" t="s">
        <v>209</v>
      </c>
      <c r="E430" s="18" t="s">
        <v>509</v>
      </c>
      <c r="F430" s="18" t="s">
        <v>1058</v>
      </c>
      <c r="G430" s="19">
        <v>2984144</v>
      </c>
      <c r="H430" s="18" t="s">
        <v>1059</v>
      </c>
      <c r="I430" s="19">
        <v>2385921</v>
      </c>
      <c r="J430" s="18" t="s">
        <v>1015</v>
      </c>
      <c r="K430" s="19">
        <v>0</v>
      </c>
      <c r="L430" s="19">
        <v>0</v>
      </c>
      <c r="M430" s="19">
        <v>0</v>
      </c>
      <c r="N430" s="20">
        <v>0</v>
      </c>
      <c r="O430" s="19">
        <v>0</v>
      </c>
      <c r="P430" s="19">
        <v>0</v>
      </c>
      <c r="Q430" s="19">
        <v>0</v>
      </c>
      <c r="R430" s="19">
        <v>0</v>
      </c>
      <c r="S430" s="19">
        <v>0</v>
      </c>
      <c r="T430" s="19">
        <v>0</v>
      </c>
      <c r="U430" s="19">
        <v>0</v>
      </c>
      <c r="V430" s="19">
        <v>0</v>
      </c>
      <c r="W430" s="19">
        <v>0</v>
      </c>
      <c r="X430" s="19">
        <v>0</v>
      </c>
      <c r="Y430" s="20">
        <v>0</v>
      </c>
      <c r="Z430" s="19">
        <v>0</v>
      </c>
      <c r="AA430" s="19">
        <v>0</v>
      </c>
      <c r="AB430" t="str">
        <f>VLOOKUP(E:E,笔记匹配!A:N,3,FALSE)</f>
        <v>小小李</v>
      </c>
      <c r="AC430" t="str">
        <f>VLOOKUP(E:E,笔记匹配!A:N,2,FALSE)</f>
        <v>跳绳</v>
      </c>
      <c r="AD430" t="str">
        <f>VLOOKUP(E:E,笔记匹配!A:N,4,FALSE)</f>
        <v>云麦心率跳绳</v>
      </c>
      <c r="AE430" t="str">
        <f>VLOOKUP(E:E,笔记匹配!A:N,14,FALSE)</f>
        <v>云麦心率跳绳</v>
      </c>
      <c r="AF430" t="str">
        <f>VLOOKUP(E:E,笔记匹配!A:N,6,FALSE)</f>
        <v>4分钟跳绳TABATA | 居家高效燃脂瘦全身</v>
      </c>
    </row>
    <row r="431" spans="1:32">
      <c r="A431" s="18" t="s">
        <v>49</v>
      </c>
      <c r="B431" s="18" t="s">
        <v>587</v>
      </c>
      <c r="C431" s="19">
        <v>15295967</v>
      </c>
      <c r="D431" s="18" t="s">
        <v>209</v>
      </c>
      <c r="E431" s="18" t="s">
        <v>400</v>
      </c>
      <c r="F431" s="18" t="s">
        <v>1090</v>
      </c>
      <c r="G431" s="19">
        <v>3020475</v>
      </c>
      <c r="H431" s="18" t="s">
        <v>1091</v>
      </c>
      <c r="I431" s="19">
        <v>2418288</v>
      </c>
      <c r="J431" s="18" t="s">
        <v>1015</v>
      </c>
      <c r="K431" s="19">
        <v>0</v>
      </c>
      <c r="L431" s="19">
        <v>0</v>
      </c>
      <c r="M431" s="19">
        <v>0</v>
      </c>
      <c r="N431" s="20">
        <v>0</v>
      </c>
      <c r="O431" s="19">
        <v>0</v>
      </c>
      <c r="P431" s="19">
        <v>0</v>
      </c>
      <c r="Q431" s="19">
        <v>0</v>
      </c>
      <c r="R431" s="19">
        <v>0</v>
      </c>
      <c r="S431" s="19">
        <v>0</v>
      </c>
      <c r="T431" s="19">
        <v>0</v>
      </c>
      <c r="U431" s="19">
        <v>0</v>
      </c>
      <c r="V431" s="19">
        <v>0</v>
      </c>
      <c r="W431" s="19">
        <v>0</v>
      </c>
      <c r="X431" s="19">
        <v>0</v>
      </c>
      <c r="Y431" s="20">
        <v>0</v>
      </c>
      <c r="Z431" s="19">
        <v>0</v>
      </c>
      <c r="AA431" s="19">
        <v>0</v>
      </c>
      <c r="AB431" t="str">
        <f>VLOOKUP(E:E,笔记匹配!A:N,3,FALSE)</f>
        <v>小雪教瑜伽</v>
      </c>
      <c r="AC431" t="str">
        <f>VLOOKUP(E:E,笔记匹配!A:N,2,FALSE)</f>
        <v>筋膜枪</v>
      </c>
      <c r="AD431" t="str">
        <f>VLOOKUP(E:E,笔记匹配!A:N,4,FALSE)</f>
        <v>云麦筋膜枪cc</v>
      </c>
      <c r="AE431" t="str">
        <f>VLOOKUP(E:E,笔记匹配!A:N,14,FALSE)</f>
        <v>云麦筋膜枪cc</v>
      </c>
      <c r="AF431" t="str">
        <f>VLOOKUP(E:E,笔记匹配!A:N,6,FALSE)</f>
        <v>瘦肌肉腿必备&amp;筋膜枪按摩跟练教程</v>
      </c>
    </row>
    <row r="432" spans="1:32">
      <c r="A432" s="18" t="s">
        <v>49</v>
      </c>
      <c r="B432" s="18" t="s">
        <v>1099</v>
      </c>
      <c r="C432" s="19">
        <v>15678883</v>
      </c>
      <c r="D432" s="18" t="s">
        <v>209</v>
      </c>
      <c r="E432" s="18" t="s">
        <v>549</v>
      </c>
      <c r="F432" s="18" t="s">
        <v>1100</v>
      </c>
      <c r="G432" s="19">
        <v>3067721</v>
      </c>
      <c r="H432" s="18" t="s">
        <v>1100</v>
      </c>
      <c r="I432" s="19">
        <v>2464984</v>
      </c>
      <c r="J432" s="18" t="s">
        <v>1015</v>
      </c>
      <c r="K432" s="19">
        <v>0</v>
      </c>
      <c r="L432" s="19">
        <v>0</v>
      </c>
      <c r="M432" s="19">
        <v>0</v>
      </c>
      <c r="N432" s="20">
        <v>0</v>
      </c>
      <c r="O432" s="19">
        <v>0</v>
      </c>
      <c r="P432" s="19">
        <v>0</v>
      </c>
      <c r="Q432" s="19">
        <v>0</v>
      </c>
      <c r="R432" s="19">
        <v>0</v>
      </c>
      <c r="S432" s="19">
        <v>0</v>
      </c>
      <c r="T432" s="19">
        <v>0</v>
      </c>
      <c r="U432" s="19">
        <v>0</v>
      </c>
      <c r="V432" s="19">
        <v>0</v>
      </c>
      <c r="W432" s="19">
        <v>0</v>
      </c>
      <c r="X432" s="19">
        <v>0</v>
      </c>
      <c r="Y432" s="20">
        <v>0</v>
      </c>
      <c r="Z432" s="19">
        <v>0</v>
      </c>
      <c r="AA432" s="19">
        <v>0</v>
      </c>
      <c r="AB432" t="str">
        <f>VLOOKUP(E:E,笔记匹配!A:N,3,FALSE)</f>
        <v>爽姐腿特长</v>
      </c>
      <c r="AC432" t="str">
        <f>VLOOKUP(E:E,笔记匹配!A:N,2,FALSE)</f>
        <v>筋膜枪</v>
      </c>
      <c r="AD432" t="str">
        <f>VLOOKUP(E:E,笔记匹配!A:N,4,FALSE)</f>
        <v>云麦筋膜枪cc</v>
      </c>
      <c r="AE432" t="str">
        <f>VLOOKUP(E:E,笔记匹配!A:N,14,FALSE)</f>
        <v>云麦筋膜枪cc</v>
      </c>
      <c r="AF432" t="str">
        <f>VLOOKUP(E:E,笔记匹配!A:N,6,FALSE)</f>
        <v>筋膜枪有效放松|顽固肌肉腿有救了🦵</v>
      </c>
    </row>
    <row r="433" spans="1:32">
      <c r="A433" s="18" t="s">
        <v>49</v>
      </c>
      <c r="B433" s="18" t="s">
        <v>725</v>
      </c>
      <c r="C433" s="19">
        <v>15679270</v>
      </c>
      <c r="D433" s="18" t="s">
        <v>209</v>
      </c>
      <c r="E433" s="18" t="s">
        <v>486</v>
      </c>
      <c r="F433" s="18" t="s">
        <v>1101</v>
      </c>
      <c r="G433" s="19">
        <v>3067744</v>
      </c>
      <c r="H433" s="18" t="s">
        <v>1101</v>
      </c>
      <c r="I433" s="19">
        <v>2465008</v>
      </c>
      <c r="J433" s="18" t="s">
        <v>1015</v>
      </c>
      <c r="K433" s="19">
        <v>0</v>
      </c>
      <c r="L433" s="19">
        <v>0</v>
      </c>
      <c r="M433" s="19">
        <v>0</v>
      </c>
      <c r="N433" s="20">
        <v>0</v>
      </c>
      <c r="O433" s="19">
        <v>0</v>
      </c>
      <c r="P433" s="19">
        <v>0</v>
      </c>
      <c r="Q433" s="19">
        <v>0</v>
      </c>
      <c r="R433" s="19">
        <v>0</v>
      </c>
      <c r="S433" s="19">
        <v>0</v>
      </c>
      <c r="T433" s="19">
        <v>0</v>
      </c>
      <c r="U433" s="19">
        <v>0</v>
      </c>
      <c r="V433" s="19">
        <v>0</v>
      </c>
      <c r="W433" s="19">
        <v>0</v>
      </c>
      <c r="X433" s="19">
        <v>0</v>
      </c>
      <c r="Y433" s="20">
        <v>0</v>
      </c>
      <c r="Z433" s="19">
        <v>0</v>
      </c>
      <c r="AA433" s="19">
        <v>0</v>
      </c>
      <c r="AB433" t="str">
        <f>VLOOKUP(E:E,笔记匹配!A:N,3,FALSE)</f>
        <v>小月月</v>
      </c>
      <c r="AC433" t="str">
        <f>VLOOKUP(E:E,笔记匹配!A:N,2,FALSE)</f>
        <v>体脂秤</v>
      </c>
      <c r="AD433" t="str">
        <f>VLOOKUP(E:E,笔记匹配!A:N,4,FALSE)</f>
        <v>云麦体脂秤3</v>
      </c>
      <c r="AE433" t="str">
        <f>VLOOKUP(E:E,笔记匹配!A:N,14,FALSE)</f>
        <v>云麦体脂秤3</v>
      </c>
      <c r="AF433" t="str">
        <f>VLOOKUP(E:E,笔记匹配!A:N,6,FALSE)</f>
        <v>体重秤上的数字告诉我：你是个失败者</v>
      </c>
    </row>
    <row r="434" spans="1:32">
      <c r="A434" s="18" t="s">
        <v>49</v>
      </c>
      <c r="B434" s="18" t="s">
        <v>740</v>
      </c>
      <c r="C434" s="19">
        <v>15804098</v>
      </c>
      <c r="D434" s="18" t="s">
        <v>209</v>
      </c>
      <c r="E434" s="18" t="s">
        <v>473</v>
      </c>
      <c r="F434" s="18" t="s">
        <v>1119</v>
      </c>
      <c r="G434" s="19">
        <v>3087955</v>
      </c>
      <c r="H434" s="18" t="s">
        <v>1119</v>
      </c>
      <c r="I434" s="19">
        <v>2483370</v>
      </c>
      <c r="J434" s="18" t="s">
        <v>1015</v>
      </c>
      <c r="K434" s="19">
        <v>0</v>
      </c>
      <c r="L434" s="19">
        <v>0</v>
      </c>
      <c r="M434" s="19">
        <v>0</v>
      </c>
      <c r="N434" s="20">
        <v>0</v>
      </c>
      <c r="O434" s="19">
        <v>0</v>
      </c>
      <c r="P434" s="19">
        <v>0</v>
      </c>
      <c r="Q434" s="19">
        <v>0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0</v>
      </c>
      <c r="X434" s="19">
        <v>0</v>
      </c>
      <c r="Y434" s="20">
        <v>0</v>
      </c>
      <c r="Z434" s="19">
        <v>0</v>
      </c>
      <c r="AA434" s="19">
        <v>0</v>
      </c>
      <c r="AB434" t="str">
        <f>VLOOKUP(E:E,笔记匹配!A:N,3,FALSE)</f>
        <v>茜茜子</v>
      </c>
      <c r="AC434" t="str">
        <f>VLOOKUP(E:E,笔记匹配!A:N,2,FALSE)</f>
        <v>体脂秤</v>
      </c>
      <c r="AD434" t="str">
        <f>VLOOKUP(E:E,笔记匹配!A:N,4,FALSE)</f>
        <v>云麦3mini体脂秤</v>
      </c>
      <c r="AE434" t="str">
        <f>VLOOKUP(E:E,笔记匹配!A:N,14,FALSE)</f>
        <v>云麦体脂秤3mini</v>
      </c>
      <c r="AF434" t="str">
        <f>VLOOKUP(E:E,笔记匹配!A:N,6,FALSE)</f>
        <v>我真的很会瘦肚子❗️</v>
      </c>
    </row>
    <row r="435" spans="1:32">
      <c r="A435" s="18" t="s">
        <v>49</v>
      </c>
      <c r="B435" s="18" t="s">
        <v>748</v>
      </c>
      <c r="C435" s="19">
        <v>15804284</v>
      </c>
      <c r="D435" s="18" t="s">
        <v>209</v>
      </c>
      <c r="E435" s="18" t="s">
        <v>449</v>
      </c>
      <c r="F435" s="18" t="s">
        <v>1120</v>
      </c>
      <c r="G435" s="19">
        <v>3087971</v>
      </c>
      <c r="H435" s="18" t="s">
        <v>1120</v>
      </c>
      <c r="I435" s="19">
        <v>2483385</v>
      </c>
      <c r="J435" s="18" t="s">
        <v>1015</v>
      </c>
      <c r="K435" s="19">
        <v>0</v>
      </c>
      <c r="L435" s="19">
        <v>0</v>
      </c>
      <c r="M435" s="19">
        <v>0</v>
      </c>
      <c r="N435" s="20">
        <v>0</v>
      </c>
      <c r="O435" s="19">
        <v>0</v>
      </c>
      <c r="P435" s="19">
        <v>0</v>
      </c>
      <c r="Q435" s="19">
        <v>0</v>
      </c>
      <c r="R435" s="19">
        <v>0</v>
      </c>
      <c r="S435" s="19">
        <v>0</v>
      </c>
      <c r="T435" s="19">
        <v>0</v>
      </c>
      <c r="U435" s="19">
        <v>0</v>
      </c>
      <c r="V435" s="19">
        <v>0</v>
      </c>
      <c r="W435" s="19">
        <v>0</v>
      </c>
      <c r="X435" s="19">
        <v>0</v>
      </c>
      <c r="Y435" s="20">
        <v>0</v>
      </c>
      <c r="Z435" s="19">
        <v>0</v>
      </c>
      <c r="AA435" s="19">
        <v>0</v>
      </c>
      <c r="AB435" t="str">
        <f>VLOOKUP(E:E,笔记匹配!A:N,3,FALSE)</f>
        <v>Celine丹丹</v>
      </c>
      <c r="AC435" t="str">
        <f>VLOOKUP(E:E,笔记匹配!A:N,2,FALSE)</f>
        <v>筋膜枪</v>
      </c>
      <c r="AD435" t="str">
        <f>VLOOKUP(E:E,笔记匹配!A:N,4,FALSE)</f>
        <v>云麦cc筋膜枪</v>
      </c>
      <c r="AE435" t="str">
        <f>VLOOKUP(E:E,笔记匹配!A:N,14,FALSE)</f>
        <v>云麦筋膜枪cc</v>
      </c>
      <c r="AF435" t="str">
        <f>VLOOKUP(E:E,笔记匹配!A:N,6,FALSE)</f>
        <v>不服不行,练完手臂抖到根本停不下来‼️</v>
      </c>
    </row>
    <row r="436" spans="1:32">
      <c r="A436" s="18" t="s">
        <v>50</v>
      </c>
      <c r="B436" s="18" t="s">
        <v>716</v>
      </c>
      <c r="C436" s="19">
        <v>15296992</v>
      </c>
      <c r="D436" s="18" t="s">
        <v>209</v>
      </c>
      <c r="E436" s="18" t="s">
        <v>494</v>
      </c>
      <c r="F436" s="18" t="s">
        <v>1094</v>
      </c>
      <c r="G436" s="19">
        <v>3020613</v>
      </c>
      <c r="H436" s="18" t="s">
        <v>1094</v>
      </c>
      <c r="I436" s="19">
        <v>2418438</v>
      </c>
      <c r="J436" s="18" t="s">
        <v>1015</v>
      </c>
      <c r="K436" s="19">
        <v>0</v>
      </c>
      <c r="L436" s="19">
        <v>0</v>
      </c>
      <c r="M436" s="19">
        <v>0</v>
      </c>
      <c r="N436" s="20">
        <v>0</v>
      </c>
      <c r="O436" s="19">
        <v>0</v>
      </c>
      <c r="P436" s="19">
        <v>0</v>
      </c>
      <c r="Q436" s="19">
        <v>0</v>
      </c>
      <c r="R436" s="19">
        <v>0</v>
      </c>
      <c r="S436" s="19">
        <v>0</v>
      </c>
      <c r="T436" s="19">
        <v>0</v>
      </c>
      <c r="U436" s="19">
        <v>0</v>
      </c>
      <c r="V436" s="19">
        <v>0</v>
      </c>
      <c r="W436" s="19">
        <v>0</v>
      </c>
      <c r="X436" s="19">
        <v>0</v>
      </c>
      <c r="Y436" s="20">
        <v>0</v>
      </c>
      <c r="Z436" s="19">
        <v>0</v>
      </c>
      <c r="AA436" s="19">
        <v>0</v>
      </c>
      <c r="AB436" t="str">
        <f>VLOOKUP(E:E,笔记匹配!A:N,3,FALSE)</f>
        <v>凯琳KatherineW</v>
      </c>
      <c r="AC436" t="str">
        <f>VLOOKUP(E:E,笔记匹配!A:N,2,FALSE)</f>
        <v>跳绳</v>
      </c>
      <c r="AD436" t="str">
        <f>VLOOKUP(E:E,笔记匹配!A:N,4,FALSE)</f>
        <v>云麦心率跳绳</v>
      </c>
      <c r="AE436" t="str">
        <f>VLOOKUP(E:E,笔记匹配!A:N,14,FALSE)</f>
        <v>云麦心率跳绳</v>
      </c>
      <c r="AF436" t="str">
        <f>VLOOKUP(E:E,笔记匹配!A:N,6,FALSE)</f>
        <v>无绳卡点暴汗230卡跟练 ｜小基数瘦腿瘦全身</v>
      </c>
    </row>
    <row r="437" spans="1:32">
      <c r="A437" s="18" t="s">
        <v>50</v>
      </c>
      <c r="B437" s="18" t="s">
        <v>728</v>
      </c>
      <c r="C437" s="19">
        <v>15678633</v>
      </c>
      <c r="D437" s="18" t="s">
        <v>209</v>
      </c>
      <c r="E437" s="18" t="s">
        <v>483</v>
      </c>
      <c r="F437" s="18" t="s">
        <v>1097</v>
      </c>
      <c r="G437" s="19">
        <v>3067706</v>
      </c>
      <c r="H437" s="18" t="s">
        <v>1097</v>
      </c>
      <c r="I437" s="19">
        <v>2464957</v>
      </c>
      <c r="J437" s="18" t="s">
        <v>1015</v>
      </c>
      <c r="K437" s="19">
        <v>0</v>
      </c>
      <c r="L437" s="19">
        <v>0</v>
      </c>
      <c r="M437" s="19">
        <v>0</v>
      </c>
      <c r="N437" s="20">
        <v>0</v>
      </c>
      <c r="O437" s="19">
        <v>0</v>
      </c>
      <c r="P437" s="19">
        <v>0</v>
      </c>
      <c r="Q437" s="19">
        <v>0</v>
      </c>
      <c r="R437" s="19">
        <v>0</v>
      </c>
      <c r="S437" s="19">
        <v>0</v>
      </c>
      <c r="T437" s="19">
        <v>0</v>
      </c>
      <c r="U437" s="19">
        <v>0</v>
      </c>
      <c r="V437" s="19">
        <v>0</v>
      </c>
      <c r="W437" s="19">
        <v>0</v>
      </c>
      <c r="X437" s="19">
        <v>0</v>
      </c>
      <c r="Y437" s="20">
        <v>0</v>
      </c>
      <c r="Z437" s="19">
        <v>0</v>
      </c>
      <c r="AA437" s="19">
        <v>0</v>
      </c>
      <c r="AB437" t="str">
        <f>VLOOKUP(E:E,笔记匹配!A:N,3,FALSE)</f>
        <v>六月炎妍</v>
      </c>
      <c r="AC437" t="str">
        <f>VLOOKUP(E:E,笔记匹配!A:N,2,FALSE)</f>
        <v>体脂秤</v>
      </c>
      <c r="AD437" t="str">
        <f>VLOOKUP(E:E,笔记匹配!A:N,4,FALSE)</f>
        <v>云麦3mini</v>
      </c>
      <c r="AE437" t="str">
        <f>VLOOKUP(E:E,笔记匹配!A:N,14,FALSE)</f>
        <v>云麦体脂秤3mini</v>
      </c>
      <c r="AF437" t="str">
        <f>VLOOKUP(E:E,笔记匹配!A:N,6,FALSE)</f>
        <v>体脂秤监测|瘦了23斤的经验无保留分享</v>
      </c>
    </row>
    <row r="438" spans="1:32">
      <c r="A438" s="18" t="s">
        <v>50</v>
      </c>
      <c r="B438" s="18" t="s">
        <v>1099</v>
      </c>
      <c r="C438" s="19">
        <v>15678883</v>
      </c>
      <c r="D438" s="18" t="s">
        <v>209</v>
      </c>
      <c r="E438" s="18" t="s">
        <v>549</v>
      </c>
      <c r="F438" s="18" t="s">
        <v>1100</v>
      </c>
      <c r="G438" s="19">
        <v>3067721</v>
      </c>
      <c r="H438" s="18" t="s">
        <v>1100</v>
      </c>
      <c r="I438" s="19">
        <v>2464984</v>
      </c>
      <c r="J438" s="18" t="s">
        <v>1015</v>
      </c>
      <c r="K438" s="19">
        <v>0</v>
      </c>
      <c r="L438" s="19">
        <v>0</v>
      </c>
      <c r="M438" s="19">
        <v>0</v>
      </c>
      <c r="N438" s="20">
        <v>0</v>
      </c>
      <c r="O438" s="19">
        <v>0</v>
      </c>
      <c r="P438" s="19">
        <v>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0</v>
      </c>
      <c r="W438" s="19">
        <v>0</v>
      </c>
      <c r="X438" s="19">
        <v>0</v>
      </c>
      <c r="Y438" s="20">
        <v>0</v>
      </c>
      <c r="Z438" s="19">
        <v>0</v>
      </c>
      <c r="AA438" s="19">
        <v>0</v>
      </c>
      <c r="AB438" t="str">
        <f>VLOOKUP(E:E,笔记匹配!A:N,3,FALSE)</f>
        <v>爽姐腿特长</v>
      </c>
      <c r="AC438" t="str">
        <f>VLOOKUP(E:E,笔记匹配!A:N,2,FALSE)</f>
        <v>筋膜枪</v>
      </c>
      <c r="AD438" t="str">
        <f>VLOOKUP(E:E,笔记匹配!A:N,4,FALSE)</f>
        <v>云麦筋膜枪cc</v>
      </c>
      <c r="AE438" t="str">
        <f>VLOOKUP(E:E,笔记匹配!A:N,14,FALSE)</f>
        <v>云麦筋膜枪cc</v>
      </c>
      <c r="AF438" t="str">
        <f>VLOOKUP(E:E,笔记匹配!A:N,6,FALSE)</f>
        <v>筋膜枪有效放松|顽固肌肉腿有救了🦵</v>
      </c>
    </row>
    <row r="439" spans="1:32">
      <c r="A439" s="18" t="s">
        <v>50</v>
      </c>
      <c r="B439" s="18" t="s">
        <v>740</v>
      </c>
      <c r="C439" s="19">
        <v>15804098</v>
      </c>
      <c r="D439" s="18" t="s">
        <v>209</v>
      </c>
      <c r="E439" s="18" t="s">
        <v>473</v>
      </c>
      <c r="F439" s="18" t="s">
        <v>1119</v>
      </c>
      <c r="G439" s="19">
        <v>3087955</v>
      </c>
      <c r="H439" s="18" t="s">
        <v>1119</v>
      </c>
      <c r="I439" s="19">
        <v>2483370</v>
      </c>
      <c r="J439" s="18" t="s">
        <v>1015</v>
      </c>
      <c r="K439" s="19">
        <v>0</v>
      </c>
      <c r="L439" s="19">
        <v>0</v>
      </c>
      <c r="M439" s="19">
        <v>0</v>
      </c>
      <c r="N439" s="20">
        <v>0</v>
      </c>
      <c r="O439" s="19">
        <v>0</v>
      </c>
      <c r="P439" s="19">
        <v>0</v>
      </c>
      <c r="Q439" s="19">
        <v>0</v>
      </c>
      <c r="R439" s="19">
        <v>0</v>
      </c>
      <c r="S439" s="19">
        <v>0</v>
      </c>
      <c r="T439" s="19">
        <v>0</v>
      </c>
      <c r="U439" s="19">
        <v>0</v>
      </c>
      <c r="V439" s="19">
        <v>0</v>
      </c>
      <c r="W439" s="19">
        <v>0</v>
      </c>
      <c r="X439" s="19">
        <v>0</v>
      </c>
      <c r="Y439" s="20">
        <v>0</v>
      </c>
      <c r="Z439" s="19">
        <v>0</v>
      </c>
      <c r="AA439" s="19">
        <v>0</v>
      </c>
      <c r="AB439" t="str">
        <f>VLOOKUP(E:E,笔记匹配!A:N,3,FALSE)</f>
        <v>茜茜子</v>
      </c>
      <c r="AC439" t="str">
        <f>VLOOKUP(E:E,笔记匹配!A:N,2,FALSE)</f>
        <v>体脂秤</v>
      </c>
      <c r="AD439" t="str">
        <f>VLOOKUP(E:E,笔记匹配!A:N,4,FALSE)</f>
        <v>云麦3mini体脂秤</v>
      </c>
      <c r="AE439" t="str">
        <f>VLOOKUP(E:E,笔记匹配!A:N,14,FALSE)</f>
        <v>云麦体脂秤3mini</v>
      </c>
      <c r="AF439" t="str">
        <f>VLOOKUP(E:E,笔记匹配!A:N,6,FALSE)</f>
        <v>我真的很会瘦肚子❗️</v>
      </c>
    </row>
    <row r="440" spans="1:32">
      <c r="A440" s="18" t="s">
        <v>51</v>
      </c>
      <c r="B440" s="18" t="s">
        <v>716</v>
      </c>
      <c r="C440" s="19">
        <v>15296992</v>
      </c>
      <c r="D440" s="18" t="s">
        <v>209</v>
      </c>
      <c r="E440" s="18" t="s">
        <v>494</v>
      </c>
      <c r="F440" s="18" t="s">
        <v>1094</v>
      </c>
      <c r="G440" s="19">
        <v>3020613</v>
      </c>
      <c r="H440" s="18" t="s">
        <v>1094</v>
      </c>
      <c r="I440" s="19">
        <v>2418438</v>
      </c>
      <c r="J440" s="18" t="s">
        <v>1015</v>
      </c>
      <c r="K440" s="19">
        <v>0</v>
      </c>
      <c r="L440" s="19">
        <v>0</v>
      </c>
      <c r="M440" s="19">
        <v>0</v>
      </c>
      <c r="N440" s="20">
        <v>0</v>
      </c>
      <c r="O440" s="19">
        <v>0</v>
      </c>
      <c r="P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0</v>
      </c>
      <c r="W440" s="19">
        <v>0</v>
      </c>
      <c r="X440" s="19">
        <v>0</v>
      </c>
      <c r="Y440" s="20">
        <v>0</v>
      </c>
      <c r="Z440" s="19">
        <v>0</v>
      </c>
      <c r="AA440" s="19">
        <v>0</v>
      </c>
      <c r="AB440" t="str">
        <f>VLOOKUP(E:E,笔记匹配!A:N,3,FALSE)</f>
        <v>凯琳KatherineW</v>
      </c>
      <c r="AC440" t="str">
        <f>VLOOKUP(E:E,笔记匹配!A:N,2,FALSE)</f>
        <v>跳绳</v>
      </c>
      <c r="AD440" t="str">
        <f>VLOOKUP(E:E,笔记匹配!A:N,4,FALSE)</f>
        <v>云麦心率跳绳</v>
      </c>
      <c r="AE440" t="str">
        <f>VLOOKUP(E:E,笔记匹配!A:N,14,FALSE)</f>
        <v>云麦心率跳绳</v>
      </c>
      <c r="AF440" t="str">
        <f>VLOOKUP(E:E,笔记匹配!A:N,6,FALSE)</f>
        <v>无绳卡点暴汗230卡跟练 ｜小基数瘦腿瘦全身</v>
      </c>
    </row>
    <row r="441" spans="1:32">
      <c r="A441" s="18" t="s">
        <v>51</v>
      </c>
      <c r="B441" s="18" t="s">
        <v>1099</v>
      </c>
      <c r="C441" s="19">
        <v>15678883</v>
      </c>
      <c r="D441" s="18" t="s">
        <v>209</v>
      </c>
      <c r="E441" s="18" t="s">
        <v>549</v>
      </c>
      <c r="F441" s="18" t="s">
        <v>1100</v>
      </c>
      <c r="G441" s="19">
        <v>3067721</v>
      </c>
      <c r="H441" s="18" t="s">
        <v>1100</v>
      </c>
      <c r="I441" s="19">
        <v>2464984</v>
      </c>
      <c r="J441" s="18" t="s">
        <v>1015</v>
      </c>
      <c r="K441" s="19">
        <v>0</v>
      </c>
      <c r="L441" s="19">
        <v>0</v>
      </c>
      <c r="M441" s="19">
        <v>0</v>
      </c>
      <c r="N441" s="20">
        <v>0</v>
      </c>
      <c r="O441" s="19">
        <v>0</v>
      </c>
      <c r="P441" s="19">
        <v>0</v>
      </c>
      <c r="Q441" s="19">
        <v>0</v>
      </c>
      <c r="R441" s="19">
        <v>0</v>
      </c>
      <c r="S441" s="19">
        <v>0</v>
      </c>
      <c r="T441" s="19">
        <v>0</v>
      </c>
      <c r="U441" s="19">
        <v>0</v>
      </c>
      <c r="V441" s="19">
        <v>0</v>
      </c>
      <c r="W441" s="19">
        <v>0</v>
      </c>
      <c r="X441" s="19">
        <v>0</v>
      </c>
      <c r="Y441" s="20">
        <v>0</v>
      </c>
      <c r="Z441" s="19">
        <v>0</v>
      </c>
      <c r="AA441" s="19">
        <v>0</v>
      </c>
      <c r="AB441" t="str">
        <f>VLOOKUP(E:E,笔记匹配!A:N,3,FALSE)</f>
        <v>爽姐腿特长</v>
      </c>
      <c r="AC441" t="str">
        <f>VLOOKUP(E:E,笔记匹配!A:N,2,FALSE)</f>
        <v>筋膜枪</v>
      </c>
      <c r="AD441" t="str">
        <f>VLOOKUP(E:E,笔记匹配!A:N,4,FALSE)</f>
        <v>云麦筋膜枪cc</v>
      </c>
      <c r="AE441" t="str">
        <f>VLOOKUP(E:E,笔记匹配!A:N,14,FALSE)</f>
        <v>云麦筋膜枪cc</v>
      </c>
      <c r="AF441" t="str">
        <f>VLOOKUP(E:E,笔记匹配!A:N,6,FALSE)</f>
        <v>筋膜枪有效放松|顽固肌肉腿有救了🦵</v>
      </c>
    </row>
    <row r="442" spans="1:32">
      <c r="A442" s="18" t="s">
        <v>51</v>
      </c>
      <c r="B442" s="18" t="s">
        <v>757</v>
      </c>
      <c r="C442" s="19">
        <v>15867913</v>
      </c>
      <c r="D442" s="18" t="s">
        <v>209</v>
      </c>
      <c r="E442" s="18" t="s">
        <v>468</v>
      </c>
      <c r="F442" s="18" t="s">
        <v>1124</v>
      </c>
      <c r="G442" s="19">
        <v>3099180</v>
      </c>
      <c r="H442" s="18" t="s">
        <v>1124</v>
      </c>
      <c r="I442" s="19">
        <v>2494227</v>
      </c>
      <c r="J442" s="18" t="s">
        <v>1015</v>
      </c>
      <c r="K442" s="19">
        <v>0</v>
      </c>
      <c r="L442" s="19">
        <v>0</v>
      </c>
      <c r="M442" s="19">
        <v>0</v>
      </c>
      <c r="N442" s="20">
        <v>0</v>
      </c>
      <c r="O442" s="19">
        <v>0</v>
      </c>
      <c r="P442" s="19">
        <v>0</v>
      </c>
      <c r="Q442" s="19">
        <v>0</v>
      </c>
      <c r="R442" s="19">
        <v>0</v>
      </c>
      <c r="S442" s="19">
        <v>0</v>
      </c>
      <c r="T442" s="19">
        <v>0</v>
      </c>
      <c r="U442" s="19">
        <v>0</v>
      </c>
      <c r="V442" s="19">
        <v>0</v>
      </c>
      <c r="W442" s="19">
        <v>0</v>
      </c>
      <c r="X442" s="19">
        <v>0</v>
      </c>
      <c r="Y442" s="20">
        <v>0</v>
      </c>
      <c r="Z442" s="19">
        <v>0</v>
      </c>
      <c r="AA442" s="19">
        <v>0</v>
      </c>
      <c r="AB442" t="str">
        <f>VLOOKUP(E:E,笔记匹配!A:N,3,FALSE)</f>
        <v>生椰黎子yoga</v>
      </c>
      <c r="AC442" t="str">
        <f>VLOOKUP(E:E,笔记匹配!A:N,2,FALSE)</f>
        <v>体脂秤</v>
      </c>
      <c r="AD442" t="str">
        <f>VLOOKUP(E:E,笔记匹配!A:N,4,FALSE)</f>
        <v>云麦体脂秤3mini</v>
      </c>
      <c r="AE442" t="str">
        <f>VLOOKUP(E:E,笔记匹配!A:N,14,FALSE)</f>
        <v>云麦体脂秤3mini</v>
      </c>
      <c r="AF442" t="str">
        <f>VLOOKUP(E:E,笔记匹配!A:N,6,FALSE)</f>
        <v>超🔥极速瘦肚子！太有用了‼️6分钟紧致腰腹</v>
      </c>
    </row>
    <row r="443" spans="1:32">
      <c r="A443" s="18" t="s">
        <v>52</v>
      </c>
      <c r="B443" s="18" t="s">
        <v>737</v>
      </c>
      <c r="C443" s="19">
        <v>15804340</v>
      </c>
      <c r="D443" s="18" t="s">
        <v>209</v>
      </c>
      <c r="E443" s="18" t="s">
        <v>458</v>
      </c>
      <c r="F443" s="18" t="s">
        <v>1121</v>
      </c>
      <c r="G443" s="19">
        <v>3087973</v>
      </c>
      <c r="H443" s="18" t="s">
        <v>1121</v>
      </c>
      <c r="I443" s="19">
        <v>2483391</v>
      </c>
      <c r="J443" s="18" t="s">
        <v>1015</v>
      </c>
      <c r="K443" s="19">
        <v>0</v>
      </c>
      <c r="L443" s="19">
        <v>0</v>
      </c>
      <c r="M443" s="19">
        <v>0</v>
      </c>
      <c r="N443" s="20">
        <v>0</v>
      </c>
      <c r="O443" s="19">
        <v>0</v>
      </c>
      <c r="P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0</v>
      </c>
      <c r="V443" s="19">
        <v>0</v>
      </c>
      <c r="W443" s="19">
        <v>0</v>
      </c>
      <c r="X443" s="19">
        <v>0</v>
      </c>
      <c r="Y443" s="20">
        <v>0</v>
      </c>
      <c r="Z443" s="19">
        <v>0</v>
      </c>
      <c r="AA443" s="19">
        <v>0</v>
      </c>
      <c r="AB443" t="str">
        <f>VLOOKUP(E:E,笔记匹配!A:N,3,FALSE)</f>
        <v>林菀桃桃</v>
      </c>
      <c r="AC443" t="str">
        <f>VLOOKUP(E:E,笔记匹配!A:N,2,FALSE)</f>
        <v>筋膜枪</v>
      </c>
      <c r="AD443" t="str">
        <f>VLOOKUP(E:E,笔记匹配!A:N,4,FALSE)</f>
        <v>云麦cc筋膜枪</v>
      </c>
      <c r="AE443" t="str">
        <f>VLOOKUP(E:E,笔记匹配!A:N,14,FALSE)</f>
        <v>云麦筋膜枪cc</v>
      </c>
      <c r="AF443" t="str">
        <f>VLOOKUP(E:E,笔记匹配!A:N,6,FALSE)</f>
        <v>vlog饱满蜜桃+提高臀线+筋膜枪放松胫骨前肌</v>
      </c>
    </row>
    <row r="444" spans="1:32">
      <c r="A444" s="18" t="s">
        <v>52</v>
      </c>
      <c r="B444" s="18" t="s">
        <v>757</v>
      </c>
      <c r="C444" s="19">
        <v>15867913</v>
      </c>
      <c r="D444" s="18" t="s">
        <v>209</v>
      </c>
      <c r="E444" s="18" t="s">
        <v>468</v>
      </c>
      <c r="F444" s="18" t="s">
        <v>1124</v>
      </c>
      <c r="G444" s="19">
        <v>3099180</v>
      </c>
      <c r="H444" s="18" t="s">
        <v>1124</v>
      </c>
      <c r="I444" s="19">
        <v>2494227</v>
      </c>
      <c r="J444" s="18" t="s">
        <v>1015</v>
      </c>
      <c r="K444" s="19">
        <v>0</v>
      </c>
      <c r="L444" s="19">
        <v>0</v>
      </c>
      <c r="M444" s="19">
        <v>0</v>
      </c>
      <c r="N444" s="20">
        <v>0</v>
      </c>
      <c r="O444" s="19">
        <v>0</v>
      </c>
      <c r="P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0</v>
      </c>
      <c r="V444" s="19">
        <v>0</v>
      </c>
      <c r="W444" s="19">
        <v>0</v>
      </c>
      <c r="X444" s="19">
        <v>0</v>
      </c>
      <c r="Y444" s="20">
        <v>0</v>
      </c>
      <c r="Z444" s="19">
        <v>0</v>
      </c>
      <c r="AA444" s="19">
        <v>0</v>
      </c>
      <c r="AB444" t="str">
        <f>VLOOKUP(E:E,笔记匹配!A:N,3,FALSE)</f>
        <v>生椰黎子yoga</v>
      </c>
      <c r="AC444" t="str">
        <f>VLOOKUP(E:E,笔记匹配!A:N,2,FALSE)</f>
        <v>体脂秤</v>
      </c>
      <c r="AD444" t="str">
        <f>VLOOKUP(E:E,笔记匹配!A:N,4,FALSE)</f>
        <v>云麦体脂秤3mini</v>
      </c>
      <c r="AE444" t="str">
        <f>VLOOKUP(E:E,笔记匹配!A:N,14,FALSE)</f>
        <v>云麦体脂秤3mini</v>
      </c>
      <c r="AF444" t="str">
        <f>VLOOKUP(E:E,笔记匹配!A:N,6,FALSE)</f>
        <v>超🔥极速瘦肚子！太有用了‼️6分钟紧致腰腹</v>
      </c>
    </row>
    <row r="445" spans="1:32">
      <c r="A445" s="18" t="s">
        <v>53</v>
      </c>
      <c r="B445" s="18" t="s">
        <v>1086</v>
      </c>
      <c r="C445" s="19">
        <v>15248439</v>
      </c>
      <c r="D445" s="18" t="s">
        <v>196</v>
      </c>
      <c r="E445" s="18" t="s">
        <v>234</v>
      </c>
      <c r="F445" s="18" t="s">
        <v>1087</v>
      </c>
      <c r="G445" s="19">
        <v>3014779</v>
      </c>
      <c r="H445" s="18" t="s">
        <v>1088</v>
      </c>
      <c r="I445" s="19">
        <v>2412665</v>
      </c>
      <c r="J445" s="18" t="s">
        <v>1015</v>
      </c>
      <c r="K445" s="19">
        <v>104.15</v>
      </c>
      <c r="L445" s="19">
        <v>1599</v>
      </c>
      <c r="M445" s="19">
        <v>151</v>
      </c>
      <c r="N445" s="20">
        <v>0.0944</v>
      </c>
      <c r="O445" s="19">
        <v>0.69</v>
      </c>
      <c r="P445" s="19">
        <v>65.13</v>
      </c>
      <c r="Q445" s="19">
        <v>1</v>
      </c>
      <c r="R445" s="19">
        <v>0</v>
      </c>
      <c r="S445" s="19">
        <v>0</v>
      </c>
      <c r="T445" s="19">
        <v>0</v>
      </c>
      <c r="U445" s="19">
        <v>0</v>
      </c>
      <c r="V445" s="19">
        <v>1</v>
      </c>
      <c r="W445" s="19">
        <v>104.15</v>
      </c>
      <c r="X445" s="19">
        <v>0</v>
      </c>
      <c r="Y445" s="20">
        <v>0</v>
      </c>
      <c r="Z445" s="19">
        <v>0</v>
      </c>
      <c r="AA445" s="19">
        <v>2</v>
      </c>
      <c r="AB445" t="str">
        <f>VLOOKUP(E:E,笔记匹配!A:N,3,FALSE)</f>
        <v>pp</v>
      </c>
      <c r="AC445" t="str">
        <f>VLOOKUP(E:E,笔记匹配!A:N,2,FALSE)</f>
        <v>体脂秤</v>
      </c>
      <c r="AD445" t="str">
        <f>VLOOKUP(E:E,笔记匹配!A:N,4,FALSE)</f>
        <v>云麦体脂秤3mini</v>
      </c>
      <c r="AE445" t="str">
        <f>VLOOKUP(E:E,笔记匹配!A:N,14,FALSE)</f>
        <v>云麦体脂秤3mini</v>
      </c>
      <c r="AF445" t="str">
        <f>VLOOKUP(E:E,笔记匹配!A:N,6,FALSE)</f>
        <v>110到88 一些减肥小建议｜如何正确运动</v>
      </c>
    </row>
    <row r="446" spans="1:32">
      <c r="A446" s="18" t="s">
        <v>53</v>
      </c>
      <c r="B446" s="18" t="s">
        <v>716</v>
      </c>
      <c r="C446" s="19">
        <v>15296992</v>
      </c>
      <c r="D446" s="18" t="s">
        <v>209</v>
      </c>
      <c r="E446" s="18" t="s">
        <v>494</v>
      </c>
      <c r="F446" s="18" t="s">
        <v>1094</v>
      </c>
      <c r="G446" s="19">
        <v>3020613</v>
      </c>
      <c r="H446" s="18" t="s">
        <v>1094</v>
      </c>
      <c r="I446" s="19">
        <v>2418438</v>
      </c>
      <c r="J446" s="18" t="s">
        <v>1015</v>
      </c>
      <c r="K446" s="19">
        <v>0</v>
      </c>
      <c r="L446" s="19">
        <v>0</v>
      </c>
      <c r="M446" s="19">
        <v>0</v>
      </c>
      <c r="N446" s="20">
        <v>0</v>
      </c>
      <c r="O446" s="19">
        <v>0</v>
      </c>
      <c r="P446" s="19">
        <v>0</v>
      </c>
      <c r="Q446" s="19">
        <v>0</v>
      </c>
      <c r="R446" s="19">
        <v>0</v>
      </c>
      <c r="S446" s="19">
        <v>0</v>
      </c>
      <c r="T446" s="19">
        <v>0</v>
      </c>
      <c r="U446" s="19">
        <v>0</v>
      </c>
      <c r="V446" s="19">
        <v>0</v>
      </c>
      <c r="W446" s="19">
        <v>0</v>
      </c>
      <c r="X446" s="19">
        <v>0</v>
      </c>
      <c r="Y446" s="20">
        <v>0</v>
      </c>
      <c r="Z446" s="19">
        <v>0</v>
      </c>
      <c r="AA446" s="19">
        <v>0</v>
      </c>
      <c r="AB446" t="str">
        <f>VLOOKUP(E:E,笔记匹配!A:N,3,FALSE)</f>
        <v>凯琳KatherineW</v>
      </c>
      <c r="AC446" t="str">
        <f>VLOOKUP(E:E,笔记匹配!A:N,2,FALSE)</f>
        <v>跳绳</v>
      </c>
      <c r="AD446" t="str">
        <f>VLOOKUP(E:E,笔记匹配!A:N,4,FALSE)</f>
        <v>云麦心率跳绳</v>
      </c>
      <c r="AE446" t="str">
        <f>VLOOKUP(E:E,笔记匹配!A:N,14,FALSE)</f>
        <v>云麦心率跳绳</v>
      </c>
      <c r="AF446" t="str">
        <f>VLOOKUP(E:E,笔记匹配!A:N,6,FALSE)</f>
        <v>无绳卡点暴汗230卡跟练 ｜小基数瘦腿瘦全身</v>
      </c>
    </row>
    <row r="447" spans="1:32">
      <c r="A447" s="18" t="s">
        <v>53</v>
      </c>
      <c r="B447" s="18" t="s">
        <v>1099</v>
      </c>
      <c r="C447" s="19">
        <v>15678883</v>
      </c>
      <c r="D447" s="18" t="s">
        <v>209</v>
      </c>
      <c r="E447" s="18" t="s">
        <v>549</v>
      </c>
      <c r="F447" s="18" t="s">
        <v>1100</v>
      </c>
      <c r="G447" s="19">
        <v>3067721</v>
      </c>
      <c r="H447" s="18" t="s">
        <v>1100</v>
      </c>
      <c r="I447" s="19">
        <v>2464984</v>
      </c>
      <c r="J447" s="18" t="s">
        <v>1015</v>
      </c>
      <c r="K447" s="19">
        <v>0</v>
      </c>
      <c r="L447" s="19">
        <v>0</v>
      </c>
      <c r="M447" s="19">
        <v>0</v>
      </c>
      <c r="N447" s="20">
        <v>0</v>
      </c>
      <c r="O447" s="19">
        <v>0</v>
      </c>
      <c r="P447" s="19">
        <v>0</v>
      </c>
      <c r="Q447" s="19">
        <v>0</v>
      </c>
      <c r="R447" s="19">
        <v>0</v>
      </c>
      <c r="S447" s="19">
        <v>0</v>
      </c>
      <c r="T447" s="19">
        <v>0</v>
      </c>
      <c r="U447" s="19">
        <v>0</v>
      </c>
      <c r="V447" s="19">
        <v>0</v>
      </c>
      <c r="W447" s="19">
        <v>0</v>
      </c>
      <c r="X447" s="19">
        <v>0</v>
      </c>
      <c r="Y447" s="20">
        <v>0</v>
      </c>
      <c r="Z447" s="19">
        <v>0</v>
      </c>
      <c r="AA447" s="19">
        <v>0</v>
      </c>
      <c r="AB447" t="str">
        <f>VLOOKUP(E:E,笔记匹配!A:N,3,FALSE)</f>
        <v>爽姐腿特长</v>
      </c>
      <c r="AC447" t="str">
        <f>VLOOKUP(E:E,笔记匹配!A:N,2,FALSE)</f>
        <v>筋膜枪</v>
      </c>
      <c r="AD447" t="str">
        <f>VLOOKUP(E:E,笔记匹配!A:N,4,FALSE)</f>
        <v>云麦筋膜枪cc</v>
      </c>
      <c r="AE447" t="str">
        <f>VLOOKUP(E:E,笔记匹配!A:N,14,FALSE)</f>
        <v>云麦筋膜枪cc</v>
      </c>
      <c r="AF447" t="str">
        <f>VLOOKUP(E:E,笔记匹配!A:N,6,FALSE)</f>
        <v>筋膜枪有效放松|顽固肌肉腿有救了🦵</v>
      </c>
    </row>
    <row r="448" spans="1:32">
      <c r="A448" s="18" t="s">
        <v>53</v>
      </c>
      <c r="B448" s="18" t="s">
        <v>1113</v>
      </c>
      <c r="C448" s="19">
        <v>15734941</v>
      </c>
      <c r="D448" s="18" t="s">
        <v>196</v>
      </c>
      <c r="E448" s="18" t="s">
        <v>312</v>
      </c>
      <c r="F448" s="18" t="s">
        <v>1114</v>
      </c>
      <c r="G448" s="19">
        <v>3077590</v>
      </c>
      <c r="H448" s="18" t="s">
        <v>1114</v>
      </c>
      <c r="I448" s="19">
        <v>2473348</v>
      </c>
      <c r="J448" s="18" t="s">
        <v>1015</v>
      </c>
      <c r="K448" s="19">
        <v>2.95</v>
      </c>
      <c r="L448" s="19">
        <v>71</v>
      </c>
      <c r="M448" s="19">
        <v>5</v>
      </c>
      <c r="N448" s="20">
        <v>0.0704</v>
      </c>
      <c r="O448" s="19">
        <v>0.59</v>
      </c>
      <c r="P448" s="19">
        <v>41.55</v>
      </c>
      <c r="Q448" s="19">
        <v>0</v>
      </c>
      <c r="R448" s="19">
        <v>0</v>
      </c>
      <c r="S448" s="19">
        <v>1</v>
      </c>
      <c r="T448" s="19">
        <v>0</v>
      </c>
      <c r="U448" s="19">
        <v>0</v>
      </c>
      <c r="V448" s="19">
        <v>1</v>
      </c>
      <c r="W448" s="19">
        <v>2.95</v>
      </c>
      <c r="X448" s="19">
        <v>0</v>
      </c>
      <c r="Y448" s="20">
        <v>0</v>
      </c>
      <c r="Z448" s="19">
        <v>0</v>
      </c>
      <c r="AA448" s="19">
        <v>0</v>
      </c>
      <c r="AB448" t="str">
        <f>VLOOKUP(E:E,笔记匹配!A:N,3,FALSE)</f>
        <v>郝有金</v>
      </c>
      <c r="AC448" t="str">
        <f>VLOOKUP(E:E,笔记匹配!A:N,2,FALSE)</f>
        <v>筋膜枪</v>
      </c>
      <c r="AD448" t="str">
        <f>VLOOKUP(E:E,笔记匹配!A:N,4,FALSE)</f>
        <v>云麦cc筋膜枪</v>
      </c>
      <c r="AE448" t="str">
        <f>VLOOKUP(E:E,笔记匹配!A:N,14,FALSE)</f>
        <v>云麦筋膜枪cc</v>
      </c>
      <c r="AF448" t="str">
        <f>VLOOKUP(E:E,笔记匹配!A:N,6,FALSE)</f>
        <v>别用错❗️筋膜枪正确使用方法，不同肌肉部位放松大全</v>
      </c>
    </row>
    <row r="449" spans="1:32">
      <c r="A449" s="18" t="s">
        <v>53</v>
      </c>
      <c r="B449" s="18" t="s">
        <v>744</v>
      </c>
      <c r="C449" s="19">
        <v>15804507</v>
      </c>
      <c r="D449" s="18" t="s">
        <v>209</v>
      </c>
      <c r="E449" s="18" t="s">
        <v>447</v>
      </c>
      <c r="F449" s="18" t="s">
        <v>1123</v>
      </c>
      <c r="G449" s="19">
        <v>3087989</v>
      </c>
      <c r="H449" s="18" t="s">
        <v>1123</v>
      </c>
      <c r="I449" s="19">
        <v>2483404</v>
      </c>
      <c r="J449" s="18" t="s">
        <v>1015</v>
      </c>
      <c r="K449" s="19">
        <v>0</v>
      </c>
      <c r="L449" s="19">
        <v>0</v>
      </c>
      <c r="M449" s="19">
        <v>0</v>
      </c>
      <c r="N449" s="20">
        <v>0</v>
      </c>
      <c r="O449" s="19">
        <v>0</v>
      </c>
      <c r="P449" s="19">
        <v>0</v>
      </c>
      <c r="Q449" s="19">
        <v>0</v>
      </c>
      <c r="R449" s="19">
        <v>0</v>
      </c>
      <c r="S449" s="19">
        <v>0</v>
      </c>
      <c r="T449" s="19">
        <v>0</v>
      </c>
      <c r="U449" s="19">
        <v>0</v>
      </c>
      <c r="V449" s="19">
        <v>0</v>
      </c>
      <c r="W449" s="19">
        <v>0</v>
      </c>
      <c r="X449" s="19">
        <v>0</v>
      </c>
      <c r="Y449" s="20">
        <v>0</v>
      </c>
      <c r="Z449" s="19">
        <v>0</v>
      </c>
      <c r="AA449" s="19">
        <v>0</v>
      </c>
      <c r="AB449" t="str">
        <f>VLOOKUP(E:E,笔记匹配!A:N,3,FALSE)</f>
        <v>熊猫叮</v>
      </c>
      <c r="AC449" t="str">
        <f>VLOOKUP(E:E,笔记匹配!A:N,2,FALSE)</f>
        <v>筋膜枪</v>
      </c>
      <c r="AD449" t="str">
        <f>VLOOKUP(E:E,笔记匹配!A:N,4,FALSE)</f>
        <v> 云麦cc</v>
      </c>
      <c r="AE449" t="str">
        <f>VLOOKUP(E:E,笔记匹配!A:N,14,FALSE)</f>
        <v>云麦筋膜枪cc</v>
      </c>
      <c r="AF449" t="str">
        <f>VLOOKUP(E:E,笔记匹配!A:N,6,FALSE)</f>
        <v>瘦小腿训练🔥消除肌肉腿脂包肌‼️筋膜枪放松</v>
      </c>
    </row>
    <row r="450" spans="1:32">
      <c r="A450" s="18" t="s">
        <v>53</v>
      </c>
      <c r="B450" s="18" t="s">
        <v>757</v>
      </c>
      <c r="C450" s="19">
        <v>15867913</v>
      </c>
      <c r="D450" s="18" t="s">
        <v>209</v>
      </c>
      <c r="E450" s="18" t="s">
        <v>468</v>
      </c>
      <c r="F450" s="18" t="s">
        <v>1124</v>
      </c>
      <c r="G450" s="19">
        <v>3099180</v>
      </c>
      <c r="H450" s="18" t="s">
        <v>1124</v>
      </c>
      <c r="I450" s="19">
        <v>2494227</v>
      </c>
      <c r="J450" s="18" t="s">
        <v>1015</v>
      </c>
      <c r="K450" s="19">
        <v>0</v>
      </c>
      <c r="L450" s="19">
        <v>0</v>
      </c>
      <c r="M450" s="19">
        <v>0</v>
      </c>
      <c r="N450" s="20">
        <v>0</v>
      </c>
      <c r="O450" s="19">
        <v>0</v>
      </c>
      <c r="P450" s="19">
        <v>0</v>
      </c>
      <c r="Q450" s="19">
        <v>0</v>
      </c>
      <c r="R450" s="19">
        <v>0</v>
      </c>
      <c r="S450" s="19">
        <v>0</v>
      </c>
      <c r="T450" s="19">
        <v>0</v>
      </c>
      <c r="U450" s="19">
        <v>0</v>
      </c>
      <c r="V450" s="19">
        <v>0</v>
      </c>
      <c r="W450" s="19">
        <v>0</v>
      </c>
      <c r="X450" s="19">
        <v>0</v>
      </c>
      <c r="Y450" s="20">
        <v>0</v>
      </c>
      <c r="Z450" s="19">
        <v>0</v>
      </c>
      <c r="AA450" s="19">
        <v>0</v>
      </c>
      <c r="AB450" t="str">
        <f>VLOOKUP(E:E,笔记匹配!A:N,3,FALSE)</f>
        <v>生椰黎子yoga</v>
      </c>
      <c r="AC450" t="str">
        <f>VLOOKUP(E:E,笔记匹配!A:N,2,FALSE)</f>
        <v>体脂秤</v>
      </c>
      <c r="AD450" t="str">
        <f>VLOOKUP(E:E,笔记匹配!A:N,4,FALSE)</f>
        <v>云麦体脂秤3mini</v>
      </c>
      <c r="AE450" t="str">
        <f>VLOOKUP(E:E,笔记匹配!A:N,14,FALSE)</f>
        <v>云麦体脂秤3mini</v>
      </c>
      <c r="AF450" t="str">
        <f>VLOOKUP(E:E,笔记匹配!A:N,6,FALSE)</f>
        <v>超🔥极速瘦肚子！太有用了‼️6分钟紧致腰腹</v>
      </c>
    </row>
    <row r="451" spans="1:32">
      <c r="A451" s="18" t="s">
        <v>54</v>
      </c>
      <c r="B451" s="18" t="s">
        <v>716</v>
      </c>
      <c r="C451" s="19">
        <v>15296992</v>
      </c>
      <c r="D451" s="18" t="s">
        <v>209</v>
      </c>
      <c r="E451" s="18" t="s">
        <v>494</v>
      </c>
      <c r="F451" s="18" t="s">
        <v>1094</v>
      </c>
      <c r="G451" s="19">
        <v>3020613</v>
      </c>
      <c r="H451" s="18" t="s">
        <v>1094</v>
      </c>
      <c r="I451" s="19">
        <v>2418438</v>
      </c>
      <c r="J451" s="18" t="s">
        <v>1015</v>
      </c>
      <c r="K451" s="19">
        <v>0</v>
      </c>
      <c r="L451" s="19">
        <v>0</v>
      </c>
      <c r="M451" s="19">
        <v>0</v>
      </c>
      <c r="N451" s="20">
        <v>0</v>
      </c>
      <c r="O451" s="19">
        <v>0</v>
      </c>
      <c r="P451" s="19">
        <v>0</v>
      </c>
      <c r="Q451" s="19">
        <v>0</v>
      </c>
      <c r="R451" s="19">
        <v>0</v>
      </c>
      <c r="S451" s="19">
        <v>0</v>
      </c>
      <c r="T451" s="19">
        <v>0</v>
      </c>
      <c r="U451" s="19">
        <v>0</v>
      </c>
      <c r="V451" s="19">
        <v>0</v>
      </c>
      <c r="W451" s="19">
        <v>0</v>
      </c>
      <c r="X451" s="19">
        <v>0</v>
      </c>
      <c r="Y451" s="20">
        <v>0</v>
      </c>
      <c r="Z451" s="19">
        <v>0</v>
      </c>
      <c r="AA451" s="19">
        <v>0</v>
      </c>
      <c r="AB451" t="str">
        <f>VLOOKUP(E:E,笔记匹配!A:N,3,FALSE)</f>
        <v>凯琳KatherineW</v>
      </c>
      <c r="AC451" t="str">
        <f>VLOOKUP(E:E,笔记匹配!A:N,2,FALSE)</f>
        <v>跳绳</v>
      </c>
      <c r="AD451" t="str">
        <f>VLOOKUP(E:E,笔记匹配!A:N,4,FALSE)</f>
        <v>云麦心率跳绳</v>
      </c>
      <c r="AE451" t="str">
        <f>VLOOKUP(E:E,笔记匹配!A:N,14,FALSE)</f>
        <v>云麦心率跳绳</v>
      </c>
      <c r="AF451" t="str">
        <f>VLOOKUP(E:E,笔记匹配!A:N,6,FALSE)</f>
        <v>无绳卡点暴汗230卡跟练 ｜小基数瘦腿瘦全身</v>
      </c>
    </row>
    <row r="452" spans="1:32">
      <c r="A452" s="18" t="s">
        <v>55</v>
      </c>
      <c r="B452" s="18" t="s">
        <v>716</v>
      </c>
      <c r="C452" s="19">
        <v>15296992</v>
      </c>
      <c r="D452" s="18" t="s">
        <v>209</v>
      </c>
      <c r="E452" s="18" t="s">
        <v>494</v>
      </c>
      <c r="F452" s="18" t="s">
        <v>1094</v>
      </c>
      <c r="G452" s="19">
        <v>3020613</v>
      </c>
      <c r="H452" s="18" t="s">
        <v>1094</v>
      </c>
      <c r="I452" s="19">
        <v>2418438</v>
      </c>
      <c r="J452" s="18" t="s">
        <v>1015</v>
      </c>
      <c r="K452" s="19">
        <v>0</v>
      </c>
      <c r="L452" s="19">
        <v>0</v>
      </c>
      <c r="M452" s="19">
        <v>0</v>
      </c>
      <c r="N452" s="20">
        <v>0</v>
      </c>
      <c r="O452" s="19">
        <v>0</v>
      </c>
      <c r="P452" s="19">
        <v>0</v>
      </c>
      <c r="Q452" s="19">
        <v>0</v>
      </c>
      <c r="R452" s="19">
        <v>0</v>
      </c>
      <c r="S452" s="19">
        <v>0</v>
      </c>
      <c r="T452" s="19">
        <v>0</v>
      </c>
      <c r="U452" s="19">
        <v>0</v>
      </c>
      <c r="V452" s="19">
        <v>0</v>
      </c>
      <c r="W452" s="19">
        <v>0</v>
      </c>
      <c r="X452" s="19">
        <v>0</v>
      </c>
      <c r="Y452" s="20">
        <v>0</v>
      </c>
      <c r="Z452" s="19">
        <v>0</v>
      </c>
      <c r="AA452" s="19">
        <v>0</v>
      </c>
      <c r="AB452" t="str">
        <f>VLOOKUP(E:E,笔记匹配!A:N,3,FALSE)</f>
        <v>凯琳KatherineW</v>
      </c>
      <c r="AC452" t="str">
        <f>VLOOKUP(E:E,笔记匹配!A:N,2,FALSE)</f>
        <v>跳绳</v>
      </c>
      <c r="AD452" t="str">
        <f>VLOOKUP(E:E,笔记匹配!A:N,4,FALSE)</f>
        <v>云麦心率跳绳</v>
      </c>
      <c r="AE452" t="str">
        <f>VLOOKUP(E:E,笔记匹配!A:N,14,FALSE)</f>
        <v>云麦心率跳绳</v>
      </c>
      <c r="AF452" t="str">
        <f>VLOOKUP(E:E,笔记匹配!A:N,6,FALSE)</f>
        <v>无绳卡点暴汗230卡跟练 ｜小基数瘦腿瘦全身</v>
      </c>
    </row>
    <row r="453" spans="1:32">
      <c r="A453" s="18" t="s">
        <v>55</v>
      </c>
      <c r="B453" s="18" t="s">
        <v>1099</v>
      </c>
      <c r="C453" s="19">
        <v>15678883</v>
      </c>
      <c r="D453" s="18" t="s">
        <v>209</v>
      </c>
      <c r="E453" s="18" t="s">
        <v>549</v>
      </c>
      <c r="F453" s="18" t="s">
        <v>1100</v>
      </c>
      <c r="G453" s="19">
        <v>3067721</v>
      </c>
      <c r="H453" s="18" t="s">
        <v>1100</v>
      </c>
      <c r="I453" s="19">
        <v>2464984</v>
      </c>
      <c r="J453" s="18" t="s">
        <v>1015</v>
      </c>
      <c r="K453" s="19">
        <v>0</v>
      </c>
      <c r="L453" s="19">
        <v>0</v>
      </c>
      <c r="M453" s="19">
        <v>0</v>
      </c>
      <c r="N453" s="20">
        <v>0</v>
      </c>
      <c r="O453" s="19">
        <v>0</v>
      </c>
      <c r="P453" s="19">
        <v>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20">
        <v>0</v>
      </c>
      <c r="Z453" s="19">
        <v>0</v>
      </c>
      <c r="AA453" s="19">
        <v>0</v>
      </c>
      <c r="AB453" t="str">
        <f>VLOOKUP(E:E,笔记匹配!A:N,3,FALSE)</f>
        <v>爽姐腿特长</v>
      </c>
      <c r="AC453" t="str">
        <f>VLOOKUP(E:E,笔记匹配!A:N,2,FALSE)</f>
        <v>筋膜枪</v>
      </c>
      <c r="AD453" t="str">
        <f>VLOOKUP(E:E,笔记匹配!A:N,4,FALSE)</f>
        <v>云麦筋膜枪cc</v>
      </c>
      <c r="AE453" t="str">
        <f>VLOOKUP(E:E,笔记匹配!A:N,14,FALSE)</f>
        <v>云麦筋膜枪cc</v>
      </c>
      <c r="AF453" t="str">
        <f>VLOOKUP(E:E,笔记匹配!A:N,6,FALSE)</f>
        <v>筋膜枪有效放松|顽固肌肉腿有救了🦵</v>
      </c>
    </row>
    <row r="454" spans="1:32">
      <c r="A454" s="18" t="s">
        <v>56</v>
      </c>
      <c r="B454" s="18" t="s">
        <v>680</v>
      </c>
      <c r="C454" s="19">
        <v>14978184</v>
      </c>
      <c r="D454" s="18" t="s">
        <v>209</v>
      </c>
      <c r="E454" s="18" t="s">
        <v>513</v>
      </c>
      <c r="F454" s="18" t="s">
        <v>1062</v>
      </c>
      <c r="G454" s="19">
        <v>2984400</v>
      </c>
      <c r="H454" s="18" t="s">
        <v>1062</v>
      </c>
      <c r="I454" s="19">
        <v>2386169</v>
      </c>
      <c r="J454" s="18" t="s">
        <v>1015</v>
      </c>
      <c r="K454" s="19">
        <v>0</v>
      </c>
      <c r="L454" s="19">
        <v>0</v>
      </c>
      <c r="M454" s="19">
        <v>0</v>
      </c>
      <c r="N454" s="20">
        <v>0</v>
      </c>
      <c r="O454" s="19">
        <v>0</v>
      </c>
      <c r="P454" s="19">
        <v>0</v>
      </c>
      <c r="Q454" s="19">
        <v>0</v>
      </c>
      <c r="R454" s="19">
        <v>0</v>
      </c>
      <c r="S454" s="19">
        <v>0</v>
      </c>
      <c r="T454" s="19">
        <v>0</v>
      </c>
      <c r="U454" s="19">
        <v>0</v>
      </c>
      <c r="V454" s="19">
        <v>0</v>
      </c>
      <c r="W454" s="19">
        <v>0</v>
      </c>
      <c r="X454" s="19">
        <v>0</v>
      </c>
      <c r="Y454" s="20">
        <v>0</v>
      </c>
      <c r="Z454" s="19">
        <v>0</v>
      </c>
      <c r="AA454" s="19">
        <v>0</v>
      </c>
      <c r="AB454" t="str">
        <f>VLOOKUP(E:E,笔记匹配!A:N,3,FALSE)</f>
        <v>大桐yoto</v>
      </c>
      <c r="AC454" t="str">
        <f>VLOOKUP(E:E,笔记匹配!A:N,2,FALSE)</f>
        <v>跳绳</v>
      </c>
      <c r="AD454" t="str">
        <f>VLOOKUP(E:E,笔记匹配!A:N,4,FALSE)</f>
        <v>云麦3mini</v>
      </c>
      <c r="AE454" t="str">
        <f>VLOOKUP(E:E,笔记匹配!A:N,14,FALSE)</f>
        <v>云麦体脂秤3mini</v>
      </c>
      <c r="AF454" t="str">
        <f>VLOOKUP(E:E,笔记匹配!A:N,6,FALSE)</f>
        <v>减肥就是要饿｜饮食和运动的完整计划在这里</v>
      </c>
    </row>
    <row r="455" spans="1:32">
      <c r="A455" s="18" t="s">
        <v>57</v>
      </c>
      <c r="B455" s="18" t="s">
        <v>587</v>
      </c>
      <c r="C455" s="19">
        <v>15295967</v>
      </c>
      <c r="D455" s="18" t="s">
        <v>209</v>
      </c>
      <c r="E455" s="18" t="s">
        <v>400</v>
      </c>
      <c r="F455" s="18" t="s">
        <v>1090</v>
      </c>
      <c r="G455" s="19">
        <v>3020475</v>
      </c>
      <c r="H455" s="18" t="s">
        <v>1091</v>
      </c>
      <c r="I455" s="19">
        <v>2418288</v>
      </c>
      <c r="J455" s="18" t="s">
        <v>1015</v>
      </c>
      <c r="K455" s="19">
        <v>0</v>
      </c>
      <c r="L455" s="19">
        <v>0</v>
      </c>
      <c r="M455" s="19">
        <v>0</v>
      </c>
      <c r="N455" s="20">
        <v>0</v>
      </c>
      <c r="O455" s="19">
        <v>0</v>
      </c>
      <c r="P455" s="19">
        <v>0</v>
      </c>
      <c r="Q455" s="19">
        <v>0</v>
      </c>
      <c r="R455" s="19">
        <v>0</v>
      </c>
      <c r="S455" s="19">
        <v>0</v>
      </c>
      <c r="T455" s="19">
        <v>0</v>
      </c>
      <c r="U455" s="19">
        <v>0</v>
      </c>
      <c r="V455" s="19">
        <v>0</v>
      </c>
      <c r="W455" s="19">
        <v>0</v>
      </c>
      <c r="X455" s="19">
        <v>0</v>
      </c>
      <c r="Y455" s="20">
        <v>0</v>
      </c>
      <c r="Z455" s="19">
        <v>0</v>
      </c>
      <c r="AA455" s="19">
        <v>0</v>
      </c>
      <c r="AB455" t="str">
        <f>VLOOKUP(E:E,笔记匹配!A:N,3,FALSE)</f>
        <v>小雪教瑜伽</v>
      </c>
      <c r="AC455" t="str">
        <f>VLOOKUP(E:E,笔记匹配!A:N,2,FALSE)</f>
        <v>筋膜枪</v>
      </c>
      <c r="AD455" t="str">
        <f>VLOOKUP(E:E,笔记匹配!A:N,4,FALSE)</f>
        <v>云麦筋膜枪cc</v>
      </c>
      <c r="AE455" t="str">
        <f>VLOOKUP(E:E,笔记匹配!A:N,14,FALSE)</f>
        <v>云麦筋膜枪cc</v>
      </c>
      <c r="AF455" t="str">
        <f>VLOOKUP(E:E,笔记匹配!A:N,6,FALSE)</f>
        <v>瘦肌肉腿必备&amp;筋膜枪按摩跟练教程</v>
      </c>
    </row>
    <row r="456" spans="1:32">
      <c r="A456" s="18" t="s">
        <v>57</v>
      </c>
      <c r="B456" s="18" t="s">
        <v>1099</v>
      </c>
      <c r="C456" s="19">
        <v>15678883</v>
      </c>
      <c r="D456" s="18" t="s">
        <v>209</v>
      </c>
      <c r="E456" s="18" t="s">
        <v>549</v>
      </c>
      <c r="F456" s="18" t="s">
        <v>1100</v>
      </c>
      <c r="G456" s="19">
        <v>3067721</v>
      </c>
      <c r="H456" s="18" t="s">
        <v>1100</v>
      </c>
      <c r="I456" s="19">
        <v>2464984</v>
      </c>
      <c r="J456" s="18" t="s">
        <v>1015</v>
      </c>
      <c r="K456" s="19">
        <v>0</v>
      </c>
      <c r="L456" s="19">
        <v>0</v>
      </c>
      <c r="M456" s="19">
        <v>0</v>
      </c>
      <c r="N456" s="20">
        <v>0</v>
      </c>
      <c r="O456" s="19">
        <v>0</v>
      </c>
      <c r="P456" s="19">
        <v>0</v>
      </c>
      <c r="Q456" s="19">
        <v>0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0</v>
      </c>
      <c r="X456" s="19">
        <v>0</v>
      </c>
      <c r="Y456" s="20">
        <v>0</v>
      </c>
      <c r="Z456" s="19">
        <v>0</v>
      </c>
      <c r="AA456" s="19">
        <v>0</v>
      </c>
      <c r="AB456" t="str">
        <f>VLOOKUP(E:E,笔记匹配!A:N,3,FALSE)</f>
        <v>爽姐腿特长</v>
      </c>
      <c r="AC456" t="str">
        <f>VLOOKUP(E:E,笔记匹配!A:N,2,FALSE)</f>
        <v>筋膜枪</v>
      </c>
      <c r="AD456" t="str">
        <f>VLOOKUP(E:E,笔记匹配!A:N,4,FALSE)</f>
        <v>云麦筋膜枪cc</v>
      </c>
      <c r="AE456" t="str">
        <f>VLOOKUP(E:E,笔记匹配!A:N,14,FALSE)</f>
        <v>云麦筋膜枪cc</v>
      </c>
      <c r="AF456" t="str">
        <f>VLOOKUP(E:E,笔记匹配!A:N,6,FALSE)</f>
        <v>筋膜枪有效放松|顽固肌肉腿有救了🦵</v>
      </c>
    </row>
    <row r="457" spans="1:32">
      <c r="A457" s="18" t="s">
        <v>58</v>
      </c>
      <c r="B457" s="18" t="s">
        <v>1099</v>
      </c>
      <c r="C457" s="19">
        <v>15678883</v>
      </c>
      <c r="D457" s="18" t="s">
        <v>209</v>
      </c>
      <c r="E457" s="18" t="s">
        <v>549</v>
      </c>
      <c r="F457" s="18" t="s">
        <v>1100</v>
      </c>
      <c r="G457" s="19">
        <v>3067721</v>
      </c>
      <c r="H457" s="18" t="s">
        <v>1100</v>
      </c>
      <c r="I457" s="19">
        <v>2464984</v>
      </c>
      <c r="J457" s="18" t="s">
        <v>1015</v>
      </c>
      <c r="K457" s="19">
        <v>0</v>
      </c>
      <c r="L457" s="19">
        <v>0</v>
      </c>
      <c r="M457" s="19">
        <v>0</v>
      </c>
      <c r="N457" s="20">
        <v>0</v>
      </c>
      <c r="O457" s="19">
        <v>0</v>
      </c>
      <c r="P457" s="19">
        <v>0</v>
      </c>
      <c r="Q457" s="19">
        <v>0</v>
      </c>
      <c r="R457" s="19">
        <v>0</v>
      </c>
      <c r="S457" s="19">
        <v>0</v>
      </c>
      <c r="T457" s="19">
        <v>0</v>
      </c>
      <c r="U457" s="19">
        <v>0</v>
      </c>
      <c r="V457" s="19">
        <v>0</v>
      </c>
      <c r="W457" s="19">
        <v>0</v>
      </c>
      <c r="X457" s="19">
        <v>0</v>
      </c>
      <c r="Y457" s="20">
        <v>0</v>
      </c>
      <c r="Z457" s="19">
        <v>0</v>
      </c>
      <c r="AA457" s="19">
        <v>0</v>
      </c>
      <c r="AB457" t="str">
        <f>VLOOKUP(E:E,笔记匹配!A:N,3,FALSE)</f>
        <v>爽姐腿特长</v>
      </c>
      <c r="AC457" t="str">
        <f>VLOOKUP(E:E,笔记匹配!A:N,2,FALSE)</f>
        <v>筋膜枪</v>
      </c>
      <c r="AD457" t="str">
        <f>VLOOKUP(E:E,笔记匹配!A:N,4,FALSE)</f>
        <v>云麦筋膜枪cc</v>
      </c>
      <c r="AE457" t="str">
        <f>VLOOKUP(E:E,笔记匹配!A:N,14,FALSE)</f>
        <v>云麦筋膜枪cc</v>
      </c>
      <c r="AF457" t="str">
        <f>VLOOKUP(E:E,笔记匹配!A:N,6,FALSE)</f>
        <v>筋膜枪有效放松|顽固肌肉腿有救了🦵</v>
      </c>
    </row>
    <row r="458" spans="1:32">
      <c r="A458" s="18" t="s">
        <v>59</v>
      </c>
      <c r="B458" s="18" t="s">
        <v>587</v>
      </c>
      <c r="C458" s="19">
        <v>15295967</v>
      </c>
      <c r="D458" s="18" t="s">
        <v>209</v>
      </c>
      <c r="E458" s="18" t="s">
        <v>400</v>
      </c>
      <c r="F458" s="18" t="s">
        <v>1090</v>
      </c>
      <c r="G458" s="19">
        <v>3020475</v>
      </c>
      <c r="H458" s="18" t="s">
        <v>1091</v>
      </c>
      <c r="I458" s="19">
        <v>2418288</v>
      </c>
      <c r="J458" s="18" t="s">
        <v>1015</v>
      </c>
      <c r="K458" s="19">
        <v>0</v>
      </c>
      <c r="L458" s="19">
        <v>0</v>
      </c>
      <c r="M458" s="19">
        <v>0</v>
      </c>
      <c r="N458" s="20">
        <v>0</v>
      </c>
      <c r="O458" s="19">
        <v>0</v>
      </c>
      <c r="P458" s="19">
        <v>0</v>
      </c>
      <c r="Q458" s="19">
        <v>0</v>
      </c>
      <c r="R458" s="19">
        <v>0</v>
      </c>
      <c r="S458" s="19">
        <v>0</v>
      </c>
      <c r="T458" s="19">
        <v>0</v>
      </c>
      <c r="U458" s="19">
        <v>0</v>
      </c>
      <c r="V458" s="19">
        <v>0</v>
      </c>
      <c r="W458" s="19">
        <v>0</v>
      </c>
      <c r="X458" s="19">
        <v>0</v>
      </c>
      <c r="Y458" s="20">
        <v>0</v>
      </c>
      <c r="Z458" s="19">
        <v>0</v>
      </c>
      <c r="AA458" s="19">
        <v>0</v>
      </c>
      <c r="AB458" t="str">
        <f>VLOOKUP(E:E,笔记匹配!A:N,3,FALSE)</f>
        <v>小雪教瑜伽</v>
      </c>
      <c r="AC458" t="str">
        <f>VLOOKUP(E:E,笔记匹配!A:N,2,FALSE)</f>
        <v>筋膜枪</v>
      </c>
      <c r="AD458" t="str">
        <f>VLOOKUP(E:E,笔记匹配!A:N,4,FALSE)</f>
        <v>云麦筋膜枪cc</v>
      </c>
      <c r="AE458" t="str">
        <f>VLOOKUP(E:E,笔记匹配!A:N,14,FALSE)</f>
        <v>云麦筋膜枪cc</v>
      </c>
      <c r="AF458" t="str">
        <f>VLOOKUP(E:E,笔记匹配!A:N,6,FALSE)</f>
        <v>瘦肌肉腿必备&amp;筋膜枪按摩跟练教程</v>
      </c>
    </row>
    <row r="459" spans="1:32">
      <c r="A459" s="18" t="s">
        <v>60</v>
      </c>
      <c r="B459" s="18" t="s">
        <v>1057</v>
      </c>
      <c r="C459" s="19">
        <v>14976642</v>
      </c>
      <c r="D459" s="18" t="s">
        <v>209</v>
      </c>
      <c r="E459" s="18" t="s">
        <v>509</v>
      </c>
      <c r="F459" s="18" t="s">
        <v>1058</v>
      </c>
      <c r="G459" s="19">
        <v>2984144</v>
      </c>
      <c r="H459" s="18" t="s">
        <v>1059</v>
      </c>
      <c r="I459" s="19">
        <v>2385921</v>
      </c>
      <c r="J459" s="18" t="s">
        <v>1015</v>
      </c>
      <c r="K459" s="19">
        <v>0</v>
      </c>
      <c r="L459" s="19">
        <v>0</v>
      </c>
      <c r="M459" s="19">
        <v>0</v>
      </c>
      <c r="N459" s="20">
        <v>0</v>
      </c>
      <c r="O459" s="19">
        <v>0</v>
      </c>
      <c r="P459" s="19">
        <v>0</v>
      </c>
      <c r="Q459" s="19">
        <v>0</v>
      </c>
      <c r="R459" s="19">
        <v>0</v>
      </c>
      <c r="S459" s="19">
        <v>0</v>
      </c>
      <c r="T459" s="19">
        <v>0</v>
      </c>
      <c r="U459" s="19">
        <v>0</v>
      </c>
      <c r="V459" s="19">
        <v>0</v>
      </c>
      <c r="W459" s="19">
        <v>0</v>
      </c>
      <c r="X459" s="19">
        <v>0</v>
      </c>
      <c r="Y459" s="20">
        <v>0</v>
      </c>
      <c r="Z459" s="19">
        <v>0</v>
      </c>
      <c r="AA459" s="19">
        <v>0</v>
      </c>
      <c r="AB459" t="str">
        <f>VLOOKUP(E:E,笔记匹配!A:N,3,FALSE)</f>
        <v>小小李</v>
      </c>
      <c r="AC459" t="str">
        <f>VLOOKUP(E:E,笔记匹配!A:N,2,FALSE)</f>
        <v>跳绳</v>
      </c>
      <c r="AD459" t="str">
        <f>VLOOKUP(E:E,笔记匹配!A:N,4,FALSE)</f>
        <v>云麦心率跳绳</v>
      </c>
      <c r="AE459" t="str">
        <f>VLOOKUP(E:E,笔记匹配!A:N,14,FALSE)</f>
        <v>云麦心率跳绳</v>
      </c>
      <c r="AF459" t="str">
        <f>VLOOKUP(E:E,笔记匹配!A:N,6,FALSE)</f>
        <v>4分钟跳绳TABATA | 居家高效燃脂瘦全身</v>
      </c>
    </row>
    <row r="460" spans="1:32">
      <c r="A460" s="18" t="s">
        <v>60</v>
      </c>
      <c r="B460" s="18" t="s">
        <v>587</v>
      </c>
      <c r="C460" s="19">
        <v>15179597</v>
      </c>
      <c r="D460" s="18" t="s">
        <v>209</v>
      </c>
      <c r="E460" s="18" t="s">
        <v>400</v>
      </c>
      <c r="F460" s="18" t="s">
        <v>1074</v>
      </c>
      <c r="G460" s="19">
        <v>3007578</v>
      </c>
      <c r="H460" s="18" t="s">
        <v>1074</v>
      </c>
      <c r="I460" s="19">
        <v>2405816</v>
      </c>
      <c r="J460" s="18" t="s">
        <v>1015</v>
      </c>
      <c r="K460" s="19">
        <v>0</v>
      </c>
      <c r="L460" s="19">
        <v>0</v>
      </c>
      <c r="M460" s="19">
        <v>0</v>
      </c>
      <c r="N460" s="20">
        <v>0</v>
      </c>
      <c r="O460" s="19">
        <v>0</v>
      </c>
      <c r="P460" s="19">
        <v>0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0</v>
      </c>
      <c r="W460" s="19">
        <v>0</v>
      </c>
      <c r="X460" s="19">
        <v>0</v>
      </c>
      <c r="Y460" s="20">
        <v>0</v>
      </c>
      <c r="Z460" s="19">
        <v>0</v>
      </c>
      <c r="AA460" s="19">
        <v>0</v>
      </c>
      <c r="AB460" t="str">
        <f>VLOOKUP(E:E,笔记匹配!A:N,3,FALSE)</f>
        <v>小雪教瑜伽</v>
      </c>
      <c r="AC460" t="str">
        <f>VLOOKUP(E:E,笔记匹配!A:N,2,FALSE)</f>
        <v>筋膜枪</v>
      </c>
      <c r="AD460" t="str">
        <f>VLOOKUP(E:E,笔记匹配!A:N,4,FALSE)</f>
        <v>云麦筋膜枪cc</v>
      </c>
      <c r="AE460" t="str">
        <f>VLOOKUP(E:E,笔记匹配!A:N,14,FALSE)</f>
        <v>云麦筋膜枪cc</v>
      </c>
      <c r="AF460" t="str">
        <f>VLOOKUP(E:E,笔记匹配!A:N,6,FALSE)</f>
        <v>瘦肌肉腿必备&amp;筋膜枪按摩跟练教程</v>
      </c>
    </row>
    <row r="461" spans="1:32">
      <c r="A461" s="18" t="s">
        <v>61</v>
      </c>
      <c r="B461" s="18" t="s">
        <v>587</v>
      </c>
      <c r="C461" s="19">
        <v>15179597</v>
      </c>
      <c r="D461" s="18" t="s">
        <v>209</v>
      </c>
      <c r="E461" s="18" t="s">
        <v>400</v>
      </c>
      <c r="F461" s="18" t="s">
        <v>1074</v>
      </c>
      <c r="G461" s="19">
        <v>3007578</v>
      </c>
      <c r="H461" s="18" t="s">
        <v>1074</v>
      </c>
      <c r="I461" s="19">
        <v>2405816</v>
      </c>
      <c r="J461" s="18" t="s">
        <v>1015</v>
      </c>
      <c r="K461" s="19">
        <v>0</v>
      </c>
      <c r="L461" s="19">
        <v>0</v>
      </c>
      <c r="M461" s="19">
        <v>0</v>
      </c>
      <c r="N461" s="20">
        <v>0</v>
      </c>
      <c r="O461" s="19">
        <v>0</v>
      </c>
      <c r="P461" s="19">
        <v>0</v>
      </c>
      <c r="Q461" s="19">
        <v>0</v>
      </c>
      <c r="R461" s="19">
        <v>0</v>
      </c>
      <c r="S461" s="19">
        <v>0</v>
      </c>
      <c r="T461" s="19">
        <v>0</v>
      </c>
      <c r="U461" s="19">
        <v>0</v>
      </c>
      <c r="V461" s="19">
        <v>0</v>
      </c>
      <c r="W461" s="19">
        <v>0</v>
      </c>
      <c r="X461" s="19">
        <v>0</v>
      </c>
      <c r="Y461" s="20">
        <v>0</v>
      </c>
      <c r="Z461" s="19">
        <v>0</v>
      </c>
      <c r="AA461" s="19">
        <v>0</v>
      </c>
      <c r="AB461" t="str">
        <f>VLOOKUP(E:E,笔记匹配!A:N,3,FALSE)</f>
        <v>小雪教瑜伽</v>
      </c>
      <c r="AC461" t="str">
        <f>VLOOKUP(E:E,笔记匹配!A:N,2,FALSE)</f>
        <v>筋膜枪</v>
      </c>
      <c r="AD461" t="str">
        <f>VLOOKUP(E:E,笔记匹配!A:N,4,FALSE)</f>
        <v>云麦筋膜枪cc</v>
      </c>
      <c r="AE461" t="str">
        <f>VLOOKUP(E:E,笔记匹配!A:N,14,FALSE)</f>
        <v>云麦筋膜枪cc</v>
      </c>
      <c r="AF461" t="str">
        <f>VLOOKUP(E:E,笔记匹配!A:N,6,FALSE)</f>
        <v>瘦肌肉腿必备&amp;筋膜枪按摩跟练教程</v>
      </c>
    </row>
    <row r="462" spans="1:32">
      <c r="A462" s="18" t="s">
        <v>61</v>
      </c>
      <c r="B462" s="18" t="s">
        <v>1086</v>
      </c>
      <c r="C462" s="19">
        <v>15248439</v>
      </c>
      <c r="D462" s="18" t="s">
        <v>196</v>
      </c>
      <c r="E462" s="18" t="s">
        <v>234</v>
      </c>
      <c r="F462" s="18" t="s">
        <v>1087</v>
      </c>
      <c r="G462" s="19">
        <v>3014779</v>
      </c>
      <c r="H462" s="18" t="s">
        <v>1088</v>
      </c>
      <c r="I462" s="19">
        <v>2412665</v>
      </c>
      <c r="J462" s="18" t="s">
        <v>1015</v>
      </c>
      <c r="K462" s="19">
        <v>0</v>
      </c>
      <c r="L462" s="19">
        <v>0</v>
      </c>
      <c r="M462" s="19">
        <v>0</v>
      </c>
      <c r="N462" s="20">
        <v>0</v>
      </c>
      <c r="O462" s="19">
        <v>0</v>
      </c>
      <c r="P462" s="19">
        <v>0</v>
      </c>
      <c r="Q462" s="19">
        <v>0</v>
      </c>
      <c r="R462" s="19">
        <v>0</v>
      </c>
      <c r="S462" s="19">
        <v>0</v>
      </c>
      <c r="T462" s="19">
        <v>0</v>
      </c>
      <c r="U462" s="19">
        <v>0</v>
      </c>
      <c r="V462" s="19">
        <v>0</v>
      </c>
      <c r="W462" s="19">
        <v>0</v>
      </c>
      <c r="X462" s="19">
        <v>0</v>
      </c>
      <c r="Y462" s="20">
        <v>0</v>
      </c>
      <c r="Z462" s="19">
        <v>0</v>
      </c>
      <c r="AA462" s="19">
        <v>0</v>
      </c>
      <c r="AB462" t="str">
        <f>VLOOKUP(E:E,笔记匹配!A:N,3,FALSE)</f>
        <v>pp</v>
      </c>
      <c r="AC462" t="str">
        <f>VLOOKUP(E:E,笔记匹配!A:N,2,FALSE)</f>
        <v>体脂秤</v>
      </c>
      <c r="AD462" t="str">
        <f>VLOOKUP(E:E,笔记匹配!A:N,4,FALSE)</f>
        <v>云麦体脂秤3mini</v>
      </c>
      <c r="AE462" t="str">
        <f>VLOOKUP(E:E,笔记匹配!A:N,14,FALSE)</f>
        <v>云麦体脂秤3mini</v>
      </c>
      <c r="AF462" t="str">
        <f>VLOOKUP(E:E,笔记匹配!A:N,6,FALSE)</f>
        <v>110到88 一些减肥小建议｜如何正确运动</v>
      </c>
    </row>
    <row r="463" spans="1:32">
      <c r="A463" s="18" t="s">
        <v>62</v>
      </c>
      <c r="B463" s="18" t="s">
        <v>680</v>
      </c>
      <c r="C463" s="19">
        <v>14978184</v>
      </c>
      <c r="D463" s="18" t="s">
        <v>209</v>
      </c>
      <c r="E463" s="18" t="s">
        <v>513</v>
      </c>
      <c r="F463" s="18" t="s">
        <v>1062</v>
      </c>
      <c r="G463" s="19">
        <v>2984400</v>
      </c>
      <c r="H463" s="18" t="s">
        <v>1062</v>
      </c>
      <c r="I463" s="19">
        <v>2386169</v>
      </c>
      <c r="J463" s="18" t="s">
        <v>1015</v>
      </c>
      <c r="K463" s="19">
        <v>0</v>
      </c>
      <c r="L463" s="19">
        <v>0</v>
      </c>
      <c r="M463" s="19">
        <v>0</v>
      </c>
      <c r="N463" s="20">
        <v>0</v>
      </c>
      <c r="O463" s="19">
        <v>0</v>
      </c>
      <c r="P463" s="19">
        <v>0</v>
      </c>
      <c r="Q463" s="19">
        <v>0</v>
      </c>
      <c r="R463" s="19">
        <v>0</v>
      </c>
      <c r="S463" s="19">
        <v>0</v>
      </c>
      <c r="T463" s="19">
        <v>0</v>
      </c>
      <c r="U463" s="19">
        <v>0</v>
      </c>
      <c r="V463" s="19">
        <v>0</v>
      </c>
      <c r="W463" s="19">
        <v>0</v>
      </c>
      <c r="X463" s="19">
        <v>0</v>
      </c>
      <c r="Y463" s="20">
        <v>0</v>
      </c>
      <c r="Z463" s="19">
        <v>0</v>
      </c>
      <c r="AA463" s="19">
        <v>0</v>
      </c>
      <c r="AB463" t="str">
        <f>VLOOKUP(E:E,笔记匹配!A:N,3,FALSE)</f>
        <v>大桐yoto</v>
      </c>
      <c r="AC463" t="str">
        <f>VLOOKUP(E:E,笔记匹配!A:N,2,FALSE)</f>
        <v>跳绳</v>
      </c>
      <c r="AD463" t="str">
        <f>VLOOKUP(E:E,笔记匹配!A:N,4,FALSE)</f>
        <v>云麦3mini</v>
      </c>
      <c r="AE463" t="str">
        <f>VLOOKUP(E:E,笔记匹配!A:N,14,FALSE)</f>
        <v>云麦体脂秤3mini</v>
      </c>
      <c r="AF463" t="str">
        <f>VLOOKUP(E:E,笔记匹配!A:N,6,FALSE)</f>
        <v>减肥就是要饿｜饮食和运动的完整计划在这里</v>
      </c>
    </row>
    <row r="464" spans="1:32">
      <c r="A464" s="18" t="s">
        <v>62</v>
      </c>
      <c r="B464" s="18" t="s">
        <v>740</v>
      </c>
      <c r="C464" s="19">
        <v>15804098</v>
      </c>
      <c r="D464" s="18" t="s">
        <v>209</v>
      </c>
      <c r="E464" s="18" t="s">
        <v>473</v>
      </c>
      <c r="F464" s="18" t="s">
        <v>1119</v>
      </c>
      <c r="G464" s="19">
        <v>3087955</v>
      </c>
      <c r="H464" s="18" t="s">
        <v>1119</v>
      </c>
      <c r="I464" s="19">
        <v>2483370</v>
      </c>
      <c r="J464" s="18" t="s">
        <v>1015</v>
      </c>
      <c r="K464" s="19">
        <v>0</v>
      </c>
      <c r="L464" s="19">
        <v>0</v>
      </c>
      <c r="M464" s="19">
        <v>0</v>
      </c>
      <c r="N464" s="20">
        <v>0</v>
      </c>
      <c r="O464" s="19">
        <v>0</v>
      </c>
      <c r="P464" s="19">
        <v>0</v>
      </c>
      <c r="Q464" s="19">
        <v>0</v>
      </c>
      <c r="R464" s="19">
        <v>0</v>
      </c>
      <c r="S464" s="19">
        <v>0</v>
      </c>
      <c r="T464" s="19">
        <v>0</v>
      </c>
      <c r="U464" s="19">
        <v>0</v>
      </c>
      <c r="V464" s="19">
        <v>0</v>
      </c>
      <c r="W464" s="19">
        <v>0</v>
      </c>
      <c r="X464" s="19">
        <v>0</v>
      </c>
      <c r="Y464" s="20">
        <v>0</v>
      </c>
      <c r="Z464" s="19">
        <v>0</v>
      </c>
      <c r="AA464" s="19">
        <v>0</v>
      </c>
      <c r="AB464" t="str">
        <f>VLOOKUP(E:E,笔记匹配!A:N,3,FALSE)</f>
        <v>茜茜子</v>
      </c>
      <c r="AC464" t="str">
        <f>VLOOKUP(E:E,笔记匹配!A:N,2,FALSE)</f>
        <v>体脂秤</v>
      </c>
      <c r="AD464" t="str">
        <f>VLOOKUP(E:E,笔记匹配!A:N,4,FALSE)</f>
        <v>云麦3mini体脂秤</v>
      </c>
      <c r="AE464" t="str">
        <f>VLOOKUP(E:E,笔记匹配!A:N,14,FALSE)</f>
        <v>云麦体脂秤3mini</v>
      </c>
      <c r="AF464" t="str">
        <f>VLOOKUP(E:E,笔记匹配!A:N,6,FALSE)</f>
        <v>我真的很会瘦肚子❗️</v>
      </c>
    </row>
    <row r="465" spans="1:32">
      <c r="A465" s="18" t="s">
        <v>63</v>
      </c>
      <c r="B465" s="18" t="s">
        <v>680</v>
      </c>
      <c r="C465" s="19">
        <v>14978184</v>
      </c>
      <c r="D465" s="18" t="s">
        <v>209</v>
      </c>
      <c r="E465" s="18" t="s">
        <v>513</v>
      </c>
      <c r="F465" s="18" t="s">
        <v>1062</v>
      </c>
      <c r="G465" s="19">
        <v>2984400</v>
      </c>
      <c r="H465" s="18" t="s">
        <v>1062</v>
      </c>
      <c r="I465" s="19">
        <v>2386169</v>
      </c>
      <c r="J465" s="18" t="s">
        <v>1015</v>
      </c>
      <c r="K465" s="19">
        <v>0</v>
      </c>
      <c r="L465" s="19">
        <v>0</v>
      </c>
      <c r="M465" s="19">
        <v>0</v>
      </c>
      <c r="N465" s="20">
        <v>0</v>
      </c>
      <c r="O465" s="19">
        <v>0</v>
      </c>
      <c r="P465" s="19">
        <v>0</v>
      </c>
      <c r="Q465" s="19">
        <v>0</v>
      </c>
      <c r="R465" s="19">
        <v>0</v>
      </c>
      <c r="S465" s="19">
        <v>0</v>
      </c>
      <c r="T465" s="19">
        <v>0</v>
      </c>
      <c r="U465" s="19">
        <v>0</v>
      </c>
      <c r="V465" s="19">
        <v>0</v>
      </c>
      <c r="W465" s="19">
        <v>0</v>
      </c>
      <c r="X465" s="19">
        <v>0</v>
      </c>
      <c r="Y465" s="20">
        <v>0</v>
      </c>
      <c r="Z465" s="19">
        <v>0</v>
      </c>
      <c r="AA465" s="19">
        <v>0</v>
      </c>
      <c r="AB465" t="str">
        <f>VLOOKUP(E:E,笔记匹配!A:N,3,FALSE)</f>
        <v>大桐yoto</v>
      </c>
      <c r="AC465" t="str">
        <f>VLOOKUP(E:E,笔记匹配!A:N,2,FALSE)</f>
        <v>跳绳</v>
      </c>
      <c r="AD465" t="str">
        <f>VLOOKUP(E:E,笔记匹配!A:N,4,FALSE)</f>
        <v>云麦3mini</v>
      </c>
      <c r="AE465" t="str">
        <f>VLOOKUP(E:E,笔记匹配!A:N,14,FALSE)</f>
        <v>云麦体脂秤3mini</v>
      </c>
      <c r="AF465" t="str">
        <f>VLOOKUP(E:E,笔记匹配!A:N,6,FALSE)</f>
        <v>减肥就是要饿｜饮食和运动的完整计划在这里</v>
      </c>
    </row>
    <row r="466" spans="1:32">
      <c r="A466" s="18" t="s">
        <v>64</v>
      </c>
      <c r="B466" s="18" t="s">
        <v>767</v>
      </c>
      <c r="C466" s="19">
        <v>17533208</v>
      </c>
      <c r="D466" s="18" t="s">
        <v>209</v>
      </c>
      <c r="E466" s="18" t="s">
        <v>453</v>
      </c>
      <c r="F466" s="18" t="s">
        <v>1128</v>
      </c>
      <c r="G466" s="19">
        <v>3362209</v>
      </c>
      <c r="H466" s="18" t="s">
        <v>1128</v>
      </c>
      <c r="I466" s="19">
        <v>2750426</v>
      </c>
      <c r="J466" s="18" t="s">
        <v>1015</v>
      </c>
      <c r="K466" s="19">
        <v>117.7</v>
      </c>
      <c r="L466" s="19">
        <v>30335</v>
      </c>
      <c r="M466" s="19">
        <v>392</v>
      </c>
      <c r="N466" s="20">
        <v>0.0129</v>
      </c>
      <c r="O466" s="19">
        <v>0.3</v>
      </c>
      <c r="P466" s="19">
        <v>3.88</v>
      </c>
      <c r="Q466" s="19">
        <v>13</v>
      </c>
      <c r="R466" s="19">
        <v>0</v>
      </c>
      <c r="S466" s="19">
        <v>4</v>
      </c>
      <c r="T466" s="19">
        <v>0</v>
      </c>
      <c r="U466" s="19">
        <v>0</v>
      </c>
      <c r="V466" s="19">
        <v>17</v>
      </c>
      <c r="W466" s="19">
        <v>6.92</v>
      </c>
      <c r="X466" s="19">
        <v>0</v>
      </c>
      <c r="Y466" s="20">
        <v>0</v>
      </c>
      <c r="Z466" s="19">
        <v>0</v>
      </c>
      <c r="AA466" s="19">
        <v>0</v>
      </c>
      <c r="AB466" t="str">
        <f>VLOOKUP(E:E,笔记匹配!A:N,3,FALSE)</f>
        <v>小翻译美芽酱</v>
      </c>
      <c r="AC466" t="str">
        <f>VLOOKUP(E:E,笔记匹配!A:N,2,FALSE)</f>
        <v>筋膜枪</v>
      </c>
      <c r="AD466" t="str">
        <f>VLOOKUP(E:E,笔记匹配!A:N,4,FALSE)</f>
        <v>云麦CC筋膜枪</v>
      </c>
      <c r="AE466" t="str">
        <f>VLOOKUP(E:E,笔记匹配!A:N,14,FALSE)</f>
        <v>云麦筋膜枪cc</v>
      </c>
      <c r="AF466" t="str">
        <f>VLOOKUP(E:E,笔记匹配!A:N,6,FALSE)</f>
        <v>办公按摩神器！职场打工人の高颜值筋膜枪！</v>
      </c>
    </row>
    <row r="467" spans="1:32">
      <c r="A467" s="18" t="s">
        <v>65</v>
      </c>
      <c r="B467" s="18" t="s">
        <v>680</v>
      </c>
      <c r="C467" s="19">
        <v>14978184</v>
      </c>
      <c r="D467" s="18" t="s">
        <v>209</v>
      </c>
      <c r="E467" s="18" t="s">
        <v>513</v>
      </c>
      <c r="F467" s="18" t="s">
        <v>1062</v>
      </c>
      <c r="G467" s="19">
        <v>2984400</v>
      </c>
      <c r="H467" s="18" t="s">
        <v>1062</v>
      </c>
      <c r="I467" s="19">
        <v>2386169</v>
      </c>
      <c r="J467" s="18" t="s">
        <v>1015</v>
      </c>
      <c r="K467" s="19">
        <v>0</v>
      </c>
      <c r="L467" s="19">
        <v>0</v>
      </c>
      <c r="M467" s="19">
        <v>0</v>
      </c>
      <c r="N467" s="20">
        <v>0</v>
      </c>
      <c r="O467" s="19">
        <v>0</v>
      </c>
      <c r="P467" s="19">
        <v>0</v>
      </c>
      <c r="Q467" s="19">
        <v>0</v>
      </c>
      <c r="R467" s="19">
        <v>0</v>
      </c>
      <c r="S467" s="19">
        <v>0</v>
      </c>
      <c r="T467" s="19">
        <v>0</v>
      </c>
      <c r="U467" s="19">
        <v>0</v>
      </c>
      <c r="V467" s="19">
        <v>0</v>
      </c>
      <c r="W467" s="19">
        <v>0</v>
      </c>
      <c r="X467" s="19">
        <v>0</v>
      </c>
      <c r="Y467" s="20">
        <v>0</v>
      </c>
      <c r="Z467" s="19">
        <v>0</v>
      </c>
      <c r="AA467" s="19">
        <v>0</v>
      </c>
      <c r="AB467" t="str">
        <f>VLOOKUP(E:E,笔记匹配!A:N,3,FALSE)</f>
        <v>大桐yoto</v>
      </c>
      <c r="AC467" t="str">
        <f>VLOOKUP(E:E,笔记匹配!A:N,2,FALSE)</f>
        <v>跳绳</v>
      </c>
      <c r="AD467" t="str">
        <f>VLOOKUP(E:E,笔记匹配!A:N,4,FALSE)</f>
        <v>云麦3mini</v>
      </c>
      <c r="AE467" t="str">
        <f>VLOOKUP(E:E,笔记匹配!A:N,14,FALSE)</f>
        <v>云麦体脂秤3mini</v>
      </c>
      <c r="AF467" t="str">
        <f>VLOOKUP(E:E,笔记匹配!A:N,6,FALSE)</f>
        <v>减肥就是要饿｜饮食和运动的完整计划在这里</v>
      </c>
    </row>
    <row r="468" spans="1:32">
      <c r="A468" s="18" t="s">
        <v>65</v>
      </c>
      <c r="B468" s="18" t="s">
        <v>767</v>
      </c>
      <c r="C468" s="19">
        <v>17533208</v>
      </c>
      <c r="D468" s="18" t="s">
        <v>209</v>
      </c>
      <c r="E468" s="18" t="s">
        <v>453</v>
      </c>
      <c r="F468" s="18" t="s">
        <v>1128</v>
      </c>
      <c r="G468" s="19">
        <v>3362209</v>
      </c>
      <c r="H468" s="18" t="s">
        <v>1128</v>
      </c>
      <c r="I468" s="19">
        <v>2750426</v>
      </c>
      <c r="J468" s="18" t="s">
        <v>1015</v>
      </c>
      <c r="K468" s="19">
        <v>482.54</v>
      </c>
      <c r="L468" s="19">
        <v>84291</v>
      </c>
      <c r="M468" s="19">
        <v>1206</v>
      </c>
      <c r="N468" s="20">
        <v>0.0143</v>
      </c>
      <c r="O468" s="19">
        <v>0.4</v>
      </c>
      <c r="P468" s="19">
        <v>5.72</v>
      </c>
      <c r="Q468" s="19">
        <v>32</v>
      </c>
      <c r="R468" s="19">
        <v>0</v>
      </c>
      <c r="S468" s="19">
        <v>8</v>
      </c>
      <c r="T468" s="19">
        <v>3</v>
      </c>
      <c r="U468" s="19">
        <v>1</v>
      </c>
      <c r="V468" s="19">
        <v>44</v>
      </c>
      <c r="W468" s="19">
        <v>10.97</v>
      </c>
      <c r="X468" s="19">
        <v>0</v>
      </c>
      <c r="Y468" s="20">
        <v>0</v>
      </c>
      <c r="Z468" s="19">
        <v>3</v>
      </c>
      <c r="AA468" s="19">
        <v>1</v>
      </c>
      <c r="AB468" t="str">
        <f>VLOOKUP(E:E,笔记匹配!A:N,3,FALSE)</f>
        <v>小翻译美芽酱</v>
      </c>
      <c r="AC468" t="str">
        <f>VLOOKUP(E:E,笔记匹配!A:N,2,FALSE)</f>
        <v>筋膜枪</v>
      </c>
      <c r="AD468" t="str">
        <f>VLOOKUP(E:E,笔记匹配!A:N,4,FALSE)</f>
        <v>云麦CC筋膜枪</v>
      </c>
      <c r="AE468" t="str">
        <f>VLOOKUP(E:E,笔记匹配!A:N,14,FALSE)</f>
        <v>云麦筋膜枪cc</v>
      </c>
      <c r="AF468" t="str">
        <f>VLOOKUP(E:E,笔记匹配!A:N,6,FALSE)</f>
        <v>办公按摩神器！职场打工人の高颜值筋膜枪！</v>
      </c>
    </row>
    <row r="469" spans="1:32">
      <c r="A469" s="18" t="s">
        <v>66</v>
      </c>
      <c r="B469" s="18" t="s">
        <v>767</v>
      </c>
      <c r="C469" s="19">
        <v>17533208</v>
      </c>
      <c r="D469" s="18" t="s">
        <v>209</v>
      </c>
      <c r="E469" s="18" t="s">
        <v>453</v>
      </c>
      <c r="F469" s="18" t="s">
        <v>1128</v>
      </c>
      <c r="G469" s="19">
        <v>3362209</v>
      </c>
      <c r="H469" s="18" t="s">
        <v>1128</v>
      </c>
      <c r="I469" s="19">
        <v>2750426</v>
      </c>
      <c r="J469" s="18" t="s">
        <v>1015</v>
      </c>
      <c r="K469" s="19">
        <v>73.76</v>
      </c>
      <c r="L469" s="19">
        <v>4470</v>
      </c>
      <c r="M469" s="19">
        <v>123</v>
      </c>
      <c r="N469" s="20">
        <v>0.0275</v>
      </c>
      <c r="O469" s="19">
        <v>0.6</v>
      </c>
      <c r="P469" s="19">
        <v>16.5</v>
      </c>
      <c r="Q469" s="19">
        <v>9</v>
      </c>
      <c r="R469" s="19">
        <v>0</v>
      </c>
      <c r="S469" s="19">
        <v>1</v>
      </c>
      <c r="T469" s="19">
        <v>4</v>
      </c>
      <c r="U469" s="19">
        <v>1</v>
      </c>
      <c r="V469" s="19">
        <v>15</v>
      </c>
      <c r="W469" s="19">
        <v>4.92</v>
      </c>
      <c r="X469" s="19">
        <v>0</v>
      </c>
      <c r="Y469" s="20">
        <v>0</v>
      </c>
      <c r="Z469" s="19">
        <v>0</v>
      </c>
      <c r="AA469" s="19">
        <v>0</v>
      </c>
      <c r="AB469" t="str">
        <f>VLOOKUP(E:E,笔记匹配!A:N,3,FALSE)</f>
        <v>小翻译美芽酱</v>
      </c>
      <c r="AC469" t="str">
        <f>VLOOKUP(E:E,笔记匹配!A:N,2,FALSE)</f>
        <v>筋膜枪</v>
      </c>
      <c r="AD469" t="str">
        <f>VLOOKUP(E:E,笔记匹配!A:N,4,FALSE)</f>
        <v>云麦CC筋膜枪</v>
      </c>
      <c r="AE469" t="str">
        <f>VLOOKUP(E:E,笔记匹配!A:N,14,FALSE)</f>
        <v>云麦筋膜枪cc</v>
      </c>
      <c r="AF469" t="str">
        <f>VLOOKUP(E:E,笔记匹配!A:N,6,FALSE)</f>
        <v>办公按摩神器！职场打工人の高颜值筋膜枪！</v>
      </c>
    </row>
    <row r="470" spans="1:32">
      <c r="A470" s="18" t="s">
        <v>67</v>
      </c>
      <c r="B470" s="18" t="s">
        <v>767</v>
      </c>
      <c r="C470" s="19">
        <v>17533208</v>
      </c>
      <c r="D470" s="18" t="s">
        <v>209</v>
      </c>
      <c r="E470" s="18" t="s">
        <v>453</v>
      </c>
      <c r="F470" s="18" t="s">
        <v>1128</v>
      </c>
      <c r="G470" s="19">
        <v>3362209</v>
      </c>
      <c r="H470" s="18" t="s">
        <v>1128</v>
      </c>
      <c r="I470" s="19">
        <v>2750426</v>
      </c>
      <c r="J470" s="18" t="s">
        <v>1015</v>
      </c>
      <c r="K470" s="19">
        <v>243.74</v>
      </c>
      <c r="L470" s="19">
        <v>12232</v>
      </c>
      <c r="M470" s="19">
        <v>554</v>
      </c>
      <c r="N470" s="20">
        <v>0.0453</v>
      </c>
      <c r="O470" s="19">
        <v>0.44</v>
      </c>
      <c r="P470" s="19">
        <v>19.93</v>
      </c>
      <c r="Q470" s="19">
        <v>18</v>
      </c>
      <c r="R470" s="19">
        <v>0</v>
      </c>
      <c r="S470" s="19">
        <v>6</v>
      </c>
      <c r="T470" s="19">
        <v>5</v>
      </c>
      <c r="U470" s="19">
        <v>0</v>
      </c>
      <c r="V470" s="19">
        <v>29</v>
      </c>
      <c r="W470" s="19">
        <v>8.4</v>
      </c>
      <c r="X470" s="19">
        <v>0</v>
      </c>
      <c r="Y470" s="20">
        <v>0</v>
      </c>
      <c r="Z470" s="19">
        <v>1</v>
      </c>
      <c r="AA470" s="19">
        <v>1</v>
      </c>
      <c r="AB470" t="str">
        <f>VLOOKUP(E:E,笔记匹配!A:N,3,FALSE)</f>
        <v>小翻译美芽酱</v>
      </c>
      <c r="AC470" t="str">
        <f>VLOOKUP(E:E,笔记匹配!A:N,2,FALSE)</f>
        <v>筋膜枪</v>
      </c>
      <c r="AD470" t="str">
        <f>VLOOKUP(E:E,笔记匹配!A:N,4,FALSE)</f>
        <v>云麦CC筋膜枪</v>
      </c>
      <c r="AE470" t="str">
        <f>VLOOKUP(E:E,笔记匹配!A:N,14,FALSE)</f>
        <v>云麦筋膜枪cc</v>
      </c>
      <c r="AF470" t="str">
        <f>VLOOKUP(E:E,笔记匹配!A:N,6,FALSE)</f>
        <v>办公按摩神器！职场打工人の高颜值筋膜枪！</v>
      </c>
    </row>
    <row r="471" spans="1:32">
      <c r="A471" s="18" t="s">
        <v>68</v>
      </c>
      <c r="B471" s="18" t="s">
        <v>740</v>
      </c>
      <c r="C471" s="19">
        <v>15804098</v>
      </c>
      <c r="D471" s="18" t="s">
        <v>209</v>
      </c>
      <c r="E471" s="18" t="s">
        <v>473</v>
      </c>
      <c r="F471" s="18" t="s">
        <v>1119</v>
      </c>
      <c r="G471" s="19">
        <v>3087955</v>
      </c>
      <c r="H471" s="18" t="s">
        <v>1119</v>
      </c>
      <c r="I471" s="19">
        <v>2483370</v>
      </c>
      <c r="J471" s="18" t="s">
        <v>1015</v>
      </c>
      <c r="K471" s="19">
        <v>0</v>
      </c>
      <c r="L471" s="19">
        <v>0</v>
      </c>
      <c r="M471" s="19">
        <v>0</v>
      </c>
      <c r="N471" s="20">
        <v>0</v>
      </c>
      <c r="O471" s="19">
        <v>0</v>
      </c>
      <c r="P471" s="19">
        <v>0</v>
      </c>
      <c r="Q471" s="19">
        <v>0</v>
      </c>
      <c r="R471" s="19">
        <v>0</v>
      </c>
      <c r="S471" s="19">
        <v>0</v>
      </c>
      <c r="T471" s="19">
        <v>0</v>
      </c>
      <c r="U471" s="19">
        <v>0</v>
      </c>
      <c r="V471" s="19">
        <v>0</v>
      </c>
      <c r="W471" s="19">
        <v>0</v>
      </c>
      <c r="X471" s="19">
        <v>0</v>
      </c>
      <c r="Y471" s="20">
        <v>0</v>
      </c>
      <c r="Z471" s="19">
        <v>0</v>
      </c>
      <c r="AA471" s="19">
        <v>0</v>
      </c>
      <c r="AB471" t="str">
        <f>VLOOKUP(E:E,笔记匹配!A:N,3,FALSE)</f>
        <v>茜茜子</v>
      </c>
      <c r="AC471" t="str">
        <f>VLOOKUP(E:E,笔记匹配!A:N,2,FALSE)</f>
        <v>体脂秤</v>
      </c>
      <c r="AD471" t="str">
        <f>VLOOKUP(E:E,笔记匹配!A:N,4,FALSE)</f>
        <v>云麦3mini体脂秤</v>
      </c>
      <c r="AE471" t="str">
        <f>VLOOKUP(E:E,笔记匹配!A:N,14,FALSE)</f>
        <v>云麦体脂秤3mini</v>
      </c>
      <c r="AF471" t="str">
        <f>VLOOKUP(E:E,笔记匹配!A:N,6,FALSE)</f>
        <v>我真的很会瘦肚子❗️</v>
      </c>
    </row>
    <row r="472" spans="1:32">
      <c r="A472" s="18" t="s">
        <v>68</v>
      </c>
      <c r="B472" s="18" t="s">
        <v>767</v>
      </c>
      <c r="C472" s="19">
        <v>17533208</v>
      </c>
      <c r="D472" s="18" t="s">
        <v>209</v>
      </c>
      <c r="E472" s="18" t="s">
        <v>453</v>
      </c>
      <c r="F472" s="18" t="s">
        <v>1128</v>
      </c>
      <c r="G472" s="19">
        <v>3362209</v>
      </c>
      <c r="H472" s="18" t="s">
        <v>1128</v>
      </c>
      <c r="I472" s="19">
        <v>2750426</v>
      </c>
      <c r="J472" s="18" t="s">
        <v>1015</v>
      </c>
      <c r="K472" s="19">
        <v>327.67</v>
      </c>
      <c r="L472" s="19">
        <v>15000</v>
      </c>
      <c r="M472" s="19">
        <v>659</v>
      </c>
      <c r="N472" s="20">
        <v>0.0439</v>
      </c>
      <c r="O472" s="19">
        <v>0.5</v>
      </c>
      <c r="P472" s="19">
        <v>21.84</v>
      </c>
      <c r="Q472" s="19">
        <v>14</v>
      </c>
      <c r="R472" s="19">
        <v>0</v>
      </c>
      <c r="S472" s="19">
        <v>4</v>
      </c>
      <c r="T472" s="19">
        <v>11</v>
      </c>
      <c r="U472" s="19">
        <v>2</v>
      </c>
      <c r="V472" s="19">
        <v>31</v>
      </c>
      <c r="W472" s="19">
        <v>10.57</v>
      </c>
      <c r="X472" s="19">
        <v>0</v>
      </c>
      <c r="Y472" s="20">
        <v>0</v>
      </c>
      <c r="Z472" s="19">
        <v>0</v>
      </c>
      <c r="AA472" s="19">
        <v>3</v>
      </c>
      <c r="AB472" t="str">
        <f>VLOOKUP(E:E,笔记匹配!A:N,3,FALSE)</f>
        <v>小翻译美芽酱</v>
      </c>
      <c r="AC472" t="str">
        <f>VLOOKUP(E:E,笔记匹配!A:N,2,FALSE)</f>
        <v>筋膜枪</v>
      </c>
      <c r="AD472" t="str">
        <f>VLOOKUP(E:E,笔记匹配!A:N,4,FALSE)</f>
        <v>云麦CC筋膜枪</v>
      </c>
      <c r="AE472" t="str">
        <f>VLOOKUP(E:E,笔记匹配!A:N,14,FALSE)</f>
        <v>云麦筋膜枪cc</v>
      </c>
      <c r="AF472" t="str">
        <f>VLOOKUP(E:E,笔记匹配!A:N,6,FALSE)</f>
        <v>办公按摩神器！职场打工人の高颜值筋膜枪！</v>
      </c>
    </row>
    <row r="473" spans="1:32">
      <c r="A473" s="18" t="s">
        <v>69</v>
      </c>
      <c r="B473" s="18" t="s">
        <v>231</v>
      </c>
      <c r="C473" s="19">
        <v>15248486</v>
      </c>
      <c r="D473" s="18" t="s">
        <v>209</v>
      </c>
      <c r="E473" s="18" t="s">
        <v>234</v>
      </c>
      <c r="F473" s="18" t="s">
        <v>1089</v>
      </c>
      <c r="G473" s="19">
        <v>3014783</v>
      </c>
      <c r="H473" s="18" t="s">
        <v>1089</v>
      </c>
      <c r="I473" s="19">
        <v>2412680</v>
      </c>
      <c r="J473" s="18" t="s">
        <v>1015</v>
      </c>
      <c r="K473" s="19">
        <v>0</v>
      </c>
      <c r="L473" s="19">
        <v>0</v>
      </c>
      <c r="M473" s="19">
        <v>0</v>
      </c>
      <c r="N473" s="20">
        <v>0</v>
      </c>
      <c r="O473" s="19">
        <v>0</v>
      </c>
      <c r="P473" s="19">
        <v>0</v>
      </c>
      <c r="Q473" s="19">
        <v>0</v>
      </c>
      <c r="R473" s="19">
        <v>0</v>
      </c>
      <c r="S473" s="19">
        <v>0</v>
      </c>
      <c r="T473" s="19">
        <v>0</v>
      </c>
      <c r="U473" s="19">
        <v>0</v>
      </c>
      <c r="V473" s="19">
        <v>0</v>
      </c>
      <c r="W473" s="19">
        <v>0</v>
      </c>
      <c r="X473" s="19">
        <v>0</v>
      </c>
      <c r="Y473" s="20">
        <v>0</v>
      </c>
      <c r="Z473" s="19">
        <v>0</v>
      </c>
      <c r="AA473" s="19">
        <v>0</v>
      </c>
      <c r="AB473" t="str">
        <f>VLOOKUP(E:E,笔记匹配!A:N,3,FALSE)</f>
        <v>pp</v>
      </c>
      <c r="AC473" t="str">
        <f>VLOOKUP(E:E,笔记匹配!A:N,2,FALSE)</f>
        <v>体脂秤</v>
      </c>
      <c r="AD473" t="str">
        <f>VLOOKUP(E:E,笔记匹配!A:N,4,FALSE)</f>
        <v>云麦体脂秤3mini</v>
      </c>
      <c r="AE473" t="str">
        <f>VLOOKUP(E:E,笔记匹配!A:N,14,FALSE)</f>
        <v>云麦体脂秤3mini</v>
      </c>
      <c r="AF473" t="str">
        <f>VLOOKUP(E:E,笔记匹配!A:N,6,FALSE)</f>
        <v>110到88 一些减肥小建议｜如何正确运动</v>
      </c>
    </row>
    <row r="474" spans="1:32">
      <c r="A474" s="18" t="s">
        <v>69</v>
      </c>
      <c r="B474" s="18" t="s">
        <v>716</v>
      </c>
      <c r="C474" s="19">
        <v>15296992</v>
      </c>
      <c r="D474" s="18" t="s">
        <v>209</v>
      </c>
      <c r="E474" s="18" t="s">
        <v>494</v>
      </c>
      <c r="F474" s="18" t="s">
        <v>1094</v>
      </c>
      <c r="G474" s="19">
        <v>3020613</v>
      </c>
      <c r="H474" s="18" t="s">
        <v>1094</v>
      </c>
      <c r="I474" s="19">
        <v>2418438</v>
      </c>
      <c r="J474" s="18" t="s">
        <v>1015</v>
      </c>
      <c r="K474" s="19">
        <v>0</v>
      </c>
      <c r="L474" s="19">
        <v>0</v>
      </c>
      <c r="M474" s="19">
        <v>0</v>
      </c>
      <c r="N474" s="20">
        <v>0</v>
      </c>
      <c r="O474" s="19">
        <v>0</v>
      </c>
      <c r="P474" s="19">
        <v>0</v>
      </c>
      <c r="Q474" s="19">
        <v>0</v>
      </c>
      <c r="R474" s="19">
        <v>0</v>
      </c>
      <c r="S474" s="19">
        <v>0</v>
      </c>
      <c r="T474" s="19">
        <v>0</v>
      </c>
      <c r="U474" s="19">
        <v>0</v>
      </c>
      <c r="V474" s="19">
        <v>0</v>
      </c>
      <c r="W474" s="19">
        <v>0</v>
      </c>
      <c r="X474" s="19">
        <v>0</v>
      </c>
      <c r="Y474" s="20">
        <v>0</v>
      </c>
      <c r="Z474" s="19">
        <v>0</v>
      </c>
      <c r="AA474" s="19">
        <v>0</v>
      </c>
      <c r="AB474" t="str">
        <f>VLOOKUP(E:E,笔记匹配!A:N,3,FALSE)</f>
        <v>凯琳KatherineW</v>
      </c>
      <c r="AC474" t="str">
        <f>VLOOKUP(E:E,笔记匹配!A:N,2,FALSE)</f>
        <v>跳绳</v>
      </c>
      <c r="AD474" t="str">
        <f>VLOOKUP(E:E,笔记匹配!A:N,4,FALSE)</f>
        <v>云麦心率跳绳</v>
      </c>
      <c r="AE474" t="str">
        <f>VLOOKUP(E:E,笔记匹配!A:N,14,FALSE)</f>
        <v>云麦心率跳绳</v>
      </c>
      <c r="AF474" t="str">
        <f>VLOOKUP(E:E,笔记匹配!A:N,6,FALSE)</f>
        <v>无绳卡点暴汗230卡跟练 ｜小基数瘦腿瘦全身</v>
      </c>
    </row>
    <row r="475" spans="1:32">
      <c r="A475" s="18" t="s">
        <v>69</v>
      </c>
      <c r="B475" s="18" t="s">
        <v>767</v>
      </c>
      <c r="C475" s="19">
        <v>17533208</v>
      </c>
      <c r="D475" s="18" t="s">
        <v>209</v>
      </c>
      <c r="E475" s="18" t="s">
        <v>453</v>
      </c>
      <c r="F475" s="18" t="s">
        <v>1128</v>
      </c>
      <c r="G475" s="19">
        <v>3362209</v>
      </c>
      <c r="H475" s="18" t="s">
        <v>1128</v>
      </c>
      <c r="I475" s="19">
        <v>2750426</v>
      </c>
      <c r="J475" s="18" t="s">
        <v>1015</v>
      </c>
      <c r="K475" s="19">
        <v>70.71</v>
      </c>
      <c r="L475" s="19">
        <v>3378</v>
      </c>
      <c r="M475" s="19">
        <v>151</v>
      </c>
      <c r="N475" s="20">
        <v>0.0447</v>
      </c>
      <c r="O475" s="19">
        <v>0.47</v>
      </c>
      <c r="P475" s="19">
        <v>20.93</v>
      </c>
      <c r="Q475" s="19">
        <v>7</v>
      </c>
      <c r="R475" s="19">
        <v>0</v>
      </c>
      <c r="S475" s="19">
        <v>1</v>
      </c>
      <c r="T475" s="19">
        <v>3</v>
      </c>
      <c r="U475" s="19">
        <v>0</v>
      </c>
      <c r="V475" s="19">
        <v>11</v>
      </c>
      <c r="W475" s="19">
        <v>6.43</v>
      </c>
      <c r="X475" s="19">
        <v>0</v>
      </c>
      <c r="Y475" s="20">
        <v>0</v>
      </c>
      <c r="Z475" s="19">
        <v>0</v>
      </c>
      <c r="AA475" s="19">
        <v>0</v>
      </c>
      <c r="AB475" t="str">
        <f>VLOOKUP(E:E,笔记匹配!A:N,3,FALSE)</f>
        <v>小翻译美芽酱</v>
      </c>
      <c r="AC475" t="str">
        <f>VLOOKUP(E:E,笔记匹配!A:N,2,FALSE)</f>
        <v>筋膜枪</v>
      </c>
      <c r="AD475" t="str">
        <f>VLOOKUP(E:E,笔记匹配!A:N,4,FALSE)</f>
        <v>云麦CC筋膜枪</v>
      </c>
      <c r="AE475" t="str">
        <f>VLOOKUP(E:E,笔记匹配!A:N,14,FALSE)</f>
        <v>云麦筋膜枪cc</v>
      </c>
      <c r="AF475" t="str">
        <f>VLOOKUP(E:E,笔记匹配!A:N,6,FALSE)</f>
        <v>办公按摩神器！职场打工人の高颜值筋膜枪！</v>
      </c>
    </row>
    <row r="476" spans="1:32">
      <c r="A476" s="18" t="s">
        <v>70</v>
      </c>
      <c r="B476" s="18" t="s">
        <v>767</v>
      </c>
      <c r="C476" s="19">
        <v>17533208</v>
      </c>
      <c r="D476" s="18" t="s">
        <v>209</v>
      </c>
      <c r="E476" s="18" t="s">
        <v>453</v>
      </c>
      <c r="F476" s="18" t="s">
        <v>1128</v>
      </c>
      <c r="G476" s="19">
        <v>3362209</v>
      </c>
      <c r="H476" s="18" t="s">
        <v>1128</v>
      </c>
      <c r="I476" s="19">
        <v>2750426</v>
      </c>
      <c r="J476" s="18" t="s">
        <v>1015</v>
      </c>
      <c r="K476" s="19">
        <v>0</v>
      </c>
      <c r="L476" s="19">
        <v>0</v>
      </c>
      <c r="M476" s="19">
        <v>0</v>
      </c>
      <c r="N476" s="20">
        <v>0</v>
      </c>
      <c r="O476" s="19">
        <v>0</v>
      </c>
      <c r="P476" s="19">
        <v>0</v>
      </c>
      <c r="Q476" s="19">
        <v>0</v>
      </c>
      <c r="R476" s="19">
        <v>0</v>
      </c>
      <c r="S476" s="19">
        <v>0</v>
      </c>
      <c r="T476" s="19">
        <v>0</v>
      </c>
      <c r="U476" s="19">
        <v>0</v>
      </c>
      <c r="V476" s="19">
        <v>0</v>
      </c>
      <c r="W476" s="19">
        <v>0</v>
      </c>
      <c r="X476" s="19">
        <v>0</v>
      </c>
      <c r="Y476" s="20">
        <v>0</v>
      </c>
      <c r="Z476" s="19">
        <v>0</v>
      </c>
      <c r="AA476" s="19">
        <v>0</v>
      </c>
      <c r="AB476" t="str">
        <f>VLOOKUP(E:E,笔记匹配!A:N,3,FALSE)</f>
        <v>小翻译美芽酱</v>
      </c>
      <c r="AC476" t="str">
        <f>VLOOKUP(E:E,笔记匹配!A:N,2,FALSE)</f>
        <v>筋膜枪</v>
      </c>
      <c r="AD476" t="str">
        <f>VLOOKUP(E:E,笔记匹配!A:N,4,FALSE)</f>
        <v>云麦CC筋膜枪</v>
      </c>
      <c r="AE476" t="str">
        <f>VLOOKUP(E:E,笔记匹配!A:N,14,FALSE)</f>
        <v>云麦筋膜枪cc</v>
      </c>
      <c r="AF476" t="str">
        <f>VLOOKUP(E:E,笔记匹配!A:N,6,FALSE)</f>
        <v>办公按摩神器！职场打工人の高颜值筋膜枪！</v>
      </c>
    </row>
    <row r="477" spans="1:32">
      <c r="A477" s="18" t="s">
        <v>70</v>
      </c>
      <c r="B477" s="18" t="s">
        <v>1129</v>
      </c>
      <c r="C477" s="19">
        <v>17799451</v>
      </c>
      <c r="D477" s="18" t="s">
        <v>209</v>
      </c>
      <c r="E477" s="18" t="s">
        <v>378</v>
      </c>
      <c r="F477" s="18" t="s">
        <v>1130</v>
      </c>
      <c r="G477" s="19">
        <v>3466574</v>
      </c>
      <c r="H477" s="18" t="s">
        <v>1131</v>
      </c>
      <c r="I477" s="19">
        <v>2852359</v>
      </c>
      <c r="J477" s="18" t="s">
        <v>1015</v>
      </c>
      <c r="K477" s="19">
        <v>301.69</v>
      </c>
      <c r="L477" s="19">
        <v>61625</v>
      </c>
      <c r="M477" s="19">
        <v>2305</v>
      </c>
      <c r="N477" s="20">
        <v>0.0374</v>
      </c>
      <c r="O477" s="19">
        <v>0.13</v>
      </c>
      <c r="P477" s="19">
        <v>4.9</v>
      </c>
      <c r="Q477" s="19">
        <v>95</v>
      </c>
      <c r="R477" s="19">
        <v>4</v>
      </c>
      <c r="S477" s="19">
        <v>56</v>
      </c>
      <c r="T477" s="19">
        <v>9</v>
      </c>
      <c r="U477" s="19">
        <v>1</v>
      </c>
      <c r="V477" s="19">
        <v>165</v>
      </c>
      <c r="W477" s="19">
        <v>1.83</v>
      </c>
      <c r="X477" s="19">
        <v>0</v>
      </c>
      <c r="Y477" s="20">
        <v>0</v>
      </c>
      <c r="Z477" s="19">
        <v>4</v>
      </c>
      <c r="AA477" s="19">
        <v>6</v>
      </c>
      <c r="AB477" t="str">
        <f>VLOOKUP(E:E,笔记匹配!A:N,3,FALSE)</f>
        <v>曲美腻腻</v>
      </c>
      <c r="AC477" t="str">
        <f>VLOOKUP(E:E,笔记匹配!A:N,2,FALSE)</f>
        <v>筋膜枪</v>
      </c>
      <c r="AD477" t="str">
        <f>VLOOKUP(E:E,笔记匹配!A:N,4,FALSE)</f>
        <v>云麦智能筋膜枪</v>
      </c>
      <c r="AE477" t="str">
        <f>VLOOKUP(E:E,笔记匹配!A:N,14,FALSE)</f>
        <v>云麦筋膜枪pb2</v>
      </c>
      <c r="AF477" t="str">
        <f>VLOOKUP(E:E,笔记匹配!A:N,6,FALSE)</f>
        <v>学会这3个动作！轻松在家瘦全身！不是梦！简单</v>
      </c>
    </row>
    <row r="478" spans="1:32">
      <c r="A478" s="18" t="s">
        <v>70</v>
      </c>
      <c r="B478" s="18" t="s">
        <v>1129</v>
      </c>
      <c r="C478" s="19">
        <v>17799473</v>
      </c>
      <c r="D478" s="18" t="s">
        <v>209</v>
      </c>
      <c r="E478" s="18" t="s">
        <v>464</v>
      </c>
      <c r="F478" s="18" t="s">
        <v>1130</v>
      </c>
      <c r="G478" s="19">
        <v>3466574</v>
      </c>
      <c r="H478" s="18" t="s">
        <v>1131</v>
      </c>
      <c r="I478" s="19">
        <v>2852359</v>
      </c>
      <c r="J478" s="18" t="s">
        <v>1015</v>
      </c>
      <c r="K478" s="19">
        <v>0.56</v>
      </c>
      <c r="L478" s="19">
        <v>215</v>
      </c>
      <c r="M478" s="19">
        <v>6</v>
      </c>
      <c r="N478" s="20">
        <v>0.0279</v>
      </c>
      <c r="O478" s="19">
        <v>0.09</v>
      </c>
      <c r="P478" s="19">
        <v>2.6</v>
      </c>
      <c r="Q478" s="19">
        <v>0</v>
      </c>
      <c r="R478" s="19">
        <v>0</v>
      </c>
      <c r="S478" s="19">
        <v>0</v>
      </c>
      <c r="T478" s="19">
        <v>0</v>
      </c>
      <c r="U478" s="19">
        <v>0</v>
      </c>
      <c r="V478" s="19">
        <v>0</v>
      </c>
      <c r="W478" s="19">
        <v>0</v>
      </c>
      <c r="X478" s="19">
        <v>0</v>
      </c>
      <c r="Y478" s="20">
        <v>0</v>
      </c>
      <c r="Z478" s="19">
        <v>0</v>
      </c>
      <c r="AA478" s="19">
        <v>0</v>
      </c>
      <c r="AB478" t="str">
        <f>VLOOKUP(E:E,笔记匹配!A:N,3,FALSE)</f>
        <v>阿煜</v>
      </c>
      <c r="AC478" t="str">
        <f>VLOOKUP(E:E,笔记匹配!A:N,2,FALSE)</f>
        <v>筋膜枪</v>
      </c>
      <c r="AD478" t="str">
        <f>VLOOKUP(E:E,笔记匹配!A:N,4,FALSE)</f>
        <v>云麦智能筋膜枪PB2</v>
      </c>
      <c r="AE478" t="str">
        <f>VLOOKUP(E:E,笔记匹配!A:N,14,FALSE)</f>
        <v>云麦筋膜枪pb2</v>
      </c>
      <c r="AF478" t="str">
        <f>VLOOKUP(E:E,笔记匹配!A:N,6,FALSE)</f>
        <v>📱手机控制筋膜枪？云麦智能筋膜枪PB2测评</v>
      </c>
    </row>
    <row r="479" spans="1:32">
      <c r="A479" s="18" t="s">
        <v>71</v>
      </c>
      <c r="B479" s="18" t="s">
        <v>767</v>
      </c>
      <c r="C479" s="19">
        <v>17533208</v>
      </c>
      <c r="D479" s="18" t="s">
        <v>209</v>
      </c>
      <c r="E479" s="18" t="s">
        <v>453</v>
      </c>
      <c r="F479" s="18" t="s">
        <v>1128</v>
      </c>
      <c r="G479" s="19">
        <v>3362209</v>
      </c>
      <c r="H479" s="18" t="s">
        <v>1128</v>
      </c>
      <c r="I479" s="19">
        <v>2750426</v>
      </c>
      <c r="J479" s="18" t="s">
        <v>1015</v>
      </c>
      <c r="K479" s="19">
        <v>0</v>
      </c>
      <c r="L479" s="19">
        <v>0</v>
      </c>
      <c r="M479" s="19">
        <v>0</v>
      </c>
      <c r="N479" s="20">
        <v>0</v>
      </c>
      <c r="O479" s="19">
        <v>0</v>
      </c>
      <c r="P479" s="19">
        <v>0</v>
      </c>
      <c r="Q479" s="19">
        <v>0</v>
      </c>
      <c r="R479" s="19">
        <v>0</v>
      </c>
      <c r="S479" s="19">
        <v>0</v>
      </c>
      <c r="T479" s="19">
        <v>0</v>
      </c>
      <c r="U479" s="19">
        <v>0</v>
      </c>
      <c r="V479" s="19">
        <v>0</v>
      </c>
      <c r="W479" s="19">
        <v>0</v>
      </c>
      <c r="X479" s="19">
        <v>0</v>
      </c>
      <c r="Y479" s="20">
        <v>0</v>
      </c>
      <c r="Z479" s="19">
        <v>0</v>
      </c>
      <c r="AA479" s="19">
        <v>0</v>
      </c>
      <c r="AB479" t="str">
        <f>VLOOKUP(E:E,笔记匹配!A:N,3,FALSE)</f>
        <v>小翻译美芽酱</v>
      </c>
      <c r="AC479" t="str">
        <f>VLOOKUP(E:E,笔记匹配!A:N,2,FALSE)</f>
        <v>筋膜枪</v>
      </c>
      <c r="AD479" t="str">
        <f>VLOOKUP(E:E,笔记匹配!A:N,4,FALSE)</f>
        <v>云麦CC筋膜枪</v>
      </c>
      <c r="AE479" t="str">
        <f>VLOOKUP(E:E,笔记匹配!A:N,14,FALSE)</f>
        <v>云麦筋膜枪cc</v>
      </c>
      <c r="AF479" t="str">
        <f>VLOOKUP(E:E,笔记匹配!A:N,6,FALSE)</f>
        <v>办公按摩神器！职场打工人の高颜值筋膜枪！</v>
      </c>
    </row>
    <row r="480" spans="1:32">
      <c r="A480" s="18" t="s">
        <v>71</v>
      </c>
      <c r="B480" s="18" t="s">
        <v>1129</v>
      </c>
      <c r="C480" s="19">
        <v>17799451</v>
      </c>
      <c r="D480" s="18" t="s">
        <v>209</v>
      </c>
      <c r="E480" s="18" t="s">
        <v>378</v>
      </c>
      <c r="F480" s="18" t="s">
        <v>1130</v>
      </c>
      <c r="G480" s="19">
        <v>3466574</v>
      </c>
      <c r="H480" s="18" t="s">
        <v>1131</v>
      </c>
      <c r="I480" s="19">
        <v>2852359</v>
      </c>
      <c r="J480" s="18" t="s">
        <v>1015</v>
      </c>
      <c r="K480" s="19">
        <v>600.5</v>
      </c>
      <c r="L480" s="19">
        <v>57020</v>
      </c>
      <c r="M480" s="19">
        <v>3961</v>
      </c>
      <c r="N480" s="20">
        <v>0.0695</v>
      </c>
      <c r="O480" s="19">
        <v>0.15</v>
      </c>
      <c r="P480" s="19">
        <v>10.53</v>
      </c>
      <c r="Q480" s="19">
        <v>221</v>
      </c>
      <c r="R480" s="19">
        <v>5</v>
      </c>
      <c r="S480" s="19">
        <v>148</v>
      </c>
      <c r="T480" s="19">
        <v>13</v>
      </c>
      <c r="U480" s="19">
        <v>7</v>
      </c>
      <c r="V480" s="19">
        <v>394</v>
      </c>
      <c r="W480" s="19">
        <v>1.52</v>
      </c>
      <c r="X480" s="19">
        <v>0</v>
      </c>
      <c r="Y480" s="20">
        <v>0</v>
      </c>
      <c r="Z480" s="19">
        <v>1</v>
      </c>
      <c r="AA480" s="19">
        <v>16</v>
      </c>
      <c r="AB480" t="str">
        <f>VLOOKUP(E:E,笔记匹配!A:N,3,FALSE)</f>
        <v>曲美腻腻</v>
      </c>
      <c r="AC480" t="str">
        <f>VLOOKUP(E:E,笔记匹配!A:N,2,FALSE)</f>
        <v>筋膜枪</v>
      </c>
      <c r="AD480" t="str">
        <f>VLOOKUP(E:E,笔记匹配!A:N,4,FALSE)</f>
        <v>云麦智能筋膜枪</v>
      </c>
      <c r="AE480" t="str">
        <f>VLOOKUP(E:E,笔记匹配!A:N,14,FALSE)</f>
        <v>云麦筋膜枪pb2</v>
      </c>
      <c r="AF480" t="str">
        <f>VLOOKUP(E:E,笔记匹配!A:N,6,FALSE)</f>
        <v>学会这3个动作！轻松在家瘦全身！不是梦！简单</v>
      </c>
    </row>
    <row r="481" spans="1:32">
      <c r="A481" s="18" t="s">
        <v>71</v>
      </c>
      <c r="B481" s="18" t="s">
        <v>1129</v>
      </c>
      <c r="C481" s="19">
        <v>17799473</v>
      </c>
      <c r="D481" s="18" t="s">
        <v>209</v>
      </c>
      <c r="E481" s="18" t="s">
        <v>464</v>
      </c>
      <c r="F481" s="18" t="s">
        <v>1130</v>
      </c>
      <c r="G481" s="19">
        <v>3466574</v>
      </c>
      <c r="H481" s="18" t="s">
        <v>1131</v>
      </c>
      <c r="I481" s="19">
        <v>2852359</v>
      </c>
      <c r="J481" s="18" t="s">
        <v>1015</v>
      </c>
      <c r="K481" s="19">
        <v>4.28</v>
      </c>
      <c r="L481" s="19">
        <v>913</v>
      </c>
      <c r="M481" s="19">
        <v>56</v>
      </c>
      <c r="N481" s="20">
        <v>0.0613</v>
      </c>
      <c r="O481" s="19">
        <v>0.08</v>
      </c>
      <c r="P481" s="19">
        <v>4.69</v>
      </c>
      <c r="Q481" s="19">
        <v>1</v>
      </c>
      <c r="R481" s="19">
        <v>0</v>
      </c>
      <c r="S481" s="19">
        <v>0</v>
      </c>
      <c r="T481" s="19">
        <v>0</v>
      </c>
      <c r="U481" s="19">
        <v>0</v>
      </c>
      <c r="V481" s="19">
        <v>1</v>
      </c>
      <c r="W481" s="19">
        <v>4.28</v>
      </c>
      <c r="X481" s="19">
        <v>0</v>
      </c>
      <c r="Y481" s="20">
        <v>0</v>
      </c>
      <c r="Z481" s="19">
        <v>0</v>
      </c>
      <c r="AA481" s="19">
        <v>1</v>
      </c>
      <c r="AB481" t="str">
        <f>VLOOKUP(E:E,笔记匹配!A:N,3,FALSE)</f>
        <v>阿煜</v>
      </c>
      <c r="AC481" t="str">
        <f>VLOOKUP(E:E,笔记匹配!A:N,2,FALSE)</f>
        <v>筋膜枪</v>
      </c>
      <c r="AD481" t="str">
        <f>VLOOKUP(E:E,笔记匹配!A:N,4,FALSE)</f>
        <v>云麦智能筋膜枪PB2</v>
      </c>
      <c r="AE481" t="str">
        <f>VLOOKUP(E:E,笔记匹配!A:N,14,FALSE)</f>
        <v>云麦筋膜枪pb2</v>
      </c>
      <c r="AF481" t="str">
        <f>VLOOKUP(E:E,笔记匹配!A:N,6,FALSE)</f>
        <v>📱手机控制筋膜枪？云麦智能筋膜枪PB2测评</v>
      </c>
    </row>
    <row r="482" spans="1:32">
      <c r="A482" s="18" t="s">
        <v>72</v>
      </c>
      <c r="B482" s="18" t="s">
        <v>1129</v>
      </c>
      <c r="C482" s="19">
        <v>17799451</v>
      </c>
      <c r="D482" s="18" t="s">
        <v>209</v>
      </c>
      <c r="E482" s="18" t="s">
        <v>378</v>
      </c>
      <c r="F482" s="18" t="s">
        <v>1130</v>
      </c>
      <c r="G482" s="19">
        <v>3466574</v>
      </c>
      <c r="H482" s="18" t="s">
        <v>1131</v>
      </c>
      <c r="I482" s="19">
        <v>2852359</v>
      </c>
      <c r="J482" s="18" t="s">
        <v>1015</v>
      </c>
      <c r="K482" s="19">
        <v>1499.04</v>
      </c>
      <c r="L482" s="19">
        <v>82593</v>
      </c>
      <c r="M482" s="19">
        <v>7364</v>
      </c>
      <c r="N482" s="20">
        <v>0.0892</v>
      </c>
      <c r="O482" s="19">
        <v>0.2</v>
      </c>
      <c r="P482" s="19">
        <v>18.15</v>
      </c>
      <c r="Q482" s="19">
        <v>518</v>
      </c>
      <c r="R482" s="19">
        <v>9</v>
      </c>
      <c r="S482" s="19">
        <v>362</v>
      </c>
      <c r="T482" s="19">
        <v>50</v>
      </c>
      <c r="U482" s="19">
        <v>13</v>
      </c>
      <c r="V482" s="19">
        <v>952</v>
      </c>
      <c r="W482" s="19">
        <v>1.57</v>
      </c>
      <c r="X482" s="19">
        <v>0</v>
      </c>
      <c r="Y482" s="20">
        <v>0</v>
      </c>
      <c r="Z482" s="19">
        <v>8</v>
      </c>
      <c r="AA482" s="19">
        <v>30</v>
      </c>
      <c r="AB482" t="str">
        <f>VLOOKUP(E:E,笔记匹配!A:N,3,FALSE)</f>
        <v>曲美腻腻</v>
      </c>
      <c r="AC482" t="str">
        <f>VLOOKUP(E:E,笔记匹配!A:N,2,FALSE)</f>
        <v>筋膜枪</v>
      </c>
      <c r="AD482" t="str">
        <f>VLOOKUP(E:E,笔记匹配!A:N,4,FALSE)</f>
        <v>云麦智能筋膜枪</v>
      </c>
      <c r="AE482" t="str">
        <f>VLOOKUP(E:E,笔记匹配!A:N,14,FALSE)</f>
        <v>云麦筋膜枪pb2</v>
      </c>
      <c r="AF482" t="str">
        <f>VLOOKUP(E:E,笔记匹配!A:N,6,FALSE)</f>
        <v>学会这3个动作！轻松在家瘦全身！不是梦！简单</v>
      </c>
    </row>
    <row r="483" spans="1:32">
      <c r="A483" s="18" t="s">
        <v>72</v>
      </c>
      <c r="B483" s="18" t="s">
        <v>1129</v>
      </c>
      <c r="C483" s="19">
        <v>17799473</v>
      </c>
      <c r="D483" s="18" t="s">
        <v>209</v>
      </c>
      <c r="E483" s="18" t="s">
        <v>464</v>
      </c>
      <c r="F483" s="18" t="s">
        <v>1130</v>
      </c>
      <c r="G483" s="19">
        <v>3466574</v>
      </c>
      <c r="H483" s="18" t="s">
        <v>1131</v>
      </c>
      <c r="I483" s="19">
        <v>2852359</v>
      </c>
      <c r="J483" s="18" t="s">
        <v>1015</v>
      </c>
      <c r="K483" s="19">
        <v>1.24</v>
      </c>
      <c r="L483" s="19">
        <v>281</v>
      </c>
      <c r="M483" s="19">
        <v>15</v>
      </c>
      <c r="N483" s="20">
        <v>0.0534</v>
      </c>
      <c r="O483" s="19">
        <v>0.08</v>
      </c>
      <c r="P483" s="19">
        <v>4.41</v>
      </c>
      <c r="Q483" s="19">
        <v>1</v>
      </c>
      <c r="R483" s="19">
        <v>0</v>
      </c>
      <c r="S483" s="19">
        <v>0</v>
      </c>
      <c r="T483" s="19">
        <v>0</v>
      </c>
      <c r="U483" s="19">
        <v>0</v>
      </c>
      <c r="V483" s="19">
        <v>1</v>
      </c>
      <c r="W483" s="19">
        <v>1.24</v>
      </c>
      <c r="X483" s="19">
        <v>0</v>
      </c>
      <c r="Y483" s="20">
        <v>0</v>
      </c>
      <c r="Z483" s="19">
        <v>0</v>
      </c>
      <c r="AA483" s="19">
        <v>0</v>
      </c>
      <c r="AB483" t="str">
        <f>VLOOKUP(E:E,笔记匹配!A:N,3,FALSE)</f>
        <v>阿煜</v>
      </c>
      <c r="AC483" t="str">
        <f>VLOOKUP(E:E,笔记匹配!A:N,2,FALSE)</f>
        <v>筋膜枪</v>
      </c>
      <c r="AD483" t="str">
        <f>VLOOKUP(E:E,笔记匹配!A:N,4,FALSE)</f>
        <v>云麦智能筋膜枪PB2</v>
      </c>
      <c r="AE483" t="str">
        <f>VLOOKUP(E:E,笔记匹配!A:N,14,FALSE)</f>
        <v>云麦筋膜枪pb2</v>
      </c>
      <c r="AF483" t="str">
        <f>VLOOKUP(E:E,笔记匹配!A:N,6,FALSE)</f>
        <v>📱手机控制筋膜枪？云麦智能筋膜枪PB2测评</v>
      </c>
    </row>
    <row r="484" spans="1:32">
      <c r="A484" s="18" t="s">
        <v>72</v>
      </c>
      <c r="B484" s="18" t="s">
        <v>1132</v>
      </c>
      <c r="C484" s="19">
        <v>17858272</v>
      </c>
      <c r="D484" s="18" t="s">
        <v>209</v>
      </c>
      <c r="E484" s="18" t="s">
        <v>464</v>
      </c>
      <c r="F484" s="18" t="s">
        <v>1133</v>
      </c>
      <c r="G484" s="19">
        <v>3493737</v>
      </c>
      <c r="H484" s="18" t="s">
        <v>1134</v>
      </c>
      <c r="I484" s="19">
        <v>2879595</v>
      </c>
      <c r="J484" s="18" t="s">
        <v>1015</v>
      </c>
      <c r="K484" s="19">
        <v>96.12</v>
      </c>
      <c r="L484" s="19">
        <v>8685</v>
      </c>
      <c r="M484" s="19">
        <v>317</v>
      </c>
      <c r="N484" s="20">
        <v>0.0365</v>
      </c>
      <c r="O484" s="19">
        <v>0.3</v>
      </c>
      <c r="P484" s="19">
        <v>11.07</v>
      </c>
      <c r="Q484" s="19">
        <v>12</v>
      </c>
      <c r="R484" s="19">
        <v>1</v>
      </c>
      <c r="S484" s="19">
        <v>3</v>
      </c>
      <c r="T484" s="19">
        <v>0</v>
      </c>
      <c r="U484" s="19">
        <v>0</v>
      </c>
      <c r="V484" s="19">
        <v>16</v>
      </c>
      <c r="W484" s="19">
        <v>6.01</v>
      </c>
      <c r="X484" s="19">
        <v>0</v>
      </c>
      <c r="Y484" s="20">
        <v>0</v>
      </c>
      <c r="Z484" s="19">
        <v>0</v>
      </c>
      <c r="AA484" s="19">
        <v>0</v>
      </c>
      <c r="AB484" t="str">
        <f>VLOOKUP(E:E,笔记匹配!A:N,3,FALSE)</f>
        <v>阿煜</v>
      </c>
      <c r="AC484" t="str">
        <f>VLOOKUP(E:E,笔记匹配!A:N,2,FALSE)</f>
        <v>筋膜枪</v>
      </c>
      <c r="AD484" t="str">
        <f>VLOOKUP(E:E,笔记匹配!A:N,4,FALSE)</f>
        <v>云麦智能筋膜枪PB2</v>
      </c>
      <c r="AE484" t="str">
        <f>VLOOKUP(E:E,笔记匹配!A:N,14,FALSE)</f>
        <v>云麦筋膜枪pb2</v>
      </c>
      <c r="AF484" t="str">
        <f>VLOOKUP(E:E,笔记匹配!A:N,6,FALSE)</f>
        <v>📱手机控制筋膜枪？云麦智能筋膜枪PB2测评</v>
      </c>
    </row>
    <row r="485" spans="1:32">
      <c r="A485" s="18" t="s">
        <v>73</v>
      </c>
      <c r="B485" s="18" t="s">
        <v>1129</v>
      </c>
      <c r="C485" s="19">
        <v>17799451</v>
      </c>
      <c r="D485" s="18" t="s">
        <v>209</v>
      </c>
      <c r="E485" s="18" t="s">
        <v>378</v>
      </c>
      <c r="F485" s="18" t="s">
        <v>1130</v>
      </c>
      <c r="G485" s="19">
        <v>3466574</v>
      </c>
      <c r="H485" s="18" t="s">
        <v>1131</v>
      </c>
      <c r="I485" s="19">
        <v>2852359</v>
      </c>
      <c r="J485" s="18" t="s">
        <v>1015</v>
      </c>
      <c r="K485" s="19">
        <v>493.43</v>
      </c>
      <c r="L485" s="19">
        <v>38119</v>
      </c>
      <c r="M485" s="19">
        <v>3521</v>
      </c>
      <c r="N485" s="20">
        <v>0.0924</v>
      </c>
      <c r="O485" s="19">
        <v>0.14</v>
      </c>
      <c r="P485" s="19">
        <v>12.94</v>
      </c>
      <c r="Q485" s="19">
        <v>234</v>
      </c>
      <c r="R485" s="19">
        <v>0</v>
      </c>
      <c r="S485" s="19">
        <v>166</v>
      </c>
      <c r="T485" s="19">
        <v>20</v>
      </c>
      <c r="U485" s="19">
        <v>5</v>
      </c>
      <c r="V485" s="19">
        <v>425</v>
      </c>
      <c r="W485" s="19">
        <v>1.16</v>
      </c>
      <c r="X485" s="19">
        <v>0</v>
      </c>
      <c r="Y485" s="20">
        <v>0</v>
      </c>
      <c r="Z485" s="19">
        <v>8</v>
      </c>
      <c r="AA485" s="19">
        <v>22</v>
      </c>
      <c r="AB485" t="str">
        <f>VLOOKUP(E:E,笔记匹配!A:N,3,FALSE)</f>
        <v>曲美腻腻</v>
      </c>
      <c r="AC485" t="str">
        <f>VLOOKUP(E:E,笔记匹配!A:N,2,FALSE)</f>
        <v>筋膜枪</v>
      </c>
      <c r="AD485" t="str">
        <f>VLOOKUP(E:E,笔记匹配!A:N,4,FALSE)</f>
        <v>云麦智能筋膜枪</v>
      </c>
      <c r="AE485" t="str">
        <f>VLOOKUP(E:E,笔记匹配!A:N,14,FALSE)</f>
        <v>云麦筋膜枪pb2</v>
      </c>
      <c r="AF485" t="str">
        <f>VLOOKUP(E:E,笔记匹配!A:N,6,FALSE)</f>
        <v>学会这3个动作！轻松在家瘦全身！不是梦！简单</v>
      </c>
    </row>
    <row r="486" spans="1:32">
      <c r="A486" s="18" t="s">
        <v>73</v>
      </c>
      <c r="B486" s="18" t="s">
        <v>1132</v>
      </c>
      <c r="C486" s="19">
        <v>17858272</v>
      </c>
      <c r="D486" s="18" t="s">
        <v>209</v>
      </c>
      <c r="E486" s="18" t="s">
        <v>464</v>
      </c>
      <c r="F486" s="18" t="s">
        <v>1133</v>
      </c>
      <c r="G486" s="19">
        <v>3493737</v>
      </c>
      <c r="H486" s="18" t="s">
        <v>1134</v>
      </c>
      <c r="I486" s="19">
        <v>2879595</v>
      </c>
      <c r="J486" s="18" t="s">
        <v>1015</v>
      </c>
      <c r="K486" s="19">
        <v>111.26</v>
      </c>
      <c r="L486" s="19">
        <v>10014</v>
      </c>
      <c r="M486" s="19">
        <v>357</v>
      </c>
      <c r="N486" s="20">
        <v>0.0357</v>
      </c>
      <c r="O486" s="19">
        <v>0.31</v>
      </c>
      <c r="P486" s="19">
        <v>11.11</v>
      </c>
      <c r="Q486" s="19">
        <v>13</v>
      </c>
      <c r="R486" s="19">
        <v>0</v>
      </c>
      <c r="S486" s="19">
        <v>2</v>
      </c>
      <c r="T486" s="19">
        <v>0</v>
      </c>
      <c r="U486" s="19">
        <v>1</v>
      </c>
      <c r="V486" s="19">
        <v>16</v>
      </c>
      <c r="W486" s="19">
        <v>6.95</v>
      </c>
      <c r="X486" s="19">
        <v>0</v>
      </c>
      <c r="Y486" s="20">
        <v>0</v>
      </c>
      <c r="Z486" s="19">
        <v>0</v>
      </c>
      <c r="AA486" s="19">
        <v>0</v>
      </c>
      <c r="AB486" t="str">
        <f>VLOOKUP(E:E,笔记匹配!A:N,3,FALSE)</f>
        <v>阿煜</v>
      </c>
      <c r="AC486" t="str">
        <f>VLOOKUP(E:E,笔记匹配!A:N,2,FALSE)</f>
        <v>筋膜枪</v>
      </c>
      <c r="AD486" t="str">
        <f>VLOOKUP(E:E,笔记匹配!A:N,4,FALSE)</f>
        <v>云麦智能筋膜枪PB2</v>
      </c>
      <c r="AE486" t="str">
        <f>VLOOKUP(E:E,笔记匹配!A:N,14,FALSE)</f>
        <v>云麦筋膜枪pb2</v>
      </c>
      <c r="AF486" t="str">
        <f>VLOOKUP(E:E,笔记匹配!A:N,6,FALSE)</f>
        <v>📱手机控制筋膜枪？云麦智能筋膜枪PB2测评</v>
      </c>
    </row>
    <row r="487" spans="1:32">
      <c r="A487" s="18" t="s">
        <v>73</v>
      </c>
      <c r="B487" s="18" t="s">
        <v>1135</v>
      </c>
      <c r="C487" s="19">
        <v>17901185</v>
      </c>
      <c r="D487" s="18" t="s">
        <v>209</v>
      </c>
      <c r="E487" s="18" t="s">
        <v>457</v>
      </c>
      <c r="F487" s="18" t="s">
        <v>1136</v>
      </c>
      <c r="G487" s="19">
        <v>3514560</v>
      </c>
      <c r="H487" s="18" t="s">
        <v>1136</v>
      </c>
      <c r="I487" s="19">
        <v>2900401</v>
      </c>
      <c r="J487" s="18" t="s">
        <v>1015</v>
      </c>
      <c r="K487" s="19">
        <v>297.59</v>
      </c>
      <c r="L487" s="19">
        <v>54574</v>
      </c>
      <c r="M487" s="19">
        <v>3540</v>
      </c>
      <c r="N487" s="20">
        <v>0.0649</v>
      </c>
      <c r="O487" s="19">
        <v>0.08</v>
      </c>
      <c r="P487" s="19">
        <v>5.45</v>
      </c>
      <c r="Q487" s="19">
        <v>121</v>
      </c>
      <c r="R487" s="19">
        <v>2</v>
      </c>
      <c r="S487" s="19">
        <v>39</v>
      </c>
      <c r="T487" s="19">
        <v>17</v>
      </c>
      <c r="U487" s="19">
        <v>1</v>
      </c>
      <c r="V487" s="19">
        <v>180</v>
      </c>
      <c r="W487" s="19">
        <v>1.65</v>
      </c>
      <c r="X487" s="19">
        <v>0</v>
      </c>
      <c r="Y487" s="20">
        <v>0</v>
      </c>
      <c r="Z487" s="19">
        <v>5</v>
      </c>
      <c r="AA487" s="19">
        <v>0</v>
      </c>
      <c r="AB487" t="str">
        <f>VLOOKUP(E:E,笔记匹配!A:N,3,FALSE)</f>
        <v>Jeremy 赵</v>
      </c>
      <c r="AC487" t="str">
        <f>VLOOKUP(E:E,笔记匹配!A:N,2,FALSE)</f>
        <v>筋膜枪</v>
      </c>
      <c r="AD487" t="str">
        <f>VLOOKUP(E:E,笔记匹配!A:N,4,FALSE)</f>
        <v>云麦PB2</v>
      </c>
      <c r="AE487" t="str">
        <f>VLOOKUP(E:E,笔记匹配!A:N,14,FALSE)</f>
        <v>云麦筋膜枪pb2</v>
      </c>
      <c r="AF487" t="str">
        <f>VLOOKUP(E:E,笔记匹配!A:N,6,FALSE)</f>
        <v>如何解决难以忍受的肌肉酸痛，筋膜枪帮你！</v>
      </c>
    </row>
    <row r="488" spans="1:32">
      <c r="A488" s="18" t="s">
        <v>74</v>
      </c>
      <c r="B488" s="18" t="s">
        <v>1129</v>
      </c>
      <c r="C488" s="19">
        <v>17799451</v>
      </c>
      <c r="D488" s="18" t="s">
        <v>209</v>
      </c>
      <c r="E488" s="18" t="s">
        <v>378</v>
      </c>
      <c r="F488" s="18" t="s">
        <v>1130</v>
      </c>
      <c r="G488" s="19">
        <v>3466574</v>
      </c>
      <c r="H488" s="18" t="s">
        <v>1131</v>
      </c>
      <c r="I488" s="19">
        <v>2852359</v>
      </c>
      <c r="J488" s="18" t="s">
        <v>1015</v>
      </c>
      <c r="K488" s="19">
        <v>432.2</v>
      </c>
      <c r="L488" s="19">
        <v>37896</v>
      </c>
      <c r="M488" s="19">
        <v>3554</v>
      </c>
      <c r="N488" s="20">
        <v>0.0938</v>
      </c>
      <c r="O488" s="19">
        <v>0.12</v>
      </c>
      <c r="P488" s="19">
        <v>11.4</v>
      </c>
      <c r="Q488" s="19">
        <v>202</v>
      </c>
      <c r="R488" s="19">
        <v>3</v>
      </c>
      <c r="S488" s="19">
        <v>139</v>
      </c>
      <c r="T488" s="19">
        <v>9</v>
      </c>
      <c r="U488" s="19">
        <v>5</v>
      </c>
      <c r="V488" s="19">
        <v>358</v>
      </c>
      <c r="W488" s="19">
        <v>1.21</v>
      </c>
      <c r="X488" s="19">
        <v>0</v>
      </c>
      <c r="Y488" s="20">
        <v>0</v>
      </c>
      <c r="Z488" s="19">
        <v>7</v>
      </c>
      <c r="AA488" s="19">
        <v>17</v>
      </c>
      <c r="AB488" t="str">
        <f>VLOOKUP(E:E,笔记匹配!A:N,3,FALSE)</f>
        <v>曲美腻腻</v>
      </c>
      <c r="AC488" t="str">
        <f>VLOOKUP(E:E,笔记匹配!A:N,2,FALSE)</f>
        <v>筋膜枪</v>
      </c>
      <c r="AD488" t="str">
        <f>VLOOKUP(E:E,笔记匹配!A:N,4,FALSE)</f>
        <v>云麦智能筋膜枪</v>
      </c>
      <c r="AE488" t="str">
        <f>VLOOKUP(E:E,笔记匹配!A:N,14,FALSE)</f>
        <v>云麦筋膜枪pb2</v>
      </c>
      <c r="AF488" t="str">
        <f>VLOOKUP(E:E,笔记匹配!A:N,6,FALSE)</f>
        <v>学会这3个动作！轻松在家瘦全身！不是梦！简单</v>
      </c>
    </row>
    <row r="489" spans="1:32">
      <c r="A489" s="18" t="s">
        <v>74</v>
      </c>
      <c r="B489" s="18" t="s">
        <v>1132</v>
      </c>
      <c r="C489" s="19">
        <v>17858272</v>
      </c>
      <c r="D489" s="18" t="s">
        <v>209</v>
      </c>
      <c r="E489" s="18" t="s">
        <v>464</v>
      </c>
      <c r="F489" s="18" t="s">
        <v>1133</v>
      </c>
      <c r="G489" s="19">
        <v>3493737</v>
      </c>
      <c r="H489" s="18" t="s">
        <v>1134</v>
      </c>
      <c r="I489" s="19">
        <v>2879595</v>
      </c>
      <c r="J489" s="18" t="s">
        <v>1015</v>
      </c>
      <c r="K489" s="19">
        <v>66.38</v>
      </c>
      <c r="L489" s="19">
        <v>6754</v>
      </c>
      <c r="M489" s="19">
        <v>194</v>
      </c>
      <c r="N489" s="20">
        <v>0.0287</v>
      </c>
      <c r="O489" s="19">
        <v>0.34</v>
      </c>
      <c r="P489" s="19">
        <v>9.83</v>
      </c>
      <c r="Q489" s="19">
        <v>4</v>
      </c>
      <c r="R489" s="19">
        <v>0</v>
      </c>
      <c r="S489" s="19">
        <v>0</v>
      </c>
      <c r="T489" s="19">
        <v>0</v>
      </c>
      <c r="U489" s="19">
        <v>1</v>
      </c>
      <c r="V489" s="19">
        <v>5</v>
      </c>
      <c r="W489" s="19">
        <v>13.28</v>
      </c>
      <c r="X489" s="19">
        <v>0</v>
      </c>
      <c r="Y489" s="20">
        <v>0</v>
      </c>
      <c r="Z489" s="19">
        <v>0</v>
      </c>
      <c r="AA489" s="19">
        <v>0</v>
      </c>
      <c r="AB489" t="str">
        <f>VLOOKUP(E:E,笔记匹配!A:N,3,FALSE)</f>
        <v>阿煜</v>
      </c>
      <c r="AC489" t="str">
        <f>VLOOKUP(E:E,笔记匹配!A:N,2,FALSE)</f>
        <v>筋膜枪</v>
      </c>
      <c r="AD489" t="str">
        <f>VLOOKUP(E:E,笔记匹配!A:N,4,FALSE)</f>
        <v>云麦智能筋膜枪PB2</v>
      </c>
      <c r="AE489" t="str">
        <f>VLOOKUP(E:E,笔记匹配!A:N,14,FALSE)</f>
        <v>云麦筋膜枪pb2</v>
      </c>
      <c r="AF489" t="str">
        <f>VLOOKUP(E:E,笔记匹配!A:N,6,FALSE)</f>
        <v>📱手机控制筋膜枪？云麦智能筋膜枪PB2测评</v>
      </c>
    </row>
    <row r="490" spans="1:32">
      <c r="A490" s="18" t="s">
        <v>74</v>
      </c>
      <c r="B490" s="18" t="s">
        <v>1135</v>
      </c>
      <c r="C490" s="19">
        <v>17901185</v>
      </c>
      <c r="D490" s="18" t="s">
        <v>209</v>
      </c>
      <c r="E490" s="18" t="s">
        <v>457</v>
      </c>
      <c r="F490" s="18" t="s">
        <v>1136</v>
      </c>
      <c r="G490" s="19">
        <v>3514560</v>
      </c>
      <c r="H490" s="18" t="s">
        <v>1136</v>
      </c>
      <c r="I490" s="19">
        <v>2900401</v>
      </c>
      <c r="J490" s="18" t="s">
        <v>1015</v>
      </c>
      <c r="K490" s="19">
        <v>299.7</v>
      </c>
      <c r="L490" s="19">
        <v>66364</v>
      </c>
      <c r="M490" s="19">
        <v>3558</v>
      </c>
      <c r="N490" s="20">
        <v>0.0536</v>
      </c>
      <c r="O490" s="19">
        <v>0.08</v>
      </c>
      <c r="P490" s="19">
        <v>4.52</v>
      </c>
      <c r="Q490" s="19">
        <v>110</v>
      </c>
      <c r="R490" s="19">
        <v>3</v>
      </c>
      <c r="S490" s="19">
        <v>36</v>
      </c>
      <c r="T490" s="19">
        <v>8</v>
      </c>
      <c r="U490" s="19">
        <v>4</v>
      </c>
      <c r="V490" s="19">
        <v>161</v>
      </c>
      <c r="W490" s="19">
        <v>1.86</v>
      </c>
      <c r="X490" s="19">
        <v>0</v>
      </c>
      <c r="Y490" s="20">
        <v>0</v>
      </c>
      <c r="Z490" s="19">
        <v>2</v>
      </c>
      <c r="AA490" s="19">
        <v>0</v>
      </c>
      <c r="AB490" t="str">
        <f>VLOOKUP(E:E,笔记匹配!A:N,3,FALSE)</f>
        <v>Jeremy 赵</v>
      </c>
      <c r="AC490" t="str">
        <f>VLOOKUP(E:E,笔记匹配!A:N,2,FALSE)</f>
        <v>筋膜枪</v>
      </c>
      <c r="AD490" t="str">
        <f>VLOOKUP(E:E,笔记匹配!A:N,4,FALSE)</f>
        <v>云麦PB2</v>
      </c>
      <c r="AE490" t="str">
        <f>VLOOKUP(E:E,笔记匹配!A:N,14,FALSE)</f>
        <v>云麦筋膜枪pb2</v>
      </c>
      <c r="AF490" t="str">
        <f>VLOOKUP(E:E,笔记匹配!A:N,6,FALSE)</f>
        <v>如何解决难以忍受的肌肉酸痛，筋膜枪帮你！</v>
      </c>
    </row>
    <row r="491" spans="1:32">
      <c r="A491" s="18" t="s">
        <v>74</v>
      </c>
      <c r="B491" s="18" t="s">
        <v>1137</v>
      </c>
      <c r="C491" s="19">
        <v>17974319</v>
      </c>
      <c r="D491" s="18" t="s">
        <v>209</v>
      </c>
      <c r="E491" s="18" t="s">
        <v>542</v>
      </c>
      <c r="F491" s="18" t="s">
        <v>1138</v>
      </c>
      <c r="G491" s="19">
        <v>3544995</v>
      </c>
      <c r="H491" s="18" t="s">
        <v>1139</v>
      </c>
      <c r="I491" s="19">
        <v>2930179</v>
      </c>
      <c r="J491" s="18" t="s">
        <v>1015</v>
      </c>
      <c r="K491" s="19">
        <v>486.35</v>
      </c>
      <c r="L491" s="19">
        <v>92936</v>
      </c>
      <c r="M491" s="19">
        <v>5189</v>
      </c>
      <c r="N491" s="20">
        <v>0.0558</v>
      </c>
      <c r="O491" s="19">
        <v>0.09</v>
      </c>
      <c r="P491" s="19">
        <v>5.23</v>
      </c>
      <c r="Q491" s="19">
        <v>151</v>
      </c>
      <c r="R491" s="19">
        <v>5</v>
      </c>
      <c r="S491" s="19">
        <v>89</v>
      </c>
      <c r="T491" s="19">
        <v>16</v>
      </c>
      <c r="U491" s="19">
        <v>8</v>
      </c>
      <c r="V491" s="19">
        <v>269</v>
      </c>
      <c r="W491" s="19">
        <v>1.81</v>
      </c>
      <c r="X491" s="19">
        <v>0</v>
      </c>
      <c r="Y491" s="20">
        <v>0</v>
      </c>
      <c r="Z491" s="19">
        <v>6</v>
      </c>
      <c r="AA491" s="19">
        <v>3</v>
      </c>
      <c r="AB491" t="str">
        <f>VLOOKUP(E:E,笔记匹配!A:N,3,FALSE)</f>
        <v>小恩哥带你练臀</v>
      </c>
      <c r="AC491" t="str">
        <f>VLOOKUP(E:E,笔记匹配!A:N,2,FALSE)</f>
        <v>筋膜枪</v>
      </c>
      <c r="AD491" t="str">
        <f>VLOOKUP(E:E,笔记匹配!A:N,4,FALSE)</f>
        <v>云麦PB2</v>
      </c>
      <c r="AE491" t="str">
        <f>VLOOKUP(E:E,笔记匹配!A:N,14,FALSE)</f>
        <v>云麦筋膜枪pb2</v>
      </c>
      <c r="AF491" t="str">
        <f>VLOOKUP(E:E,笔记匹配!A:N,6,FALSE)</f>
        <v>翘臀别只练臀，骨盆端正更重要｜筋膜枪放松</v>
      </c>
    </row>
    <row r="492" spans="1:32">
      <c r="A492" s="18" t="s">
        <v>75</v>
      </c>
      <c r="B492" s="18" t="s">
        <v>1129</v>
      </c>
      <c r="C492" s="19">
        <v>17799451</v>
      </c>
      <c r="D492" s="18" t="s">
        <v>209</v>
      </c>
      <c r="E492" s="18" t="s">
        <v>378</v>
      </c>
      <c r="F492" s="18" t="s">
        <v>1130</v>
      </c>
      <c r="G492" s="19">
        <v>3466574</v>
      </c>
      <c r="H492" s="18" t="s">
        <v>1131</v>
      </c>
      <c r="I492" s="19">
        <v>2852359</v>
      </c>
      <c r="J492" s="18" t="s">
        <v>1015</v>
      </c>
      <c r="K492" s="19">
        <v>208.98</v>
      </c>
      <c r="L492" s="19">
        <v>15980</v>
      </c>
      <c r="M492" s="19">
        <v>1529</v>
      </c>
      <c r="N492" s="20">
        <v>0.0957</v>
      </c>
      <c r="O492" s="19">
        <v>0.14</v>
      </c>
      <c r="P492" s="19">
        <v>13.08</v>
      </c>
      <c r="Q492" s="19">
        <v>112</v>
      </c>
      <c r="R492" s="19">
        <v>2</v>
      </c>
      <c r="S492" s="19">
        <v>90</v>
      </c>
      <c r="T492" s="19">
        <v>11</v>
      </c>
      <c r="U492" s="19">
        <v>2</v>
      </c>
      <c r="V492" s="19">
        <v>217</v>
      </c>
      <c r="W492" s="19">
        <v>0.96</v>
      </c>
      <c r="X492" s="19">
        <v>0</v>
      </c>
      <c r="Y492" s="20">
        <v>0</v>
      </c>
      <c r="Z492" s="19">
        <v>7</v>
      </c>
      <c r="AA492" s="19">
        <v>5</v>
      </c>
      <c r="AB492" t="str">
        <f>VLOOKUP(E:E,笔记匹配!A:N,3,FALSE)</f>
        <v>曲美腻腻</v>
      </c>
      <c r="AC492" t="str">
        <f>VLOOKUP(E:E,笔记匹配!A:N,2,FALSE)</f>
        <v>筋膜枪</v>
      </c>
      <c r="AD492" t="str">
        <f>VLOOKUP(E:E,笔记匹配!A:N,4,FALSE)</f>
        <v>云麦智能筋膜枪</v>
      </c>
      <c r="AE492" t="str">
        <f>VLOOKUP(E:E,笔记匹配!A:N,14,FALSE)</f>
        <v>云麦筋膜枪pb2</v>
      </c>
      <c r="AF492" t="str">
        <f>VLOOKUP(E:E,笔记匹配!A:N,6,FALSE)</f>
        <v>学会这3个动作！轻松在家瘦全身！不是梦！简单</v>
      </c>
    </row>
    <row r="493" spans="1:32">
      <c r="A493" s="18" t="s">
        <v>75</v>
      </c>
      <c r="B493" s="18" t="s">
        <v>1135</v>
      </c>
      <c r="C493" s="19">
        <v>17901185</v>
      </c>
      <c r="D493" s="18" t="s">
        <v>209</v>
      </c>
      <c r="E493" s="18" t="s">
        <v>457</v>
      </c>
      <c r="F493" s="18" t="s">
        <v>1136</v>
      </c>
      <c r="G493" s="19">
        <v>3514560</v>
      </c>
      <c r="H493" s="18" t="s">
        <v>1136</v>
      </c>
      <c r="I493" s="19">
        <v>2900401</v>
      </c>
      <c r="J493" s="18" t="s">
        <v>1015</v>
      </c>
      <c r="K493" s="19">
        <v>147.1</v>
      </c>
      <c r="L493" s="19">
        <v>21125</v>
      </c>
      <c r="M493" s="19">
        <v>1497</v>
      </c>
      <c r="N493" s="20">
        <v>0.0709</v>
      </c>
      <c r="O493" s="19">
        <v>0.1</v>
      </c>
      <c r="P493" s="19">
        <v>6.96</v>
      </c>
      <c r="Q493" s="19">
        <v>55</v>
      </c>
      <c r="R493" s="19">
        <v>0</v>
      </c>
      <c r="S493" s="19">
        <v>26</v>
      </c>
      <c r="T493" s="19">
        <v>11</v>
      </c>
      <c r="U493" s="19">
        <v>1</v>
      </c>
      <c r="V493" s="19">
        <v>93</v>
      </c>
      <c r="W493" s="19">
        <v>1.58</v>
      </c>
      <c r="X493" s="19">
        <v>0</v>
      </c>
      <c r="Y493" s="20">
        <v>0</v>
      </c>
      <c r="Z493" s="19">
        <v>2</v>
      </c>
      <c r="AA493" s="19">
        <v>0</v>
      </c>
      <c r="AB493" t="str">
        <f>VLOOKUP(E:E,笔记匹配!A:N,3,FALSE)</f>
        <v>Jeremy 赵</v>
      </c>
      <c r="AC493" t="str">
        <f>VLOOKUP(E:E,笔记匹配!A:N,2,FALSE)</f>
        <v>筋膜枪</v>
      </c>
      <c r="AD493" t="str">
        <f>VLOOKUP(E:E,笔记匹配!A:N,4,FALSE)</f>
        <v>云麦PB2</v>
      </c>
      <c r="AE493" t="str">
        <f>VLOOKUP(E:E,笔记匹配!A:N,14,FALSE)</f>
        <v>云麦筋膜枪pb2</v>
      </c>
      <c r="AF493" t="str">
        <f>VLOOKUP(E:E,笔记匹配!A:N,6,FALSE)</f>
        <v>如何解决难以忍受的肌肉酸痛，筋膜枪帮你！</v>
      </c>
    </row>
    <row r="494" spans="1:32">
      <c r="A494" s="18" t="s">
        <v>75</v>
      </c>
      <c r="B494" s="18" t="s">
        <v>1137</v>
      </c>
      <c r="C494" s="19">
        <v>17974319</v>
      </c>
      <c r="D494" s="18" t="s">
        <v>209</v>
      </c>
      <c r="E494" s="18" t="s">
        <v>542</v>
      </c>
      <c r="F494" s="18" t="s">
        <v>1138</v>
      </c>
      <c r="G494" s="19">
        <v>3544995</v>
      </c>
      <c r="H494" s="18" t="s">
        <v>1139</v>
      </c>
      <c r="I494" s="19">
        <v>2930179</v>
      </c>
      <c r="J494" s="18" t="s">
        <v>1015</v>
      </c>
      <c r="K494" s="19">
        <v>273.91</v>
      </c>
      <c r="L494" s="19">
        <v>47774</v>
      </c>
      <c r="M494" s="19">
        <v>2875</v>
      </c>
      <c r="N494" s="20">
        <v>0.0602</v>
      </c>
      <c r="O494" s="19">
        <v>0.1</v>
      </c>
      <c r="P494" s="19">
        <v>5.73</v>
      </c>
      <c r="Q494" s="19">
        <v>84</v>
      </c>
      <c r="R494" s="19">
        <v>0</v>
      </c>
      <c r="S494" s="19">
        <v>44</v>
      </c>
      <c r="T494" s="19">
        <v>13</v>
      </c>
      <c r="U494" s="19">
        <v>5</v>
      </c>
      <c r="V494" s="19">
        <v>146</v>
      </c>
      <c r="W494" s="19">
        <v>1.88</v>
      </c>
      <c r="X494" s="19">
        <v>0</v>
      </c>
      <c r="Y494" s="20">
        <v>0</v>
      </c>
      <c r="Z494" s="19">
        <v>6</v>
      </c>
      <c r="AA494" s="19">
        <v>1</v>
      </c>
      <c r="AB494" t="str">
        <f>VLOOKUP(E:E,笔记匹配!A:N,3,FALSE)</f>
        <v>小恩哥带你练臀</v>
      </c>
      <c r="AC494" t="str">
        <f>VLOOKUP(E:E,笔记匹配!A:N,2,FALSE)</f>
        <v>筋膜枪</v>
      </c>
      <c r="AD494" t="str">
        <f>VLOOKUP(E:E,笔记匹配!A:N,4,FALSE)</f>
        <v>云麦PB2</v>
      </c>
      <c r="AE494" t="str">
        <f>VLOOKUP(E:E,笔记匹配!A:N,14,FALSE)</f>
        <v>云麦筋膜枪pb2</v>
      </c>
      <c r="AF494" t="str">
        <f>VLOOKUP(E:E,笔记匹配!A:N,6,FALSE)</f>
        <v>翘臀别只练臀，骨盆端正更重要｜筋膜枪放松</v>
      </c>
    </row>
    <row r="495" spans="1:32">
      <c r="A495" s="18" t="s">
        <v>76</v>
      </c>
      <c r="B495" s="18" t="s">
        <v>1129</v>
      </c>
      <c r="C495" s="19">
        <v>17799451</v>
      </c>
      <c r="D495" s="18" t="s">
        <v>209</v>
      </c>
      <c r="E495" s="18" t="s">
        <v>378</v>
      </c>
      <c r="F495" s="18" t="s">
        <v>1130</v>
      </c>
      <c r="G495" s="19">
        <v>3466574</v>
      </c>
      <c r="H495" s="18" t="s">
        <v>1131</v>
      </c>
      <c r="I495" s="19">
        <v>2852359</v>
      </c>
      <c r="J495" s="18" t="s">
        <v>1015</v>
      </c>
      <c r="K495" s="19">
        <v>0</v>
      </c>
      <c r="L495" s="19">
        <v>3</v>
      </c>
      <c r="M495" s="19">
        <v>0</v>
      </c>
      <c r="N495" s="20">
        <v>0</v>
      </c>
      <c r="O495" s="19">
        <v>0</v>
      </c>
      <c r="P495" s="19">
        <v>0</v>
      </c>
      <c r="Q495" s="19">
        <v>0</v>
      </c>
      <c r="R495" s="19">
        <v>0</v>
      </c>
      <c r="S495" s="19">
        <v>0</v>
      </c>
      <c r="T495" s="19">
        <v>0</v>
      </c>
      <c r="U495" s="19">
        <v>0</v>
      </c>
      <c r="V495" s="19">
        <v>0</v>
      </c>
      <c r="W495" s="19">
        <v>0</v>
      </c>
      <c r="X495" s="19">
        <v>0</v>
      </c>
      <c r="Y495" s="20">
        <v>0</v>
      </c>
      <c r="Z495" s="19">
        <v>0</v>
      </c>
      <c r="AA495" s="19">
        <v>0</v>
      </c>
      <c r="AB495" t="str">
        <f>VLOOKUP(E:E,笔记匹配!A:N,3,FALSE)</f>
        <v>曲美腻腻</v>
      </c>
      <c r="AC495" t="str">
        <f>VLOOKUP(E:E,笔记匹配!A:N,2,FALSE)</f>
        <v>筋膜枪</v>
      </c>
      <c r="AD495" t="str">
        <f>VLOOKUP(E:E,笔记匹配!A:N,4,FALSE)</f>
        <v>云麦智能筋膜枪</v>
      </c>
      <c r="AE495" t="str">
        <f>VLOOKUP(E:E,笔记匹配!A:N,14,FALSE)</f>
        <v>云麦筋膜枪pb2</v>
      </c>
      <c r="AF495" t="str">
        <f>VLOOKUP(E:E,笔记匹配!A:N,6,FALSE)</f>
        <v>学会这3个动作！轻松在家瘦全身！不是梦！简单</v>
      </c>
    </row>
    <row r="496" spans="1:32">
      <c r="A496" s="18" t="s">
        <v>76</v>
      </c>
      <c r="B496" s="18" t="s">
        <v>1132</v>
      </c>
      <c r="C496" s="19">
        <v>17858272</v>
      </c>
      <c r="D496" s="18" t="s">
        <v>209</v>
      </c>
      <c r="E496" s="18" t="s">
        <v>464</v>
      </c>
      <c r="F496" s="18" t="s">
        <v>1133</v>
      </c>
      <c r="G496" s="19">
        <v>3493737</v>
      </c>
      <c r="H496" s="18" t="s">
        <v>1134</v>
      </c>
      <c r="I496" s="19">
        <v>2879595</v>
      </c>
      <c r="J496" s="18" t="s">
        <v>1015</v>
      </c>
      <c r="K496" s="19">
        <v>11.8</v>
      </c>
      <c r="L496" s="19">
        <v>526</v>
      </c>
      <c r="M496" s="19">
        <v>27</v>
      </c>
      <c r="N496" s="20">
        <v>0.0513</v>
      </c>
      <c r="O496" s="19">
        <v>0.44</v>
      </c>
      <c r="P496" s="19">
        <v>22.43</v>
      </c>
      <c r="Q496" s="19">
        <v>0</v>
      </c>
      <c r="R496" s="19">
        <v>0</v>
      </c>
      <c r="S496" s="19">
        <v>0</v>
      </c>
      <c r="T496" s="19">
        <v>0</v>
      </c>
      <c r="U496" s="19">
        <v>0</v>
      </c>
      <c r="V496" s="19">
        <v>0</v>
      </c>
      <c r="W496" s="19">
        <v>0</v>
      </c>
      <c r="X496" s="19">
        <v>0</v>
      </c>
      <c r="Y496" s="20">
        <v>0</v>
      </c>
      <c r="Z496" s="19">
        <v>0</v>
      </c>
      <c r="AA496" s="19">
        <v>0</v>
      </c>
      <c r="AB496" t="str">
        <f>VLOOKUP(E:E,笔记匹配!A:N,3,FALSE)</f>
        <v>阿煜</v>
      </c>
      <c r="AC496" t="str">
        <f>VLOOKUP(E:E,笔记匹配!A:N,2,FALSE)</f>
        <v>筋膜枪</v>
      </c>
      <c r="AD496" t="str">
        <f>VLOOKUP(E:E,笔记匹配!A:N,4,FALSE)</f>
        <v>云麦智能筋膜枪PB2</v>
      </c>
      <c r="AE496" t="str">
        <f>VLOOKUP(E:E,笔记匹配!A:N,14,FALSE)</f>
        <v>云麦筋膜枪pb2</v>
      </c>
      <c r="AF496" t="str">
        <f>VLOOKUP(E:E,笔记匹配!A:N,6,FALSE)</f>
        <v>📱手机控制筋膜枪？云麦智能筋膜枪PB2测评</v>
      </c>
    </row>
    <row r="497" spans="1:32">
      <c r="A497" s="18" t="s">
        <v>76</v>
      </c>
      <c r="B497" s="18" t="s">
        <v>1135</v>
      </c>
      <c r="C497" s="19">
        <v>17901185</v>
      </c>
      <c r="D497" s="18" t="s">
        <v>209</v>
      </c>
      <c r="E497" s="18" t="s">
        <v>457</v>
      </c>
      <c r="F497" s="18" t="s">
        <v>1136</v>
      </c>
      <c r="G497" s="19">
        <v>3514560</v>
      </c>
      <c r="H497" s="18" t="s">
        <v>1136</v>
      </c>
      <c r="I497" s="19">
        <v>2900401</v>
      </c>
      <c r="J497" s="18" t="s">
        <v>1015</v>
      </c>
      <c r="K497" s="19">
        <v>150.28</v>
      </c>
      <c r="L497" s="19">
        <v>15733</v>
      </c>
      <c r="M497" s="19">
        <v>1126</v>
      </c>
      <c r="N497" s="20">
        <v>0.0716</v>
      </c>
      <c r="O497" s="19">
        <v>0.13</v>
      </c>
      <c r="P497" s="19">
        <v>9.55</v>
      </c>
      <c r="Q497" s="19">
        <v>40</v>
      </c>
      <c r="R497" s="19">
        <v>0</v>
      </c>
      <c r="S497" s="19">
        <v>18</v>
      </c>
      <c r="T497" s="19">
        <v>4</v>
      </c>
      <c r="U497" s="19">
        <v>3</v>
      </c>
      <c r="V497" s="19">
        <v>65</v>
      </c>
      <c r="W497" s="19">
        <v>2.31</v>
      </c>
      <c r="X497" s="19">
        <v>0</v>
      </c>
      <c r="Y497" s="20">
        <v>0</v>
      </c>
      <c r="Z497" s="19">
        <v>1</v>
      </c>
      <c r="AA497" s="19">
        <v>0</v>
      </c>
      <c r="AB497" t="str">
        <f>VLOOKUP(E:E,笔记匹配!A:N,3,FALSE)</f>
        <v>Jeremy 赵</v>
      </c>
      <c r="AC497" t="str">
        <f>VLOOKUP(E:E,笔记匹配!A:N,2,FALSE)</f>
        <v>筋膜枪</v>
      </c>
      <c r="AD497" t="str">
        <f>VLOOKUP(E:E,笔记匹配!A:N,4,FALSE)</f>
        <v>云麦PB2</v>
      </c>
      <c r="AE497" t="str">
        <f>VLOOKUP(E:E,笔记匹配!A:N,14,FALSE)</f>
        <v>云麦筋膜枪pb2</v>
      </c>
      <c r="AF497" t="str">
        <f>VLOOKUP(E:E,笔记匹配!A:N,6,FALSE)</f>
        <v>如何解决难以忍受的肌肉酸痛，筋膜枪帮你！</v>
      </c>
    </row>
    <row r="498" spans="1:32">
      <c r="A498" s="18" t="s">
        <v>76</v>
      </c>
      <c r="B498" s="18" t="s">
        <v>1137</v>
      </c>
      <c r="C498" s="19">
        <v>17974319</v>
      </c>
      <c r="D498" s="18" t="s">
        <v>209</v>
      </c>
      <c r="E498" s="18" t="s">
        <v>542</v>
      </c>
      <c r="F498" s="18" t="s">
        <v>1138</v>
      </c>
      <c r="G498" s="19">
        <v>3544995</v>
      </c>
      <c r="H498" s="18" t="s">
        <v>1139</v>
      </c>
      <c r="I498" s="19">
        <v>2930179</v>
      </c>
      <c r="J498" s="18" t="s">
        <v>1015</v>
      </c>
      <c r="K498" s="19">
        <v>81.33</v>
      </c>
      <c r="L498" s="19">
        <v>12016</v>
      </c>
      <c r="M498" s="19">
        <v>925</v>
      </c>
      <c r="N498" s="20">
        <v>0.077</v>
      </c>
      <c r="O498" s="19">
        <v>0.09</v>
      </c>
      <c r="P498" s="19">
        <v>6.77</v>
      </c>
      <c r="Q498" s="19">
        <v>27</v>
      </c>
      <c r="R498" s="19">
        <v>0</v>
      </c>
      <c r="S498" s="19">
        <v>17</v>
      </c>
      <c r="T498" s="19">
        <v>4</v>
      </c>
      <c r="U498" s="19">
        <v>0</v>
      </c>
      <c r="V498" s="19">
        <v>48</v>
      </c>
      <c r="W498" s="19">
        <v>1.69</v>
      </c>
      <c r="X498" s="19">
        <v>0</v>
      </c>
      <c r="Y498" s="20">
        <v>0</v>
      </c>
      <c r="Z498" s="19">
        <v>0</v>
      </c>
      <c r="AA498" s="19">
        <v>1</v>
      </c>
      <c r="AB498" t="str">
        <f>VLOOKUP(E:E,笔记匹配!A:N,3,FALSE)</f>
        <v>小恩哥带你练臀</v>
      </c>
      <c r="AC498" t="str">
        <f>VLOOKUP(E:E,笔记匹配!A:N,2,FALSE)</f>
        <v>筋膜枪</v>
      </c>
      <c r="AD498" t="str">
        <f>VLOOKUP(E:E,笔记匹配!A:N,4,FALSE)</f>
        <v>云麦PB2</v>
      </c>
      <c r="AE498" t="str">
        <f>VLOOKUP(E:E,笔记匹配!A:N,14,FALSE)</f>
        <v>云麦筋膜枪pb2</v>
      </c>
      <c r="AF498" t="str">
        <f>VLOOKUP(E:E,笔记匹配!A:N,6,FALSE)</f>
        <v>翘臀别只练臀，骨盆端正更重要｜筋膜枪放松</v>
      </c>
    </row>
    <row r="499" spans="1:32">
      <c r="A499" s="18" t="s">
        <v>76</v>
      </c>
      <c r="B499" s="18" t="s">
        <v>1140</v>
      </c>
      <c r="C499" s="19">
        <v>18043262</v>
      </c>
      <c r="D499" s="18" t="s">
        <v>196</v>
      </c>
      <c r="E499" s="18" t="s">
        <v>312</v>
      </c>
      <c r="F499" s="18" t="s">
        <v>1141</v>
      </c>
      <c r="G499" s="19">
        <v>3580052</v>
      </c>
      <c r="H499" s="18" t="s">
        <v>1141</v>
      </c>
      <c r="I499" s="19">
        <v>2965300</v>
      </c>
      <c r="J499" s="18" t="s">
        <v>1015</v>
      </c>
      <c r="K499" s="19">
        <v>0</v>
      </c>
      <c r="L499" s="19">
        <v>35</v>
      </c>
      <c r="M499" s="19">
        <v>0</v>
      </c>
      <c r="N499" s="20">
        <v>0</v>
      </c>
      <c r="O499" s="19">
        <v>0</v>
      </c>
      <c r="P499" s="19">
        <v>0</v>
      </c>
      <c r="Q499" s="19">
        <v>0</v>
      </c>
      <c r="R499" s="19">
        <v>0</v>
      </c>
      <c r="S499" s="19">
        <v>0</v>
      </c>
      <c r="T499" s="19">
        <v>0</v>
      </c>
      <c r="U499" s="19">
        <v>0</v>
      </c>
      <c r="V499" s="19">
        <v>0</v>
      </c>
      <c r="W499" s="19">
        <v>0</v>
      </c>
      <c r="X499" s="19">
        <v>0</v>
      </c>
      <c r="Y499" s="20">
        <v>0</v>
      </c>
      <c r="Z499" s="19">
        <v>0</v>
      </c>
      <c r="AA499" s="19">
        <v>0</v>
      </c>
      <c r="AB499" t="str">
        <f>VLOOKUP(E:E,笔记匹配!A:N,3,FALSE)</f>
        <v>郝有金</v>
      </c>
      <c r="AC499" t="str">
        <f>VLOOKUP(E:E,笔记匹配!A:N,2,FALSE)</f>
        <v>筋膜枪</v>
      </c>
      <c r="AD499" t="str">
        <f>VLOOKUP(E:E,笔记匹配!A:N,4,FALSE)</f>
        <v>云麦cc筋膜枪</v>
      </c>
      <c r="AE499" t="str">
        <f>VLOOKUP(E:E,笔记匹配!A:N,14,FALSE)</f>
        <v>云麦筋膜枪cc</v>
      </c>
      <c r="AF499" t="str">
        <f>VLOOKUP(E:E,笔记匹配!A:N,6,FALSE)</f>
        <v>别用错❗️筋膜枪正确使用方法，不同肌肉部位放松大全</v>
      </c>
    </row>
    <row r="500" spans="1:32">
      <c r="A500" s="18" t="s">
        <v>76</v>
      </c>
      <c r="B500" s="18" t="s">
        <v>1140</v>
      </c>
      <c r="C500" s="19">
        <v>18043311</v>
      </c>
      <c r="D500" s="18" t="s">
        <v>196</v>
      </c>
      <c r="E500" s="18" t="s">
        <v>549</v>
      </c>
      <c r="F500" s="18" t="s">
        <v>1142</v>
      </c>
      <c r="G500" s="19">
        <v>3580060</v>
      </c>
      <c r="H500" s="18" t="s">
        <v>1143</v>
      </c>
      <c r="I500" s="19">
        <v>2965320</v>
      </c>
      <c r="J500" s="18" t="s">
        <v>1015</v>
      </c>
      <c r="K500" s="19">
        <v>16.67</v>
      </c>
      <c r="L500" s="19">
        <v>579</v>
      </c>
      <c r="M500" s="19">
        <v>37</v>
      </c>
      <c r="N500" s="20">
        <v>0.0639</v>
      </c>
      <c r="O500" s="19">
        <v>0.45</v>
      </c>
      <c r="P500" s="19">
        <v>28.79</v>
      </c>
      <c r="Q500" s="19">
        <v>2</v>
      </c>
      <c r="R500" s="19">
        <v>0</v>
      </c>
      <c r="S500" s="19">
        <v>0</v>
      </c>
      <c r="T500" s="19">
        <v>0</v>
      </c>
      <c r="U500" s="19">
        <v>0</v>
      </c>
      <c r="V500" s="19">
        <v>2</v>
      </c>
      <c r="W500" s="19">
        <v>8.34</v>
      </c>
      <c r="X500" s="19">
        <v>0</v>
      </c>
      <c r="Y500" s="20">
        <v>0</v>
      </c>
      <c r="Z500" s="19">
        <v>0</v>
      </c>
      <c r="AA500" s="19">
        <v>0</v>
      </c>
      <c r="AB500" t="str">
        <f>VLOOKUP(E:E,笔记匹配!A:N,3,FALSE)</f>
        <v>爽姐腿特长</v>
      </c>
      <c r="AC500" t="str">
        <f>VLOOKUP(E:E,笔记匹配!A:N,2,FALSE)</f>
        <v>筋膜枪</v>
      </c>
      <c r="AD500" t="str">
        <f>VLOOKUP(E:E,笔记匹配!A:N,4,FALSE)</f>
        <v>云麦筋膜枪cc</v>
      </c>
      <c r="AE500" t="str">
        <f>VLOOKUP(E:E,笔记匹配!A:N,14,FALSE)</f>
        <v>云麦筋膜枪cc</v>
      </c>
      <c r="AF500" t="str">
        <f>VLOOKUP(E:E,笔记匹配!A:N,6,FALSE)</f>
        <v>筋膜枪有效放松|顽固肌肉腿有救了🦵</v>
      </c>
    </row>
    <row r="501" spans="1:32">
      <c r="A501" s="18" t="s">
        <v>76</v>
      </c>
      <c r="B501" s="18" t="s">
        <v>1144</v>
      </c>
      <c r="C501" s="19">
        <v>18043343</v>
      </c>
      <c r="D501" s="18" t="s">
        <v>196</v>
      </c>
      <c r="E501" s="18" t="s">
        <v>312</v>
      </c>
      <c r="F501" s="18" t="s">
        <v>1145</v>
      </c>
      <c r="G501" s="19">
        <v>3580099</v>
      </c>
      <c r="H501" s="18" t="s">
        <v>1146</v>
      </c>
      <c r="I501" s="19">
        <v>2965351</v>
      </c>
      <c r="J501" s="18" t="s">
        <v>1015</v>
      </c>
      <c r="K501" s="19">
        <v>15.9</v>
      </c>
      <c r="L501" s="19">
        <v>816</v>
      </c>
      <c r="M501" s="19">
        <v>28</v>
      </c>
      <c r="N501" s="20">
        <v>0.0343</v>
      </c>
      <c r="O501" s="19">
        <v>0.57</v>
      </c>
      <c r="P501" s="19">
        <v>19.49</v>
      </c>
      <c r="Q501" s="19">
        <v>1</v>
      </c>
      <c r="R501" s="19">
        <v>0</v>
      </c>
      <c r="S501" s="19">
        <v>0</v>
      </c>
      <c r="T501" s="19">
        <v>0</v>
      </c>
      <c r="U501" s="19">
        <v>0</v>
      </c>
      <c r="V501" s="19">
        <v>1</v>
      </c>
      <c r="W501" s="19">
        <v>15.9</v>
      </c>
      <c r="X501" s="19">
        <v>0</v>
      </c>
      <c r="Y501" s="20">
        <v>0</v>
      </c>
      <c r="Z501" s="19">
        <v>0</v>
      </c>
      <c r="AA501" s="19">
        <v>0</v>
      </c>
      <c r="AB501" t="str">
        <f>VLOOKUP(E:E,笔记匹配!A:N,3,FALSE)</f>
        <v>郝有金</v>
      </c>
      <c r="AC501" t="str">
        <f>VLOOKUP(E:E,笔记匹配!A:N,2,FALSE)</f>
        <v>筋膜枪</v>
      </c>
      <c r="AD501" t="str">
        <f>VLOOKUP(E:E,笔记匹配!A:N,4,FALSE)</f>
        <v>云麦cc筋膜枪</v>
      </c>
      <c r="AE501" t="str">
        <f>VLOOKUP(E:E,笔记匹配!A:N,14,FALSE)</f>
        <v>云麦筋膜枪cc</v>
      </c>
      <c r="AF501" t="str">
        <f>VLOOKUP(E:E,笔记匹配!A:N,6,FALSE)</f>
        <v>别用错❗️筋膜枪正确使用方法，不同肌肉部位放松大全</v>
      </c>
    </row>
    <row r="502" spans="1:32">
      <c r="A502" s="18" t="s">
        <v>76</v>
      </c>
      <c r="B502" s="18" t="s">
        <v>1147</v>
      </c>
      <c r="C502" s="19">
        <v>18043411</v>
      </c>
      <c r="D502" s="18" t="s">
        <v>196</v>
      </c>
      <c r="E502" s="18" t="s">
        <v>549</v>
      </c>
      <c r="F502" s="18" t="s">
        <v>1148</v>
      </c>
      <c r="G502" s="19">
        <v>3580132</v>
      </c>
      <c r="H502" s="18" t="s">
        <v>1149</v>
      </c>
      <c r="I502" s="19">
        <v>2965381</v>
      </c>
      <c r="J502" s="18" t="s">
        <v>1015</v>
      </c>
      <c r="K502" s="19">
        <v>315.37</v>
      </c>
      <c r="L502" s="19">
        <v>14223</v>
      </c>
      <c r="M502" s="19">
        <v>545</v>
      </c>
      <c r="N502" s="20">
        <v>0.0383</v>
      </c>
      <c r="O502" s="19">
        <v>0.58</v>
      </c>
      <c r="P502" s="19">
        <v>22.17</v>
      </c>
      <c r="Q502" s="19">
        <v>16</v>
      </c>
      <c r="R502" s="19">
        <v>0</v>
      </c>
      <c r="S502" s="19">
        <v>8</v>
      </c>
      <c r="T502" s="19">
        <v>1</v>
      </c>
      <c r="U502" s="19">
        <v>0</v>
      </c>
      <c r="V502" s="19">
        <v>25</v>
      </c>
      <c r="W502" s="19">
        <v>12.61</v>
      </c>
      <c r="X502" s="19">
        <v>0</v>
      </c>
      <c r="Y502" s="20">
        <v>0</v>
      </c>
      <c r="Z502" s="19">
        <v>4</v>
      </c>
      <c r="AA502" s="19">
        <v>0</v>
      </c>
      <c r="AB502" t="str">
        <f>VLOOKUP(E:E,笔记匹配!A:N,3,FALSE)</f>
        <v>爽姐腿特长</v>
      </c>
      <c r="AC502" t="str">
        <f>VLOOKUP(E:E,笔记匹配!A:N,2,FALSE)</f>
        <v>筋膜枪</v>
      </c>
      <c r="AD502" t="str">
        <f>VLOOKUP(E:E,笔记匹配!A:N,4,FALSE)</f>
        <v>云麦筋膜枪cc</v>
      </c>
      <c r="AE502" t="str">
        <f>VLOOKUP(E:E,笔记匹配!A:N,14,FALSE)</f>
        <v>云麦筋膜枪cc</v>
      </c>
      <c r="AF502" t="str">
        <f>VLOOKUP(E:E,笔记匹配!A:N,6,FALSE)</f>
        <v>筋膜枪有效放松|顽固肌肉腿有救了🦵</v>
      </c>
    </row>
    <row r="503" spans="1:32">
      <c r="A503" s="18" t="s">
        <v>76</v>
      </c>
      <c r="B503" s="18" t="s">
        <v>1150</v>
      </c>
      <c r="C503" s="19">
        <v>18043601</v>
      </c>
      <c r="D503" s="18" t="s">
        <v>196</v>
      </c>
      <c r="E503" s="18" t="s">
        <v>549</v>
      </c>
      <c r="F503" s="18" t="s">
        <v>1151</v>
      </c>
      <c r="G503" s="19">
        <v>3580226</v>
      </c>
      <c r="H503" s="18" t="s">
        <v>1152</v>
      </c>
      <c r="I503" s="19">
        <v>2965480</v>
      </c>
      <c r="J503" s="18" t="s">
        <v>1015</v>
      </c>
      <c r="K503" s="19">
        <v>9.14</v>
      </c>
      <c r="L503" s="19">
        <v>591</v>
      </c>
      <c r="M503" s="19">
        <v>20</v>
      </c>
      <c r="N503" s="20">
        <v>0.0338</v>
      </c>
      <c r="O503" s="19">
        <v>0.46</v>
      </c>
      <c r="P503" s="19">
        <v>15.47</v>
      </c>
      <c r="Q503" s="19">
        <v>0</v>
      </c>
      <c r="R503" s="19">
        <v>0</v>
      </c>
      <c r="S503" s="19">
        <v>0</v>
      </c>
      <c r="T503" s="19">
        <v>0</v>
      </c>
      <c r="U503" s="19">
        <v>0</v>
      </c>
      <c r="V503" s="19">
        <v>0</v>
      </c>
      <c r="W503" s="19">
        <v>0</v>
      </c>
      <c r="X503" s="19">
        <v>0</v>
      </c>
      <c r="Y503" s="20">
        <v>0</v>
      </c>
      <c r="Z503" s="19">
        <v>0</v>
      </c>
      <c r="AA503" s="19">
        <v>0</v>
      </c>
      <c r="AB503" t="str">
        <f>VLOOKUP(E:E,笔记匹配!A:N,3,FALSE)</f>
        <v>爽姐腿特长</v>
      </c>
      <c r="AC503" t="str">
        <f>VLOOKUP(E:E,笔记匹配!A:N,2,FALSE)</f>
        <v>筋膜枪</v>
      </c>
      <c r="AD503" t="str">
        <f>VLOOKUP(E:E,笔记匹配!A:N,4,FALSE)</f>
        <v>云麦筋膜枪cc</v>
      </c>
      <c r="AE503" t="str">
        <f>VLOOKUP(E:E,笔记匹配!A:N,14,FALSE)</f>
        <v>云麦筋膜枪cc</v>
      </c>
      <c r="AF503" t="str">
        <f>VLOOKUP(E:E,笔记匹配!A:N,6,FALSE)</f>
        <v>筋膜枪有效放松|顽固肌肉腿有救了🦵</v>
      </c>
    </row>
    <row r="504" spans="1:32">
      <c r="A504" s="18" t="s">
        <v>76</v>
      </c>
      <c r="B504" s="18" t="s">
        <v>1140</v>
      </c>
      <c r="C504" s="19">
        <v>18043872</v>
      </c>
      <c r="D504" s="18" t="s">
        <v>196</v>
      </c>
      <c r="E504" s="18" t="s">
        <v>234</v>
      </c>
      <c r="F504" s="18" t="s">
        <v>1153</v>
      </c>
      <c r="G504" s="19">
        <v>3580327</v>
      </c>
      <c r="H504" s="18" t="s">
        <v>1154</v>
      </c>
      <c r="I504" s="19">
        <v>2965570</v>
      </c>
      <c r="J504" s="18" t="s">
        <v>1015</v>
      </c>
      <c r="K504" s="19">
        <v>3.4</v>
      </c>
      <c r="L504" s="19">
        <v>322</v>
      </c>
      <c r="M504" s="19">
        <v>7</v>
      </c>
      <c r="N504" s="20">
        <v>0.0217</v>
      </c>
      <c r="O504" s="19">
        <v>0.49</v>
      </c>
      <c r="P504" s="19">
        <v>10.56</v>
      </c>
      <c r="Q504" s="19">
        <v>0</v>
      </c>
      <c r="R504" s="19">
        <v>0</v>
      </c>
      <c r="S504" s="19">
        <v>0</v>
      </c>
      <c r="T504" s="19">
        <v>0</v>
      </c>
      <c r="U504" s="19">
        <v>0</v>
      </c>
      <c r="V504" s="19">
        <v>0</v>
      </c>
      <c r="W504" s="19">
        <v>0</v>
      </c>
      <c r="X504" s="19">
        <v>0</v>
      </c>
      <c r="Y504" s="20">
        <v>0</v>
      </c>
      <c r="Z504" s="19">
        <v>0</v>
      </c>
      <c r="AA504" s="19">
        <v>0</v>
      </c>
      <c r="AB504" t="str">
        <f>VLOOKUP(E:E,笔记匹配!A:N,3,FALSE)</f>
        <v>pp</v>
      </c>
      <c r="AC504" t="str">
        <f>VLOOKUP(E:E,笔记匹配!A:N,2,FALSE)</f>
        <v>体脂秤</v>
      </c>
      <c r="AD504" t="str">
        <f>VLOOKUP(E:E,笔记匹配!A:N,4,FALSE)</f>
        <v>云麦体脂秤3mini</v>
      </c>
      <c r="AE504" t="str">
        <f>VLOOKUP(E:E,笔记匹配!A:N,14,FALSE)</f>
        <v>云麦体脂秤3mini</v>
      </c>
      <c r="AF504" t="str">
        <f>VLOOKUP(E:E,笔记匹配!A:N,6,FALSE)</f>
        <v>110到88 一些减肥小建议｜如何正确运动</v>
      </c>
    </row>
    <row r="505" spans="1:32">
      <c r="A505" s="18" t="s">
        <v>76</v>
      </c>
      <c r="B505" s="18" t="s">
        <v>1155</v>
      </c>
      <c r="C505" s="19">
        <v>18044011</v>
      </c>
      <c r="D505" s="18" t="s">
        <v>196</v>
      </c>
      <c r="E505" s="18" t="s">
        <v>234</v>
      </c>
      <c r="F505" s="18" t="s">
        <v>1156</v>
      </c>
      <c r="G505" s="19">
        <v>3580433</v>
      </c>
      <c r="H505" s="18" t="s">
        <v>1157</v>
      </c>
      <c r="I505" s="19">
        <v>2965681</v>
      </c>
      <c r="J505" s="18" t="s">
        <v>1015</v>
      </c>
      <c r="K505" s="19">
        <v>36.09</v>
      </c>
      <c r="L505" s="19">
        <v>1117</v>
      </c>
      <c r="M505" s="19">
        <v>76</v>
      </c>
      <c r="N505" s="20">
        <v>0.068</v>
      </c>
      <c r="O505" s="19">
        <v>0.47</v>
      </c>
      <c r="P505" s="19">
        <v>32.31</v>
      </c>
      <c r="Q505" s="19">
        <v>2</v>
      </c>
      <c r="R505" s="19">
        <v>0</v>
      </c>
      <c r="S505" s="19">
        <v>0</v>
      </c>
      <c r="T505" s="19">
        <v>0</v>
      </c>
      <c r="U505" s="19">
        <v>0</v>
      </c>
      <c r="V505" s="19">
        <v>2</v>
      </c>
      <c r="W505" s="19">
        <v>18.05</v>
      </c>
      <c r="X505" s="19">
        <v>0</v>
      </c>
      <c r="Y505" s="20">
        <v>0</v>
      </c>
      <c r="Z505" s="19">
        <v>0</v>
      </c>
      <c r="AA505" s="19">
        <v>0</v>
      </c>
      <c r="AB505" t="str">
        <f>VLOOKUP(E:E,笔记匹配!A:N,3,FALSE)</f>
        <v>pp</v>
      </c>
      <c r="AC505" t="str">
        <f>VLOOKUP(E:E,笔记匹配!A:N,2,FALSE)</f>
        <v>体脂秤</v>
      </c>
      <c r="AD505" t="str">
        <f>VLOOKUP(E:E,笔记匹配!A:N,4,FALSE)</f>
        <v>云麦体脂秤3mini</v>
      </c>
      <c r="AE505" t="str">
        <f>VLOOKUP(E:E,笔记匹配!A:N,14,FALSE)</f>
        <v>云麦体脂秤3mini</v>
      </c>
      <c r="AF505" t="str">
        <f>VLOOKUP(E:E,笔记匹配!A:N,6,FALSE)</f>
        <v>110到88 一些减肥小建议｜如何正确运动</v>
      </c>
    </row>
    <row r="506" spans="1:32">
      <c r="A506" s="18" t="s">
        <v>76</v>
      </c>
      <c r="B506" s="18" t="s">
        <v>1158</v>
      </c>
      <c r="C506" s="19">
        <v>18044115</v>
      </c>
      <c r="D506" s="18" t="s">
        <v>196</v>
      </c>
      <c r="E506" s="18" t="s">
        <v>234</v>
      </c>
      <c r="F506" s="18" t="s">
        <v>1159</v>
      </c>
      <c r="G506" s="19">
        <v>3580480</v>
      </c>
      <c r="H506" s="18" t="s">
        <v>1160</v>
      </c>
      <c r="I506" s="19">
        <v>2965724</v>
      </c>
      <c r="J506" s="18" t="s">
        <v>1015</v>
      </c>
      <c r="K506" s="19">
        <v>2.8</v>
      </c>
      <c r="L506" s="19">
        <v>211</v>
      </c>
      <c r="M506" s="19">
        <v>8</v>
      </c>
      <c r="N506" s="20">
        <v>0.0379</v>
      </c>
      <c r="O506" s="19">
        <v>0.35</v>
      </c>
      <c r="P506" s="19">
        <v>13.27</v>
      </c>
      <c r="Q506" s="19">
        <v>0</v>
      </c>
      <c r="R506" s="19">
        <v>0</v>
      </c>
      <c r="S506" s="19">
        <v>0</v>
      </c>
      <c r="T506" s="19">
        <v>0</v>
      </c>
      <c r="U506" s="19">
        <v>0</v>
      </c>
      <c r="V506" s="19">
        <v>0</v>
      </c>
      <c r="W506" s="19">
        <v>0</v>
      </c>
      <c r="X506" s="19">
        <v>0</v>
      </c>
      <c r="Y506" s="20">
        <v>0</v>
      </c>
      <c r="Z506" s="19">
        <v>0</v>
      </c>
      <c r="AA506" s="19">
        <v>0</v>
      </c>
      <c r="AB506" t="str">
        <f>VLOOKUP(E:E,笔记匹配!A:N,3,FALSE)</f>
        <v>pp</v>
      </c>
      <c r="AC506" t="str">
        <f>VLOOKUP(E:E,笔记匹配!A:N,2,FALSE)</f>
        <v>体脂秤</v>
      </c>
      <c r="AD506" t="str">
        <f>VLOOKUP(E:E,笔记匹配!A:N,4,FALSE)</f>
        <v>云麦体脂秤3mini</v>
      </c>
      <c r="AE506" t="str">
        <f>VLOOKUP(E:E,笔记匹配!A:N,14,FALSE)</f>
        <v>云麦体脂秤3mini</v>
      </c>
      <c r="AF506" t="str">
        <f>VLOOKUP(E:E,笔记匹配!A:N,6,FALSE)</f>
        <v>110到88 一些减肥小建议｜如何正确运动</v>
      </c>
    </row>
    <row r="507" spans="1:32">
      <c r="A507" s="18" t="s">
        <v>77</v>
      </c>
      <c r="B507" s="18" t="s">
        <v>1129</v>
      </c>
      <c r="C507" s="19">
        <v>17799451</v>
      </c>
      <c r="D507" s="18" t="s">
        <v>209</v>
      </c>
      <c r="E507" s="18" t="s">
        <v>378</v>
      </c>
      <c r="F507" s="18" t="s">
        <v>1130</v>
      </c>
      <c r="G507" s="19">
        <v>3466574</v>
      </c>
      <c r="H507" s="18" t="s">
        <v>1131</v>
      </c>
      <c r="I507" s="19">
        <v>2852359</v>
      </c>
      <c r="J507" s="18" t="s">
        <v>1015</v>
      </c>
      <c r="K507" s="19">
        <v>0</v>
      </c>
      <c r="L507" s="19">
        <v>0</v>
      </c>
      <c r="M507" s="19">
        <v>0</v>
      </c>
      <c r="N507" s="20">
        <v>0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  <c r="T507" s="19">
        <v>0</v>
      </c>
      <c r="U507" s="19">
        <v>0</v>
      </c>
      <c r="V507" s="19">
        <v>0</v>
      </c>
      <c r="W507" s="19">
        <v>0</v>
      </c>
      <c r="X507" s="19">
        <v>0</v>
      </c>
      <c r="Y507" s="20">
        <v>0</v>
      </c>
      <c r="Z507" s="19">
        <v>0</v>
      </c>
      <c r="AA507" s="19">
        <v>0</v>
      </c>
      <c r="AB507" t="str">
        <f>VLOOKUP(E:E,笔记匹配!A:N,3,FALSE)</f>
        <v>曲美腻腻</v>
      </c>
      <c r="AC507" t="str">
        <f>VLOOKUP(E:E,笔记匹配!A:N,2,FALSE)</f>
        <v>筋膜枪</v>
      </c>
      <c r="AD507" t="str">
        <f>VLOOKUP(E:E,笔记匹配!A:N,4,FALSE)</f>
        <v>云麦智能筋膜枪</v>
      </c>
      <c r="AE507" t="str">
        <f>VLOOKUP(E:E,笔记匹配!A:N,14,FALSE)</f>
        <v>云麦筋膜枪pb2</v>
      </c>
      <c r="AF507" t="str">
        <f>VLOOKUP(E:E,笔记匹配!A:N,6,FALSE)</f>
        <v>学会这3个动作！轻松在家瘦全身！不是梦！简单</v>
      </c>
    </row>
    <row r="508" spans="1:32">
      <c r="A508" s="18" t="s">
        <v>77</v>
      </c>
      <c r="B508" s="18" t="s">
        <v>1132</v>
      </c>
      <c r="C508" s="19">
        <v>17858272</v>
      </c>
      <c r="D508" s="18" t="s">
        <v>209</v>
      </c>
      <c r="E508" s="18" t="s">
        <v>464</v>
      </c>
      <c r="F508" s="18" t="s">
        <v>1133</v>
      </c>
      <c r="G508" s="19">
        <v>3493737</v>
      </c>
      <c r="H508" s="18" t="s">
        <v>1134</v>
      </c>
      <c r="I508" s="19">
        <v>2879595</v>
      </c>
      <c r="J508" s="18" t="s">
        <v>1015</v>
      </c>
      <c r="K508" s="19">
        <v>50.76</v>
      </c>
      <c r="L508" s="19">
        <v>1911</v>
      </c>
      <c r="M508" s="19">
        <v>93</v>
      </c>
      <c r="N508" s="20">
        <v>0.0487</v>
      </c>
      <c r="O508" s="19">
        <v>0.55</v>
      </c>
      <c r="P508" s="19">
        <v>26.56</v>
      </c>
      <c r="Q508" s="19">
        <v>4</v>
      </c>
      <c r="R508" s="19">
        <v>0</v>
      </c>
      <c r="S508" s="19">
        <v>0</v>
      </c>
      <c r="T508" s="19">
        <v>0</v>
      </c>
      <c r="U508" s="19">
        <v>0</v>
      </c>
      <c r="V508" s="19">
        <v>4</v>
      </c>
      <c r="W508" s="19">
        <v>12.69</v>
      </c>
      <c r="X508" s="19">
        <v>0</v>
      </c>
      <c r="Y508" s="20">
        <v>0</v>
      </c>
      <c r="Z508" s="19">
        <v>0</v>
      </c>
      <c r="AA508" s="19">
        <v>0</v>
      </c>
      <c r="AB508" t="str">
        <f>VLOOKUP(E:E,笔记匹配!A:N,3,FALSE)</f>
        <v>阿煜</v>
      </c>
      <c r="AC508" t="str">
        <f>VLOOKUP(E:E,笔记匹配!A:N,2,FALSE)</f>
        <v>筋膜枪</v>
      </c>
      <c r="AD508" t="str">
        <f>VLOOKUP(E:E,笔记匹配!A:N,4,FALSE)</f>
        <v>云麦智能筋膜枪PB2</v>
      </c>
      <c r="AE508" t="str">
        <f>VLOOKUP(E:E,笔记匹配!A:N,14,FALSE)</f>
        <v>云麦筋膜枪pb2</v>
      </c>
      <c r="AF508" t="str">
        <f>VLOOKUP(E:E,笔记匹配!A:N,6,FALSE)</f>
        <v>📱手机控制筋膜枪？云麦智能筋膜枪PB2测评</v>
      </c>
    </row>
    <row r="509" spans="1:32">
      <c r="A509" s="18" t="s">
        <v>77</v>
      </c>
      <c r="B509" s="18" t="s">
        <v>1135</v>
      </c>
      <c r="C509" s="19">
        <v>17901185</v>
      </c>
      <c r="D509" s="18" t="s">
        <v>209</v>
      </c>
      <c r="E509" s="18" t="s">
        <v>457</v>
      </c>
      <c r="F509" s="18" t="s">
        <v>1136</v>
      </c>
      <c r="G509" s="19">
        <v>3514560</v>
      </c>
      <c r="H509" s="18" t="s">
        <v>1136</v>
      </c>
      <c r="I509" s="19">
        <v>2900401</v>
      </c>
      <c r="J509" s="18" t="s">
        <v>1015</v>
      </c>
      <c r="K509" s="19">
        <v>205.95</v>
      </c>
      <c r="L509" s="19">
        <v>21842</v>
      </c>
      <c r="M509" s="19">
        <v>1566</v>
      </c>
      <c r="N509" s="20">
        <v>0.0717</v>
      </c>
      <c r="O509" s="19">
        <v>0.13</v>
      </c>
      <c r="P509" s="19">
        <v>9.43</v>
      </c>
      <c r="Q509" s="19">
        <v>49</v>
      </c>
      <c r="R509" s="19">
        <v>1</v>
      </c>
      <c r="S509" s="19">
        <v>24</v>
      </c>
      <c r="T509" s="19">
        <v>9</v>
      </c>
      <c r="U509" s="19">
        <v>5</v>
      </c>
      <c r="V509" s="19">
        <v>88</v>
      </c>
      <c r="W509" s="19">
        <v>2.34</v>
      </c>
      <c r="X509" s="19">
        <v>0</v>
      </c>
      <c r="Y509" s="20">
        <v>0</v>
      </c>
      <c r="Z509" s="19">
        <v>1</v>
      </c>
      <c r="AA509" s="19">
        <v>0</v>
      </c>
      <c r="AB509" t="str">
        <f>VLOOKUP(E:E,笔记匹配!A:N,3,FALSE)</f>
        <v>Jeremy 赵</v>
      </c>
      <c r="AC509" t="str">
        <f>VLOOKUP(E:E,笔记匹配!A:N,2,FALSE)</f>
        <v>筋膜枪</v>
      </c>
      <c r="AD509" t="str">
        <f>VLOOKUP(E:E,笔记匹配!A:N,4,FALSE)</f>
        <v>云麦PB2</v>
      </c>
      <c r="AE509" t="str">
        <f>VLOOKUP(E:E,笔记匹配!A:N,14,FALSE)</f>
        <v>云麦筋膜枪pb2</v>
      </c>
      <c r="AF509" t="str">
        <f>VLOOKUP(E:E,笔记匹配!A:N,6,FALSE)</f>
        <v>如何解决难以忍受的肌肉酸痛，筋膜枪帮你！</v>
      </c>
    </row>
    <row r="510" spans="1:32">
      <c r="A510" s="18" t="s">
        <v>77</v>
      </c>
      <c r="B510" s="18" t="s">
        <v>1137</v>
      </c>
      <c r="C510" s="19">
        <v>17974319</v>
      </c>
      <c r="D510" s="18" t="s">
        <v>209</v>
      </c>
      <c r="E510" s="18" t="s">
        <v>542</v>
      </c>
      <c r="F510" s="18" t="s">
        <v>1138</v>
      </c>
      <c r="G510" s="19">
        <v>3544995</v>
      </c>
      <c r="H510" s="18" t="s">
        <v>1139</v>
      </c>
      <c r="I510" s="19">
        <v>2930179</v>
      </c>
      <c r="J510" s="18" t="s">
        <v>1015</v>
      </c>
      <c r="K510" s="19">
        <v>175.43</v>
      </c>
      <c r="L510" s="19">
        <v>21941</v>
      </c>
      <c r="M510" s="19">
        <v>1726</v>
      </c>
      <c r="N510" s="20">
        <v>0.0787</v>
      </c>
      <c r="O510" s="19">
        <v>0.1</v>
      </c>
      <c r="P510" s="19">
        <v>8</v>
      </c>
      <c r="Q510" s="19">
        <v>62</v>
      </c>
      <c r="R510" s="19">
        <v>2</v>
      </c>
      <c r="S510" s="19">
        <v>28</v>
      </c>
      <c r="T510" s="19">
        <v>10</v>
      </c>
      <c r="U510" s="19">
        <v>3</v>
      </c>
      <c r="V510" s="19">
        <v>105</v>
      </c>
      <c r="W510" s="19">
        <v>1.67</v>
      </c>
      <c r="X510" s="19">
        <v>0</v>
      </c>
      <c r="Y510" s="20">
        <v>0</v>
      </c>
      <c r="Z510" s="19">
        <v>2</v>
      </c>
      <c r="AA510" s="19">
        <v>1</v>
      </c>
      <c r="AB510" t="str">
        <f>VLOOKUP(E:E,笔记匹配!A:N,3,FALSE)</f>
        <v>小恩哥带你练臀</v>
      </c>
      <c r="AC510" t="str">
        <f>VLOOKUP(E:E,笔记匹配!A:N,2,FALSE)</f>
        <v>筋膜枪</v>
      </c>
      <c r="AD510" t="str">
        <f>VLOOKUP(E:E,笔记匹配!A:N,4,FALSE)</f>
        <v>云麦PB2</v>
      </c>
      <c r="AE510" t="str">
        <f>VLOOKUP(E:E,笔记匹配!A:N,14,FALSE)</f>
        <v>云麦筋膜枪pb2</v>
      </c>
      <c r="AF510" t="str">
        <f>VLOOKUP(E:E,笔记匹配!A:N,6,FALSE)</f>
        <v>翘臀别只练臀，骨盆端正更重要｜筋膜枪放松</v>
      </c>
    </row>
    <row r="511" spans="1:32">
      <c r="A511" s="18" t="s">
        <v>77</v>
      </c>
      <c r="B511" s="18" t="s">
        <v>1140</v>
      </c>
      <c r="C511" s="19">
        <v>18043311</v>
      </c>
      <c r="D511" s="18" t="s">
        <v>196</v>
      </c>
      <c r="E511" s="18" t="s">
        <v>549</v>
      </c>
      <c r="F511" s="18" t="s">
        <v>1142</v>
      </c>
      <c r="G511" s="19">
        <v>3580060</v>
      </c>
      <c r="H511" s="18" t="s">
        <v>1143</v>
      </c>
      <c r="I511" s="19">
        <v>2965320</v>
      </c>
      <c r="J511" s="18" t="s">
        <v>1015</v>
      </c>
      <c r="K511" s="19">
        <v>108.02</v>
      </c>
      <c r="L511" s="19">
        <v>3047</v>
      </c>
      <c r="M511" s="19">
        <v>159</v>
      </c>
      <c r="N511" s="20">
        <v>0.0522</v>
      </c>
      <c r="O511" s="19">
        <v>0.68</v>
      </c>
      <c r="P511" s="19">
        <v>35.45</v>
      </c>
      <c r="Q511" s="19">
        <v>1</v>
      </c>
      <c r="R511" s="19">
        <v>0</v>
      </c>
      <c r="S511" s="19">
        <v>1</v>
      </c>
      <c r="T511" s="19">
        <v>0</v>
      </c>
      <c r="U511" s="19">
        <v>0</v>
      </c>
      <c r="V511" s="19">
        <v>2</v>
      </c>
      <c r="W511" s="19">
        <v>54.01</v>
      </c>
      <c r="X511" s="19">
        <v>0</v>
      </c>
      <c r="Y511" s="20">
        <v>0</v>
      </c>
      <c r="Z511" s="19">
        <v>3</v>
      </c>
      <c r="AA511" s="19">
        <v>0</v>
      </c>
      <c r="AB511" t="str">
        <f>VLOOKUP(E:E,笔记匹配!A:N,3,FALSE)</f>
        <v>爽姐腿特长</v>
      </c>
      <c r="AC511" t="str">
        <f>VLOOKUP(E:E,笔记匹配!A:N,2,FALSE)</f>
        <v>筋膜枪</v>
      </c>
      <c r="AD511" t="str">
        <f>VLOOKUP(E:E,笔记匹配!A:N,4,FALSE)</f>
        <v>云麦筋膜枪cc</v>
      </c>
      <c r="AE511" t="str">
        <f>VLOOKUP(E:E,笔记匹配!A:N,14,FALSE)</f>
        <v>云麦筋膜枪cc</v>
      </c>
      <c r="AF511" t="str">
        <f>VLOOKUP(E:E,笔记匹配!A:N,6,FALSE)</f>
        <v>筋膜枪有效放松|顽固肌肉腿有救了🦵</v>
      </c>
    </row>
    <row r="512" spans="1:32">
      <c r="A512" s="18" t="s">
        <v>77</v>
      </c>
      <c r="B512" s="18" t="s">
        <v>1147</v>
      </c>
      <c r="C512" s="19">
        <v>18043411</v>
      </c>
      <c r="D512" s="18" t="s">
        <v>196</v>
      </c>
      <c r="E512" s="18" t="s">
        <v>549</v>
      </c>
      <c r="F512" s="18" t="s">
        <v>1148</v>
      </c>
      <c r="G512" s="19">
        <v>3580132</v>
      </c>
      <c r="H512" s="18" t="s">
        <v>1149</v>
      </c>
      <c r="I512" s="19">
        <v>2965381</v>
      </c>
      <c r="J512" s="18" t="s">
        <v>1015</v>
      </c>
      <c r="K512" s="19">
        <v>518.95</v>
      </c>
      <c r="L512" s="19">
        <v>15044</v>
      </c>
      <c r="M512" s="19">
        <v>670</v>
      </c>
      <c r="N512" s="20">
        <v>0.0445</v>
      </c>
      <c r="O512" s="19">
        <v>0.77</v>
      </c>
      <c r="P512" s="19">
        <v>34.5</v>
      </c>
      <c r="Q512" s="19">
        <v>23</v>
      </c>
      <c r="R512" s="19">
        <v>0</v>
      </c>
      <c r="S512" s="19">
        <v>10</v>
      </c>
      <c r="T512" s="19">
        <v>3</v>
      </c>
      <c r="U512" s="19">
        <v>0</v>
      </c>
      <c r="V512" s="19">
        <v>36</v>
      </c>
      <c r="W512" s="19">
        <v>14.42</v>
      </c>
      <c r="X512" s="19">
        <v>0</v>
      </c>
      <c r="Y512" s="20">
        <v>0</v>
      </c>
      <c r="Z512" s="19">
        <v>2</v>
      </c>
      <c r="AA512" s="19">
        <v>0</v>
      </c>
      <c r="AB512" t="str">
        <f>VLOOKUP(E:E,笔记匹配!A:N,3,FALSE)</f>
        <v>爽姐腿特长</v>
      </c>
      <c r="AC512" t="str">
        <f>VLOOKUP(E:E,笔记匹配!A:N,2,FALSE)</f>
        <v>筋膜枪</v>
      </c>
      <c r="AD512" t="str">
        <f>VLOOKUP(E:E,笔记匹配!A:N,4,FALSE)</f>
        <v>云麦筋膜枪cc</v>
      </c>
      <c r="AE512" t="str">
        <f>VLOOKUP(E:E,笔记匹配!A:N,14,FALSE)</f>
        <v>云麦筋膜枪cc</v>
      </c>
      <c r="AF512" t="str">
        <f>VLOOKUP(E:E,笔记匹配!A:N,6,FALSE)</f>
        <v>筋膜枪有效放松|顽固肌肉腿有救了🦵</v>
      </c>
    </row>
    <row r="513" spans="1:32">
      <c r="A513" s="18" t="s">
        <v>77</v>
      </c>
      <c r="B513" s="18" t="s">
        <v>1150</v>
      </c>
      <c r="C513" s="19">
        <v>18043601</v>
      </c>
      <c r="D513" s="18" t="s">
        <v>196</v>
      </c>
      <c r="E513" s="18" t="s">
        <v>549</v>
      </c>
      <c r="F513" s="18" t="s">
        <v>1151</v>
      </c>
      <c r="G513" s="19">
        <v>3580226</v>
      </c>
      <c r="H513" s="18" t="s">
        <v>1152</v>
      </c>
      <c r="I513" s="19">
        <v>2965480</v>
      </c>
      <c r="J513" s="18" t="s">
        <v>1015</v>
      </c>
      <c r="K513" s="19">
        <v>41.92</v>
      </c>
      <c r="L513" s="19">
        <v>2383</v>
      </c>
      <c r="M513" s="19">
        <v>70</v>
      </c>
      <c r="N513" s="20">
        <v>0.0294</v>
      </c>
      <c r="O513" s="19">
        <v>0.6</v>
      </c>
      <c r="P513" s="19">
        <v>17.59</v>
      </c>
      <c r="Q513" s="19">
        <v>2</v>
      </c>
      <c r="R513" s="19">
        <v>0</v>
      </c>
      <c r="S513" s="19">
        <v>0</v>
      </c>
      <c r="T513" s="19">
        <v>0</v>
      </c>
      <c r="U513" s="19">
        <v>0</v>
      </c>
      <c r="V513" s="19">
        <v>2</v>
      </c>
      <c r="W513" s="19">
        <v>20.96</v>
      </c>
      <c r="X513" s="19">
        <v>0</v>
      </c>
      <c r="Y513" s="20">
        <v>0</v>
      </c>
      <c r="Z513" s="19">
        <v>0</v>
      </c>
      <c r="AA513" s="19">
        <v>0</v>
      </c>
      <c r="AB513" t="str">
        <f>VLOOKUP(E:E,笔记匹配!A:N,3,FALSE)</f>
        <v>爽姐腿特长</v>
      </c>
      <c r="AC513" t="str">
        <f>VLOOKUP(E:E,笔记匹配!A:N,2,FALSE)</f>
        <v>筋膜枪</v>
      </c>
      <c r="AD513" t="str">
        <f>VLOOKUP(E:E,笔记匹配!A:N,4,FALSE)</f>
        <v>云麦筋膜枪cc</v>
      </c>
      <c r="AE513" t="str">
        <f>VLOOKUP(E:E,笔记匹配!A:N,14,FALSE)</f>
        <v>云麦筋膜枪cc</v>
      </c>
      <c r="AF513" t="str">
        <f>VLOOKUP(E:E,笔记匹配!A:N,6,FALSE)</f>
        <v>筋膜枪有效放松|顽固肌肉腿有救了🦵</v>
      </c>
    </row>
    <row r="514" spans="1:32">
      <c r="A514" s="18" t="s">
        <v>77</v>
      </c>
      <c r="B514" s="18" t="s">
        <v>1140</v>
      </c>
      <c r="C514" s="19">
        <v>18043872</v>
      </c>
      <c r="D514" s="18" t="s">
        <v>196</v>
      </c>
      <c r="E514" s="18" t="s">
        <v>234</v>
      </c>
      <c r="F514" s="18" t="s">
        <v>1153</v>
      </c>
      <c r="G514" s="19">
        <v>3580327</v>
      </c>
      <c r="H514" s="18" t="s">
        <v>1154</v>
      </c>
      <c r="I514" s="19">
        <v>2965570</v>
      </c>
      <c r="J514" s="18" t="s">
        <v>1015</v>
      </c>
      <c r="K514" s="19">
        <v>106.98</v>
      </c>
      <c r="L514" s="19">
        <v>4320</v>
      </c>
      <c r="M514" s="19">
        <v>117</v>
      </c>
      <c r="N514" s="20">
        <v>0.0271</v>
      </c>
      <c r="O514" s="19">
        <v>0.91</v>
      </c>
      <c r="P514" s="19">
        <v>24.76</v>
      </c>
      <c r="Q514" s="19">
        <v>0</v>
      </c>
      <c r="R514" s="19">
        <v>0</v>
      </c>
      <c r="S514" s="19">
        <v>0</v>
      </c>
      <c r="T514" s="19">
        <v>0</v>
      </c>
      <c r="U514" s="19">
        <v>0</v>
      </c>
      <c r="V514" s="19">
        <v>0</v>
      </c>
      <c r="W514" s="19">
        <v>0</v>
      </c>
      <c r="X514" s="19">
        <v>0</v>
      </c>
      <c r="Y514" s="20">
        <v>0</v>
      </c>
      <c r="Z514" s="19">
        <v>0</v>
      </c>
      <c r="AA514" s="19">
        <v>0</v>
      </c>
      <c r="AB514" t="str">
        <f>VLOOKUP(E:E,笔记匹配!A:N,3,FALSE)</f>
        <v>pp</v>
      </c>
      <c r="AC514" t="str">
        <f>VLOOKUP(E:E,笔记匹配!A:N,2,FALSE)</f>
        <v>体脂秤</v>
      </c>
      <c r="AD514" t="str">
        <f>VLOOKUP(E:E,笔记匹配!A:N,4,FALSE)</f>
        <v>云麦体脂秤3mini</v>
      </c>
      <c r="AE514" t="str">
        <f>VLOOKUP(E:E,笔记匹配!A:N,14,FALSE)</f>
        <v>云麦体脂秤3mini</v>
      </c>
      <c r="AF514" t="str">
        <f>VLOOKUP(E:E,笔记匹配!A:N,6,FALSE)</f>
        <v>110到88 一些减肥小建议｜如何正确运动</v>
      </c>
    </row>
    <row r="515" spans="1:32">
      <c r="A515" s="18" t="s">
        <v>77</v>
      </c>
      <c r="B515" s="18" t="s">
        <v>1155</v>
      </c>
      <c r="C515" s="19">
        <v>18044011</v>
      </c>
      <c r="D515" s="18" t="s">
        <v>196</v>
      </c>
      <c r="E515" s="18" t="s">
        <v>234</v>
      </c>
      <c r="F515" s="18" t="s">
        <v>1156</v>
      </c>
      <c r="G515" s="19">
        <v>3580433</v>
      </c>
      <c r="H515" s="18" t="s">
        <v>1157</v>
      </c>
      <c r="I515" s="19">
        <v>2965681</v>
      </c>
      <c r="J515" s="18" t="s">
        <v>1015</v>
      </c>
      <c r="K515" s="19">
        <v>199.16</v>
      </c>
      <c r="L515" s="19">
        <v>6396</v>
      </c>
      <c r="M515" s="19">
        <v>286</v>
      </c>
      <c r="N515" s="20">
        <v>0.0447</v>
      </c>
      <c r="O515" s="19">
        <v>0.7</v>
      </c>
      <c r="P515" s="19">
        <v>31.14</v>
      </c>
      <c r="Q515" s="19">
        <v>1</v>
      </c>
      <c r="R515" s="19">
        <v>0</v>
      </c>
      <c r="S515" s="19">
        <v>1</v>
      </c>
      <c r="T515" s="19">
        <v>0</v>
      </c>
      <c r="U515" s="19">
        <v>1</v>
      </c>
      <c r="V515" s="19">
        <v>3</v>
      </c>
      <c r="W515" s="19">
        <v>66.39</v>
      </c>
      <c r="X515" s="19">
        <v>0</v>
      </c>
      <c r="Y515" s="20">
        <v>0</v>
      </c>
      <c r="Z515" s="19">
        <v>1</v>
      </c>
      <c r="AA515" s="19">
        <v>1</v>
      </c>
      <c r="AB515" t="str">
        <f>VLOOKUP(E:E,笔记匹配!A:N,3,FALSE)</f>
        <v>pp</v>
      </c>
      <c r="AC515" t="str">
        <f>VLOOKUP(E:E,笔记匹配!A:N,2,FALSE)</f>
        <v>体脂秤</v>
      </c>
      <c r="AD515" t="str">
        <f>VLOOKUP(E:E,笔记匹配!A:N,4,FALSE)</f>
        <v>云麦体脂秤3mini</v>
      </c>
      <c r="AE515" t="str">
        <f>VLOOKUP(E:E,笔记匹配!A:N,14,FALSE)</f>
        <v>云麦体脂秤3mini</v>
      </c>
      <c r="AF515" t="str">
        <f>VLOOKUP(E:E,笔记匹配!A:N,6,FALSE)</f>
        <v>110到88 一些减肥小建议｜如何正确运动</v>
      </c>
    </row>
    <row r="516" spans="1:32">
      <c r="A516" s="18" t="s">
        <v>77</v>
      </c>
      <c r="B516" s="18" t="s">
        <v>1158</v>
      </c>
      <c r="C516" s="19">
        <v>18044115</v>
      </c>
      <c r="D516" s="18" t="s">
        <v>196</v>
      </c>
      <c r="E516" s="18" t="s">
        <v>234</v>
      </c>
      <c r="F516" s="18" t="s">
        <v>1159</v>
      </c>
      <c r="G516" s="19">
        <v>3580480</v>
      </c>
      <c r="H516" s="18" t="s">
        <v>1160</v>
      </c>
      <c r="I516" s="19">
        <v>2965724</v>
      </c>
      <c r="J516" s="18" t="s">
        <v>1015</v>
      </c>
      <c r="K516" s="19">
        <v>9.41</v>
      </c>
      <c r="L516" s="19">
        <v>622</v>
      </c>
      <c r="M516" s="19">
        <v>12</v>
      </c>
      <c r="N516" s="20">
        <v>0.0193</v>
      </c>
      <c r="O516" s="19">
        <v>0.78</v>
      </c>
      <c r="P516" s="19">
        <v>15.13</v>
      </c>
      <c r="Q516" s="19">
        <v>0</v>
      </c>
      <c r="R516" s="19">
        <v>0</v>
      </c>
      <c r="S516" s="19">
        <v>0</v>
      </c>
      <c r="T516" s="19">
        <v>0</v>
      </c>
      <c r="U516" s="19">
        <v>0</v>
      </c>
      <c r="V516" s="19">
        <v>0</v>
      </c>
      <c r="W516" s="19">
        <v>0</v>
      </c>
      <c r="X516" s="19">
        <v>0</v>
      </c>
      <c r="Y516" s="20">
        <v>0</v>
      </c>
      <c r="Z516" s="19">
        <v>0</v>
      </c>
      <c r="AA516" s="19">
        <v>0</v>
      </c>
      <c r="AB516" t="str">
        <f>VLOOKUP(E:E,笔记匹配!A:N,3,FALSE)</f>
        <v>pp</v>
      </c>
      <c r="AC516" t="str">
        <f>VLOOKUP(E:E,笔记匹配!A:N,2,FALSE)</f>
        <v>体脂秤</v>
      </c>
      <c r="AD516" t="str">
        <f>VLOOKUP(E:E,笔记匹配!A:N,4,FALSE)</f>
        <v>云麦体脂秤3mini</v>
      </c>
      <c r="AE516" t="str">
        <f>VLOOKUP(E:E,笔记匹配!A:N,14,FALSE)</f>
        <v>云麦体脂秤3mini</v>
      </c>
      <c r="AF516" t="str">
        <f>VLOOKUP(E:E,笔记匹配!A:N,6,FALSE)</f>
        <v>110到88 一些减肥小建议｜如何正确运动</v>
      </c>
    </row>
    <row r="517" spans="1:32">
      <c r="A517" s="18" t="s">
        <v>77</v>
      </c>
      <c r="B517" s="18" t="s">
        <v>1161</v>
      </c>
      <c r="C517" s="19">
        <v>18085273</v>
      </c>
      <c r="D517" s="18" t="s">
        <v>209</v>
      </c>
      <c r="E517" s="18" t="s">
        <v>296</v>
      </c>
      <c r="F517" s="18" t="s">
        <v>1162</v>
      </c>
      <c r="G517" s="19">
        <v>3600311</v>
      </c>
      <c r="H517" s="18" t="s">
        <v>1163</v>
      </c>
      <c r="I517" s="19">
        <v>2985865</v>
      </c>
      <c r="J517" s="18" t="s">
        <v>1015</v>
      </c>
      <c r="K517" s="19">
        <v>121.84</v>
      </c>
      <c r="L517" s="19">
        <v>13594</v>
      </c>
      <c r="M517" s="19">
        <v>628</v>
      </c>
      <c r="N517" s="20">
        <v>0.0462</v>
      </c>
      <c r="O517" s="19">
        <v>0.19</v>
      </c>
      <c r="P517" s="19">
        <v>8.96</v>
      </c>
      <c r="Q517" s="19">
        <v>22</v>
      </c>
      <c r="R517" s="19">
        <v>1</v>
      </c>
      <c r="S517" s="19">
        <v>8</v>
      </c>
      <c r="T517" s="19">
        <v>0</v>
      </c>
      <c r="U517" s="19">
        <v>2</v>
      </c>
      <c r="V517" s="19">
        <v>33</v>
      </c>
      <c r="W517" s="19">
        <v>3.69</v>
      </c>
      <c r="X517" s="19">
        <v>9</v>
      </c>
      <c r="Y517" s="20">
        <v>0.0143</v>
      </c>
      <c r="Z517" s="19">
        <v>2</v>
      </c>
      <c r="AA517" s="19">
        <v>0</v>
      </c>
      <c r="AB517" t="str">
        <f>VLOOKUP(E:E,笔记匹配!A:N,3,FALSE)</f>
        <v>元气芥末酱</v>
      </c>
      <c r="AC517" t="str">
        <f>VLOOKUP(E:E,笔记匹配!A:N,2,FALSE)</f>
        <v>筋膜枪</v>
      </c>
      <c r="AD517" t="str">
        <f>VLOOKUP(E:E,笔记匹配!A:N,4,FALSE)</f>
        <v>云麦筋膜枪PB2</v>
      </c>
      <c r="AE517" t="str">
        <f>VLOOKUP(E:E,笔记匹配!A:N,14,FALSE)</f>
        <v>云麦筋膜枪pb2</v>
      </c>
      <c r="AF517" t="str">
        <f>VLOOKUP(E:E,笔记匹配!A:N,6,FALSE)</f>
        <v>小腿粗的姐妹信我！肌肉腿就要这样按！</v>
      </c>
    </row>
    <row r="518" spans="1:32">
      <c r="A518" s="18" t="s">
        <v>78</v>
      </c>
      <c r="B518" s="18" t="s">
        <v>587</v>
      </c>
      <c r="C518" s="19">
        <v>15295967</v>
      </c>
      <c r="D518" s="18" t="s">
        <v>209</v>
      </c>
      <c r="E518" s="18" t="s">
        <v>400</v>
      </c>
      <c r="F518" s="18" t="s">
        <v>1090</v>
      </c>
      <c r="G518" s="19">
        <v>3020475</v>
      </c>
      <c r="H518" s="18" t="s">
        <v>1091</v>
      </c>
      <c r="I518" s="19">
        <v>2418288</v>
      </c>
      <c r="J518" s="18" t="s">
        <v>1015</v>
      </c>
      <c r="K518" s="19">
        <v>0</v>
      </c>
      <c r="L518" s="19">
        <v>0</v>
      </c>
      <c r="M518" s="19">
        <v>0</v>
      </c>
      <c r="N518" s="20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0</v>
      </c>
      <c r="T518" s="19">
        <v>0</v>
      </c>
      <c r="U518" s="19">
        <v>0</v>
      </c>
      <c r="V518" s="19">
        <v>0</v>
      </c>
      <c r="W518" s="19">
        <v>0</v>
      </c>
      <c r="X518" s="19">
        <v>0</v>
      </c>
      <c r="Y518" s="20">
        <v>0</v>
      </c>
      <c r="Z518" s="19">
        <v>0</v>
      </c>
      <c r="AA518" s="19">
        <v>0</v>
      </c>
      <c r="AB518" t="str">
        <f>VLOOKUP(E:E,笔记匹配!A:N,3,FALSE)</f>
        <v>小雪教瑜伽</v>
      </c>
      <c r="AC518" t="str">
        <f>VLOOKUP(E:E,笔记匹配!A:N,2,FALSE)</f>
        <v>筋膜枪</v>
      </c>
      <c r="AD518" t="str">
        <f>VLOOKUP(E:E,笔记匹配!A:N,4,FALSE)</f>
        <v>云麦筋膜枪cc</v>
      </c>
      <c r="AE518" t="str">
        <f>VLOOKUP(E:E,笔记匹配!A:N,14,FALSE)</f>
        <v>云麦筋膜枪cc</v>
      </c>
      <c r="AF518" t="str">
        <f>VLOOKUP(E:E,笔记匹配!A:N,6,FALSE)</f>
        <v>瘦肌肉腿必备&amp;筋膜枪按摩跟练教程</v>
      </c>
    </row>
    <row r="519" spans="1:32">
      <c r="A519" s="18" t="s">
        <v>78</v>
      </c>
      <c r="B519" s="18" t="s">
        <v>1099</v>
      </c>
      <c r="C519" s="19">
        <v>15678883</v>
      </c>
      <c r="D519" s="18" t="s">
        <v>209</v>
      </c>
      <c r="E519" s="18" t="s">
        <v>549</v>
      </c>
      <c r="F519" s="18" t="s">
        <v>1100</v>
      </c>
      <c r="G519" s="19">
        <v>3067721</v>
      </c>
      <c r="H519" s="18" t="s">
        <v>1100</v>
      </c>
      <c r="I519" s="19">
        <v>2464984</v>
      </c>
      <c r="J519" s="18" t="s">
        <v>1015</v>
      </c>
      <c r="K519" s="19">
        <v>0</v>
      </c>
      <c r="L519" s="19">
        <v>0</v>
      </c>
      <c r="M519" s="19">
        <v>0</v>
      </c>
      <c r="N519" s="20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0</v>
      </c>
      <c r="U519" s="19">
        <v>0</v>
      </c>
      <c r="V519" s="19">
        <v>0</v>
      </c>
      <c r="W519" s="19">
        <v>0</v>
      </c>
      <c r="X519" s="19">
        <v>0</v>
      </c>
      <c r="Y519" s="20">
        <v>0</v>
      </c>
      <c r="Z519" s="19">
        <v>0</v>
      </c>
      <c r="AA519" s="19">
        <v>0</v>
      </c>
      <c r="AB519" t="str">
        <f>VLOOKUP(E:E,笔记匹配!A:N,3,FALSE)</f>
        <v>爽姐腿特长</v>
      </c>
      <c r="AC519" t="str">
        <f>VLOOKUP(E:E,笔记匹配!A:N,2,FALSE)</f>
        <v>筋膜枪</v>
      </c>
      <c r="AD519" t="str">
        <f>VLOOKUP(E:E,笔记匹配!A:N,4,FALSE)</f>
        <v>云麦筋膜枪cc</v>
      </c>
      <c r="AE519" t="str">
        <f>VLOOKUP(E:E,笔记匹配!A:N,14,FALSE)</f>
        <v>云麦筋膜枪cc</v>
      </c>
      <c r="AF519" t="str">
        <f>VLOOKUP(E:E,笔记匹配!A:N,6,FALSE)</f>
        <v>筋膜枪有效放松|顽固肌肉腿有救了🦵</v>
      </c>
    </row>
    <row r="520" spans="1:32">
      <c r="A520" s="18" t="s">
        <v>78</v>
      </c>
      <c r="B520" s="18" t="s">
        <v>1129</v>
      </c>
      <c r="C520" s="19">
        <v>17799451</v>
      </c>
      <c r="D520" s="18" t="s">
        <v>209</v>
      </c>
      <c r="E520" s="18" t="s">
        <v>378</v>
      </c>
      <c r="F520" s="18" t="s">
        <v>1130</v>
      </c>
      <c r="G520" s="19">
        <v>3466574</v>
      </c>
      <c r="H520" s="18" t="s">
        <v>1131</v>
      </c>
      <c r="I520" s="19">
        <v>2852359</v>
      </c>
      <c r="J520" s="18" t="s">
        <v>1015</v>
      </c>
      <c r="K520" s="19">
        <v>0</v>
      </c>
      <c r="L520" s="19">
        <v>0</v>
      </c>
      <c r="M520" s="19">
        <v>0</v>
      </c>
      <c r="N520" s="20">
        <v>0</v>
      </c>
      <c r="O520" s="19">
        <v>0</v>
      </c>
      <c r="P520" s="19">
        <v>0</v>
      </c>
      <c r="Q520" s="19">
        <v>0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9">
        <v>0</v>
      </c>
      <c r="Y520" s="20">
        <v>0</v>
      </c>
      <c r="Z520" s="19">
        <v>0</v>
      </c>
      <c r="AA520" s="19">
        <v>0</v>
      </c>
      <c r="AB520" t="str">
        <f>VLOOKUP(E:E,笔记匹配!A:N,3,FALSE)</f>
        <v>曲美腻腻</v>
      </c>
      <c r="AC520" t="str">
        <f>VLOOKUP(E:E,笔记匹配!A:N,2,FALSE)</f>
        <v>筋膜枪</v>
      </c>
      <c r="AD520" t="str">
        <f>VLOOKUP(E:E,笔记匹配!A:N,4,FALSE)</f>
        <v>云麦智能筋膜枪</v>
      </c>
      <c r="AE520" t="str">
        <f>VLOOKUP(E:E,笔记匹配!A:N,14,FALSE)</f>
        <v>云麦筋膜枪pb2</v>
      </c>
      <c r="AF520" t="str">
        <f>VLOOKUP(E:E,笔记匹配!A:N,6,FALSE)</f>
        <v>学会这3个动作！轻松在家瘦全身！不是梦！简单</v>
      </c>
    </row>
    <row r="521" spans="1:32">
      <c r="A521" s="18" t="s">
        <v>78</v>
      </c>
      <c r="B521" s="18" t="s">
        <v>1135</v>
      </c>
      <c r="C521" s="19">
        <v>17901185</v>
      </c>
      <c r="D521" s="18" t="s">
        <v>209</v>
      </c>
      <c r="E521" s="18" t="s">
        <v>457</v>
      </c>
      <c r="F521" s="18" t="s">
        <v>1136</v>
      </c>
      <c r="G521" s="19">
        <v>3514560</v>
      </c>
      <c r="H521" s="18" t="s">
        <v>1136</v>
      </c>
      <c r="I521" s="19">
        <v>2900401</v>
      </c>
      <c r="J521" s="18" t="s">
        <v>1015</v>
      </c>
      <c r="K521" s="19">
        <v>0</v>
      </c>
      <c r="L521" s="19">
        <v>0</v>
      </c>
      <c r="M521" s="19">
        <v>0</v>
      </c>
      <c r="N521" s="20">
        <v>0</v>
      </c>
      <c r="O521" s="19">
        <v>0</v>
      </c>
      <c r="P521" s="19">
        <v>0</v>
      </c>
      <c r="Q521" s="19">
        <v>0</v>
      </c>
      <c r="R521" s="19">
        <v>0</v>
      </c>
      <c r="S521" s="19">
        <v>0</v>
      </c>
      <c r="T521" s="19">
        <v>0</v>
      </c>
      <c r="U521" s="19">
        <v>0</v>
      </c>
      <c r="V521" s="19">
        <v>0</v>
      </c>
      <c r="W521" s="19">
        <v>0</v>
      </c>
      <c r="X521" s="19">
        <v>0</v>
      </c>
      <c r="Y521" s="20">
        <v>0</v>
      </c>
      <c r="Z521" s="19">
        <v>0</v>
      </c>
      <c r="AA521" s="19">
        <v>0</v>
      </c>
      <c r="AB521" t="str">
        <f>VLOOKUP(E:E,笔记匹配!A:N,3,FALSE)</f>
        <v>Jeremy 赵</v>
      </c>
      <c r="AC521" t="str">
        <f>VLOOKUP(E:E,笔记匹配!A:N,2,FALSE)</f>
        <v>筋膜枪</v>
      </c>
      <c r="AD521" t="str">
        <f>VLOOKUP(E:E,笔记匹配!A:N,4,FALSE)</f>
        <v>云麦PB2</v>
      </c>
      <c r="AE521" t="str">
        <f>VLOOKUP(E:E,笔记匹配!A:N,14,FALSE)</f>
        <v>云麦筋膜枪pb2</v>
      </c>
      <c r="AF521" t="str">
        <f>VLOOKUP(E:E,笔记匹配!A:N,6,FALSE)</f>
        <v>如何解决难以忍受的肌肉酸痛，筋膜枪帮你！</v>
      </c>
    </row>
    <row r="522" spans="1:32">
      <c r="A522" s="18" t="s">
        <v>78</v>
      </c>
      <c r="B522" s="18" t="s">
        <v>1137</v>
      </c>
      <c r="C522" s="19">
        <v>17974319</v>
      </c>
      <c r="D522" s="18" t="s">
        <v>209</v>
      </c>
      <c r="E522" s="18" t="s">
        <v>542</v>
      </c>
      <c r="F522" s="18" t="s">
        <v>1138</v>
      </c>
      <c r="G522" s="19">
        <v>3544995</v>
      </c>
      <c r="H522" s="18" t="s">
        <v>1139</v>
      </c>
      <c r="I522" s="19">
        <v>2930179</v>
      </c>
      <c r="J522" s="18" t="s">
        <v>1015</v>
      </c>
      <c r="K522" s="19">
        <v>0</v>
      </c>
      <c r="L522" s="19">
        <v>0</v>
      </c>
      <c r="M522" s="19">
        <v>0</v>
      </c>
      <c r="N522" s="20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0</v>
      </c>
      <c r="T522" s="19">
        <v>0</v>
      </c>
      <c r="U522" s="19">
        <v>0</v>
      </c>
      <c r="V522" s="19">
        <v>0</v>
      </c>
      <c r="W522" s="19">
        <v>0</v>
      </c>
      <c r="X522" s="19">
        <v>0</v>
      </c>
      <c r="Y522" s="20">
        <v>0</v>
      </c>
      <c r="Z522" s="19">
        <v>0</v>
      </c>
      <c r="AA522" s="19">
        <v>0</v>
      </c>
      <c r="AB522" t="str">
        <f>VLOOKUP(E:E,笔记匹配!A:N,3,FALSE)</f>
        <v>小恩哥带你练臀</v>
      </c>
      <c r="AC522" t="str">
        <f>VLOOKUP(E:E,笔记匹配!A:N,2,FALSE)</f>
        <v>筋膜枪</v>
      </c>
      <c r="AD522" t="str">
        <f>VLOOKUP(E:E,笔记匹配!A:N,4,FALSE)</f>
        <v>云麦PB2</v>
      </c>
      <c r="AE522" t="str">
        <f>VLOOKUP(E:E,笔记匹配!A:N,14,FALSE)</f>
        <v>云麦筋膜枪pb2</v>
      </c>
      <c r="AF522" t="str">
        <f>VLOOKUP(E:E,笔记匹配!A:N,6,FALSE)</f>
        <v>翘臀别只练臀，骨盆端正更重要｜筋膜枪放松</v>
      </c>
    </row>
    <row r="523" spans="1:32">
      <c r="A523" s="18" t="s">
        <v>78</v>
      </c>
      <c r="B523" s="18" t="s">
        <v>1140</v>
      </c>
      <c r="C523" s="19">
        <v>18043311</v>
      </c>
      <c r="D523" s="18" t="s">
        <v>196</v>
      </c>
      <c r="E523" s="18" t="s">
        <v>549</v>
      </c>
      <c r="F523" s="18" t="s">
        <v>1142</v>
      </c>
      <c r="G523" s="19">
        <v>3580060</v>
      </c>
      <c r="H523" s="18" t="s">
        <v>1143</v>
      </c>
      <c r="I523" s="19">
        <v>2965320</v>
      </c>
      <c r="J523" s="18" t="s">
        <v>1015</v>
      </c>
      <c r="K523" s="19">
        <v>104.85</v>
      </c>
      <c r="L523" s="19">
        <v>1177</v>
      </c>
      <c r="M523" s="19">
        <v>121</v>
      </c>
      <c r="N523" s="20">
        <v>0.1028</v>
      </c>
      <c r="O523" s="19">
        <v>0.87</v>
      </c>
      <c r="P523" s="19">
        <v>89.08</v>
      </c>
      <c r="Q523" s="19">
        <v>1</v>
      </c>
      <c r="R523" s="19">
        <v>0</v>
      </c>
      <c r="S523" s="19">
        <v>0</v>
      </c>
      <c r="T523" s="19">
        <v>0</v>
      </c>
      <c r="U523" s="19">
        <v>0</v>
      </c>
      <c r="V523" s="19">
        <v>1</v>
      </c>
      <c r="W523" s="19">
        <v>104.85</v>
      </c>
      <c r="X523" s="19">
        <v>0</v>
      </c>
      <c r="Y523" s="20">
        <v>0</v>
      </c>
      <c r="Z523" s="19">
        <v>1</v>
      </c>
      <c r="AA523" s="19">
        <v>0</v>
      </c>
      <c r="AB523" t="str">
        <f>VLOOKUP(E:E,笔记匹配!A:N,3,FALSE)</f>
        <v>爽姐腿特长</v>
      </c>
      <c r="AC523" t="str">
        <f>VLOOKUP(E:E,笔记匹配!A:N,2,FALSE)</f>
        <v>筋膜枪</v>
      </c>
      <c r="AD523" t="str">
        <f>VLOOKUP(E:E,笔记匹配!A:N,4,FALSE)</f>
        <v>云麦筋膜枪cc</v>
      </c>
      <c r="AE523" t="str">
        <f>VLOOKUP(E:E,笔记匹配!A:N,14,FALSE)</f>
        <v>云麦筋膜枪cc</v>
      </c>
      <c r="AF523" t="str">
        <f>VLOOKUP(E:E,笔记匹配!A:N,6,FALSE)</f>
        <v>筋膜枪有效放松|顽固肌肉腿有救了🦵</v>
      </c>
    </row>
    <row r="524" spans="1:32">
      <c r="A524" s="18" t="s">
        <v>78</v>
      </c>
      <c r="B524" s="18" t="s">
        <v>1147</v>
      </c>
      <c r="C524" s="19">
        <v>18043411</v>
      </c>
      <c r="D524" s="18" t="s">
        <v>196</v>
      </c>
      <c r="E524" s="18" t="s">
        <v>549</v>
      </c>
      <c r="F524" s="18" t="s">
        <v>1148</v>
      </c>
      <c r="G524" s="19">
        <v>3580132</v>
      </c>
      <c r="H524" s="18" t="s">
        <v>1149</v>
      </c>
      <c r="I524" s="19">
        <v>2965381</v>
      </c>
      <c r="J524" s="18" t="s">
        <v>1015</v>
      </c>
      <c r="K524" s="19">
        <v>214.6</v>
      </c>
      <c r="L524" s="19">
        <v>5519</v>
      </c>
      <c r="M524" s="19">
        <v>255</v>
      </c>
      <c r="N524" s="20">
        <v>0.0462</v>
      </c>
      <c r="O524" s="19">
        <v>0.84</v>
      </c>
      <c r="P524" s="19">
        <v>38.88</v>
      </c>
      <c r="Q524" s="19">
        <v>8</v>
      </c>
      <c r="R524" s="19">
        <v>0</v>
      </c>
      <c r="S524" s="19">
        <v>0</v>
      </c>
      <c r="T524" s="19">
        <v>0</v>
      </c>
      <c r="U524" s="19">
        <v>1</v>
      </c>
      <c r="V524" s="19">
        <v>9</v>
      </c>
      <c r="W524" s="19">
        <v>23.84</v>
      </c>
      <c r="X524" s="19">
        <v>0</v>
      </c>
      <c r="Y524" s="20">
        <v>0</v>
      </c>
      <c r="Z524" s="19">
        <v>0</v>
      </c>
      <c r="AA524" s="19">
        <v>0</v>
      </c>
      <c r="AB524" t="str">
        <f>VLOOKUP(E:E,笔记匹配!A:N,3,FALSE)</f>
        <v>爽姐腿特长</v>
      </c>
      <c r="AC524" t="str">
        <f>VLOOKUP(E:E,笔记匹配!A:N,2,FALSE)</f>
        <v>筋膜枪</v>
      </c>
      <c r="AD524" t="str">
        <f>VLOOKUP(E:E,笔记匹配!A:N,4,FALSE)</f>
        <v>云麦筋膜枪cc</v>
      </c>
      <c r="AE524" t="str">
        <f>VLOOKUP(E:E,笔记匹配!A:N,14,FALSE)</f>
        <v>云麦筋膜枪cc</v>
      </c>
      <c r="AF524" t="str">
        <f>VLOOKUP(E:E,笔记匹配!A:N,6,FALSE)</f>
        <v>筋膜枪有效放松|顽固肌肉腿有救了🦵</v>
      </c>
    </row>
    <row r="525" spans="1:32">
      <c r="A525" s="18" t="s">
        <v>78</v>
      </c>
      <c r="B525" s="18" t="s">
        <v>1150</v>
      </c>
      <c r="C525" s="19">
        <v>18043601</v>
      </c>
      <c r="D525" s="18" t="s">
        <v>196</v>
      </c>
      <c r="E525" s="18" t="s">
        <v>549</v>
      </c>
      <c r="F525" s="18" t="s">
        <v>1151</v>
      </c>
      <c r="G525" s="19">
        <v>3580226</v>
      </c>
      <c r="H525" s="18" t="s">
        <v>1152</v>
      </c>
      <c r="I525" s="19">
        <v>2965480</v>
      </c>
      <c r="J525" s="18" t="s">
        <v>1015</v>
      </c>
      <c r="K525" s="19">
        <v>211.17</v>
      </c>
      <c r="L525" s="19">
        <v>3253</v>
      </c>
      <c r="M525" s="19">
        <v>328</v>
      </c>
      <c r="N525" s="20">
        <v>0.1008</v>
      </c>
      <c r="O525" s="19">
        <v>0.64</v>
      </c>
      <c r="P525" s="19">
        <v>64.92</v>
      </c>
      <c r="Q525" s="19">
        <v>3</v>
      </c>
      <c r="R525" s="19">
        <v>0</v>
      </c>
      <c r="S525" s="19">
        <v>1</v>
      </c>
      <c r="T525" s="19">
        <v>0</v>
      </c>
      <c r="U525" s="19">
        <v>0</v>
      </c>
      <c r="V525" s="19">
        <v>4</v>
      </c>
      <c r="W525" s="19">
        <v>52.79</v>
      </c>
      <c r="X525" s="19">
        <v>0</v>
      </c>
      <c r="Y525" s="20">
        <v>0</v>
      </c>
      <c r="Z525" s="19">
        <v>1</v>
      </c>
      <c r="AA525" s="19">
        <v>0</v>
      </c>
      <c r="AB525" t="str">
        <f>VLOOKUP(E:E,笔记匹配!A:N,3,FALSE)</f>
        <v>爽姐腿特长</v>
      </c>
      <c r="AC525" t="str">
        <f>VLOOKUP(E:E,笔记匹配!A:N,2,FALSE)</f>
        <v>筋膜枪</v>
      </c>
      <c r="AD525" t="str">
        <f>VLOOKUP(E:E,笔记匹配!A:N,4,FALSE)</f>
        <v>云麦筋膜枪cc</v>
      </c>
      <c r="AE525" t="str">
        <f>VLOOKUP(E:E,笔记匹配!A:N,14,FALSE)</f>
        <v>云麦筋膜枪cc</v>
      </c>
      <c r="AF525" t="str">
        <f>VLOOKUP(E:E,笔记匹配!A:N,6,FALSE)</f>
        <v>筋膜枪有效放松|顽固肌肉腿有救了🦵</v>
      </c>
    </row>
    <row r="526" spans="1:32">
      <c r="A526" s="18" t="s">
        <v>78</v>
      </c>
      <c r="B526" s="18" t="s">
        <v>1155</v>
      </c>
      <c r="C526" s="19">
        <v>18044011</v>
      </c>
      <c r="D526" s="18" t="s">
        <v>196</v>
      </c>
      <c r="E526" s="18" t="s">
        <v>234</v>
      </c>
      <c r="F526" s="18" t="s">
        <v>1156</v>
      </c>
      <c r="G526" s="19">
        <v>3580433</v>
      </c>
      <c r="H526" s="18" t="s">
        <v>1157</v>
      </c>
      <c r="I526" s="19">
        <v>2965681</v>
      </c>
      <c r="J526" s="18" t="s">
        <v>1015</v>
      </c>
      <c r="K526" s="19">
        <v>0</v>
      </c>
      <c r="L526" s="19">
        <v>0</v>
      </c>
      <c r="M526" s="19">
        <v>0</v>
      </c>
      <c r="N526" s="20">
        <v>0</v>
      </c>
      <c r="O526" s="19">
        <v>0</v>
      </c>
      <c r="P526" s="19">
        <v>0</v>
      </c>
      <c r="Q526" s="19">
        <v>0</v>
      </c>
      <c r="R526" s="19">
        <v>0</v>
      </c>
      <c r="S526" s="19">
        <v>0</v>
      </c>
      <c r="T526" s="19">
        <v>0</v>
      </c>
      <c r="U526" s="19">
        <v>0</v>
      </c>
      <c r="V526" s="19">
        <v>0</v>
      </c>
      <c r="W526" s="19">
        <v>0</v>
      </c>
      <c r="X526" s="19">
        <v>0</v>
      </c>
      <c r="Y526" s="20">
        <v>0</v>
      </c>
      <c r="Z526" s="19">
        <v>0</v>
      </c>
      <c r="AA526" s="19">
        <v>0</v>
      </c>
      <c r="AB526" t="str">
        <f>VLOOKUP(E:E,笔记匹配!A:N,3,FALSE)</f>
        <v>pp</v>
      </c>
      <c r="AC526" t="str">
        <f>VLOOKUP(E:E,笔记匹配!A:N,2,FALSE)</f>
        <v>体脂秤</v>
      </c>
      <c r="AD526" t="str">
        <f>VLOOKUP(E:E,笔记匹配!A:N,4,FALSE)</f>
        <v>云麦体脂秤3mini</v>
      </c>
      <c r="AE526" t="str">
        <f>VLOOKUP(E:E,笔记匹配!A:N,14,FALSE)</f>
        <v>云麦体脂秤3mini</v>
      </c>
      <c r="AF526" t="str">
        <f>VLOOKUP(E:E,笔记匹配!A:N,6,FALSE)</f>
        <v>110到88 一些减肥小建议｜如何正确运动</v>
      </c>
    </row>
    <row r="527" spans="1:32">
      <c r="A527" s="18" t="s">
        <v>78</v>
      </c>
      <c r="B527" s="18" t="s">
        <v>1161</v>
      </c>
      <c r="C527" s="19">
        <v>18085273</v>
      </c>
      <c r="D527" s="18" t="s">
        <v>209</v>
      </c>
      <c r="E527" s="18" t="s">
        <v>296</v>
      </c>
      <c r="F527" s="18" t="s">
        <v>1162</v>
      </c>
      <c r="G527" s="19">
        <v>3600311</v>
      </c>
      <c r="H527" s="18" t="s">
        <v>1163</v>
      </c>
      <c r="I527" s="19">
        <v>2985865</v>
      </c>
      <c r="J527" s="18" t="s">
        <v>1015</v>
      </c>
      <c r="K527" s="19">
        <v>302.83</v>
      </c>
      <c r="L527" s="19">
        <v>36031</v>
      </c>
      <c r="M527" s="19">
        <v>1557</v>
      </c>
      <c r="N527" s="20">
        <v>0.0432</v>
      </c>
      <c r="O527" s="19">
        <v>0.19</v>
      </c>
      <c r="P527" s="19">
        <v>8.4</v>
      </c>
      <c r="Q527" s="19">
        <v>78</v>
      </c>
      <c r="R527" s="19">
        <v>4</v>
      </c>
      <c r="S527" s="19">
        <v>32</v>
      </c>
      <c r="T527" s="19">
        <v>0</v>
      </c>
      <c r="U527" s="19">
        <v>6</v>
      </c>
      <c r="V527" s="19">
        <v>120</v>
      </c>
      <c r="W527" s="19">
        <v>2.52</v>
      </c>
      <c r="X527" s="19">
        <v>25</v>
      </c>
      <c r="Y527" s="20">
        <v>0.0161</v>
      </c>
      <c r="Z527" s="19">
        <v>15</v>
      </c>
      <c r="AA527" s="19">
        <v>3</v>
      </c>
      <c r="AB527" t="str">
        <f>VLOOKUP(E:E,笔记匹配!A:N,3,FALSE)</f>
        <v>元气芥末酱</v>
      </c>
      <c r="AC527" t="str">
        <f>VLOOKUP(E:E,笔记匹配!A:N,2,FALSE)</f>
        <v>筋膜枪</v>
      </c>
      <c r="AD527" t="str">
        <f>VLOOKUP(E:E,笔记匹配!A:N,4,FALSE)</f>
        <v>云麦筋膜枪PB2</v>
      </c>
      <c r="AE527" t="str">
        <f>VLOOKUP(E:E,笔记匹配!A:N,14,FALSE)</f>
        <v>云麦筋膜枪pb2</v>
      </c>
      <c r="AF527" t="str">
        <f>VLOOKUP(E:E,笔记匹配!A:N,6,FALSE)</f>
        <v>小腿粗的姐妹信我！肌肉腿就要这样按！</v>
      </c>
    </row>
    <row r="528" spans="1:32">
      <c r="A528" s="18" t="s">
        <v>79</v>
      </c>
      <c r="B528" s="18" t="s">
        <v>1161</v>
      </c>
      <c r="C528" s="19">
        <v>18085273</v>
      </c>
      <c r="D528" s="18" t="s">
        <v>209</v>
      </c>
      <c r="E528" s="18" t="s">
        <v>296</v>
      </c>
      <c r="F528" s="18" t="s">
        <v>1162</v>
      </c>
      <c r="G528" s="19">
        <v>3600311</v>
      </c>
      <c r="H528" s="18" t="s">
        <v>1163</v>
      </c>
      <c r="I528" s="19">
        <v>2985865</v>
      </c>
      <c r="J528" s="18" t="s">
        <v>1015</v>
      </c>
      <c r="K528" s="19">
        <v>448.72</v>
      </c>
      <c r="L528" s="19">
        <v>47494</v>
      </c>
      <c r="M528" s="19">
        <v>2379</v>
      </c>
      <c r="N528" s="20">
        <v>0.0501</v>
      </c>
      <c r="O528" s="19">
        <v>0.19</v>
      </c>
      <c r="P528" s="19">
        <v>9.45</v>
      </c>
      <c r="Q528" s="19">
        <v>89</v>
      </c>
      <c r="R528" s="19">
        <v>1</v>
      </c>
      <c r="S528" s="19">
        <v>46</v>
      </c>
      <c r="T528" s="19">
        <v>1</v>
      </c>
      <c r="U528" s="19">
        <v>8</v>
      </c>
      <c r="V528" s="19">
        <v>145</v>
      </c>
      <c r="W528" s="19">
        <v>3.09</v>
      </c>
      <c r="X528" s="19">
        <v>37</v>
      </c>
      <c r="Y528" s="20">
        <v>0.0156</v>
      </c>
      <c r="Z528" s="19">
        <v>5</v>
      </c>
      <c r="AA528" s="19">
        <v>3</v>
      </c>
      <c r="AB528" t="str">
        <f>VLOOKUP(E:E,笔记匹配!A:N,3,FALSE)</f>
        <v>元气芥末酱</v>
      </c>
      <c r="AC528" t="str">
        <f>VLOOKUP(E:E,笔记匹配!A:N,2,FALSE)</f>
        <v>筋膜枪</v>
      </c>
      <c r="AD528" t="str">
        <f>VLOOKUP(E:E,笔记匹配!A:N,4,FALSE)</f>
        <v>云麦筋膜枪PB2</v>
      </c>
      <c r="AE528" t="str">
        <f>VLOOKUP(E:E,笔记匹配!A:N,14,FALSE)</f>
        <v>云麦筋膜枪pb2</v>
      </c>
      <c r="AF528" t="str">
        <f>VLOOKUP(E:E,笔记匹配!A:N,6,FALSE)</f>
        <v>小腿粗的姐妹信我！肌肉腿就要这样按！</v>
      </c>
    </row>
    <row r="529" spans="1:32">
      <c r="A529" s="18" t="s">
        <v>79</v>
      </c>
      <c r="B529" s="18" t="s">
        <v>1164</v>
      </c>
      <c r="C529" s="19">
        <v>18170615</v>
      </c>
      <c r="D529" s="18" t="s">
        <v>209</v>
      </c>
      <c r="E529" s="18" t="s">
        <v>205</v>
      </c>
      <c r="F529" s="18" t="s">
        <v>1165</v>
      </c>
      <c r="G529" s="19">
        <v>3639848</v>
      </c>
      <c r="H529" s="18" t="s">
        <v>1166</v>
      </c>
      <c r="I529" s="19">
        <v>3024741</v>
      </c>
      <c r="J529" s="18" t="s">
        <v>1015</v>
      </c>
      <c r="K529" s="19">
        <v>508.5</v>
      </c>
      <c r="L529" s="19">
        <v>108888</v>
      </c>
      <c r="M529" s="19">
        <v>4700</v>
      </c>
      <c r="N529" s="20">
        <v>0.0432</v>
      </c>
      <c r="O529" s="19">
        <v>0.11</v>
      </c>
      <c r="P529" s="19">
        <v>4.67</v>
      </c>
      <c r="Q529" s="19">
        <v>256</v>
      </c>
      <c r="R529" s="19">
        <v>0</v>
      </c>
      <c r="S529" s="19">
        <v>176</v>
      </c>
      <c r="T529" s="19">
        <v>16</v>
      </c>
      <c r="U529" s="19">
        <v>8</v>
      </c>
      <c r="V529" s="19">
        <v>456</v>
      </c>
      <c r="W529" s="19">
        <v>1.12</v>
      </c>
      <c r="X529" s="19">
        <v>0</v>
      </c>
      <c r="Y529" s="20">
        <v>0</v>
      </c>
      <c r="Z529" s="19">
        <v>3</v>
      </c>
      <c r="AA529" s="19">
        <v>8</v>
      </c>
      <c r="AB529" t="str">
        <f>VLOOKUP(E:E,笔记匹配!A:N,3,FALSE)</f>
        <v>马可乐cora</v>
      </c>
      <c r="AC529" t="str">
        <f>VLOOKUP(E:E,笔记匹配!A:N,2,FALSE)</f>
        <v>筋膜枪</v>
      </c>
      <c r="AD529" t="str">
        <f>VLOOKUP(E:E,笔记匹配!A:N,4,FALSE)</f>
        <v>云麦筋膜枪PB2</v>
      </c>
      <c r="AE529" t="str">
        <f>VLOOKUP(E:E,笔记匹配!A:N,14,FALSE)</f>
        <v>云麦筋膜枪pb2</v>
      </c>
      <c r="AF529" t="str">
        <f>VLOOKUP(E:E,笔记匹配!A:N,6,FALSE)</f>
        <v>跳操的姐妹听我的用筋膜枪放松下肢真的有用</v>
      </c>
    </row>
    <row r="530" spans="1:32">
      <c r="A530" s="18" t="s">
        <v>80</v>
      </c>
      <c r="B530" s="18" t="s">
        <v>1161</v>
      </c>
      <c r="C530" s="19">
        <v>18085273</v>
      </c>
      <c r="D530" s="18" t="s">
        <v>209</v>
      </c>
      <c r="E530" s="18" t="s">
        <v>296</v>
      </c>
      <c r="F530" s="18" t="s">
        <v>1162</v>
      </c>
      <c r="G530" s="19">
        <v>3600311</v>
      </c>
      <c r="H530" s="18" t="s">
        <v>1163</v>
      </c>
      <c r="I530" s="19">
        <v>2985865</v>
      </c>
      <c r="J530" s="18" t="s">
        <v>1015</v>
      </c>
      <c r="K530" s="19">
        <v>332.89</v>
      </c>
      <c r="L530" s="19">
        <v>33949</v>
      </c>
      <c r="M530" s="19">
        <v>1753</v>
      </c>
      <c r="N530" s="20">
        <v>0.0516</v>
      </c>
      <c r="O530" s="19">
        <v>0.19</v>
      </c>
      <c r="P530" s="19">
        <v>9.81</v>
      </c>
      <c r="Q530" s="19">
        <v>46</v>
      </c>
      <c r="R530" s="19">
        <v>1</v>
      </c>
      <c r="S530" s="19">
        <v>33</v>
      </c>
      <c r="T530" s="19">
        <v>0</v>
      </c>
      <c r="U530" s="19">
        <v>4</v>
      </c>
      <c r="V530" s="19">
        <v>84</v>
      </c>
      <c r="W530" s="19">
        <v>3.96</v>
      </c>
      <c r="X530" s="19">
        <v>12</v>
      </c>
      <c r="Y530" s="20">
        <v>0.0068</v>
      </c>
      <c r="Z530" s="19">
        <v>3</v>
      </c>
      <c r="AA530" s="19">
        <v>1</v>
      </c>
      <c r="AB530" t="str">
        <f>VLOOKUP(E:E,笔记匹配!A:N,3,FALSE)</f>
        <v>元气芥末酱</v>
      </c>
      <c r="AC530" t="str">
        <f>VLOOKUP(E:E,笔记匹配!A:N,2,FALSE)</f>
        <v>筋膜枪</v>
      </c>
      <c r="AD530" t="str">
        <f>VLOOKUP(E:E,笔记匹配!A:N,4,FALSE)</f>
        <v>云麦筋膜枪PB2</v>
      </c>
      <c r="AE530" t="str">
        <f>VLOOKUP(E:E,笔记匹配!A:N,14,FALSE)</f>
        <v>云麦筋膜枪pb2</v>
      </c>
      <c r="AF530" t="str">
        <f>VLOOKUP(E:E,笔记匹配!A:N,6,FALSE)</f>
        <v>小腿粗的姐妹信我！肌肉腿就要这样按！</v>
      </c>
    </row>
    <row r="531" spans="1:32">
      <c r="A531" s="18" t="s">
        <v>80</v>
      </c>
      <c r="B531" s="18" t="s">
        <v>1164</v>
      </c>
      <c r="C531" s="19">
        <v>18170615</v>
      </c>
      <c r="D531" s="18" t="s">
        <v>209</v>
      </c>
      <c r="E531" s="18" t="s">
        <v>205</v>
      </c>
      <c r="F531" s="18" t="s">
        <v>1165</v>
      </c>
      <c r="G531" s="19">
        <v>3639848</v>
      </c>
      <c r="H531" s="18" t="s">
        <v>1166</v>
      </c>
      <c r="I531" s="19">
        <v>3024741</v>
      </c>
      <c r="J531" s="18" t="s">
        <v>1015</v>
      </c>
      <c r="K531" s="19">
        <v>1011.77</v>
      </c>
      <c r="L531" s="19">
        <v>113907</v>
      </c>
      <c r="M531" s="19">
        <v>7402</v>
      </c>
      <c r="N531" s="20">
        <v>0.065</v>
      </c>
      <c r="O531" s="19">
        <v>0.14</v>
      </c>
      <c r="P531" s="19">
        <v>8.88</v>
      </c>
      <c r="Q531" s="19">
        <v>408</v>
      </c>
      <c r="R531" s="19">
        <v>0</v>
      </c>
      <c r="S531" s="19">
        <v>319</v>
      </c>
      <c r="T531" s="19">
        <v>35</v>
      </c>
      <c r="U531" s="19">
        <v>7</v>
      </c>
      <c r="V531" s="19">
        <v>769</v>
      </c>
      <c r="W531" s="19">
        <v>1.32</v>
      </c>
      <c r="X531" s="19">
        <v>0</v>
      </c>
      <c r="Y531" s="20">
        <v>0</v>
      </c>
      <c r="Z531" s="19">
        <v>5</v>
      </c>
      <c r="AA531" s="19">
        <v>10</v>
      </c>
      <c r="AB531" t="str">
        <f>VLOOKUP(E:E,笔记匹配!A:N,3,FALSE)</f>
        <v>马可乐cora</v>
      </c>
      <c r="AC531" t="str">
        <f>VLOOKUP(E:E,笔记匹配!A:N,2,FALSE)</f>
        <v>筋膜枪</v>
      </c>
      <c r="AD531" t="str">
        <f>VLOOKUP(E:E,笔记匹配!A:N,4,FALSE)</f>
        <v>云麦筋膜枪PB2</v>
      </c>
      <c r="AE531" t="str">
        <f>VLOOKUP(E:E,笔记匹配!A:N,14,FALSE)</f>
        <v>云麦筋膜枪pb2</v>
      </c>
      <c r="AF531" t="str">
        <f>VLOOKUP(E:E,笔记匹配!A:N,6,FALSE)</f>
        <v>跳操的姐妹听我的用筋膜枪放松下肢真的有用</v>
      </c>
    </row>
    <row r="532" spans="1:32">
      <c r="A532" s="18" t="s">
        <v>80</v>
      </c>
      <c r="B532" s="18" t="s">
        <v>1167</v>
      </c>
      <c r="C532" s="19">
        <v>18224197</v>
      </c>
      <c r="D532" s="18" t="s">
        <v>209</v>
      </c>
      <c r="E532" s="18" t="s">
        <v>300</v>
      </c>
      <c r="F532" s="18" t="s">
        <v>1168</v>
      </c>
      <c r="G532" s="19">
        <v>3665138</v>
      </c>
      <c r="H532" s="18" t="s">
        <v>1168</v>
      </c>
      <c r="I532" s="19">
        <v>3050231</v>
      </c>
      <c r="J532" s="18" t="s">
        <v>1015</v>
      </c>
      <c r="K532" s="19">
        <v>478.02</v>
      </c>
      <c r="L532" s="19">
        <v>99750</v>
      </c>
      <c r="M532" s="19">
        <v>3142</v>
      </c>
      <c r="N532" s="20">
        <v>0.0315</v>
      </c>
      <c r="O532" s="19">
        <v>0.15</v>
      </c>
      <c r="P532" s="19">
        <v>4.79</v>
      </c>
      <c r="Q532" s="19">
        <v>62</v>
      </c>
      <c r="R532" s="19">
        <v>9</v>
      </c>
      <c r="S532" s="19">
        <v>27</v>
      </c>
      <c r="T532" s="19">
        <v>8</v>
      </c>
      <c r="U532" s="19">
        <v>16</v>
      </c>
      <c r="V532" s="19">
        <v>122</v>
      </c>
      <c r="W532" s="19">
        <v>3.92</v>
      </c>
      <c r="X532" s="19">
        <v>0</v>
      </c>
      <c r="Y532" s="20">
        <v>0</v>
      </c>
      <c r="Z532" s="19">
        <v>4</v>
      </c>
      <c r="AA532" s="19">
        <v>1</v>
      </c>
      <c r="AB532" t="str">
        <f>VLOOKUP(E:E,笔记匹配!A:N,3,FALSE)</f>
        <v>朱俊畅</v>
      </c>
      <c r="AC532" t="str">
        <f>VLOOKUP(E:E,笔记匹配!A:N,2,FALSE)</f>
        <v>筋膜枪</v>
      </c>
      <c r="AD532" t="str">
        <f>VLOOKUP(E:E,笔记匹配!A:N,4,FALSE)</f>
        <v>云麦筋膜枪PB2</v>
      </c>
      <c r="AE532" t="str">
        <f>VLOOKUP(E:E,笔记匹配!A:N,14,FALSE)</f>
        <v>云麦筋膜枪pb2</v>
      </c>
      <c r="AF532" t="str">
        <f>VLOOKUP(E:E,笔记匹配!A:N,6,FALSE)</f>
        <v>打球完容易肌肉酸痛，筋膜枪放松更有效！</v>
      </c>
    </row>
    <row r="533" spans="1:32">
      <c r="A533" s="18" t="s">
        <v>81</v>
      </c>
      <c r="B533" s="18" t="s">
        <v>1161</v>
      </c>
      <c r="C533" s="19">
        <v>18085273</v>
      </c>
      <c r="D533" s="18" t="s">
        <v>209</v>
      </c>
      <c r="E533" s="18" t="s">
        <v>296</v>
      </c>
      <c r="F533" s="18" t="s">
        <v>1162</v>
      </c>
      <c r="G533" s="19">
        <v>3600311</v>
      </c>
      <c r="H533" s="18" t="s">
        <v>1163</v>
      </c>
      <c r="I533" s="19">
        <v>2985865</v>
      </c>
      <c r="J533" s="18" t="s">
        <v>1015</v>
      </c>
      <c r="K533" s="19">
        <v>351.67</v>
      </c>
      <c r="L533" s="19">
        <v>38026</v>
      </c>
      <c r="M533" s="19">
        <v>1790</v>
      </c>
      <c r="N533" s="20">
        <v>0.0471</v>
      </c>
      <c r="O533" s="19">
        <v>0.2</v>
      </c>
      <c r="P533" s="19">
        <v>9.25</v>
      </c>
      <c r="Q533" s="19">
        <v>73</v>
      </c>
      <c r="R533" s="19">
        <v>3</v>
      </c>
      <c r="S533" s="19">
        <v>22</v>
      </c>
      <c r="T533" s="19">
        <v>1</v>
      </c>
      <c r="U533" s="19">
        <v>5</v>
      </c>
      <c r="V533" s="19">
        <v>104</v>
      </c>
      <c r="W533" s="19">
        <v>3.38</v>
      </c>
      <c r="X533" s="19">
        <v>19</v>
      </c>
      <c r="Y533" s="20">
        <v>0.0106</v>
      </c>
      <c r="Z533" s="19">
        <v>2</v>
      </c>
      <c r="AA533" s="19">
        <v>1</v>
      </c>
      <c r="AB533" t="str">
        <f>VLOOKUP(E:E,笔记匹配!A:N,3,FALSE)</f>
        <v>元气芥末酱</v>
      </c>
      <c r="AC533" t="str">
        <f>VLOOKUP(E:E,笔记匹配!A:N,2,FALSE)</f>
        <v>筋膜枪</v>
      </c>
      <c r="AD533" t="str">
        <f>VLOOKUP(E:E,笔记匹配!A:N,4,FALSE)</f>
        <v>云麦筋膜枪PB2</v>
      </c>
      <c r="AE533" t="str">
        <f>VLOOKUP(E:E,笔记匹配!A:N,14,FALSE)</f>
        <v>云麦筋膜枪pb2</v>
      </c>
      <c r="AF533" t="str">
        <f>VLOOKUP(E:E,笔记匹配!A:N,6,FALSE)</f>
        <v>小腿粗的姐妹信我！肌肉腿就要这样按！</v>
      </c>
    </row>
    <row r="534" spans="1:32">
      <c r="A534" s="18" t="s">
        <v>81</v>
      </c>
      <c r="B534" s="18" t="s">
        <v>1164</v>
      </c>
      <c r="C534" s="19">
        <v>18170615</v>
      </c>
      <c r="D534" s="18" t="s">
        <v>209</v>
      </c>
      <c r="E534" s="18" t="s">
        <v>205</v>
      </c>
      <c r="F534" s="18" t="s">
        <v>1165</v>
      </c>
      <c r="G534" s="19">
        <v>3639848</v>
      </c>
      <c r="H534" s="18" t="s">
        <v>1166</v>
      </c>
      <c r="I534" s="19">
        <v>3024741</v>
      </c>
      <c r="J534" s="18" t="s">
        <v>1015</v>
      </c>
      <c r="K534" s="19">
        <v>983.87</v>
      </c>
      <c r="L534" s="19">
        <v>62452</v>
      </c>
      <c r="M534" s="19">
        <v>4313</v>
      </c>
      <c r="N534" s="20">
        <v>0.0691</v>
      </c>
      <c r="O534" s="19">
        <v>0.23</v>
      </c>
      <c r="P534" s="19">
        <v>15.75</v>
      </c>
      <c r="Q534" s="19">
        <v>273</v>
      </c>
      <c r="R534" s="19">
        <v>3</v>
      </c>
      <c r="S534" s="19">
        <v>228</v>
      </c>
      <c r="T534" s="19">
        <v>34</v>
      </c>
      <c r="U534" s="19">
        <v>8</v>
      </c>
      <c r="V534" s="19">
        <v>546</v>
      </c>
      <c r="W534" s="19">
        <v>1.8</v>
      </c>
      <c r="X534" s="19">
        <v>0</v>
      </c>
      <c r="Y534" s="20">
        <v>0</v>
      </c>
      <c r="Z534" s="19">
        <v>3</v>
      </c>
      <c r="AA534" s="19">
        <v>3</v>
      </c>
      <c r="AB534" t="str">
        <f>VLOOKUP(E:E,笔记匹配!A:N,3,FALSE)</f>
        <v>马可乐cora</v>
      </c>
      <c r="AC534" t="str">
        <f>VLOOKUP(E:E,笔记匹配!A:N,2,FALSE)</f>
        <v>筋膜枪</v>
      </c>
      <c r="AD534" t="str">
        <f>VLOOKUP(E:E,笔记匹配!A:N,4,FALSE)</f>
        <v>云麦筋膜枪PB2</v>
      </c>
      <c r="AE534" t="str">
        <f>VLOOKUP(E:E,笔记匹配!A:N,14,FALSE)</f>
        <v>云麦筋膜枪pb2</v>
      </c>
      <c r="AF534" t="str">
        <f>VLOOKUP(E:E,笔记匹配!A:N,6,FALSE)</f>
        <v>跳操的姐妹听我的用筋膜枪放松下肢真的有用</v>
      </c>
    </row>
    <row r="535" spans="1:32">
      <c r="A535" s="18" t="s">
        <v>81</v>
      </c>
      <c r="B535" s="18" t="s">
        <v>1167</v>
      </c>
      <c r="C535" s="19">
        <v>18224197</v>
      </c>
      <c r="D535" s="18" t="s">
        <v>209</v>
      </c>
      <c r="E535" s="18" t="s">
        <v>300</v>
      </c>
      <c r="F535" s="18" t="s">
        <v>1168</v>
      </c>
      <c r="G535" s="19">
        <v>3665138</v>
      </c>
      <c r="H535" s="18" t="s">
        <v>1168</v>
      </c>
      <c r="I535" s="19">
        <v>3050231</v>
      </c>
      <c r="J535" s="18" t="s">
        <v>1015</v>
      </c>
      <c r="K535" s="19">
        <v>465.24</v>
      </c>
      <c r="L535" s="19">
        <v>91049</v>
      </c>
      <c r="M535" s="19">
        <v>2390</v>
      </c>
      <c r="N535" s="20">
        <v>0.0262</v>
      </c>
      <c r="O535" s="19">
        <v>0.19</v>
      </c>
      <c r="P535" s="19">
        <v>5.11</v>
      </c>
      <c r="Q535" s="19">
        <v>52</v>
      </c>
      <c r="R535" s="19">
        <v>2</v>
      </c>
      <c r="S535" s="19">
        <v>18</v>
      </c>
      <c r="T535" s="19">
        <v>10</v>
      </c>
      <c r="U535" s="19">
        <v>3</v>
      </c>
      <c r="V535" s="19">
        <v>85</v>
      </c>
      <c r="W535" s="19">
        <v>5.47</v>
      </c>
      <c r="X535" s="19">
        <v>0</v>
      </c>
      <c r="Y535" s="20">
        <v>0</v>
      </c>
      <c r="Z535" s="19">
        <v>0</v>
      </c>
      <c r="AA535" s="19">
        <v>0</v>
      </c>
      <c r="AB535" t="str">
        <f>VLOOKUP(E:E,笔记匹配!A:N,3,FALSE)</f>
        <v>朱俊畅</v>
      </c>
      <c r="AC535" t="str">
        <f>VLOOKUP(E:E,笔记匹配!A:N,2,FALSE)</f>
        <v>筋膜枪</v>
      </c>
      <c r="AD535" t="str">
        <f>VLOOKUP(E:E,笔记匹配!A:N,4,FALSE)</f>
        <v>云麦筋膜枪PB2</v>
      </c>
      <c r="AE535" t="str">
        <f>VLOOKUP(E:E,笔记匹配!A:N,14,FALSE)</f>
        <v>云麦筋膜枪pb2</v>
      </c>
      <c r="AF535" t="str">
        <f>VLOOKUP(E:E,笔记匹配!A:N,6,FALSE)</f>
        <v>打球完容易肌肉酸痛，筋膜枪放松更有效！</v>
      </c>
    </row>
    <row r="536" spans="1:32">
      <c r="A536" s="18" t="s">
        <v>82</v>
      </c>
      <c r="B536" s="18" t="s">
        <v>1161</v>
      </c>
      <c r="C536" s="19">
        <v>18085273</v>
      </c>
      <c r="D536" s="18" t="s">
        <v>209</v>
      </c>
      <c r="E536" s="18" t="s">
        <v>296</v>
      </c>
      <c r="F536" s="18" t="s">
        <v>1162</v>
      </c>
      <c r="G536" s="19">
        <v>3600311</v>
      </c>
      <c r="H536" s="18" t="s">
        <v>1163</v>
      </c>
      <c r="I536" s="19">
        <v>2985865</v>
      </c>
      <c r="J536" s="18" t="s">
        <v>1015</v>
      </c>
      <c r="K536" s="19">
        <v>497.18</v>
      </c>
      <c r="L536" s="19">
        <v>59700</v>
      </c>
      <c r="M536" s="19">
        <v>2968</v>
      </c>
      <c r="N536" s="20">
        <v>0.0497</v>
      </c>
      <c r="O536" s="19">
        <v>0.17</v>
      </c>
      <c r="P536" s="19">
        <v>8.33</v>
      </c>
      <c r="Q536" s="19">
        <v>86</v>
      </c>
      <c r="R536" s="19">
        <v>2</v>
      </c>
      <c r="S536" s="19">
        <v>27</v>
      </c>
      <c r="T536" s="19">
        <v>2</v>
      </c>
      <c r="U536" s="19">
        <v>4</v>
      </c>
      <c r="V536" s="19">
        <v>121</v>
      </c>
      <c r="W536" s="19">
        <v>4.11</v>
      </c>
      <c r="X536" s="19">
        <v>26</v>
      </c>
      <c r="Y536" s="20">
        <v>0.0088</v>
      </c>
      <c r="Z536" s="19">
        <v>4</v>
      </c>
      <c r="AA536" s="19">
        <v>4</v>
      </c>
      <c r="AB536" t="str">
        <f>VLOOKUP(E:E,笔记匹配!A:N,3,FALSE)</f>
        <v>元气芥末酱</v>
      </c>
      <c r="AC536" t="str">
        <f>VLOOKUP(E:E,笔记匹配!A:N,2,FALSE)</f>
        <v>筋膜枪</v>
      </c>
      <c r="AD536" t="str">
        <f>VLOOKUP(E:E,笔记匹配!A:N,4,FALSE)</f>
        <v>云麦筋膜枪PB2</v>
      </c>
      <c r="AE536" t="str">
        <f>VLOOKUP(E:E,笔记匹配!A:N,14,FALSE)</f>
        <v>云麦筋膜枪pb2</v>
      </c>
      <c r="AF536" t="str">
        <f>VLOOKUP(E:E,笔记匹配!A:N,6,FALSE)</f>
        <v>小腿粗的姐妹信我！肌肉腿就要这样按！</v>
      </c>
    </row>
    <row r="537" spans="1:32">
      <c r="A537" s="18" t="s">
        <v>82</v>
      </c>
      <c r="B537" s="18" t="s">
        <v>1164</v>
      </c>
      <c r="C537" s="19">
        <v>18170615</v>
      </c>
      <c r="D537" s="18" t="s">
        <v>209</v>
      </c>
      <c r="E537" s="18" t="s">
        <v>205</v>
      </c>
      <c r="F537" s="18" t="s">
        <v>1165</v>
      </c>
      <c r="G537" s="19">
        <v>3639848</v>
      </c>
      <c r="H537" s="18" t="s">
        <v>1166</v>
      </c>
      <c r="I537" s="19">
        <v>3024741</v>
      </c>
      <c r="J537" s="18" t="s">
        <v>1015</v>
      </c>
      <c r="K537" s="19">
        <v>971.03</v>
      </c>
      <c r="L537" s="19">
        <v>71038</v>
      </c>
      <c r="M537" s="19">
        <v>4988</v>
      </c>
      <c r="N537" s="20">
        <v>0.0702</v>
      </c>
      <c r="O537" s="19">
        <v>0.19</v>
      </c>
      <c r="P537" s="19">
        <v>13.67</v>
      </c>
      <c r="Q537" s="19">
        <v>284</v>
      </c>
      <c r="R537" s="19">
        <v>2</v>
      </c>
      <c r="S537" s="19">
        <v>204</v>
      </c>
      <c r="T537" s="19">
        <v>32</v>
      </c>
      <c r="U537" s="19">
        <v>11</v>
      </c>
      <c r="V537" s="19">
        <v>533</v>
      </c>
      <c r="W537" s="19">
        <v>1.82</v>
      </c>
      <c r="X537" s="19">
        <v>0</v>
      </c>
      <c r="Y537" s="20">
        <v>0</v>
      </c>
      <c r="Z537" s="19">
        <v>8</v>
      </c>
      <c r="AA537" s="19">
        <v>3</v>
      </c>
      <c r="AB537" t="str">
        <f>VLOOKUP(E:E,笔记匹配!A:N,3,FALSE)</f>
        <v>马可乐cora</v>
      </c>
      <c r="AC537" t="str">
        <f>VLOOKUP(E:E,笔记匹配!A:N,2,FALSE)</f>
        <v>筋膜枪</v>
      </c>
      <c r="AD537" t="str">
        <f>VLOOKUP(E:E,笔记匹配!A:N,4,FALSE)</f>
        <v>云麦筋膜枪PB2</v>
      </c>
      <c r="AE537" t="str">
        <f>VLOOKUP(E:E,笔记匹配!A:N,14,FALSE)</f>
        <v>云麦筋膜枪pb2</v>
      </c>
      <c r="AF537" t="str">
        <f>VLOOKUP(E:E,笔记匹配!A:N,6,FALSE)</f>
        <v>跳操的姐妹听我的用筋膜枪放松下肢真的有用</v>
      </c>
    </row>
    <row r="538" spans="1:32">
      <c r="A538" s="18" t="s">
        <v>82</v>
      </c>
      <c r="B538" s="18" t="s">
        <v>1167</v>
      </c>
      <c r="C538" s="19">
        <v>18224197</v>
      </c>
      <c r="D538" s="18" t="s">
        <v>209</v>
      </c>
      <c r="E538" s="18" t="s">
        <v>300</v>
      </c>
      <c r="F538" s="18" t="s">
        <v>1168</v>
      </c>
      <c r="G538" s="19">
        <v>3665138</v>
      </c>
      <c r="H538" s="18" t="s">
        <v>1168</v>
      </c>
      <c r="I538" s="19">
        <v>3050231</v>
      </c>
      <c r="J538" s="18" t="s">
        <v>1015</v>
      </c>
      <c r="K538" s="19">
        <v>498.67</v>
      </c>
      <c r="L538" s="19">
        <v>77297</v>
      </c>
      <c r="M538" s="19">
        <v>2511</v>
      </c>
      <c r="N538" s="20">
        <v>0.0325</v>
      </c>
      <c r="O538" s="19">
        <v>0.2</v>
      </c>
      <c r="P538" s="19">
        <v>6.45</v>
      </c>
      <c r="Q538" s="19">
        <v>61</v>
      </c>
      <c r="R538" s="19">
        <v>3</v>
      </c>
      <c r="S538" s="19">
        <v>15</v>
      </c>
      <c r="T538" s="19">
        <v>12</v>
      </c>
      <c r="U538" s="19">
        <v>4</v>
      </c>
      <c r="V538" s="19">
        <v>95</v>
      </c>
      <c r="W538" s="19">
        <v>5.25</v>
      </c>
      <c r="X538" s="19">
        <v>0</v>
      </c>
      <c r="Y538" s="20">
        <v>0</v>
      </c>
      <c r="Z538" s="19">
        <v>2</v>
      </c>
      <c r="AA538" s="19">
        <v>4</v>
      </c>
      <c r="AB538" t="str">
        <f>VLOOKUP(E:E,笔记匹配!A:N,3,FALSE)</f>
        <v>朱俊畅</v>
      </c>
      <c r="AC538" t="str">
        <f>VLOOKUP(E:E,笔记匹配!A:N,2,FALSE)</f>
        <v>筋膜枪</v>
      </c>
      <c r="AD538" t="str">
        <f>VLOOKUP(E:E,笔记匹配!A:N,4,FALSE)</f>
        <v>云麦筋膜枪PB2</v>
      </c>
      <c r="AE538" t="str">
        <f>VLOOKUP(E:E,笔记匹配!A:N,14,FALSE)</f>
        <v>云麦筋膜枪pb2</v>
      </c>
      <c r="AF538" t="str">
        <f>VLOOKUP(E:E,笔记匹配!A:N,6,FALSE)</f>
        <v>打球完容易肌肉酸痛，筋膜枪放松更有效！</v>
      </c>
    </row>
    <row r="539" spans="1:32">
      <c r="A539" s="18" t="s">
        <v>83</v>
      </c>
      <c r="B539" s="18" t="s">
        <v>1161</v>
      </c>
      <c r="C539" s="19">
        <v>18085273</v>
      </c>
      <c r="D539" s="18" t="s">
        <v>209</v>
      </c>
      <c r="E539" s="18" t="s">
        <v>296</v>
      </c>
      <c r="F539" s="18" t="s">
        <v>1162</v>
      </c>
      <c r="G539" s="19">
        <v>3600311</v>
      </c>
      <c r="H539" s="18" t="s">
        <v>1163</v>
      </c>
      <c r="I539" s="19">
        <v>2985865</v>
      </c>
      <c r="J539" s="18" t="s">
        <v>1015</v>
      </c>
      <c r="K539" s="19">
        <v>493.29</v>
      </c>
      <c r="L539" s="19">
        <v>57106</v>
      </c>
      <c r="M539" s="19">
        <v>2666</v>
      </c>
      <c r="N539" s="20">
        <v>0.0467</v>
      </c>
      <c r="O539" s="19">
        <v>0.19</v>
      </c>
      <c r="P539" s="19">
        <v>8.64</v>
      </c>
      <c r="Q539" s="19">
        <v>86</v>
      </c>
      <c r="R539" s="19">
        <v>2</v>
      </c>
      <c r="S539" s="19">
        <v>42</v>
      </c>
      <c r="T539" s="19">
        <v>1</v>
      </c>
      <c r="U539" s="19">
        <v>4</v>
      </c>
      <c r="V539" s="19">
        <v>135</v>
      </c>
      <c r="W539" s="19">
        <v>3.65</v>
      </c>
      <c r="X539" s="19">
        <v>22</v>
      </c>
      <c r="Y539" s="20">
        <v>0.0083</v>
      </c>
      <c r="Z539" s="19">
        <v>6</v>
      </c>
      <c r="AA539" s="19">
        <v>17</v>
      </c>
      <c r="AB539" t="str">
        <f>VLOOKUP(E:E,笔记匹配!A:N,3,FALSE)</f>
        <v>元气芥末酱</v>
      </c>
      <c r="AC539" t="str">
        <f>VLOOKUP(E:E,笔记匹配!A:N,2,FALSE)</f>
        <v>筋膜枪</v>
      </c>
      <c r="AD539" t="str">
        <f>VLOOKUP(E:E,笔记匹配!A:N,4,FALSE)</f>
        <v>云麦筋膜枪PB2</v>
      </c>
      <c r="AE539" t="str">
        <f>VLOOKUP(E:E,笔记匹配!A:N,14,FALSE)</f>
        <v>云麦筋膜枪pb2</v>
      </c>
      <c r="AF539" t="str">
        <f>VLOOKUP(E:E,笔记匹配!A:N,6,FALSE)</f>
        <v>小腿粗的姐妹信我！肌肉腿就要这样按！</v>
      </c>
    </row>
    <row r="540" spans="1:32">
      <c r="A540" s="18" t="s">
        <v>83</v>
      </c>
      <c r="B540" s="18" t="s">
        <v>1164</v>
      </c>
      <c r="C540" s="19">
        <v>18170615</v>
      </c>
      <c r="D540" s="18" t="s">
        <v>209</v>
      </c>
      <c r="E540" s="18" t="s">
        <v>205</v>
      </c>
      <c r="F540" s="18" t="s">
        <v>1165</v>
      </c>
      <c r="G540" s="19">
        <v>3639848</v>
      </c>
      <c r="H540" s="18" t="s">
        <v>1166</v>
      </c>
      <c r="I540" s="19">
        <v>3024741</v>
      </c>
      <c r="J540" s="18" t="s">
        <v>1015</v>
      </c>
      <c r="K540" s="19">
        <v>1419.37</v>
      </c>
      <c r="L540" s="19">
        <v>103125</v>
      </c>
      <c r="M540" s="19">
        <v>6900</v>
      </c>
      <c r="N540" s="20">
        <v>0.0669</v>
      </c>
      <c r="O540" s="19">
        <v>0.21</v>
      </c>
      <c r="P540" s="19">
        <v>13.76</v>
      </c>
      <c r="Q540" s="19">
        <v>397</v>
      </c>
      <c r="R540" s="19">
        <v>3</v>
      </c>
      <c r="S540" s="19">
        <v>306</v>
      </c>
      <c r="T540" s="19">
        <v>48</v>
      </c>
      <c r="U540" s="19">
        <v>17</v>
      </c>
      <c r="V540" s="19">
        <v>771</v>
      </c>
      <c r="W540" s="19">
        <v>1.84</v>
      </c>
      <c r="X540" s="19">
        <v>0</v>
      </c>
      <c r="Y540" s="20">
        <v>0</v>
      </c>
      <c r="Z540" s="19">
        <v>5</v>
      </c>
      <c r="AA540" s="19">
        <v>6</v>
      </c>
      <c r="AB540" t="str">
        <f>VLOOKUP(E:E,笔记匹配!A:N,3,FALSE)</f>
        <v>马可乐cora</v>
      </c>
      <c r="AC540" t="str">
        <f>VLOOKUP(E:E,笔记匹配!A:N,2,FALSE)</f>
        <v>筋膜枪</v>
      </c>
      <c r="AD540" t="str">
        <f>VLOOKUP(E:E,笔记匹配!A:N,4,FALSE)</f>
        <v>云麦筋膜枪PB2</v>
      </c>
      <c r="AE540" t="str">
        <f>VLOOKUP(E:E,笔记匹配!A:N,14,FALSE)</f>
        <v>云麦筋膜枪pb2</v>
      </c>
      <c r="AF540" t="str">
        <f>VLOOKUP(E:E,笔记匹配!A:N,6,FALSE)</f>
        <v>跳操的姐妹听我的用筋膜枪放松下肢真的有用</v>
      </c>
    </row>
    <row r="541" spans="1:32">
      <c r="A541" s="18" t="s">
        <v>83</v>
      </c>
      <c r="B541" s="18" t="s">
        <v>1167</v>
      </c>
      <c r="C541" s="19">
        <v>18224197</v>
      </c>
      <c r="D541" s="18" t="s">
        <v>209</v>
      </c>
      <c r="E541" s="18" t="s">
        <v>300</v>
      </c>
      <c r="F541" s="18" t="s">
        <v>1168</v>
      </c>
      <c r="G541" s="19">
        <v>3665138</v>
      </c>
      <c r="H541" s="18" t="s">
        <v>1168</v>
      </c>
      <c r="I541" s="19">
        <v>3050231</v>
      </c>
      <c r="J541" s="18" t="s">
        <v>1015</v>
      </c>
      <c r="K541" s="19">
        <v>471.68</v>
      </c>
      <c r="L541" s="19">
        <v>72295</v>
      </c>
      <c r="M541" s="19">
        <v>2381</v>
      </c>
      <c r="N541" s="20">
        <v>0.0329</v>
      </c>
      <c r="O541" s="19">
        <v>0.2</v>
      </c>
      <c r="P541" s="19">
        <v>6.52</v>
      </c>
      <c r="Q541" s="19">
        <v>56</v>
      </c>
      <c r="R541" s="19">
        <v>4</v>
      </c>
      <c r="S541" s="19">
        <v>16</v>
      </c>
      <c r="T541" s="19">
        <v>11</v>
      </c>
      <c r="U541" s="19">
        <v>7</v>
      </c>
      <c r="V541" s="19">
        <v>94</v>
      </c>
      <c r="W541" s="19">
        <v>5.02</v>
      </c>
      <c r="X541" s="19">
        <v>0</v>
      </c>
      <c r="Y541" s="20">
        <v>0</v>
      </c>
      <c r="Z541" s="19">
        <v>1</v>
      </c>
      <c r="AA541" s="19">
        <v>1</v>
      </c>
      <c r="AB541" t="str">
        <f>VLOOKUP(E:E,笔记匹配!A:N,3,FALSE)</f>
        <v>朱俊畅</v>
      </c>
      <c r="AC541" t="str">
        <f>VLOOKUP(E:E,笔记匹配!A:N,2,FALSE)</f>
        <v>筋膜枪</v>
      </c>
      <c r="AD541" t="str">
        <f>VLOOKUP(E:E,笔记匹配!A:N,4,FALSE)</f>
        <v>云麦筋膜枪PB2</v>
      </c>
      <c r="AE541" t="str">
        <f>VLOOKUP(E:E,笔记匹配!A:N,14,FALSE)</f>
        <v>云麦筋膜枪pb2</v>
      </c>
      <c r="AF541" t="str">
        <f>VLOOKUP(E:E,笔记匹配!A:N,6,FALSE)</f>
        <v>打球完容易肌肉酸痛，筋膜枪放松更有效！</v>
      </c>
    </row>
    <row r="542" spans="1:32">
      <c r="A542" s="18" t="s">
        <v>84</v>
      </c>
      <c r="B542" s="18" t="s">
        <v>1161</v>
      </c>
      <c r="C542" s="19">
        <v>18085273</v>
      </c>
      <c r="D542" s="18" t="s">
        <v>209</v>
      </c>
      <c r="E542" s="18" t="s">
        <v>296</v>
      </c>
      <c r="F542" s="18" t="s">
        <v>1162</v>
      </c>
      <c r="G542" s="19">
        <v>3600311</v>
      </c>
      <c r="H542" s="18" t="s">
        <v>1163</v>
      </c>
      <c r="I542" s="19">
        <v>2985865</v>
      </c>
      <c r="J542" s="18" t="s">
        <v>1015</v>
      </c>
      <c r="K542" s="19">
        <v>496.45</v>
      </c>
      <c r="L542" s="19">
        <v>52741</v>
      </c>
      <c r="M542" s="19">
        <v>2317</v>
      </c>
      <c r="N542" s="20">
        <v>0.0439</v>
      </c>
      <c r="O542" s="19">
        <v>0.21</v>
      </c>
      <c r="P542" s="19">
        <v>9.41</v>
      </c>
      <c r="Q542" s="19">
        <v>71</v>
      </c>
      <c r="R542" s="19">
        <v>2</v>
      </c>
      <c r="S542" s="19">
        <v>32</v>
      </c>
      <c r="T542" s="19">
        <v>0</v>
      </c>
      <c r="U542" s="19">
        <v>4</v>
      </c>
      <c r="V542" s="19">
        <v>109</v>
      </c>
      <c r="W542" s="19">
        <v>4.55</v>
      </c>
      <c r="X542" s="19">
        <v>22</v>
      </c>
      <c r="Y542" s="20">
        <v>0.0095</v>
      </c>
      <c r="Z542" s="19">
        <v>1</v>
      </c>
      <c r="AA542" s="19">
        <v>5</v>
      </c>
      <c r="AB542" t="str">
        <f>VLOOKUP(E:E,笔记匹配!A:N,3,FALSE)</f>
        <v>元气芥末酱</v>
      </c>
      <c r="AC542" t="str">
        <f>VLOOKUP(E:E,笔记匹配!A:N,2,FALSE)</f>
        <v>筋膜枪</v>
      </c>
      <c r="AD542" t="str">
        <f>VLOOKUP(E:E,笔记匹配!A:N,4,FALSE)</f>
        <v>云麦筋膜枪PB2</v>
      </c>
      <c r="AE542" t="str">
        <f>VLOOKUP(E:E,笔记匹配!A:N,14,FALSE)</f>
        <v>云麦筋膜枪pb2</v>
      </c>
      <c r="AF542" t="str">
        <f>VLOOKUP(E:E,笔记匹配!A:N,6,FALSE)</f>
        <v>小腿粗的姐妹信我！肌肉腿就要这样按！</v>
      </c>
    </row>
    <row r="543" spans="1:32">
      <c r="A543" s="18" t="s">
        <v>84</v>
      </c>
      <c r="B543" s="18" t="s">
        <v>1164</v>
      </c>
      <c r="C543" s="19">
        <v>18170615</v>
      </c>
      <c r="D543" s="18" t="s">
        <v>209</v>
      </c>
      <c r="E543" s="18" t="s">
        <v>205</v>
      </c>
      <c r="F543" s="18" t="s">
        <v>1165</v>
      </c>
      <c r="G543" s="19">
        <v>3639848</v>
      </c>
      <c r="H543" s="18" t="s">
        <v>1166</v>
      </c>
      <c r="I543" s="19">
        <v>3024741</v>
      </c>
      <c r="J543" s="18" t="s">
        <v>1015</v>
      </c>
      <c r="K543" s="19">
        <v>1950.34</v>
      </c>
      <c r="L543" s="19">
        <v>126911</v>
      </c>
      <c r="M543" s="19">
        <v>7533</v>
      </c>
      <c r="N543" s="20">
        <v>0.0594</v>
      </c>
      <c r="O543" s="19">
        <v>0.26</v>
      </c>
      <c r="P543" s="19">
        <v>15.37</v>
      </c>
      <c r="Q543" s="19">
        <v>492</v>
      </c>
      <c r="R543" s="19">
        <v>4</v>
      </c>
      <c r="S543" s="19">
        <v>425</v>
      </c>
      <c r="T543" s="19">
        <v>44</v>
      </c>
      <c r="U543" s="19">
        <v>7</v>
      </c>
      <c r="V543" s="19">
        <v>972</v>
      </c>
      <c r="W543" s="19">
        <v>2.01</v>
      </c>
      <c r="X543" s="19">
        <v>0</v>
      </c>
      <c r="Y543" s="20">
        <v>0</v>
      </c>
      <c r="Z543" s="19">
        <v>11</v>
      </c>
      <c r="AA543" s="19">
        <v>15</v>
      </c>
      <c r="AB543" t="str">
        <f>VLOOKUP(E:E,笔记匹配!A:N,3,FALSE)</f>
        <v>马可乐cora</v>
      </c>
      <c r="AC543" t="str">
        <f>VLOOKUP(E:E,笔记匹配!A:N,2,FALSE)</f>
        <v>筋膜枪</v>
      </c>
      <c r="AD543" t="str">
        <f>VLOOKUP(E:E,笔记匹配!A:N,4,FALSE)</f>
        <v>云麦筋膜枪PB2</v>
      </c>
      <c r="AE543" t="str">
        <f>VLOOKUP(E:E,笔记匹配!A:N,14,FALSE)</f>
        <v>云麦筋膜枪pb2</v>
      </c>
      <c r="AF543" t="str">
        <f>VLOOKUP(E:E,笔记匹配!A:N,6,FALSE)</f>
        <v>跳操的姐妹听我的用筋膜枪放松下肢真的有用</v>
      </c>
    </row>
    <row r="544" spans="1:32">
      <c r="A544" s="18" t="s">
        <v>84</v>
      </c>
      <c r="B544" s="18" t="s">
        <v>1167</v>
      </c>
      <c r="C544" s="19">
        <v>18224197</v>
      </c>
      <c r="D544" s="18" t="s">
        <v>209</v>
      </c>
      <c r="E544" s="18" t="s">
        <v>300</v>
      </c>
      <c r="F544" s="18" t="s">
        <v>1168</v>
      </c>
      <c r="G544" s="19">
        <v>3665138</v>
      </c>
      <c r="H544" s="18" t="s">
        <v>1168</v>
      </c>
      <c r="I544" s="19">
        <v>3050231</v>
      </c>
      <c r="J544" s="18" t="s">
        <v>1015</v>
      </c>
      <c r="K544" s="19">
        <v>6.64</v>
      </c>
      <c r="L544" s="19">
        <v>1396</v>
      </c>
      <c r="M544" s="19">
        <v>52</v>
      </c>
      <c r="N544" s="20">
        <v>0.0372</v>
      </c>
      <c r="O544" s="19">
        <v>0.13</v>
      </c>
      <c r="P544" s="19">
        <v>4.76</v>
      </c>
      <c r="Q544" s="19">
        <v>0</v>
      </c>
      <c r="R544" s="19">
        <v>0</v>
      </c>
      <c r="S544" s="19">
        <v>0</v>
      </c>
      <c r="T544" s="19">
        <v>0</v>
      </c>
      <c r="U544" s="19">
        <v>0</v>
      </c>
      <c r="V544" s="19">
        <v>0</v>
      </c>
      <c r="W544" s="19">
        <v>0</v>
      </c>
      <c r="X544" s="19">
        <v>0</v>
      </c>
      <c r="Y544" s="20">
        <v>0</v>
      </c>
      <c r="Z544" s="19">
        <v>0</v>
      </c>
      <c r="AA544" s="19">
        <v>0</v>
      </c>
      <c r="AB544" t="str">
        <f>VLOOKUP(E:E,笔记匹配!A:N,3,FALSE)</f>
        <v>朱俊畅</v>
      </c>
      <c r="AC544" t="str">
        <f>VLOOKUP(E:E,笔记匹配!A:N,2,FALSE)</f>
        <v>筋膜枪</v>
      </c>
      <c r="AD544" t="str">
        <f>VLOOKUP(E:E,笔记匹配!A:N,4,FALSE)</f>
        <v>云麦筋膜枪PB2</v>
      </c>
      <c r="AE544" t="str">
        <f>VLOOKUP(E:E,笔记匹配!A:N,14,FALSE)</f>
        <v>云麦筋膜枪pb2</v>
      </c>
      <c r="AF544" t="str">
        <f>VLOOKUP(E:E,笔记匹配!A:N,6,FALSE)</f>
        <v>打球完容易肌肉酸痛，筋膜枪放松更有效！</v>
      </c>
    </row>
    <row r="545" spans="1:32">
      <c r="A545" s="18" t="s">
        <v>84</v>
      </c>
      <c r="B545" s="18" t="s">
        <v>1169</v>
      </c>
      <c r="C545" s="19">
        <v>18353517</v>
      </c>
      <c r="D545" s="18" t="s">
        <v>209</v>
      </c>
      <c r="E545" s="18" t="s">
        <v>456</v>
      </c>
      <c r="F545" s="18" t="s">
        <v>1170</v>
      </c>
      <c r="G545" s="19">
        <v>3729412</v>
      </c>
      <c r="H545" s="18" t="s">
        <v>1171</v>
      </c>
      <c r="I545" s="19">
        <v>3114670</v>
      </c>
      <c r="J545" s="18" t="s">
        <v>1015</v>
      </c>
      <c r="K545" s="19">
        <v>520.73</v>
      </c>
      <c r="L545" s="19">
        <v>37111</v>
      </c>
      <c r="M545" s="19">
        <v>3889</v>
      </c>
      <c r="N545" s="20">
        <v>0.1048</v>
      </c>
      <c r="O545" s="19">
        <v>0.13</v>
      </c>
      <c r="P545" s="19">
        <v>14.03</v>
      </c>
      <c r="Q545" s="19">
        <v>110</v>
      </c>
      <c r="R545" s="19">
        <v>4</v>
      </c>
      <c r="S545" s="19">
        <v>41</v>
      </c>
      <c r="T545" s="19">
        <v>2</v>
      </c>
      <c r="U545" s="19">
        <v>3</v>
      </c>
      <c r="V545" s="19">
        <v>160</v>
      </c>
      <c r="W545" s="19">
        <v>3.25</v>
      </c>
      <c r="X545" s="19">
        <v>0</v>
      </c>
      <c r="Y545" s="20">
        <v>0</v>
      </c>
      <c r="Z545" s="19">
        <v>6</v>
      </c>
      <c r="AA545" s="19">
        <v>2</v>
      </c>
      <c r="AB545" t="str">
        <f>VLOOKUP(E:E,笔记匹配!A:N,3,FALSE)</f>
        <v>爱跳绳的粥粥</v>
      </c>
      <c r="AC545" t="str">
        <f>VLOOKUP(E:E,笔记匹配!A:N,2,FALSE)</f>
        <v>筋膜枪</v>
      </c>
      <c r="AD545" t="str">
        <f>VLOOKUP(E:E,笔记匹配!A:N,4,FALSE)</f>
        <v>云麦PB2</v>
      </c>
      <c r="AE545" t="str">
        <f>VLOOKUP(E:E,笔记匹配!A:N,14,FALSE)</f>
        <v>云麦筋膜枪pb2</v>
      </c>
      <c r="AF545" t="str">
        <f>VLOOKUP(E:E,笔记匹配!A:N,6,FALSE)</f>
        <v>如何利用跳绳高效瘦腿记得用筋膜枪放松哦！</v>
      </c>
    </row>
    <row r="546" spans="1:32">
      <c r="A546" s="18" t="s">
        <v>85</v>
      </c>
      <c r="B546" s="18" t="s">
        <v>1137</v>
      </c>
      <c r="C546" s="19">
        <v>17974319</v>
      </c>
      <c r="D546" s="18" t="s">
        <v>209</v>
      </c>
      <c r="E546" s="18" t="s">
        <v>542</v>
      </c>
      <c r="F546" s="18" t="s">
        <v>1138</v>
      </c>
      <c r="G546" s="19">
        <v>3544995</v>
      </c>
      <c r="H546" s="18" t="s">
        <v>1139</v>
      </c>
      <c r="I546" s="19">
        <v>2930179</v>
      </c>
      <c r="J546" s="18" t="s">
        <v>1015</v>
      </c>
      <c r="K546" s="19">
        <v>0</v>
      </c>
      <c r="L546" s="19">
        <v>0</v>
      </c>
      <c r="M546" s="19">
        <v>0</v>
      </c>
      <c r="N546" s="20">
        <v>0</v>
      </c>
      <c r="O546" s="19">
        <v>0</v>
      </c>
      <c r="P546" s="19">
        <v>0</v>
      </c>
      <c r="Q546" s="19">
        <v>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  <c r="X546" s="19">
        <v>0</v>
      </c>
      <c r="Y546" s="20">
        <v>0</v>
      </c>
      <c r="Z546" s="19">
        <v>0</v>
      </c>
      <c r="AA546" s="19">
        <v>0</v>
      </c>
      <c r="AB546" t="str">
        <f>VLOOKUP(E:E,笔记匹配!A:N,3,FALSE)</f>
        <v>小恩哥带你练臀</v>
      </c>
      <c r="AC546" t="str">
        <f>VLOOKUP(E:E,笔记匹配!A:N,2,FALSE)</f>
        <v>筋膜枪</v>
      </c>
      <c r="AD546" t="str">
        <f>VLOOKUP(E:E,笔记匹配!A:N,4,FALSE)</f>
        <v>云麦PB2</v>
      </c>
      <c r="AE546" t="str">
        <f>VLOOKUP(E:E,笔记匹配!A:N,14,FALSE)</f>
        <v>云麦筋膜枪pb2</v>
      </c>
      <c r="AF546" t="str">
        <f>VLOOKUP(E:E,笔记匹配!A:N,6,FALSE)</f>
        <v>翘臀别只练臀，骨盆端正更重要｜筋膜枪放松</v>
      </c>
    </row>
    <row r="547" spans="1:32">
      <c r="A547" s="18" t="s">
        <v>85</v>
      </c>
      <c r="B547" s="18" t="s">
        <v>1161</v>
      </c>
      <c r="C547" s="19">
        <v>18085273</v>
      </c>
      <c r="D547" s="18" t="s">
        <v>209</v>
      </c>
      <c r="E547" s="18" t="s">
        <v>296</v>
      </c>
      <c r="F547" s="18" t="s">
        <v>1162</v>
      </c>
      <c r="G547" s="19">
        <v>3600311</v>
      </c>
      <c r="H547" s="18" t="s">
        <v>1163</v>
      </c>
      <c r="I547" s="19">
        <v>2985865</v>
      </c>
      <c r="J547" s="18" t="s">
        <v>1015</v>
      </c>
      <c r="K547" s="19">
        <v>2.85</v>
      </c>
      <c r="L547" s="19">
        <v>304</v>
      </c>
      <c r="M547" s="19">
        <v>13</v>
      </c>
      <c r="N547" s="20">
        <v>0.0428</v>
      </c>
      <c r="O547" s="19">
        <v>0.22</v>
      </c>
      <c r="P547" s="19">
        <v>9.38</v>
      </c>
      <c r="Q547" s="19">
        <v>0</v>
      </c>
      <c r="R547" s="19">
        <v>0</v>
      </c>
      <c r="S547" s="19">
        <v>1</v>
      </c>
      <c r="T547" s="19">
        <v>0</v>
      </c>
      <c r="U547" s="19">
        <v>0</v>
      </c>
      <c r="V547" s="19">
        <v>1</v>
      </c>
      <c r="W547" s="19">
        <v>2.85</v>
      </c>
      <c r="X547" s="19">
        <v>1</v>
      </c>
      <c r="Y547" s="20">
        <v>0.0769</v>
      </c>
      <c r="Z547" s="19">
        <v>0</v>
      </c>
      <c r="AA547" s="19">
        <v>0</v>
      </c>
      <c r="AB547" t="str">
        <f>VLOOKUP(E:E,笔记匹配!A:N,3,FALSE)</f>
        <v>元气芥末酱</v>
      </c>
      <c r="AC547" t="str">
        <f>VLOOKUP(E:E,笔记匹配!A:N,2,FALSE)</f>
        <v>筋膜枪</v>
      </c>
      <c r="AD547" t="str">
        <f>VLOOKUP(E:E,笔记匹配!A:N,4,FALSE)</f>
        <v>云麦筋膜枪PB2</v>
      </c>
      <c r="AE547" t="str">
        <f>VLOOKUP(E:E,笔记匹配!A:N,14,FALSE)</f>
        <v>云麦筋膜枪pb2</v>
      </c>
      <c r="AF547" t="str">
        <f>VLOOKUP(E:E,笔记匹配!A:N,6,FALSE)</f>
        <v>小腿粗的姐妹信我！肌肉腿就要这样按！</v>
      </c>
    </row>
    <row r="548" spans="1:32">
      <c r="A548" s="18" t="s">
        <v>85</v>
      </c>
      <c r="B548" s="18" t="s">
        <v>1164</v>
      </c>
      <c r="C548" s="19">
        <v>18170615</v>
      </c>
      <c r="D548" s="18" t="s">
        <v>209</v>
      </c>
      <c r="E548" s="18" t="s">
        <v>205</v>
      </c>
      <c r="F548" s="18" t="s">
        <v>1165</v>
      </c>
      <c r="G548" s="19">
        <v>3639848</v>
      </c>
      <c r="H548" s="18" t="s">
        <v>1166</v>
      </c>
      <c r="I548" s="19">
        <v>3024741</v>
      </c>
      <c r="J548" s="18" t="s">
        <v>1015</v>
      </c>
      <c r="K548" s="19">
        <v>22.46</v>
      </c>
      <c r="L548" s="19">
        <v>2040</v>
      </c>
      <c r="M548" s="19">
        <v>150</v>
      </c>
      <c r="N548" s="20">
        <v>0.0735</v>
      </c>
      <c r="O548" s="19">
        <v>0.15</v>
      </c>
      <c r="P548" s="19">
        <v>11.01</v>
      </c>
      <c r="Q548" s="19">
        <v>12</v>
      </c>
      <c r="R548" s="19">
        <v>0</v>
      </c>
      <c r="S548" s="19">
        <v>6</v>
      </c>
      <c r="T548" s="19">
        <v>1</v>
      </c>
      <c r="U548" s="19">
        <v>0</v>
      </c>
      <c r="V548" s="19">
        <v>19</v>
      </c>
      <c r="W548" s="19">
        <v>1.18</v>
      </c>
      <c r="X548" s="19">
        <v>0</v>
      </c>
      <c r="Y548" s="20">
        <v>0</v>
      </c>
      <c r="Z548" s="19">
        <v>0</v>
      </c>
      <c r="AA548" s="19">
        <v>0</v>
      </c>
      <c r="AB548" t="str">
        <f>VLOOKUP(E:E,笔记匹配!A:N,3,FALSE)</f>
        <v>马可乐cora</v>
      </c>
      <c r="AC548" t="str">
        <f>VLOOKUP(E:E,笔记匹配!A:N,2,FALSE)</f>
        <v>筋膜枪</v>
      </c>
      <c r="AD548" t="str">
        <f>VLOOKUP(E:E,笔记匹配!A:N,4,FALSE)</f>
        <v>云麦筋膜枪PB2</v>
      </c>
      <c r="AE548" t="str">
        <f>VLOOKUP(E:E,笔记匹配!A:N,14,FALSE)</f>
        <v>云麦筋膜枪pb2</v>
      </c>
      <c r="AF548" t="str">
        <f>VLOOKUP(E:E,笔记匹配!A:N,6,FALSE)</f>
        <v>跳操的姐妹听我的用筋膜枪放松下肢真的有用</v>
      </c>
    </row>
    <row r="549" spans="1:32">
      <c r="A549" s="18" t="s">
        <v>85</v>
      </c>
      <c r="B549" s="18" t="s">
        <v>1167</v>
      </c>
      <c r="C549" s="19">
        <v>18224197</v>
      </c>
      <c r="D549" s="18" t="s">
        <v>209</v>
      </c>
      <c r="E549" s="18" t="s">
        <v>300</v>
      </c>
      <c r="F549" s="18" t="s">
        <v>1168</v>
      </c>
      <c r="G549" s="19">
        <v>3665138</v>
      </c>
      <c r="H549" s="18" t="s">
        <v>1168</v>
      </c>
      <c r="I549" s="19">
        <v>3050231</v>
      </c>
      <c r="J549" s="18" t="s">
        <v>1015</v>
      </c>
      <c r="K549" s="19">
        <v>845.49</v>
      </c>
      <c r="L549" s="19">
        <v>62077</v>
      </c>
      <c r="M549" s="19">
        <v>2611</v>
      </c>
      <c r="N549" s="20">
        <v>0.0421</v>
      </c>
      <c r="O549" s="19">
        <v>0.32</v>
      </c>
      <c r="P549" s="19">
        <v>13.62</v>
      </c>
      <c r="Q549" s="19">
        <v>75</v>
      </c>
      <c r="R549" s="19">
        <v>4</v>
      </c>
      <c r="S549" s="19">
        <v>25</v>
      </c>
      <c r="T549" s="19">
        <v>12</v>
      </c>
      <c r="U549" s="19">
        <v>2</v>
      </c>
      <c r="V549" s="19">
        <v>118</v>
      </c>
      <c r="W549" s="19">
        <v>7.17</v>
      </c>
      <c r="X549" s="19">
        <v>0</v>
      </c>
      <c r="Y549" s="20">
        <v>0</v>
      </c>
      <c r="Z549" s="19">
        <v>1</v>
      </c>
      <c r="AA549" s="19">
        <v>2</v>
      </c>
      <c r="AB549" t="str">
        <f>VLOOKUP(E:E,笔记匹配!A:N,3,FALSE)</f>
        <v>朱俊畅</v>
      </c>
      <c r="AC549" t="str">
        <f>VLOOKUP(E:E,笔记匹配!A:N,2,FALSE)</f>
        <v>筋膜枪</v>
      </c>
      <c r="AD549" t="str">
        <f>VLOOKUP(E:E,笔记匹配!A:N,4,FALSE)</f>
        <v>云麦筋膜枪PB2</v>
      </c>
      <c r="AE549" t="str">
        <f>VLOOKUP(E:E,笔记匹配!A:N,14,FALSE)</f>
        <v>云麦筋膜枪pb2</v>
      </c>
      <c r="AF549" t="str">
        <f>VLOOKUP(E:E,笔记匹配!A:N,6,FALSE)</f>
        <v>打球完容易肌肉酸痛，筋膜枪放松更有效！</v>
      </c>
    </row>
    <row r="550" spans="1:32">
      <c r="A550" s="18" t="s">
        <v>85</v>
      </c>
      <c r="B550" s="18" t="s">
        <v>1169</v>
      </c>
      <c r="C550" s="19">
        <v>18353517</v>
      </c>
      <c r="D550" s="18" t="s">
        <v>209</v>
      </c>
      <c r="E550" s="18" t="s">
        <v>456</v>
      </c>
      <c r="F550" s="18" t="s">
        <v>1170</v>
      </c>
      <c r="G550" s="19">
        <v>3729412</v>
      </c>
      <c r="H550" s="18" t="s">
        <v>1171</v>
      </c>
      <c r="I550" s="19">
        <v>3114670</v>
      </c>
      <c r="J550" s="18" t="s">
        <v>1015</v>
      </c>
      <c r="K550" s="19">
        <v>512.45</v>
      </c>
      <c r="L550" s="19">
        <v>48426</v>
      </c>
      <c r="M550" s="19">
        <v>4745</v>
      </c>
      <c r="N550" s="20">
        <v>0.098</v>
      </c>
      <c r="O550" s="19">
        <v>0.11</v>
      </c>
      <c r="P550" s="19">
        <v>10.58</v>
      </c>
      <c r="Q550" s="19">
        <v>114</v>
      </c>
      <c r="R550" s="19">
        <v>2</v>
      </c>
      <c r="S550" s="19">
        <v>55</v>
      </c>
      <c r="T550" s="19">
        <v>6</v>
      </c>
      <c r="U550" s="19">
        <v>4</v>
      </c>
      <c r="V550" s="19">
        <v>181</v>
      </c>
      <c r="W550" s="19">
        <v>2.83</v>
      </c>
      <c r="X550" s="19">
        <v>0</v>
      </c>
      <c r="Y550" s="20">
        <v>0</v>
      </c>
      <c r="Z550" s="19">
        <v>7</v>
      </c>
      <c r="AA550" s="19">
        <v>2</v>
      </c>
      <c r="AB550" t="str">
        <f>VLOOKUP(E:E,笔记匹配!A:N,3,FALSE)</f>
        <v>爱跳绳的粥粥</v>
      </c>
      <c r="AC550" t="str">
        <f>VLOOKUP(E:E,笔记匹配!A:N,2,FALSE)</f>
        <v>筋膜枪</v>
      </c>
      <c r="AD550" t="str">
        <f>VLOOKUP(E:E,笔记匹配!A:N,4,FALSE)</f>
        <v>云麦PB2</v>
      </c>
      <c r="AE550" t="str">
        <f>VLOOKUP(E:E,笔记匹配!A:N,14,FALSE)</f>
        <v>云麦筋膜枪pb2</v>
      </c>
      <c r="AF550" t="str">
        <f>VLOOKUP(E:E,笔记匹配!A:N,6,FALSE)</f>
        <v>如何利用跳绳高效瘦腿记得用筋膜枪放松哦！</v>
      </c>
    </row>
    <row r="551" spans="1:32">
      <c r="A551" s="18" t="s">
        <v>85</v>
      </c>
      <c r="B551" s="18" t="s">
        <v>1172</v>
      </c>
      <c r="C551" s="19">
        <v>18412322</v>
      </c>
      <c r="D551" s="18" t="s">
        <v>209</v>
      </c>
      <c r="E551" s="18" t="s">
        <v>533</v>
      </c>
      <c r="F551" s="18" t="s">
        <v>1173</v>
      </c>
      <c r="G551" s="19">
        <v>3755110</v>
      </c>
      <c r="H551" s="18" t="s">
        <v>1173</v>
      </c>
      <c r="I551" s="19">
        <v>3140313</v>
      </c>
      <c r="J551" s="18" t="s">
        <v>1015</v>
      </c>
      <c r="K551" s="19">
        <v>453.34</v>
      </c>
      <c r="L551" s="19">
        <v>76349</v>
      </c>
      <c r="M551" s="19">
        <v>1248</v>
      </c>
      <c r="N551" s="20">
        <v>0.0163</v>
      </c>
      <c r="O551" s="19">
        <v>0.36</v>
      </c>
      <c r="P551" s="19">
        <v>5.94</v>
      </c>
      <c r="Q551" s="19">
        <v>39</v>
      </c>
      <c r="R551" s="19">
        <v>1</v>
      </c>
      <c r="S551" s="19">
        <v>17</v>
      </c>
      <c r="T551" s="19">
        <v>1</v>
      </c>
      <c r="U551" s="19">
        <v>2</v>
      </c>
      <c r="V551" s="19">
        <v>60</v>
      </c>
      <c r="W551" s="19">
        <v>7.56</v>
      </c>
      <c r="X551" s="19">
        <v>36</v>
      </c>
      <c r="Y551" s="20">
        <v>0.0288</v>
      </c>
      <c r="Z551" s="19">
        <v>3</v>
      </c>
      <c r="AA551" s="19">
        <v>3</v>
      </c>
      <c r="AB551" t="str">
        <f>VLOOKUP(E:E,笔记匹配!A:N,3,FALSE)</f>
        <v>大红辣辣椒</v>
      </c>
      <c r="AC551" t="str">
        <f>VLOOKUP(E:E,笔记匹配!A:N,2,FALSE)</f>
        <v>筋膜枪</v>
      </c>
      <c r="AD551" t="str">
        <f>VLOOKUP(E:E,笔记匹配!A:N,4,FALSE)</f>
        <v>云麦筋膜枪PB2</v>
      </c>
      <c r="AE551" t="str">
        <f>VLOOKUP(E:E,笔记匹配!A:N,14,FALSE)</f>
        <v>云麦筋膜枪pb2</v>
      </c>
      <c r="AF551" t="str">
        <f>VLOOKUP(E:E,笔记匹配!A:N,6,FALSE)</f>
        <v>打工人久坐党肩颈自救！筋膜枪按摩超舒服</v>
      </c>
    </row>
    <row r="552" spans="1:32">
      <c r="A552" s="18" t="s">
        <v>86</v>
      </c>
      <c r="B552" s="18" t="s">
        <v>1161</v>
      </c>
      <c r="C552" s="19">
        <v>18085273</v>
      </c>
      <c r="D552" s="18" t="s">
        <v>209</v>
      </c>
      <c r="E552" s="18" t="s">
        <v>296</v>
      </c>
      <c r="F552" s="18" t="s">
        <v>1162</v>
      </c>
      <c r="G552" s="19">
        <v>3600311</v>
      </c>
      <c r="H552" s="18" t="s">
        <v>1163</v>
      </c>
      <c r="I552" s="19">
        <v>2985865</v>
      </c>
      <c r="J552" s="18" t="s">
        <v>1015</v>
      </c>
      <c r="K552" s="19">
        <v>0</v>
      </c>
      <c r="L552" s="19">
        <v>0</v>
      </c>
      <c r="M552" s="19">
        <v>0</v>
      </c>
      <c r="N552" s="20">
        <v>0</v>
      </c>
      <c r="O552" s="19">
        <v>0</v>
      </c>
      <c r="P552" s="19">
        <v>0</v>
      </c>
      <c r="Q552" s="19">
        <v>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  <c r="X552" s="19">
        <v>0</v>
      </c>
      <c r="Y552" s="20">
        <v>0</v>
      </c>
      <c r="Z552" s="19">
        <v>0</v>
      </c>
      <c r="AA552" s="19">
        <v>0</v>
      </c>
      <c r="AB552" t="str">
        <f>VLOOKUP(E:E,笔记匹配!A:N,3,FALSE)</f>
        <v>元气芥末酱</v>
      </c>
      <c r="AC552" t="str">
        <f>VLOOKUP(E:E,笔记匹配!A:N,2,FALSE)</f>
        <v>筋膜枪</v>
      </c>
      <c r="AD552" t="str">
        <f>VLOOKUP(E:E,笔记匹配!A:N,4,FALSE)</f>
        <v>云麦筋膜枪PB2</v>
      </c>
      <c r="AE552" t="str">
        <f>VLOOKUP(E:E,笔记匹配!A:N,14,FALSE)</f>
        <v>云麦筋膜枪pb2</v>
      </c>
      <c r="AF552" t="str">
        <f>VLOOKUP(E:E,笔记匹配!A:N,6,FALSE)</f>
        <v>小腿粗的姐妹信我！肌肉腿就要这样按！</v>
      </c>
    </row>
    <row r="553" spans="1:32">
      <c r="A553" s="18" t="s">
        <v>86</v>
      </c>
      <c r="B553" s="18" t="s">
        <v>1164</v>
      </c>
      <c r="C553" s="19">
        <v>18170615</v>
      </c>
      <c r="D553" s="18" t="s">
        <v>209</v>
      </c>
      <c r="E553" s="18" t="s">
        <v>205</v>
      </c>
      <c r="F553" s="18" t="s">
        <v>1165</v>
      </c>
      <c r="G553" s="19">
        <v>3639848</v>
      </c>
      <c r="H553" s="18" t="s">
        <v>1166</v>
      </c>
      <c r="I553" s="19">
        <v>3024741</v>
      </c>
      <c r="J553" s="18" t="s">
        <v>1015</v>
      </c>
      <c r="K553" s="19">
        <v>980.5</v>
      </c>
      <c r="L553" s="19">
        <v>71750</v>
      </c>
      <c r="M553" s="19">
        <v>4661</v>
      </c>
      <c r="N553" s="20">
        <v>0.065</v>
      </c>
      <c r="O553" s="19">
        <v>0.21</v>
      </c>
      <c r="P553" s="19">
        <v>13.67</v>
      </c>
      <c r="Q553" s="19">
        <v>267</v>
      </c>
      <c r="R553" s="19">
        <v>3</v>
      </c>
      <c r="S553" s="19">
        <v>209</v>
      </c>
      <c r="T553" s="19">
        <v>29</v>
      </c>
      <c r="U553" s="19">
        <v>4</v>
      </c>
      <c r="V553" s="19">
        <v>512</v>
      </c>
      <c r="W553" s="19">
        <v>1.92</v>
      </c>
      <c r="X553" s="19">
        <v>0</v>
      </c>
      <c r="Y553" s="20">
        <v>0</v>
      </c>
      <c r="Z553" s="19">
        <v>4</v>
      </c>
      <c r="AA553" s="19">
        <v>2</v>
      </c>
      <c r="AB553" t="str">
        <f>VLOOKUP(E:E,笔记匹配!A:N,3,FALSE)</f>
        <v>马可乐cora</v>
      </c>
      <c r="AC553" t="str">
        <f>VLOOKUP(E:E,笔记匹配!A:N,2,FALSE)</f>
        <v>筋膜枪</v>
      </c>
      <c r="AD553" t="str">
        <f>VLOOKUP(E:E,笔记匹配!A:N,4,FALSE)</f>
        <v>云麦筋膜枪PB2</v>
      </c>
      <c r="AE553" t="str">
        <f>VLOOKUP(E:E,笔记匹配!A:N,14,FALSE)</f>
        <v>云麦筋膜枪pb2</v>
      </c>
      <c r="AF553" t="str">
        <f>VLOOKUP(E:E,笔记匹配!A:N,6,FALSE)</f>
        <v>跳操的姐妹听我的用筋膜枪放松下肢真的有用</v>
      </c>
    </row>
    <row r="554" spans="1:32">
      <c r="A554" s="18" t="s">
        <v>86</v>
      </c>
      <c r="B554" s="18" t="s">
        <v>1167</v>
      </c>
      <c r="C554" s="19">
        <v>18224197</v>
      </c>
      <c r="D554" s="18" t="s">
        <v>209</v>
      </c>
      <c r="E554" s="18" t="s">
        <v>300</v>
      </c>
      <c r="F554" s="18" t="s">
        <v>1168</v>
      </c>
      <c r="G554" s="19">
        <v>3665138</v>
      </c>
      <c r="H554" s="18" t="s">
        <v>1168</v>
      </c>
      <c r="I554" s="19">
        <v>3050231</v>
      </c>
      <c r="J554" s="18" t="s">
        <v>1015</v>
      </c>
      <c r="K554" s="19">
        <v>15.11</v>
      </c>
      <c r="L554" s="19">
        <v>954</v>
      </c>
      <c r="M554" s="19">
        <v>64</v>
      </c>
      <c r="N554" s="20">
        <v>0.0671</v>
      </c>
      <c r="O554" s="19">
        <v>0.24</v>
      </c>
      <c r="P554" s="19">
        <v>15.84</v>
      </c>
      <c r="Q554" s="19">
        <v>1</v>
      </c>
      <c r="R554" s="19">
        <v>0</v>
      </c>
      <c r="S554" s="19">
        <v>0</v>
      </c>
      <c r="T554" s="19">
        <v>1</v>
      </c>
      <c r="U554" s="19">
        <v>0</v>
      </c>
      <c r="V554" s="19">
        <v>2</v>
      </c>
      <c r="W554" s="19">
        <v>7.56</v>
      </c>
      <c r="X554" s="19">
        <v>0</v>
      </c>
      <c r="Y554" s="20">
        <v>0</v>
      </c>
      <c r="Z554" s="19">
        <v>0</v>
      </c>
      <c r="AA554" s="19">
        <v>0</v>
      </c>
      <c r="AB554" t="str">
        <f>VLOOKUP(E:E,笔记匹配!A:N,3,FALSE)</f>
        <v>朱俊畅</v>
      </c>
      <c r="AC554" t="str">
        <f>VLOOKUP(E:E,笔记匹配!A:N,2,FALSE)</f>
        <v>筋膜枪</v>
      </c>
      <c r="AD554" t="str">
        <f>VLOOKUP(E:E,笔记匹配!A:N,4,FALSE)</f>
        <v>云麦筋膜枪PB2</v>
      </c>
      <c r="AE554" t="str">
        <f>VLOOKUP(E:E,笔记匹配!A:N,14,FALSE)</f>
        <v>云麦筋膜枪pb2</v>
      </c>
      <c r="AF554" t="str">
        <f>VLOOKUP(E:E,笔记匹配!A:N,6,FALSE)</f>
        <v>打球完容易肌肉酸痛，筋膜枪放松更有效！</v>
      </c>
    </row>
    <row r="555" spans="1:32">
      <c r="A555" s="18" t="s">
        <v>86</v>
      </c>
      <c r="B555" s="18" t="s">
        <v>1169</v>
      </c>
      <c r="C555" s="19">
        <v>18353517</v>
      </c>
      <c r="D555" s="18" t="s">
        <v>209</v>
      </c>
      <c r="E555" s="18" t="s">
        <v>456</v>
      </c>
      <c r="F555" s="18" t="s">
        <v>1170</v>
      </c>
      <c r="G555" s="19">
        <v>3729412</v>
      </c>
      <c r="H555" s="18" t="s">
        <v>1171</v>
      </c>
      <c r="I555" s="19">
        <v>3114670</v>
      </c>
      <c r="J555" s="18" t="s">
        <v>1015</v>
      </c>
      <c r="K555" s="19">
        <v>0</v>
      </c>
      <c r="L555" s="19">
        <v>0</v>
      </c>
      <c r="M555" s="19">
        <v>0</v>
      </c>
      <c r="N555" s="20">
        <v>0</v>
      </c>
      <c r="O555" s="19">
        <v>0</v>
      </c>
      <c r="P555" s="19">
        <v>0</v>
      </c>
      <c r="Q555" s="19">
        <v>0</v>
      </c>
      <c r="R555" s="19">
        <v>0</v>
      </c>
      <c r="S555" s="19">
        <v>0</v>
      </c>
      <c r="T555" s="19">
        <v>0</v>
      </c>
      <c r="U555" s="19">
        <v>0</v>
      </c>
      <c r="V555" s="19">
        <v>0</v>
      </c>
      <c r="W555" s="19">
        <v>0</v>
      </c>
      <c r="X555" s="19">
        <v>0</v>
      </c>
      <c r="Y555" s="20">
        <v>0</v>
      </c>
      <c r="Z555" s="19">
        <v>0</v>
      </c>
      <c r="AA555" s="19">
        <v>0</v>
      </c>
      <c r="AB555" t="str">
        <f>VLOOKUP(E:E,笔记匹配!A:N,3,FALSE)</f>
        <v>爱跳绳的粥粥</v>
      </c>
      <c r="AC555" t="str">
        <f>VLOOKUP(E:E,笔记匹配!A:N,2,FALSE)</f>
        <v>筋膜枪</v>
      </c>
      <c r="AD555" t="str">
        <f>VLOOKUP(E:E,笔记匹配!A:N,4,FALSE)</f>
        <v>云麦PB2</v>
      </c>
      <c r="AE555" t="str">
        <f>VLOOKUP(E:E,笔记匹配!A:N,14,FALSE)</f>
        <v>云麦筋膜枪pb2</v>
      </c>
      <c r="AF555" t="str">
        <f>VLOOKUP(E:E,笔记匹配!A:N,6,FALSE)</f>
        <v>如何利用跳绳高效瘦腿记得用筋膜枪放松哦！</v>
      </c>
    </row>
    <row r="556" spans="1:32">
      <c r="A556" s="18" t="s">
        <v>86</v>
      </c>
      <c r="B556" s="18" t="s">
        <v>1172</v>
      </c>
      <c r="C556" s="19">
        <v>18412322</v>
      </c>
      <c r="D556" s="18" t="s">
        <v>209</v>
      </c>
      <c r="E556" s="18" t="s">
        <v>533</v>
      </c>
      <c r="F556" s="18" t="s">
        <v>1173</v>
      </c>
      <c r="G556" s="19">
        <v>3755110</v>
      </c>
      <c r="H556" s="18" t="s">
        <v>1173</v>
      </c>
      <c r="I556" s="19">
        <v>3140313</v>
      </c>
      <c r="J556" s="18" t="s">
        <v>1015</v>
      </c>
      <c r="K556" s="19">
        <v>9.08</v>
      </c>
      <c r="L556" s="19">
        <v>1712</v>
      </c>
      <c r="M556" s="19">
        <v>37</v>
      </c>
      <c r="N556" s="20">
        <v>0.0216</v>
      </c>
      <c r="O556" s="19">
        <v>0.25</v>
      </c>
      <c r="P556" s="19">
        <v>5.3</v>
      </c>
      <c r="Q556" s="19">
        <v>4</v>
      </c>
      <c r="R556" s="19">
        <v>0</v>
      </c>
      <c r="S556" s="19">
        <v>1</v>
      </c>
      <c r="T556" s="19">
        <v>0</v>
      </c>
      <c r="U556" s="19">
        <v>0</v>
      </c>
      <c r="V556" s="19">
        <v>5</v>
      </c>
      <c r="W556" s="19">
        <v>1.82</v>
      </c>
      <c r="X556" s="19">
        <v>3</v>
      </c>
      <c r="Y556" s="20">
        <v>0.0811</v>
      </c>
      <c r="Z556" s="19">
        <v>0</v>
      </c>
      <c r="AA556" s="19">
        <v>0</v>
      </c>
      <c r="AB556" t="str">
        <f>VLOOKUP(E:E,笔记匹配!A:N,3,FALSE)</f>
        <v>大红辣辣椒</v>
      </c>
      <c r="AC556" t="str">
        <f>VLOOKUP(E:E,笔记匹配!A:N,2,FALSE)</f>
        <v>筋膜枪</v>
      </c>
      <c r="AD556" t="str">
        <f>VLOOKUP(E:E,笔记匹配!A:N,4,FALSE)</f>
        <v>云麦筋膜枪PB2</v>
      </c>
      <c r="AE556" t="str">
        <f>VLOOKUP(E:E,笔记匹配!A:N,14,FALSE)</f>
        <v>云麦筋膜枪pb2</v>
      </c>
      <c r="AF556" t="str">
        <f>VLOOKUP(E:E,笔记匹配!A:N,6,FALSE)</f>
        <v>打工人久坐党肩颈自救！筋膜枪按摩超舒服</v>
      </c>
    </row>
    <row r="557" spans="1:32">
      <c r="A557" s="18" t="s">
        <v>86</v>
      </c>
      <c r="B557" s="18" t="s">
        <v>1174</v>
      </c>
      <c r="C557" s="19">
        <v>18455742</v>
      </c>
      <c r="D557" s="18" t="s">
        <v>209</v>
      </c>
      <c r="E557" s="18" t="s">
        <v>488</v>
      </c>
      <c r="F557" s="18" t="s">
        <v>1175</v>
      </c>
      <c r="G557" s="19">
        <v>3775804</v>
      </c>
      <c r="H557" s="18" t="s">
        <v>1175</v>
      </c>
      <c r="I557" s="19">
        <v>3160901</v>
      </c>
      <c r="J557" s="18" t="s">
        <v>1015</v>
      </c>
      <c r="K557" s="19">
        <v>284.36</v>
      </c>
      <c r="L557" s="19">
        <v>58082</v>
      </c>
      <c r="M557" s="19">
        <v>970</v>
      </c>
      <c r="N557" s="20">
        <v>0.0167</v>
      </c>
      <c r="O557" s="19">
        <v>0.29</v>
      </c>
      <c r="P557" s="19">
        <v>4.9</v>
      </c>
      <c r="Q557" s="19">
        <v>15</v>
      </c>
      <c r="R557" s="19">
        <v>3</v>
      </c>
      <c r="S557" s="19">
        <v>11</v>
      </c>
      <c r="T557" s="19">
        <v>0</v>
      </c>
      <c r="U557" s="19">
        <v>2</v>
      </c>
      <c r="V557" s="19">
        <v>31</v>
      </c>
      <c r="W557" s="19">
        <v>9.17</v>
      </c>
      <c r="X557" s="19">
        <v>12</v>
      </c>
      <c r="Y557" s="20">
        <v>0.0124</v>
      </c>
      <c r="Z557" s="19">
        <v>4</v>
      </c>
      <c r="AA557" s="19">
        <v>6</v>
      </c>
      <c r="AB557" t="str">
        <f>VLOOKUP(E:E,笔记匹配!A:N,3,FALSE)</f>
        <v>板野友美iii</v>
      </c>
      <c r="AC557" t="str">
        <f>VLOOKUP(E:E,笔记匹配!A:N,2,FALSE)</f>
        <v>筋膜枪</v>
      </c>
      <c r="AD557" t="str">
        <f>VLOOKUP(E:E,笔记匹配!A:N,4,FALSE)</f>
        <v>云麦筋膜枪PB2</v>
      </c>
      <c r="AE557" t="str">
        <f>VLOOKUP(E:E,笔记匹配!A:N,14,FALSE)</f>
        <v>云麦筋膜枪pb2</v>
      </c>
      <c r="AF557" t="str">
        <f>VLOOKUP(E:E,笔记匹配!A:N,6,FALSE)</f>
        <v>这小东西真的可以拯救肩颈酸痛！后悔用晚了！</v>
      </c>
    </row>
    <row r="558" spans="1:32">
      <c r="A558" s="18" t="s">
        <v>86</v>
      </c>
      <c r="B558" s="18" t="s">
        <v>1174</v>
      </c>
      <c r="C558" s="19">
        <v>18456034</v>
      </c>
      <c r="D558" s="18" t="s">
        <v>196</v>
      </c>
      <c r="E558" s="18" t="s">
        <v>296</v>
      </c>
      <c r="F558" s="18" t="s">
        <v>1176</v>
      </c>
      <c r="G558" s="19">
        <v>3775925</v>
      </c>
      <c r="H558" s="18" t="s">
        <v>1176</v>
      </c>
      <c r="I558" s="19">
        <v>3160965</v>
      </c>
      <c r="J558" s="18" t="s">
        <v>1015</v>
      </c>
      <c r="K558" s="19">
        <v>533.46</v>
      </c>
      <c r="L558" s="19">
        <v>18879</v>
      </c>
      <c r="M558" s="19">
        <v>700</v>
      </c>
      <c r="N558" s="20">
        <v>0.0371</v>
      </c>
      <c r="O558" s="19">
        <v>0.76</v>
      </c>
      <c r="P558" s="19">
        <v>28.26</v>
      </c>
      <c r="Q558" s="19">
        <v>16</v>
      </c>
      <c r="R558" s="19">
        <v>0</v>
      </c>
      <c r="S558" s="19">
        <v>6</v>
      </c>
      <c r="T558" s="19">
        <v>2</v>
      </c>
      <c r="U558" s="19">
        <v>0</v>
      </c>
      <c r="V558" s="19">
        <v>24</v>
      </c>
      <c r="W558" s="19">
        <v>22.23</v>
      </c>
      <c r="X558" s="19">
        <v>4</v>
      </c>
      <c r="Y558" s="20">
        <v>0.0057</v>
      </c>
      <c r="Z558" s="19">
        <v>4</v>
      </c>
      <c r="AA558" s="19">
        <v>1</v>
      </c>
      <c r="AB558" t="str">
        <f>VLOOKUP(E:E,笔记匹配!A:N,3,FALSE)</f>
        <v>元气芥末酱</v>
      </c>
      <c r="AC558" t="str">
        <f>VLOOKUP(E:E,笔记匹配!A:N,2,FALSE)</f>
        <v>筋膜枪</v>
      </c>
      <c r="AD558" t="str">
        <f>VLOOKUP(E:E,笔记匹配!A:N,4,FALSE)</f>
        <v>云麦筋膜枪PB2</v>
      </c>
      <c r="AE558" t="str">
        <f>VLOOKUP(E:E,笔记匹配!A:N,14,FALSE)</f>
        <v>云麦筋膜枪pb2</v>
      </c>
      <c r="AF558" t="str">
        <f>VLOOKUP(E:E,笔记匹配!A:N,6,FALSE)</f>
        <v>小腿粗的姐妹信我！肌肉腿就要这样按！</v>
      </c>
    </row>
    <row r="559" spans="1:32">
      <c r="A559" s="18" t="s">
        <v>87</v>
      </c>
      <c r="B559" s="18" t="s">
        <v>767</v>
      </c>
      <c r="C559" s="19">
        <v>17533208</v>
      </c>
      <c r="D559" s="18" t="s">
        <v>209</v>
      </c>
      <c r="E559" s="18" t="s">
        <v>453</v>
      </c>
      <c r="F559" s="18" t="s">
        <v>1128</v>
      </c>
      <c r="G559" s="19">
        <v>3362209</v>
      </c>
      <c r="H559" s="18" t="s">
        <v>1128</v>
      </c>
      <c r="I559" s="19">
        <v>2750426</v>
      </c>
      <c r="J559" s="18" t="s">
        <v>1015</v>
      </c>
      <c r="K559" s="19">
        <v>0</v>
      </c>
      <c r="L559" s="19">
        <v>0</v>
      </c>
      <c r="M559" s="19">
        <v>0</v>
      </c>
      <c r="N559" s="20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0</v>
      </c>
      <c r="T559" s="19">
        <v>0</v>
      </c>
      <c r="U559" s="19">
        <v>0</v>
      </c>
      <c r="V559" s="19">
        <v>0</v>
      </c>
      <c r="W559" s="19">
        <v>0</v>
      </c>
      <c r="X559" s="19">
        <v>0</v>
      </c>
      <c r="Y559" s="20">
        <v>0</v>
      </c>
      <c r="Z559" s="19">
        <v>0</v>
      </c>
      <c r="AA559" s="19">
        <v>0</v>
      </c>
      <c r="AB559" t="str">
        <f>VLOOKUP(E:E,笔记匹配!A:N,3,FALSE)</f>
        <v>小翻译美芽酱</v>
      </c>
      <c r="AC559" t="str">
        <f>VLOOKUP(E:E,笔记匹配!A:N,2,FALSE)</f>
        <v>筋膜枪</v>
      </c>
      <c r="AD559" t="str">
        <f>VLOOKUP(E:E,笔记匹配!A:N,4,FALSE)</f>
        <v>云麦CC筋膜枪</v>
      </c>
      <c r="AE559" t="str">
        <f>VLOOKUP(E:E,笔记匹配!A:N,14,FALSE)</f>
        <v>云麦筋膜枪cc</v>
      </c>
      <c r="AF559" t="str">
        <f>VLOOKUP(E:E,笔记匹配!A:N,6,FALSE)</f>
        <v>办公按摩神器！职场打工人の高颜值筋膜枪！</v>
      </c>
    </row>
    <row r="560" spans="1:32">
      <c r="A560" s="18" t="s">
        <v>87</v>
      </c>
      <c r="B560" s="18" t="s">
        <v>1135</v>
      </c>
      <c r="C560" s="19">
        <v>17901185</v>
      </c>
      <c r="D560" s="18" t="s">
        <v>209</v>
      </c>
      <c r="E560" s="18" t="s">
        <v>457</v>
      </c>
      <c r="F560" s="18" t="s">
        <v>1136</v>
      </c>
      <c r="G560" s="19">
        <v>3514560</v>
      </c>
      <c r="H560" s="18" t="s">
        <v>1136</v>
      </c>
      <c r="I560" s="19">
        <v>2900401</v>
      </c>
      <c r="J560" s="18" t="s">
        <v>1015</v>
      </c>
      <c r="K560" s="19">
        <v>0</v>
      </c>
      <c r="L560" s="19">
        <v>0</v>
      </c>
      <c r="M560" s="19">
        <v>0</v>
      </c>
      <c r="N560" s="20">
        <v>0</v>
      </c>
      <c r="O560" s="19">
        <v>0</v>
      </c>
      <c r="P560" s="19">
        <v>0</v>
      </c>
      <c r="Q560" s="19">
        <v>0</v>
      </c>
      <c r="R560" s="19">
        <v>0</v>
      </c>
      <c r="S560" s="19">
        <v>0</v>
      </c>
      <c r="T560" s="19">
        <v>0</v>
      </c>
      <c r="U560" s="19">
        <v>0</v>
      </c>
      <c r="V560" s="19">
        <v>0</v>
      </c>
      <c r="W560" s="19">
        <v>0</v>
      </c>
      <c r="X560" s="19">
        <v>0</v>
      </c>
      <c r="Y560" s="20">
        <v>0</v>
      </c>
      <c r="Z560" s="19">
        <v>0</v>
      </c>
      <c r="AA560" s="19">
        <v>0</v>
      </c>
      <c r="AB560" t="str">
        <f>VLOOKUP(E:E,笔记匹配!A:N,3,FALSE)</f>
        <v>Jeremy 赵</v>
      </c>
      <c r="AC560" t="str">
        <f>VLOOKUP(E:E,笔记匹配!A:N,2,FALSE)</f>
        <v>筋膜枪</v>
      </c>
      <c r="AD560" t="str">
        <f>VLOOKUP(E:E,笔记匹配!A:N,4,FALSE)</f>
        <v>云麦PB2</v>
      </c>
      <c r="AE560" t="str">
        <f>VLOOKUP(E:E,笔记匹配!A:N,14,FALSE)</f>
        <v>云麦筋膜枪pb2</v>
      </c>
      <c r="AF560" t="str">
        <f>VLOOKUP(E:E,笔记匹配!A:N,6,FALSE)</f>
        <v>如何解决难以忍受的肌肉酸痛，筋膜枪帮你！</v>
      </c>
    </row>
    <row r="561" spans="1:32">
      <c r="A561" s="18" t="s">
        <v>87</v>
      </c>
      <c r="B561" s="18" t="s">
        <v>1161</v>
      </c>
      <c r="C561" s="19">
        <v>18085273</v>
      </c>
      <c r="D561" s="18" t="s">
        <v>209</v>
      </c>
      <c r="E561" s="18" t="s">
        <v>296</v>
      </c>
      <c r="F561" s="18" t="s">
        <v>1162</v>
      </c>
      <c r="G561" s="19">
        <v>3600311</v>
      </c>
      <c r="H561" s="18" t="s">
        <v>1163</v>
      </c>
      <c r="I561" s="19">
        <v>2985865</v>
      </c>
      <c r="J561" s="18" t="s">
        <v>1015</v>
      </c>
      <c r="K561" s="19">
        <v>0</v>
      </c>
      <c r="L561" s="19">
        <v>0</v>
      </c>
      <c r="M561" s="19">
        <v>0</v>
      </c>
      <c r="N561" s="20">
        <v>0</v>
      </c>
      <c r="O561" s="19">
        <v>0</v>
      </c>
      <c r="P561" s="19">
        <v>0</v>
      </c>
      <c r="Q561" s="19">
        <v>0</v>
      </c>
      <c r="R561" s="19">
        <v>0</v>
      </c>
      <c r="S561" s="19">
        <v>0</v>
      </c>
      <c r="T561" s="19">
        <v>0</v>
      </c>
      <c r="U561" s="19">
        <v>0</v>
      </c>
      <c r="V561" s="19">
        <v>0</v>
      </c>
      <c r="W561" s="19">
        <v>0</v>
      </c>
      <c r="X561" s="19">
        <v>0</v>
      </c>
      <c r="Y561" s="20">
        <v>0</v>
      </c>
      <c r="Z561" s="19">
        <v>0</v>
      </c>
      <c r="AA561" s="19">
        <v>0</v>
      </c>
      <c r="AB561" t="str">
        <f>VLOOKUP(E:E,笔记匹配!A:N,3,FALSE)</f>
        <v>元气芥末酱</v>
      </c>
      <c r="AC561" t="str">
        <f>VLOOKUP(E:E,笔记匹配!A:N,2,FALSE)</f>
        <v>筋膜枪</v>
      </c>
      <c r="AD561" t="str">
        <f>VLOOKUP(E:E,笔记匹配!A:N,4,FALSE)</f>
        <v>云麦筋膜枪PB2</v>
      </c>
      <c r="AE561" t="str">
        <f>VLOOKUP(E:E,笔记匹配!A:N,14,FALSE)</f>
        <v>云麦筋膜枪pb2</v>
      </c>
      <c r="AF561" t="str">
        <f>VLOOKUP(E:E,笔记匹配!A:N,6,FALSE)</f>
        <v>小腿粗的姐妹信我！肌肉腿就要这样按！</v>
      </c>
    </row>
    <row r="562" spans="1:32">
      <c r="A562" s="18" t="s">
        <v>87</v>
      </c>
      <c r="B562" s="18" t="s">
        <v>1164</v>
      </c>
      <c r="C562" s="19">
        <v>18170615</v>
      </c>
      <c r="D562" s="18" t="s">
        <v>209</v>
      </c>
      <c r="E562" s="18" t="s">
        <v>205</v>
      </c>
      <c r="F562" s="18" t="s">
        <v>1165</v>
      </c>
      <c r="G562" s="19">
        <v>3639848</v>
      </c>
      <c r="H562" s="18" t="s">
        <v>1166</v>
      </c>
      <c r="I562" s="19">
        <v>3024741</v>
      </c>
      <c r="J562" s="18" t="s">
        <v>1015</v>
      </c>
      <c r="K562" s="19">
        <v>1000.48</v>
      </c>
      <c r="L562" s="19">
        <v>60636</v>
      </c>
      <c r="M562" s="19">
        <v>3508</v>
      </c>
      <c r="N562" s="20">
        <v>0.0579</v>
      </c>
      <c r="O562" s="19">
        <v>0.29</v>
      </c>
      <c r="P562" s="19">
        <v>16.5</v>
      </c>
      <c r="Q562" s="19">
        <v>243</v>
      </c>
      <c r="R562" s="19">
        <v>3</v>
      </c>
      <c r="S562" s="19">
        <v>242</v>
      </c>
      <c r="T562" s="19">
        <v>37</v>
      </c>
      <c r="U562" s="19">
        <v>2</v>
      </c>
      <c r="V562" s="19">
        <v>527</v>
      </c>
      <c r="W562" s="19">
        <v>1.9</v>
      </c>
      <c r="X562" s="19">
        <v>0</v>
      </c>
      <c r="Y562" s="20">
        <v>0</v>
      </c>
      <c r="Z562" s="19">
        <v>2</v>
      </c>
      <c r="AA562" s="19">
        <v>7</v>
      </c>
      <c r="AB562" t="str">
        <f>VLOOKUP(E:E,笔记匹配!A:N,3,FALSE)</f>
        <v>马可乐cora</v>
      </c>
      <c r="AC562" t="str">
        <f>VLOOKUP(E:E,笔记匹配!A:N,2,FALSE)</f>
        <v>筋膜枪</v>
      </c>
      <c r="AD562" t="str">
        <f>VLOOKUP(E:E,笔记匹配!A:N,4,FALSE)</f>
        <v>云麦筋膜枪PB2</v>
      </c>
      <c r="AE562" t="str">
        <f>VLOOKUP(E:E,笔记匹配!A:N,14,FALSE)</f>
        <v>云麦筋膜枪pb2</v>
      </c>
      <c r="AF562" t="str">
        <f>VLOOKUP(E:E,笔记匹配!A:N,6,FALSE)</f>
        <v>跳操的姐妹听我的用筋膜枪放松下肢真的有用</v>
      </c>
    </row>
    <row r="563" spans="1:32">
      <c r="A563" s="18" t="s">
        <v>87</v>
      </c>
      <c r="B563" s="18" t="s">
        <v>1167</v>
      </c>
      <c r="C563" s="19">
        <v>18224197</v>
      </c>
      <c r="D563" s="18" t="s">
        <v>209</v>
      </c>
      <c r="E563" s="18" t="s">
        <v>300</v>
      </c>
      <c r="F563" s="18" t="s">
        <v>1168</v>
      </c>
      <c r="G563" s="19">
        <v>3665138</v>
      </c>
      <c r="H563" s="18" t="s">
        <v>1168</v>
      </c>
      <c r="I563" s="19">
        <v>3050231</v>
      </c>
      <c r="J563" s="18" t="s">
        <v>1015</v>
      </c>
      <c r="K563" s="19">
        <v>0</v>
      </c>
      <c r="L563" s="19">
        <v>0</v>
      </c>
      <c r="M563" s="19">
        <v>0</v>
      </c>
      <c r="N563" s="20">
        <v>0</v>
      </c>
      <c r="O563" s="19">
        <v>0</v>
      </c>
      <c r="P563" s="19">
        <v>0</v>
      </c>
      <c r="Q563" s="19">
        <v>0</v>
      </c>
      <c r="R563" s="19">
        <v>0</v>
      </c>
      <c r="S563" s="19">
        <v>0</v>
      </c>
      <c r="T563" s="19">
        <v>0</v>
      </c>
      <c r="U563" s="19">
        <v>0</v>
      </c>
      <c r="V563" s="19">
        <v>0</v>
      </c>
      <c r="W563" s="19">
        <v>0</v>
      </c>
      <c r="X563" s="19">
        <v>0</v>
      </c>
      <c r="Y563" s="20">
        <v>0</v>
      </c>
      <c r="Z563" s="19">
        <v>0</v>
      </c>
      <c r="AA563" s="19">
        <v>0</v>
      </c>
      <c r="AB563" t="str">
        <f>VLOOKUP(E:E,笔记匹配!A:N,3,FALSE)</f>
        <v>朱俊畅</v>
      </c>
      <c r="AC563" t="str">
        <f>VLOOKUP(E:E,笔记匹配!A:N,2,FALSE)</f>
        <v>筋膜枪</v>
      </c>
      <c r="AD563" t="str">
        <f>VLOOKUP(E:E,笔记匹配!A:N,4,FALSE)</f>
        <v>云麦筋膜枪PB2</v>
      </c>
      <c r="AE563" t="str">
        <f>VLOOKUP(E:E,笔记匹配!A:N,14,FALSE)</f>
        <v>云麦筋膜枪pb2</v>
      </c>
      <c r="AF563" t="str">
        <f>VLOOKUP(E:E,笔记匹配!A:N,6,FALSE)</f>
        <v>打球完容易肌肉酸痛，筋膜枪放松更有效！</v>
      </c>
    </row>
    <row r="564" spans="1:32">
      <c r="A564" s="18" t="s">
        <v>87</v>
      </c>
      <c r="B564" s="18" t="s">
        <v>1169</v>
      </c>
      <c r="C564" s="19">
        <v>18353517</v>
      </c>
      <c r="D564" s="18" t="s">
        <v>209</v>
      </c>
      <c r="E564" s="18" t="s">
        <v>456</v>
      </c>
      <c r="F564" s="18" t="s">
        <v>1170</v>
      </c>
      <c r="G564" s="19">
        <v>3729412</v>
      </c>
      <c r="H564" s="18" t="s">
        <v>1171</v>
      </c>
      <c r="I564" s="19">
        <v>3114670</v>
      </c>
      <c r="J564" s="18" t="s">
        <v>1015</v>
      </c>
      <c r="K564" s="19">
        <v>0</v>
      </c>
      <c r="L564" s="19">
        <v>0</v>
      </c>
      <c r="M564" s="19">
        <v>0</v>
      </c>
      <c r="N564" s="20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0</v>
      </c>
      <c r="W564" s="19">
        <v>0</v>
      </c>
      <c r="X564" s="19">
        <v>0</v>
      </c>
      <c r="Y564" s="20">
        <v>0</v>
      </c>
      <c r="Z564" s="19">
        <v>0</v>
      </c>
      <c r="AA564" s="19">
        <v>0</v>
      </c>
      <c r="AB564" t="str">
        <f>VLOOKUP(E:E,笔记匹配!A:N,3,FALSE)</f>
        <v>爱跳绳的粥粥</v>
      </c>
      <c r="AC564" t="str">
        <f>VLOOKUP(E:E,笔记匹配!A:N,2,FALSE)</f>
        <v>筋膜枪</v>
      </c>
      <c r="AD564" t="str">
        <f>VLOOKUP(E:E,笔记匹配!A:N,4,FALSE)</f>
        <v>云麦PB2</v>
      </c>
      <c r="AE564" t="str">
        <f>VLOOKUP(E:E,笔记匹配!A:N,14,FALSE)</f>
        <v>云麦筋膜枪pb2</v>
      </c>
      <c r="AF564" t="str">
        <f>VLOOKUP(E:E,笔记匹配!A:N,6,FALSE)</f>
        <v>如何利用跳绳高效瘦腿记得用筋膜枪放松哦！</v>
      </c>
    </row>
    <row r="565" spans="1:32">
      <c r="A565" s="18" t="s">
        <v>87</v>
      </c>
      <c r="B565" s="18" t="s">
        <v>1174</v>
      </c>
      <c r="C565" s="19">
        <v>18455742</v>
      </c>
      <c r="D565" s="18" t="s">
        <v>209</v>
      </c>
      <c r="E565" s="18" t="s">
        <v>488</v>
      </c>
      <c r="F565" s="18" t="s">
        <v>1175</v>
      </c>
      <c r="G565" s="19">
        <v>3775804</v>
      </c>
      <c r="H565" s="18" t="s">
        <v>1175</v>
      </c>
      <c r="I565" s="19">
        <v>3160901</v>
      </c>
      <c r="J565" s="18" t="s">
        <v>1015</v>
      </c>
      <c r="K565" s="19">
        <v>7.71</v>
      </c>
      <c r="L565" s="19">
        <v>1231</v>
      </c>
      <c r="M565" s="19">
        <v>26</v>
      </c>
      <c r="N565" s="20">
        <v>0.0211</v>
      </c>
      <c r="O565" s="19">
        <v>0.3</v>
      </c>
      <c r="P565" s="19">
        <v>6.26</v>
      </c>
      <c r="Q565" s="19">
        <v>1</v>
      </c>
      <c r="R565" s="19">
        <v>0</v>
      </c>
      <c r="S565" s="19">
        <v>0</v>
      </c>
      <c r="T565" s="19">
        <v>0</v>
      </c>
      <c r="U565" s="19">
        <v>0</v>
      </c>
      <c r="V565" s="19">
        <v>1</v>
      </c>
      <c r="W565" s="19">
        <v>7.71</v>
      </c>
      <c r="X565" s="19">
        <v>1</v>
      </c>
      <c r="Y565" s="20">
        <v>0.0385</v>
      </c>
      <c r="Z565" s="19">
        <v>0</v>
      </c>
      <c r="AA565" s="19">
        <v>0</v>
      </c>
      <c r="AB565" t="str">
        <f>VLOOKUP(E:E,笔记匹配!A:N,3,FALSE)</f>
        <v>板野友美iii</v>
      </c>
      <c r="AC565" t="str">
        <f>VLOOKUP(E:E,笔记匹配!A:N,2,FALSE)</f>
        <v>筋膜枪</v>
      </c>
      <c r="AD565" t="str">
        <f>VLOOKUP(E:E,笔记匹配!A:N,4,FALSE)</f>
        <v>云麦筋膜枪PB2</v>
      </c>
      <c r="AE565" t="str">
        <f>VLOOKUP(E:E,笔记匹配!A:N,14,FALSE)</f>
        <v>云麦筋膜枪pb2</v>
      </c>
      <c r="AF565" t="str">
        <f>VLOOKUP(E:E,笔记匹配!A:N,6,FALSE)</f>
        <v>这小东西真的可以拯救肩颈酸痛！后悔用晚了！</v>
      </c>
    </row>
    <row r="566" spans="1:32">
      <c r="A566" s="18" t="s">
        <v>87</v>
      </c>
      <c r="B566" s="18" t="s">
        <v>1174</v>
      </c>
      <c r="C566" s="19">
        <v>18456034</v>
      </c>
      <c r="D566" s="18" t="s">
        <v>196</v>
      </c>
      <c r="E566" s="18" t="s">
        <v>296</v>
      </c>
      <c r="F566" s="18" t="s">
        <v>1176</v>
      </c>
      <c r="G566" s="19">
        <v>3775925</v>
      </c>
      <c r="H566" s="18" t="s">
        <v>1176</v>
      </c>
      <c r="I566" s="19">
        <v>3160965</v>
      </c>
      <c r="J566" s="18" t="s">
        <v>1015</v>
      </c>
      <c r="K566" s="19">
        <v>0</v>
      </c>
      <c r="L566" s="19">
        <v>0</v>
      </c>
      <c r="M566" s="19">
        <v>0</v>
      </c>
      <c r="N566" s="20">
        <v>0</v>
      </c>
      <c r="O566" s="19">
        <v>0</v>
      </c>
      <c r="P566" s="19">
        <v>0</v>
      </c>
      <c r="Q566" s="19">
        <v>0</v>
      </c>
      <c r="R566" s="19">
        <v>0</v>
      </c>
      <c r="S566" s="19">
        <v>0</v>
      </c>
      <c r="T566" s="19">
        <v>0</v>
      </c>
      <c r="U566" s="19">
        <v>0</v>
      </c>
      <c r="V566" s="19">
        <v>0</v>
      </c>
      <c r="W566" s="19">
        <v>0</v>
      </c>
      <c r="X566" s="19">
        <v>0</v>
      </c>
      <c r="Y566" s="20">
        <v>0</v>
      </c>
      <c r="Z566" s="19">
        <v>0</v>
      </c>
      <c r="AA566" s="19">
        <v>0</v>
      </c>
      <c r="AB566" t="str">
        <f>VLOOKUP(E:E,笔记匹配!A:N,3,FALSE)</f>
        <v>元气芥末酱</v>
      </c>
      <c r="AC566" t="str">
        <f>VLOOKUP(E:E,笔记匹配!A:N,2,FALSE)</f>
        <v>筋膜枪</v>
      </c>
      <c r="AD566" t="str">
        <f>VLOOKUP(E:E,笔记匹配!A:N,4,FALSE)</f>
        <v>云麦筋膜枪PB2</v>
      </c>
      <c r="AE566" t="str">
        <f>VLOOKUP(E:E,笔记匹配!A:N,14,FALSE)</f>
        <v>云麦筋膜枪pb2</v>
      </c>
      <c r="AF566" t="str">
        <f>VLOOKUP(E:E,笔记匹配!A:N,6,FALSE)</f>
        <v>小腿粗的姐妹信我！肌肉腿就要这样按！</v>
      </c>
    </row>
    <row r="567" spans="1:32">
      <c r="A567" s="18" t="s">
        <v>87</v>
      </c>
      <c r="B567" s="18" t="s">
        <v>1177</v>
      </c>
      <c r="C567" s="19">
        <v>18503974</v>
      </c>
      <c r="D567" s="18" t="s">
        <v>209</v>
      </c>
      <c r="E567" s="18" t="s">
        <v>525</v>
      </c>
      <c r="F567" s="18" t="s">
        <v>1178</v>
      </c>
      <c r="G567" s="19">
        <v>3798655</v>
      </c>
      <c r="H567" s="18" t="s">
        <v>1178</v>
      </c>
      <c r="I567" s="19">
        <v>3183731</v>
      </c>
      <c r="J567" s="18" t="s">
        <v>1015</v>
      </c>
      <c r="K567" s="19">
        <v>323.94</v>
      </c>
      <c r="L567" s="19">
        <v>33798</v>
      </c>
      <c r="M567" s="19">
        <v>996</v>
      </c>
      <c r="N567" s="20">
        <v>0.0295</v>
      </c>
      <c r="O567" s="19">
        <v>0.33</v>
      </c>
      <c r="P567" s="19">
        <v>9.58</v>
      </c>
      <c r="Q567" s="19">
        <v>39</v>
      </c>
      <c r="R567" s="19">
        <v>3</v>
      </c>
      <c r="S567" s="19">
        <v>13</v>
      </c>
      <c r="T567" s="19">
        <v>1</v>
      </c>
      <c r="U567" s="19">
        <v>3</v>
      </c>
      <c r="V567" s="19">
        <v>59</v>
      </c>
      <c r="W567" s="19">
        <v>5.49</v>
      </c>
      <c r="X567" s="19">
        <v>11</v>
      </c>
      <c r="Y567" s="20">
        <v>0.011</v>
      </c>
      <c r="Z567" s="19">
        <v>0</v>
      </c>
      <c r="AA567" s="19">
        <v>1</v>
      </c>
      <c r="AB567" t="str">
        <f>VLOOKUP(E:E,笔记匹配!A:N,3,FALSE)</f>
        <v>圆圆今天暴富了么</v>
      </c>
      <c r="AC567" t="str">
        <f>VLOOKUP(E:E,笔记匹配!A:N,2,FALSE)</f>
        <v>筋膜枪</v>
      </c>
      <c r="AD567" t="str">
        <f>VLOOKUP(E:E,笔记匹配!A:N,4,FALSE)</f>
        <v>云麦筋膜枪PB2</v>
      </c>
      <c r="AE567" t="str">
        <f>VLOOKUP(E:E,笔记匹配!A:N,14,FALSE)</f>
        <v>云麦筋膜枪pb2</v>
      </c>
      <c r="AF567" t="str">
        <f>VLOOKUP(E:E,笔记匹配!A:N,6,FALSE)</f>
        <v>云麦的筋膜枪我真的是服了….</v>
      </c>
    </row>
    <row r="568" spans="1:32">
      <c r="A568" s="18" t="s">
        <v>88</v>
      </c>
      <c r="B568" s="18" t="s">
        <v>1161</v>
      </c>
      <c r="C568" s="19">
        <v>18085273</v>
      </c>
      <c r="D568" s="18" t="s">
        <v>209</v>
      </c>
      <c r="E568" s="18" t="s">
        <v>296</v>
      </c>
      <c r="F568" s="18" t="s">
        <v>1162</v>
      </c>
      <c r="G568" s="19">
        <v>3600311</v>
      </c>
      <c r="H568" s="18" t="s">
        <v>1163</v>
      </c>
      <c r="I568" s="19">
        <v>2985865</v>
      </c>
      <c r="J568" s="18" t="s">
        <v>1015</v>
      </c>
      <c r="K568" s="19">
        <v>0</v>
      </c>
      <c r="L568" s="19">
        <v>0</v>
      </c>
      <c r="M568" s="19">
        <v>0</v>
      </c>
      <c r="N568" s="20">
        <v>0</v>
      </c>
      <c r="O568" s="19">
        <v>0</v>
      </c>
      <c r="P568" s="19">
        <v>0</v>
      </c>
      <c r="Q568" s="19">
        <v>0</v>
      </c>
      <c r="R568" s="19">
        <v>0</v>
      </c>
      <c r="S568" s="19">
        <v>0</v>
      </c>
      <c r="T568" s="19">
        <v>0</v>
      </c>
      <c r="U568" s="19">
        <v>0</v>
      </c>
      <c r="V568" s="19">
        <v>0</v>
      </c>
      <c r="W568" s="19">
        <v>0</v>
      </c>
      <c r="X568" s="19">
        <v>0</v>
      </c>
      <c r="Y568" s="20">
        <v>0</v>
      </c>
      <c r="Z568" s="19">
        <v>0</v>
      </c>
      <c r="AA568" s="19">
        <v>0</v>
      </c>
      <c r="AB568" t="str">
        <f>VLOOKUP(E:E,笔记匹配!A:N,3,FALSE)</f>
        <v>元气芥末酱</v>
      </c>
      <c r="AC568" t="str">
        <f>VLOOKUP(E:E,笔记匹配!A:N,2,FALSE)</f>
        <v>筋膜枪</v>
      </c>
      <c r="AD568" t="str">
        <f>VLOOKUP(E:E,笔记匹配!A:N,4,FALSE)</f>
        <v>云麦筋膜枪PB2</v>
      </c>
      <c r="AE568" t="str">
        <f>VLOOKUP(E:E,笔记匹配!A:N,14,FALSE)</f>
        <v>云麦筋膜枪pb2</v>
      </c>
      <c r="AF568" t="str">
        <f>VLOOKUP(E:E,笔记匹配!A:N,6,FALSE)</f>
        <v>小腿粗的姐妹信我！肌肉腿就要这样按！</v>
      </c>
    </row>
    <row r="569" spans="1:32">
      <c r="A569" s="18" t="s">
        <v>88</v>
      </c>
      <c r="B569" s="18" t="s">
        <v>1164</v>
      </c>
      <c r="C569" s="19">
        <v>18170615</v>
      </c>
      <c r="D569" s="18" t="s">
        <v>209</v>
      </c>
      <c r="E569" s="18" t="s">
        <v>205</v>
      </c>
      <c r="F569" s="18" t="s">
        <v>1165</v>
      </c>
      <c r="G569" s="19">
        <v>3639848</v>
      </c>
      <c r="H569" s="18" t="s">
        <v>1166</v>
      </c>
      <c r="I569" s="19">
        <v>3024741</v>
      </c>
      <c r="J569" s="18" t="s">
        <v>1015</v>
      </c>
      <c r="K569" s="19">
        <v>392.49</v>
      </c>
      <c r="L569" s="19">
        <v>41150</v>
      </c>
      <c r="M569" s="19">
        <v>2471</v>
      </c>
      <c r="N569" s="20">
        <v>0.06</v>
      </c>
      <c r="O569" s="19">
        <v>0.16</v>
      </c>
      <c r="P569" s="19">
        <v>9.54</v>
      </c>
      <c r="Q569" s="19">
        <v>116</v>
      </c>
      <c r="R569" s="19">
        <v>2</v>
      </c>
      <c r="S569" s="19">
        <v>101</v>
      </c>
      <c r="T569" s="19">
        <v>19</v>
      </c>
      <c r="U569" s="19">
        <v>4</v>
      </c>
      <c r="V569" s="19">
        <v>242</v>
      </c>
      <c r="W569" s="19">
        <v>1.62</v>
      </c>
      <c r="X569" s="19">
        <v>0</v>
      </c>
      <c r="Y569" s="20">
        <v>0</v>
      </c>
      <c r="Z569" s="19">
        <v>2</v>
      </c>
      <c r="AA569" s="19">
        <v>0</v>
      </c>
      <c r="AB569" t="str">
        <f>VLOOKUP(E:E,笔记匹配!A:N,3,FALSE)</f>
        <v>马可乐cora</v>
      </c>
      <c r="AC569" t="str">
        <f>VLOOKUP(E:E,笔记匹配!A:N,2,FALSE)</f>
        <v>筋膜枪</v>
      </c>
      <c r="AD569" t="str">
        <f>VLOOKUP(E:E,笔记匹配!A:N,4,FALSE)</f>
        <v>云麦筋膜枪PB2</v>
      </c>
      <c r="AE569" t="str">
        <f>VLOOKUP(E:E,笔记匹配!A:N,14,FALSE)</f>
        <v>云麦筋膜枪pb2</v>
      </c>
      <c r="AF569" t="str">
        <f>VLOOKUP(E:E,笔记匹配!A:N,6,FALSE)</f>
        <v>跳操的姐妹听我的用筋膜枪放松下肢真的有用</v>
      </c>
    </row>
    <row r="570" spans="1:32">
      <c r="A570" s="18" t="s">
        <v>88</v>
      </c>
      <c r="B570" s="18" t="s">
        <v>1167</v>
      </c>
      <c r="C570" s="19">
        <v>18224197</v>
      </c>
      <c r="D570" s="18" t="s">
        <v>209</v>
      </c>
      <c r="E570" s="18" t="s">
        <v>300</v>
      </c>
      <c r="F570" s="18" t="s">
        <v>1168</v>
      </c>
      <c r="G570" s="19">
        <v>3665138</v>
      </c>
      <c r="H570" s="18" t="s">
        <v>1168</v>
      </c>
      <c r="I570" s="19">
        <v>3050231</v>
      </c>
      <c r="J570" s="18" t="s">
        <v>1015</v>
      </c>
      <c r="K570" s="19">
        <v>0</v>
      </c>
      <c r="L570" s="19">
        <v>0</v>
      </c>
      <c r="M570" s="19">
        <v>0</v>
      </c>
      <c r="N570" s="20">
        <v>0</v>
      </c>
      <c r="O570" s="19">
        <v>0</v>
      </c>
      <c r="P570" s="19">
        <v>0</v>
      </c>
      <c r="Q570" s="19">
        <v>0</v>
      </c>
      <c r="R570" s="19">
        <v>0</v>
      </c>
      <c r="S570" s="19">
        <v>0</v>
      </c>
      <c r="T570" s="19">
        <v>0</v>
      </c>
      <c r="U570" s="19">
        <v>0</v>
      </c>
      <c r="V570" s="19">
        <v>0</v>
      </c>
      <c r="W570" s="19">
        <v>0</v>
      </c>
      <c r="X570" s="19">
        <v>0</v>
      </c>
      <c r="Y570" s="20">
        <v>0</v>
      </c>
      <c r="Z570" s="19">
        <v>0</v>
      </c>
      <c r="AA570" s="19">
        <v>0</v>
      </c>
      <c r="AB570" t="str">
        <f>VLOOKUP(E:E,笔记匹配!A:N,3,FALSE)</f>
        <v>朱俊畅</v>
      </c>
      <c r="AC570" t="str">
        <f>VLOOKUP(E:E,笔记匹配!A:N,2,FALSE)</f>
        <v>筋膜枪</v>
      </c>
      <c r="AD570" t="str">
        <f>VLOOKUP(E:E,笔记匹配!A:N,4,FALSE)</f>
        <v>云麦筋膜枪PB2</v>
      </c>
      <c r="AE570" t="str">
        <f>VLOOKUP(E:E,笔记匹配!A:N,14,FALSE)</f>
        <v>云麦筋膜枪pb2</v>
      </c>
      <c r="AF570" t="str">
        <f>VLOOKUP(E:E,笔记匹配!A:N,6,FALSE)</f>
        <v>打球完容易肌肉酸痛，筋膜枪放松更有效！</v>
      </c>
    </row>
    <row r="571" spans="1:32">
      <c r="A571" s="18" t="s">
        <v>88</v>
      </c>
      <c r="B571" s="18" t="s">
        <v>1172</v>
      </c>
      <c r="C571" s="19">
        <v>18412322</v>
      </c>
      <c r="D571" s="18" t="s">
        <v>209</v>
      </c>
      <c r="E571" s="18" t="s">
        <v>533</v>
      </c>
      <c r="F571" s="18" t="s">
        <v>1173</v>
      </c>
      <c r="G571" s="19">
        <v>3755110</v>
      </c>
      <c r="H571" s="18" t="s">
        <v>1173</v>
      </c>
      <c r="I571" s="19">
        <v>3140313</v>
      </c>
      <c r="J571" s="18" t="s">
        <v>1015</v>
      </c>
      <c r="K571" s="19">
        <v>0</v>
      </c>
      <c r="L571" s="19">
        <v>0</v>
      </c>
      <c r="M571" s="19">
        <v>0</v>
      </c>
      <c r="N571" s="20">
        <v>0</v>
      </c>
      <c r="O571" s="19">
        <v>0</v>
      </c>
      <c r="P571" s="19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0</v>
      </c>
      <c r="W571" s="19">
        <v>0</v>
      </c>
      <c r="X571" s="19">
        <v>0</v>
      </c>
      <c r="Y571" s="20">
        <v>0</v>
      </c>
      <c r="Z571" s="19">
        <v>0</v>
      </c>
      <c r="AA571" s="19">
        <v>0</v>
      </c>
      <c r="AB571" t="str">
        <f>VLOOKUP(E:E,笔记匹配!A:N,3,FALSE)</f>
        <v>大红辣辣椒</v>
      </c>
      <c r="AC571" t="str">
        <f>VLOOKUP(E:E,笔记匹配!A:N,2,FALSE)</f>
        <v>筋膜枪</v>
      </c>
      <c r="AD571" t="str">
        <f>VLOOKUP(E:E,笔记匹配!A:N,4,FALSE)</f>
        <v>云麦筋膜枪PB2</v>
      </c>
      <c r="AE571" t="str">
        <f>VLOOKUP(E:E,笔记匹配!A:N,14,FALSE)</f>
        <v>云麦筋膜枪pb2</v>
      </c>
      <c r="AF571" t="str">
        <f>VLOOKUP(E:E,笔记匹配!A:N,6,FALSE)</f>
        <v>打工人久坐党肩颈自救！筋膜枪按摩超舒服</v>
      </c>
    </row>
    <row r="572" spans="1:32">
      <c r="A572" s="18" t="s">
        <v>88</v>
      </c>
      <c r="B572" s="18" t="s">
        <v>1177</v>
      </c>
      <c r="C572" s="19">
        <v>18503974</v>
      </c>
      <c r="D572" s="18" t="s">
        <v>209</v>
      </c>
      <c r="E572" s="18" t="s">
        <v>525</v>
      </c>
      <c r="F572" s="18" t="s">
        <v>1178</v>
      </c>
      <c r="G572" s="19">
        <v>3798655</v>
      </c>
      <c r="H572" s="18" t="s">
        <v>1178</v>
      </c>
      <c r="I572" s="19">
        <v>3183731</v>
      </c>
      <c r="J572" s="18" t="s">
        <v>1015</v>
      </c>
      <c r="K572" s="19">
        <v>325.01</v>
      </c>
      <c r="L572" s="19">
        <v>21739</v>
      </c>
      <c r="M572" s="19">
        <v>754</v>
      </c>
      <c r="N572" s="20">
        <v>0.0347</v>
      </c>
      <c r="O572" s="19">
        <v>0.43</v>
      </c>
      <c r="P572" s="19">
        <v>14.95</v>
      </c>
      <c r="Q572" s="19">
        <v>42</v>
      </c>
      <c r="R572" s="19">
        <v>1</v>
      </c>
      <c r="S572" s="19">
        <v>12</v>
      </c>
      <c r="T572" s="19">
        <v>0</v>
      </c>
      <c r="U572" s="19">
        <v>4</v>
      </c>
      <c r="V572" s="19">
        <v>59</v>
      </c>
      <c r="W572" s="19">
        <v>5.51</v>
      </c>
      <c r="X572" s="19">
        <v>6</v>
      </c>
      <c r="Y572" s="20">
        <v>0.008</v>
      </c>
      <c r="Z572" s="19">
        <v>0</v>
      </c>
      <c r="AA572" s="19">
        <v>3</v>
      </c>
      <c r="AB572" t="str">
        <f>VLOOKUP(E:E,笔记匹配!A:N,3,FALSE)</f>
        <v>圆圆今天暴富了么</v>
      </c>
      <c r="AC572" t="str">
        <f>VLOOKUP(E:E,笔记匹配!A:N,2,FALSE)</f>
        <v>筋膜枪</v>
      </c>
      <c r="AD572" t="str">
        <f>VLOOKUP(E:E,笔记匹配!A:N,4,FALSE)</f>
        <v>云麦筋膜枪PB2</v>
      </c>
      <c r="AE572" t="str">
        <f>VLOOKUP(E:E,笔记匹配!A:N,14,FALSE)</f>
        <v>云麦筋膜枪pb2</v>
      </c>
      <c r="AF572" t="str">
        <f>VLOOKUP(E:E,笔记匹配!A:N,6,FALSE)</f>
        <v>云麦的筋膜枪我真的是服了….</v>
      </c>
    </row>
    <row r="573" spans="1:32">
      <c r="A573" s="18" t="s">
        <v>88</v>
      </c>
      <c r="B573" s="18" t="s">
        <v>1179</v>
      </c>
      <c r="C573" s="19">
        <v>18541581</v>
      </c>
      <c r="D573" s="18" t="s">
        <v>209</v>
      </c>
      <c r="E573" s="18" t="s">
        <v>488</v>
      </c>
      <c r="F573" s="18" t="s">
        <v>1180</v>
      </c>
      <c r="G573" s="19">
        <v>3817956</v>
      </c>
      <c r="H573" s="18" t="s">
        <v>1180</v>
      </c>
      <c r="I573" s="19">
        <v>3202963</v>
      </c>
      <c r="J573" s="18" t="s">
        <v>1015</v>
      </c>
      <c r="K573" s="19">
        <v>9.44</v>
      </c>
      <c r="L573" s="19">
        <v>968</v>
      </c>
      <c r="M573" s="19">
        <v>61</v>
      </c>
      <c r="N573" s="20">
        <v>0.063</v>
      </c>
      <c r="O573" s="19">
        <v>0.15</v>
      </c>
      <c r="P573" s="19">
        <v>9.75</v>
      </c>
      <c r="Q573" s="19">
        <v>0</v>
      </c>
      <c r="R573" s="19">
        <v>0</v>
      </c>
      <c r="S573" s="19">
        <v>0</v>
      </c>
      <c r="T573" s="19">
        <v>0</v>
      </c>
      <c r="U573" s="19">
        <v>0</v>
      </c>
      <c r="V573" s="19">
        <v>0</v>
      </c>
      <c r="W573" s="19">
        <v>0</v>
      </c>
      <c r="X573" s="19">
        <v>0</v>
      </c>
      <c r="Y573" s="20">
        <v>0</v>
      </c>
      <c r="Z573" s="19">
        <v>1</v>
      </c>
      <c r="AA573" s="19">
        <v>0</v>
      </c>
      <c r="AB573" t="str">
        <f>VLOOKUP(E:E,笔记匹配!A:N,3,FALSE)</f>
        <v>板野友美iii</v>
      </c>
      <c r="AC573" t="str">
        <f>VLOOKUP(E:E,笔记匹配!A:N,2,FALSE)</f>
        <v>筋膜枪</v>
      </c>
      <c r="AD573" t="str">
        <f>VLOOKUP(E:E,笔记匹配!A:N,4,FALSE)</f>
        <v>云麦筋膜枪PB2</v>
      </c>
      <c r="AE573" t="str">
        <f>VLOOKUP(E:E,笔记匹配!A:N,14,FALSE)</f>
        <v>云麦筋膜枪pb2</v>
      </c>
      <c r="AF573" t="str">
        <f>VLOOKUP(E:E,笔记匹配!A:N,6,FALSE)</f>
        <v>这小东西真的可以拯救肩颈酸痛！后悔用晚了！</v>
      </c>
    </row>
    <row r="574" spans="1:32">
      <c r="A574" s="18" t="s">
        <v>89</v>
      </c>
      <c r="B574" s="18" t="s">
        <v>1161</v>
      </c>
      <c r="C574" s="19">
        <v>18085273</v>
      </c>
      <c r="D574" s="18" t="s">
        <v>209</v>
      </c>
      <c r="E574" s="18" t="s">
        <v>296</v>
      </c>
      <c r="F574" s="18" t="s">
        <v>1162</v>
      </c>
      <c r="G574" s="19">
        <v>3600311</v>
      </c>
      <c r="H574" s="18" t="s">
        <v>1163</v>
      </c>
      <c r="I574" s="19">
        <v>2985865</v>
      </c>
      <c r="J574" s="18" t="s">
        <v>1015</v>
      </c>
      <c r="K574" s="19">
        <v>0</v>
      </c>
      <c r="L574" s="19">
        <v>0</v>
      </c>
      <c r="M574" s="19">
        <v>0</v>
      </c>
      <c r="N574" s="20">
        <v>0</v>
      </c>
      <c r="O574" s="19">
        <v>0</v>
      </c>
      <c r="P574" s="19">
        <v>0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9">
        <v>0</v>
      </c>
      <c r="Y574" s="20">
        <v>0</v>
      </c>
      <c r="Z574" s="19">
        <v>0</v>
      </c>
      <c r="AA574" s="19">
        <v>0</v>
      </c>
      <c r="AB574" t="str">
        <f>VLOOKUP(E:E,笔记匹配!A:N,3,FALSE)</f>
        <v>元气芥末酱</v>
      </c>
      <c r="AC574" t="str">
        <f>VLOOKUP(E:E,笔记匹配!A:N,2,FALSE)</f>
        <v>筋膜枪</v>
      </c>
      <c r="AD574" t="str">
        <f>VLOOKUP(E:E,笔记匹配!A:N,4,FALSE)</f>
        <v>云麦筋膜枪PB2</v>
      </c>
      <c r="AE574" t="str">
        <f>VLOOKUP(E:E,笔记匹配!A:N,14,FALSE)</f>
        <v>云麦筋膜枪pb2</v>
      </c>
      <c r="AF574" t="str">
        <f>VLOOKUP(E:E,笔记匹配!A:N,6,FALSE)</f>
        <v>小腿粗的姐妹信我！肌肉腿就要这样按！</v>
      </c>
    </row>
    <row r="575" spans="1:32">
      <c r="A575" s="18" t="s">
        <v>89</v>
      </c>
      <c r="B575" s="18" t="s">
        <v>1164</v>
      </c>
      <c r="C575" s="19">
        <v>18170615</v>
      </c>
      <c r="D575" s="18" t="s">
        <v>209</v>
      </c>
      <c r="E575" s="18" t="s">
        <v>205</v>
      </c>
      <c r="F575" s="18" t="s">
        <v>1165</v>
      </c>
      <c r="G575" s="19">
        <v>3639848</v>
      </c>
      <c r="H575" s="18" t="s">
        <v>1166</v>
      </c>
      <c r="I575" s="19">
        <v>3024741</v>
      </c>
      <c r="J575" s="18" t="s">
        <v>1015</v>
      </c>
      <c r="K575" s="19">
        <v>503.86</v>
      </c>
      <c r="L575" s="19">
        <v>47753</v>
      </c>
      <c r="M575" s="19">
        <v>3030</v>
      </c>
      <c r="N575" s="20">
        <v>0.0635</v>
      </c>
      <c r="O575" s="19">
        <v>0.17</v>
      </c>
      <c r="P575" s="19">
        <v>10.55</v>
      </c>
      <c r="Q575" s="19">
        <v>152</v>
      </c>
      <c r="R575" s="19">
        <v>2</v>
      </c>
      <c r="S575" s="19">
        <v>139</v>
      </c>
      <c r="T575" s="19">
        <v>13</v>
      </c>
      <c r="U575" s="19">
        <v>5</v>
      </c>
      <c r="V575" s="19">
        <v>311</v>
      </c>
      <c r="W575" s="19">
        <v>1.62</v>
      </c>
      <c r="X575" s="19">
        <v>0</v>
      </c>
      <c r="Y575" s="20">
        <v>0</v>
      </c>
      <c r="Z575" s="19">
        <v>0</v>
      </c>
      <c r="AA575" s="19">
        <v>4</v>
      </c>
      <c r="AB575" t="str">
        <f>VLOOKUP(E:E,笔记匹配!A:N,3,FALSE)</f>
        <v>马可乐cora</v>
      </c>
      <c r="AC575" t="str">
        <f>VLOOKUP(E:E,笔记匹配!A:N,2,FALSE)</f>
        <v>筋膜枪</v>
      </c>
      <c r="AD575" t="str">
        <f>VLOOKUP(E:E,笔记匹配!A:N,4,FALSE)</f>
        <v>云麦筋膜枪PB2</v>
      </c>
      <c r="AE575" t="str">
        <f>VLOOKUP(E:E,笔记匹配!A:N,14,FALSE)</f>
        <v>云麦筋膜枪pb2</v>
      </c>
      <c r="AF575" t="str">
        <f>VLOOKUP(E:E,笔记匹配!A:N,6,FALSE)</f>
        <v>跳操的姐妹听我的用筋膜枪放松下肢真的有用</v>
      </c>
    </row>
    <row r="576" spans="1:32">
      <c r="A576" s="18" t="s">
        <v>89</v>
      </c>
      <c r="B576" s="18" t="s">
        <v>1167</v>
      </c>
      <c r="C576" s="19">
        <v>18224197</v>
      </c>
      <c r="D576" s="18" t="s">
        <v>209</v>
      </c>
      <c r="E576" s="18" t="s">
        <v>300</v>
      </c>
      <c r="F576" s="18" t="s">
        <v>1168</v>
      </c>
      <c r="G576" s="19">
        <v>3665138</v>
      </c>
      <c r="H576" s="18" t="s">
        <v>1168</v>
      </c>
      <c r="I576" s="19">
        <v>3050231</v>
      </c>
      <c r="J576" s="18" t="s">
        <v>1015</v>
      </c>
      <c r="K576" s="19">
        <v>0</v>
      </c>
      <c r="L576" s="19">
        <v>0</v>
      </c>
      <c r="M576" s="19">
        <v>0</v>
      </c>
      <c r="N576" s="20">
        <v>0</v>
      </c>
      <c r="O576" s="19">
        <v>0</v>
      </c>
      <c r="P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0</v>
      </c>
      <c r="X576" s="19">
        <v>0</v>
      </c>
      <c r="Y576" s="20">
        <v>0</v>
      </c>
      <c r="Z576" s="19">
        <v>0</v>
      </c>
      <c r="AA576" s="19">
        <v>0</v>
      </c>
      <c r="AB576" t="str">
        <f>VLOOKUP(E:E,笔记匹配!A:N,3,FALSE)</f>
        <v>朱俊畅</v>
      </c>
      <c r="AC576" t="str">
        <f>VLOOKUP(E:E,笔记匹配!A:N,2,FALSE)</f>
        <v>筋膜枪</v>
      </c>
      <c r="AD576" t="str">
        <f>VLOOKUP(E:E,笔记匹配!A:N,4,FALSE)</f>
        <v>云麦筋膜枪PB2</v>
      </c>
      <c r="AE576" t="str">
        <f>VLOOKUP(E:E,笔记匹配!A:N,14,FALSE)</f>
        <v>云麦筋膜枪pb2</v>
      </c>
      <c r="AF576" t="str">
        <f>VLOOKUP(E:E,笔记匹配!A:N,6,FALSE)</f>
        <v>打球完容易肌肉酸痛，筋膜枪放松更有效！</v>
      </c>
    </row>
    <row r="577" spans="1:32">
      <c r="A577" s="18" t="s">
        <v>89</v>
      </c>
      <c r="B577" s="18" t="s">
        <v>1169</v>
      </c>
      <c r="C577" s="19">
        <v>18353517</v>
      </c>
      <c r="D577" s="18" t="s">
        <v>209</v>
      </c>
      <c r="E577" s="18" t="s">
        <v>456</v>
      </c>
      <c r="F577" s="18" t="s">
        <v>1170</v>
      </c>
      <c r="G577" s="19">
        <v>3729412</v>
      </c>
      <c r="H577" s="18" t="s">
        <v>1171</v>
      </c>
      <c r="I577" s="19">
        <v>3114670</v>
      </c>
      <c r="J577" s="18" t="s">
        <v>1015</v>
      </c>
      <c r="K577" s="19">
        <v>0</v>
      </c>
      <c r="L577" s="19">
        <v>0</v>
      </c>
      <c r="M577" s="19">
        <v>0</v>
      </c>
      <c r="N577" s="20">
        <v>0</v>
      </c>
      <c r="O577" s="19">
        <v>0</v>
      </c>
      <c r="P577" s="19">
        <v>0</v>
      </c>
      <c r="Q577" s="19">
        <v>0</v>
      </c>
      <c r="R577" s="19">
        <v>0</v>
      </c>
      <c r="S577" s="19">
        <v>0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20">
        <v>0</v>
      </c>
      <c r="Z577" s="19">
        <v>0</v>
      </c>
      <c r="AA577" s="19">
        <v>0</v>
      </c>
      <c r="AB577" t="str">
        <f>VLOOKUP(E:E,笔记匹配!A:N,3,FALSE)</f>
        <v>爱跳绳的粥粥</v>
      </c>
      <c r="AC577" t="str">
        <f>VLOOKUP(E:E,笔记匹配!A:N,2,FALSE)</f>
        <v>筋膜枪</v>
      </c>
      <c r="AD577" t="str">
        <f>VLOOKUP(E:E,笔记匹配!A:N,4,FALSE)</f>
        <v>云麦PB2</v>
      </c>
      <c r="AE577" t="str">
        <f>VLOOKUP(E:E,笔记匹配!A:N,14,FALSE)</f>
        <v>云麦筋膜枪pb2</v>
      </c>
      <c r="AF577" t="str">
        <f>VLOOKUP(E:E,笔记匹配!A:N,6,FALSE)</f>
        <v>如何利用跳绳高效瘦腿记得用筋膜枪放松哦！</v>
      </c>
    </row>
    <row r="578" spans="1:32">
      <c r="A578" s="18" t="s">
        <v>89</v>
      </c>
      <c r="B578" s="18" t="s">
        <v>1177</v>
      </c>
      <c r="C578" s="19">
        <v>18503974</v>
      </c>
      <c r="D578" s="18" t="s">
        <v>209</v>
      </c>
      <c r="E578" s="18" t="s">
        <v>525</v>
      </c>
      <c r="F578" s="18" t="s">
        <v>1178</v>
      </c>
      <c r="G578" s="19">
        <v>3798655</v>
      </c>
      <c r="H578" s="18" t="s">
        <v>1178</v>
      </c>
      <c r="I578" s="19">
        <v>3183731</v>
      </c>
      <c r="J578" s="18" t="s">
        <v>1015</v>
      </c>
      <c r="K578" s="19">
        <v>885.65</v>
      </c>
      <c r="L578" s="19">
        <v>62490</v>
      </c>
      <c r="M578" s="19">
        <v>2659</v>
      </c>
      <c r="N578" s="20">
        <v>0.0426</v>
      </c>
      <c r="O578" s="19">
        <v>0.33</v>
      </c>
      <c r="P578" s="19">
        <v>14.17</v>
      </c>
      <c r="Q578" s="19">
        <v>77</v>
      </c>
      <c r="R578" s="19">
        <v>0</v>
      </c>
      <c r="S578" s="19">
        <v>31</v>
      </c>
      <c r="T578" s="19">
        <v>1</v>
      </c>
      <c r="U578" s="19">
        <v>3</v>
      </c>
      <c r="V578" s="19">
        <v>112</v>
      </c>
      <c r="W578" s="19">
        <v>7.91</v>
      </c>
      <c r="X578" s="19">
        <v>17</v>
      </c>
      <c r="Y578" s="20">
        <v>0.0064</v>
      </c>
      <c r="Z578" s="19">
        <v>3</v>
      </c>
      <c r="AA578" s="19">
        <v>1</v>
      </c>
      <c r="AB578" t="str">
        <f>VLOOKUP(E:E,笔记匹配!A:N,3,FALSE)</f>
        <v>圆圆今天暴富了么</v>
      </c>
      <c r="AC578" t="str">
        <f>VLOOKUP(E:E,笔记匹配!A:N,2,FALSE)</f>
        <v>筋膜枪</v>
      </c>
      <c r="AD578" t="str">
        <f>VLOOKUP(E:E,笔记匹配!A:N,4,FALSE)</f>
        <v>云麦筋膜枪PB2</v>
      </c>
      <c r="AE578" t="str">
        <f>VLOOKUP(E:E,笔记匹配!A:N,14,FALSE)</f>
        <v>云麦筋膜枪pb2</v>
      </c>
      <c r="AF578" t="str">
        <f>VLOOKUP(E:E,笔记匹配!A:N,6,FALSE)</f>
        <v>云麦的筋膜枪我真的是服了….</v>
      </c>
    </row>
    <row r="579" spans="1:32">
      <c r="A579" s="18" t="s">
        <v>89</v>
      </c>
      <c r="B579" s="18" t="s">
        <v>1179</v>
      </c>
      <c r="C579" s="19">
        <v>18541581</v>
      </c>
      <c r="D579" s="18" t="s">
        <v>209</v>
      </c>
      <c r="E579" s="18" t="s">
        <v>488</v>
      </c>
      <c r="F579" s="18" t="s">
        <v>1180</v>
      </c>
      <c r="G579" s="19">
        <v>3817956</v>
      </c>
      <c r="H579" s="18" t="s">
        <v>1180</v>
      </c>
      <c r="I579" s="19">
        <v>3202963</v>
      </c>
      <c r="J579" s="18" t="s">
        <v>1015</v>
      </c>
      <c r="K579" s="19">
        <v>319.24</v>
      </c>
      <c r="L579" s="19">
        <v>19026</v>
      </c>
      <c r="M579" s="19">
        <v>870</v>
      </c>
      <c r="N579" s="20">
        <v>0.0457</v>
      </c>
      <c r="O579" s="19">
        <v>0.37</v>
      </c>
      <c r="P579" s="19">
        <v>16.78</v>
      </c>
      <c r="Q579" s="19">
        <v>12</v>
      </c>
      <c r="R579" s="19">
        <v>0</v>
      </c>
      <c r="S579" s="19">
        <v>4</v>
      </c>
      <c r="T579" s="19">
        <v>1</v>
      </c>
      <c r="U579" s="19">
        <v>2</v>
      </c>
      <c r="V579" s="19">
        <v>19</v>
      </c>
      <c r="W579" s="19">
        <v>16.8</v>
      </c>
      <c r="X579" s="19">
        <v>3</v>
      </c>
      <c r="Y579" s="20">
        <v>0.0034</v>
      </c>
      <c r="Z579" s="19">
        <v>1</v>
      </c>
      <c r="AA579" s="19">
        <v>0</v>
      </c>
      <c r="AB579" t="str">
        <f>VLOOKUP(E:E,笔记匹配!A:N,3,FALSE)</f>
        <v>板野友美iii</v>
      </c>
      <c r="AC579" t="str">
        <f>VLOOKUP(E:E,笔记匹配!A:N,2,FALSE)</f>
        <v>筋膜枪</v>
      </c>
      <c r="AD579" t="str">
        <f>VLOOKUP(E:E,笔记匹配!A:N,4,FALSE)</f>
        <v>云麦筋膜枪PB2</v>
      </c>
      <c r="AE579" t="str">
        <f>VLOOKUP(E:E,笔记匹配!A:N,14,FALSE)</f>
        <v>云麦筋膜枪pb2</v>
      </c>
      <c r="AF579" t="str">
        <f>VLOOKUP(E:E,笔记匹配!A:N,6,FALSE)</f>
        <v>这小东西真的可以拯救肩颈酸痛！后悔用晚了！</v>
      </c>
    </row>
    <row r="580" spans="1:32">
      <c r="A580" s="18" t="s">
        <v>90</v>
      </c>
      <c r="B580" s="18" t="s">
        <v>1161</v>
      </c>
      <c r="C580" s="19">
        <v>18085273</v>
      </c>
      <c r="D580" s="18" t="s">
        <v>209</v>
      </c>
      <c r="E580" s="18" t="s">
        <v>296</v>
      </c>
      <c r="F580" s="18" t="s">
        <v>1162</v>
      </c>
      <c r="G580" s="19">
        <v>3600311</v>
      </c>
      <c r="H580" s="18" t="s">
        <v>1163</v>
      </c>
      <c r="I580" s="19">
        <v>2985865</v>
      </c>
      <c r="J580" s="18" t="s">
        <v>1015</v>
      </c>
      <c r="K580" s="19">
        <v>0</v>
      </c>
      <c r="L580" s="19">
        <v>0</v>
      </c>
      <c r="M580" s="19">
        <v>0</v>
      </c>
      <c r="N580" s="20">
        <v>0</v>
      </c>
      <c r="O580" s="19">
        <v>0</v>
      </c>
      <c r="P580" s="19">
        <v>0</v>
      </c>
      <c r="Q580" s="19">
        <v>0</v>
      </c>
      <c r="R580" s="19">
        <v>0</v>
      </c>
      <c r="S580" s="19">
        <v>0</v>
      </c>
      <c r="T580" s="19">
        <v>0</v>
      </c>
      <c r="U580" s="19">
        <v>0</v>
      </c>
      <c r="V580" s="19">
        <v>0</v>
      </c>
      <c r="W580" s="19">
        <v>0</v>
      </c>
      <c r="X580" s="19">
        <v>0</v>
      </c>
      <c r="Y580" s="20">
        <v>0</v>
      </c>
      <c r="Z580" s="19">
        <v>0</v>
      </c>
      <c r="AA580" s="19">
        <v>0</v>
      </c>
      <c r="AB580" t="str">
        <f>VLOOKUP(E:E,笔记匹配!A:N,3,FALSE)</f>
        <v>元气芥末酱</v>
      </c>
      <c r="AC580" t="str">
        <f>VLOOKUP(E:E,笔记匹配!A:N,2,FALSE)</f>
        <v>筋膜枪</v>
      </c>
      <c r="AD580" t="str">
        <f>VLOOKUP(E:E,笔记匹配!A:N,4,FALSE)</f>
        <v>云麦筋膜枪PB2</v>
      </c>
      <c r="AE580" t="str">
        <f>VLOOKUP(E:E,笔记匹配!A:N,14,FALSE)</f>
        <v>云麦筋膜枪pb2</v>
      </c>
      <c r="AF580" t="str">
        <f>VLOOKUP(E:E,笔记匹配!A:N,6,FALSE)</f>
        <v>小腿粗的姐妹信我！肌肉腿就要这样按！</v>
      </c>
    </row>
    <row r="581" spans="1:32">
      <c r="A581" s="18" t="s">
        <v>90</v>
      </c>
      <c r="B581" s="18" t="s">
        <v>1164</v>
      </c>
      <c r="C581" s="19">
        <v>18170615</v>
      </c>
      <c r="D581" s="18" t="s">
        <v>209</v>
      </c>
      <c r="E581" s="18" t="s">
        <v>205</v>
      </c>
      <c r="F581" s="18" t="s">
        <v>1165</v>
      </c>
      <c r="G581" s="19">
        <v>3639848</v>
      </c>
      <c r="H581" s="18" t="s">
        <v>1166</v>
      </c>
      <c r="I581" s="19">
        <v>3024741</v>
      </c>
      <c r="J581" s="18" t="s">
        <v>1015</v>
      </c>
      <c r="K581" s="19">
        <v>488.46</v>
      </c>
      <c r="L581" s="19">
        <v>39050</v>
      </c>
      <c r="M581" s="19">
        <v>2522</v>
      </c>
      <c r="N581" s="20">
        <v>0.0646</v>
      </c>
      <c r="O581" s="19">
        <v>0.19</v>
      </c>
      <c r="P581" s="19">
        <v>12.51</v>
      </c>
      <c r="Q581" s="19">
        <v>160</v>
      </c>
      <c r="R581" s="19">
        <v>5</v>
      </c>
      <c r="S581" s="19">
        <v>127</v>
      </c>
      <c r="T581" s="19">
        <v>10</v>
      </c>
      <c r="U581" s="19">
        <v>1</v>
      </c>
      <c r="V581" s="19">
        <v>303</v>
      </c>
      <c r="W581" s="19">
        <v>1.61</v>
      </c>
      <c r="X581" s="19">
        <v>0</v>
      </c>
      <c r="Y581" s="20">
        <v>0</v>
      </c>
      <c r="Z581" s="19">
        <v>1</v>
      </c>
      <c r="AA581" s="19">
        <v>1</v>
      </c>
      <c r="AB581" t="str">
        <f>VLOOKUP(E:E,笔记匹配!A:N,3,FALSE)</f>
        <v>马可乐cora</v>
      </c>
      <c r="AC581" t="str">
        <f>VLOOKUP(E:E,笔记匹配!A:N,2,FALSE)</f>
        <v>筋膜枪</v>
      </c>
      <c r="AD581" t="str">
        <f>VLOOKUP(E:E,笔记匹配!A:N,4,FALSE)</f>
        <v>云麦筋膜枪PB2</v>
      </c>
      <c r="AE581" t="str">
        <f>VLOOKUP(E:E,笔记匹配!A:N,14,FALSE)</f>
        <v>云麦筋膜枪pb2</v>
      </c>
      <c r="AF581" t="str">
        <f>VLOOKUP(E:E,笔记匹配!A:N,6,FALSE)</f>
        <v>跳操的姐妹听我的用筋膜枪放松下肢真的有用</v>
      </c>
    </row>
    <row r="582" spans="1:32">
      <c r="A582" s="18" t="s">
        <v>90</v>
      </c>
      <c r="B582" s="18" t="s">
        <v>1169</v>
      </c>
      <c r="C582" s="19">
        <v>18353517</v>
      </c>
      <c r="D582" s="18" t="s">
        <v>209</v>
      </c>
      <c r="E582" s="18" t="s">
        <v>456</v>
      </c>
      <c r="F582" s="18" t="s">
        <v>1170</v>
      </c>
      <c r="G582" s="19">
        <v>3729412</v>
      </c>
      <c r="H582" s="18" t="s">
        <v>1171</v>
      </c>
      <c r="I582" s="19">
        <v>3114670</v>
      </c>
      <c r="J582" s="18" t="s">
        <v>1015</v>
      </c>
      <c r="K582" s="19">
        <v>0</v>
      </c>
      <c r="L582" s="19">
        <v>0</v>
      </c>
      <c r="M582" s="19">
        <v>0</v>
      </c>
      <c r="N582" s="20">
        <v>0</v>
      </c>
      <c r="O582" s="19">
        <v>0</v>
      </c>
      <c r="P582" s="19">
        <v>0</v>
      </c>
      <c r="Q582" s="19">
        <v>0</v>
      </c>
      <c r="R582" s="19">
        <v>0</v>
      </c>
      <c r="S582" s="19">
        <v>0</v>
      </c>
      <c r="T582" s="19">
        <v>0</v>
      </c>
      <c r="U582" s="19">
        <v>0</v>
      </c>
      <c r="V582" s="19">
        <v>0</v>
      </c>
      <c r="W582" s="19">
        <v>0</v>
      </c>
      <c r="X582" s="19">
        <v>0</v>
      </c>
      <c r="Y582" s="20">
        <v>0</v>
      </c>
      <c r="Z582" s="19">
        <v>0</v>
      </c>
      <c r="AA582" s="19">
        <v>0</v>
      </c>
      <c r="AB582" t="str">
        <f>VLOOKUP(E:E,笔记匹配!A:N,3,FALSE)</f>
        <v>爱跳绳的粥粥</v>
      </c>
      <c r="AC582" t="str">
        <f>VLOOKUP(E:E,笔记匹配!A:N,2,FALSE)</f>
        <v>筋膜枪</v>
      </c>
      <c r="AD582" t="str">
        <f>VLOOKUP(E:E,笔记匹配!A:N,4,FALSE)</f>
        <v>云麦PB2</v>
      </c>
      <c r="AE582" t="str">
        <f>VLOOKUP(E:E,笔记匹配!A:N,14,FALSE)</f>
        <v>云麦筋膜枪pb2</v>
      </c>
      <c r="AF582" t="str">
        <f>VLOOKUP(E:E,笔记匹配!A:N,6,FALSE)</f>
        <v>如何利用跳绳高效瘦腿记得用筋膜枪放松哦！</v>
      </c>
    </row>
    <row r="583" spans="1:32">
      <c r="A583" s="18" t="s">
        <v>90</v>
      </c>
      <c r="B583" s="18" t="s">
        <v>1177</v>
      </c>
      <c r="C583" s="19">
        <v>18503974</v>
      </c>
      <c r="D583" s="18" t="s">
        <v>209</v>
      </c>
      <c r="E583" s="18" t="s">
        <v>525</v>
      </c>
      <c r="F583" s="18" t="s">
        <v>1178</v>
      </c>
      <c r="G583" s="19">
        <v>3798655</v>
      </c>
      <c r="H583" s="18" t="s">
        <v>1178</v>
      </c>
      <c r="I583" s="19">
        <v>3183731</v>
      </c>
      <c r="J583" s="18" t="s">
        <v>1015</v>
      </c>
      <c r="K583" s="19">
        <v>13.88</v>
      </c>
      <c r="L583" s="19">
        <v>1074</v>
      </c>
      <c r="M583" s="19">
        <v>81</v>
      </c>
      <c r="N583" s="20">
        <v>0.0754</v>
      </c>
      <c r="O583" s="19">
        <v>0.17</v>
      </c>
      <c r="P583" s="19">
        <v>12.92</v>
      </c>
      <c r="Q583" s="19">
        <v>1</v>
      </c>
      <c r="R583" s="19">
        <v>0</v>
      </c>
      <c r="S583" s="19">
        <v>0</v>
      </c>
      <c r="T583" s="19">
        <v>0</v>
      </c>
      <c r="U583" s="19">
        <v>0</v>
      </c>
      <c r="V583" s="19">
        <v>1</v>
      </c>
      <c r="W583" s="19">
        <v>13.88</v>
      </c>
      <c r="X583" s="19">
        <v>0</v>
      </c>
      <c r="Y583" s="20">
        <v>0</v>
      </c>
      <c r="Z583" s="19">
        <v>0</v>
      </c>
      <c r="AA583" s="19">
        <v>0</v>
      </c>
      <c r="AB583" t="str">
        <f>VLOOKUP(E:E,笔记匹配!A:N,3,FALSE)</f>
        <v>圆圆今天暴富了么</v>
      </c>
      <c r="AC583" t="str">
        <f>VLOOKUP(E:E,笔记匹配!A:N,2,FALSE)</f>
        <v>筋膜枪</v>
      </c>
      <c r="AD583" t="str">
        <f>VLOOKUP(E:E,笔记匹配!A:N,4,FALSE)</f>
        <v>云麦筋膜枪PB2</v>
      </c>
      <c r="AE583" t="str">
        <f>VLOOKUP(E:E,笔记匹配!A:N,14,FALSE)</f>
        <v>云麦筋膜枪pb2</v>
      </c>
      <c r="AF583" t="str">
        <f>VLOOKUP(E:E,笔记匹配!A:N,6,FALSE)</f>
        <v>云麦的筋膜枪我真的是服了….</v>
      </c>
    </row>
    <row r="584" spans="1:32">
      <c r="A584" s="18" t="s">
        <v>90</v>
      </c>
      <c r="B584" s="18" t="s">
        <v>1179</v>
      </c>
      <c r="C584" s="19">
        <v>18541581</v>
      </c>
      <c r="D584" s="18" t="s">
        <v>209</v>
      </c>
      <c r="E584" s="18" t="s">
        <v>488</v>
      </c>
      <c r="F584" s="18" t="s">
        <v>1180</v>
      </c>
      <c r="G584" s="19">
        <v>3817956</v>
      </c>
      <c r="H584" s="18" t="s">
        <v>1180</v>
      </c>
      <c r="I584" s="19">
        <v>3202963</v>
      </c>
      <c r="J584" s="18" t="s">
        <v>1015</v>
      </c>
      <c r="K584" s="19">
        <v>6.18</v>
      </c>
      <c r="L584" s="19">
        <v>255</v>
      </c>
      <c r="M584" s="19">
        <v>18</v>
      </c>
      <c r="N584" s="20">
        <v>0.0706</v>
      </c>
      <c r="O584" s="19">
        <v>0.34</v>
      </c>
      <c r="P584" s="19">
        <v>24.24</v>
      </c>
      <c r="Q584" s="19">
        <v>0</v>
      </c>
      <c r="R584" s="19">
        <v>0</v>
      </c>
      <c r="S584" s="19">
        <v>1</v>
      </c>
      <c r="T584" s="19">
        <v>0</v>
      </c>
      <c r="U584" s="19">
        <v>0</v>
      </c>
      <c r="V584" s="19">
        <v>1</v>
      </c>
      <c r="W584" s="19">
        <v>6.18</v>
      </c>
      <c r="X584" s="19">
        <v>0</v>
      </c>
      <c r="Y584" s="20">
        <v>0</v>
      </c>
      <c r="Z584" s="19">
        <v>0</v>
      </c>
      <c r="AA584" s="19">
        <v>0</v>
      </c>
      <c r="AB584" t="str">
        <f>VLOOKUP(E:E,笔记匹配!A:N,3,FALSE)</f>
        <v>板野友美iii</v>
      </c>
      <c r="AC584" t="str">
        <f>VLOOKUP(E:E,笔记匹配!A:N,2,FALSE)</f>
        <v>筋膜枪</v>
      </c>
      <c r="AD584" t="str">
        <f>VLOOKUP(E:E,笔记匹配!A:N,4,FALSE)</f>
        <v>云麦筋膜枪PB2</v>
      </c>
      <c r="AE584" t="str">
        <f>VLOOKUP(E:E,笔记匹配!A:N,14,FALSE)</f>
        <v>云麦筋膜枪pb2</v>
      </c>
      <c r="AF584" t="str">
        <f>VLOOKUP(E:E,笔记匹配!A:N,6,FALSE)</f>
        <v>这小东西真的可以拯救肩颈酸痛！后悔用晚了！</v>
      </c>
    </row>
    <row r="585" spans="1:32">
      <c r="A585" s="18" t="s">
        <v>90</v>
      </c>
      <c r="B585" s="18" t="s">
        <v>1181</v>
      </c>
      <c r="C585" s="19">
        <v>18606896</v>
      </c>
      <c r="D585" s="18" t="s">
        <v>209</v>
      </c>
      <c r="E585" s="18" t="s">
        <v>545</v>
      </c>
      <c r="F585" s="18" t="s">
        <v>1182</v>
      </c>
      <c r="G585" s="19">
        <v>3851140</v>
      </c>
      <c r="H585" s="18" t="s">
        <v>1182</v>
      </c>
      <c r="I585" s="19">
        <v>3236249</v>
      </c>
      <c r="J585" s="18" t="s">
        <v>1015</v>
      </c>
      <c r="K585" s="19">
        <v>394.13</v>
      </c>
      <c r="L585" s="19">
        <v>43442</v>
      </c>
      <c r="M585" s="19">
        <v>1622</v>
      </c>
      <c r="N585" s="20">
        <v>0.0373</v>
      </c>
      <c r="O585" s="19">
        <v>0.24</v>
      </c>
      <c r="P585" s="19">
        <v>9.07</v>
      </c>
      <c r="Q585" s="19">
        <v>24</v>
      </c>
      <c r="R585" s="19">
        <v>1</v>
      </c>
      <c r="S585" s="19">
        <v>11</v>
      </c>
      <c r="T585" s="19">
        <v>1</v>
      </c>
      <c r="U585" s="19">
        <v>1</v>
      </c>
      <c r="V585" s="19">
        <v>38</v>
      </c>
      <c r="W585" s="19">
        <v>10.37</v>
      </c>
      <c r="X585" s="19">
        <v>4</v>
      </c>
      <c r="Y585" s="20">
        <v>0.0025</v>
      </c>
      <c r="Z585" s="19">
        <v>2</v>
      </c>
      <c r="AA585" s="19">
        <v>4</v>
      </c>
      <c r="AB585" t="str">
        <f>VLOOKUP(E:E,笔记匹配!A:N,3,FALSE)</f>
        <v>雾霾少女i</v>
      </c>
      <c r="AC585" t="str">
        <f>VLOOKUP(E:E,笔记匹配!A:N,2,FALSE)</f>
        <v>筋膜枪</v>
      </c>
      <c r="AD585" t="str">
        <f>VLOOKUP(E:E,笔记匹配!A:N,4,FALSE)</f>
        <v>云麦筋膜枪pb2</v>
      </c>
      <c r="AE585" t="str">
        <f>VLOOKUP(E:E,笔记匹配!A:N,14,FALSE)</f>
        <v>云麦筋膜枪pb2</v>
      </c>
      <c r="AF585" t="str">
        <f>VLOOKUP(E:E,笔记匹配!A:N,6,FALSE)</f>
        <v>千万不要乱用！初学者必看筋膜枪正确用法</v>
      </c>
    </row>
    <row r="586" spans="1:32">
      <c r="A586" s="18" t="s">
        <v>90</v>
      </c>
      <c r="B586" s="18" t="s">
        <v>1181</v>
      </c>
      <c r="C586" s="19">
        <v>18606961</v>
      </c>
      <c r="D586" s="18" t="s">
        <v>209</v>
      </c>
      <c r="E586" s="18" t="s">
        <v>289</v>
      </c>
      <c r="F586" s="18" t="s">
        <v>1183</v>
      </c>
      <c r="G586" s="19">
        <v>3851160</v>
      </c>
      <c r="H586" s="18" t="s">
        <v>1183</v>
      </c>
      <c r="I586" s="19">
        <v>3236289</v>
      </c>
      <c r="J586" s="18" t="s">
        <v>1015</v>
      </c>
      <c r="K586" s="19">
        <v>480.88</v>
      </c>
      <c r="L586" s="19">
        <v>41651</v>
      </c>
      <c r="M586" s="19">
        <v>1677</v>
      </c>
      <c r="N586" s="20">
        <v>0.0403</v>
      </c>
      <c r="O586" s="19">
        <v>0.29</v>
      </c>
      <c r="P586" s="19">
        <v>11.55</v>
      </c>
      <c r="Q586" s="19">
        <v>102</v>
      </c>
      <c r="R586" s="19">
        <v>0</v>
      </c>
      <c r="S586" s="19">
        <v>67</v>
      </c>
      <c r="T586" s="19">
        <v>0</v>
      </c>
      <c r="U586" s="19">
        <v>14</v>
      </c>
      <c r="V586" s="19">
        <v>183</v>
      </c>
      <c r="W586" s="19">
        <v>2.63</v>
      </c>
      <c r="X586" s="19">
        <v>6</v>
      </c>
      <c r="Y586" s="20">
        <v>0.0036</v>
      </c>
      <c r="Z586" s="19">
        <v>14</v>
      </c>
      <c r="AA586" s="19">
        <v>12</v>
      </c>
      <c r="AB586" t="str">
        <f>VLOOKUP(E:E,笔记匹配!A:N,3,FALSE)</f>
        <v>小蓝今天吃了没</v>
      </c>
      <c r="AC586" t="str">
        <f>VLOOKUP(E:E,笔记匹配!A:N,2,FALSE)</f>
        <v>筋膜枪</v>
      </c>
      <c r="AD586" t="str">
        <f>VLOOKUP(E:E,笔记匹配!A:N,4,FALSE)</f>
        <v>云麦 筋膜枪PB2</v>
      </c>
      <c r="AE586" t="str">
        <f>VLOOKUP(E:E,笔记匹配!A:N,14,FALSE)</f>
        <v>云麦筋膜枪pb2</v>
      </c>
      <c r="AF586" t="str">
        <f>VLOOKUP(E:E,笔记匹配!A:N,6,FALSE)</f>
        <v>筋膜枪正确用法！刘耕宏女孩永不认输</v>
      </c>
    </row>
    <row r="587" spans="1:32">
      <c r="A587" s="18" t="s">
        <v>91</v>
      </c>
      <c r="B587" s="18" t="s">
        <v>1164</v>
      </c>
      <c r="C587" s="19">
        <v>18170615</v>
      </c>
      <c r="D587" s="18" t="s">
        <v>209</v>
      </c>
      <c r="E587" s="18" t="s">
        <v>205</v>
      </c>
      <c r="F587" s="18" t="s">
        <v>1165</v>
      </c>
      <c r="G587" s="19">
        <v>3639848</v>
      </c>
      <c r="H587" s="18" t="s">
        <v>1166</v>
      </c>
      <c r="I587" s="19">
        <v>3024741</v>
      </c>
      <c r="J587" s="18" t="s">
        <v>1015</v>
      </c>
      <c r="K587" s="19">
        <v>909.63</v>
      </c>
      <c r="L587" s="19">
        <v>56784</v>
      </c>
      <c r="M587" s="19">
        <v>3130</v>
      </c>
      <c r="N587" s="20">
        <v>0.0551</v>
      </c>
      <c r="O587" s="19">
        <v>0.29</v>
      </c>
      <c r="P587" s="19">
        <v>16.02</v>
      </c>
      <c r="Q587" s="19">
        <v>244</v>
      </c>
      <c r="R587" s="19">
        <v>5</v>
      </c>
      <c r="S587" s="19">
        <v>202</v>
      </c>
      <c r="T587" s="19">
        <v>25</v>
      </c>
      <c r="U587" s="19">
        <v>12</v>
      </c>
      <c r="V587" s="19">
        <v>488</v>
      </c>
      <c r="W587" s="19">
        <v>1.86</v>
      </c>
      <c r="X587" s="19">
        <v>0</v>
      </c>
      <c r="Y587" s="20">
        <v>0</v>
      </c>
      <c r="Z587" s="19">
        <v>3</v>
      </c>
      <c r="AA587" s="19">
        <v>2</v>
      </c>
      <c r="AB587" t="str">
        <f>VLOOKUP(E:E,笔记匹配!A:N,3,FALSE)</f>
        <v>马可乐cora</v>
      </c>
      <c r="AC587" t="str">
        <f>VLOOKUP(E:E,笔记匹配!A:N,2,FALSE)</f>
        <v>筋膜枪</v>
      </c>
      <c r="AD587" t="str">
        <f>VLOOKUP(E:E,笔记匹配!A:N,4,FALSE)</f>
        <v>云麦筋膜枪PB2</v>
      </c>
      <c r="AE587" t="str">
        <f>VLOOKUP(E:E,笔记匹配!A:N,14,FALSE)</f>
        <v>云麦筋膜枪pb2</v>
      </c>
      <c r="AF587" t="str">
        <f>VLOOKUP(E:E,笔记匹配!A:N,6,FALSE)</f>
        <v>跳操的姐妹听我的用筋膜枪放松下肢真的有用</v>
      </c>
    </row>
    <row r="588" spans="1:32">
      <c r="A588" s="18" t="s">
        <v>91</v>
      </c>
      <c r="B588" s="18" t="s">
        <v>1167</v>
      </c>
      <c r="C588" s="19">
        <v>18224197</v>
      </c>
      <c r="D588" s="18" t="s">
        <v>209</v>
      </c>
      <c r="E588" s="18" t="s">
        <v>300</v>
      </c>
      <c r="F588" s="18" t="s">
        <v>1168</v>
      </c>
      <c r="G588" s="19">
        <v>3665138</v>
      </c>
      <c r="H588" s="18" t="s">
        <v>1168</v>
      </c>
      <c r="I588" s="19">
        <v>3050231</v>
      </c>
      <c r="J588" s="18" t="s">
        <v>1015</v>
      </c>
      <c r="K588" s="19">
        <v>0</v>
      </c>
      <c r="L588" s="19">
        <v>0</v>
      </c>
      <c r="M588" s="19">
        <v>0</v>
      </c>
      <c r="N588" s="20">
        <v>0</v>
      </c>
      <c r="O588" s="19">
        <v>0</v>
      </c>
      <c r="P588" s="19">
        <v>0</v>
      </c>
      <c r="Q588" s="19">
        <v>0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9">
        <v>0</v>
      </c>
      <c r="Y588" s="20">
        <v>0</v>
      </c>
      <c r="Z588" s="19">
        <v>0</v>
      </c>
      <c r="AA588" s="19">
        <v>0</v>
      </c>
      <c r="AB588" t="str">
        <f>VLOOKUP(E:E,笔记匹配!A:N,3,FALSE)</f>
        <v>朱俊畅</v>
      </c>
      <c r="AC588" t="str">
        <f>VLOOKUP(E:E,笔记匹配!A:N,2,FALSE)</f>
        <v>筋膜枪</v>
      </c>
      <c r="AD588" t="str">
        <f>VLOOKUP(E:E,笔记匹配!A:N,4,FALSE)</f>
        <v>云麦筋膜枪PB2</v>
      </c>
      <c r="AE588" t="str">
        <f>VLOOKUP(E:E,笔记匹配!A:N,14,FALSE)</f>
        <v>云麦筋膜枪pb2</v>
      </c>
      <c r="AF588" t="str">
        <f>VLOOKUP(E:E,笔记匹配!A:N,6,FALSE)</f>
        <v>打球完容易肌肉酸痛，筋膜枪放松更有效！</v>
      </c>
    </row>
    <row r="589" spans="1:32">
      <c r="A589" s="18" t="s">
        <v>91</v>
      </c>
      <c r="B589" s="18" t="s">
        <v>1177</v>
      </c>
      <c r="C589" s="19">
        <v>18503974</v>
      </c>
      <c r="D589" s="18" t="s">
        <v>209</v>
      </c>
      <c r="E589" s="18" t="s">
        <v>525</v>
      </c>
      <c r="F589" s="18" t="s">
        <v>1178</v>
      </c>
      <c r="G589" s="19">
        <v>3798655</v>
      </c>
      <c r="H589" s="18" t="s">
        <v>1178</v>
      </c>
      <c r="I589" s="19">
        <v>3183731</v>
      </c>
      <c r="J589" s="18" t="s">
        <v>1015</v>
      </c>
      <c r="K589" s="19">
        <v>0</v>
      </c>
      <c r="L589" s="19">
        <v>0</v>
      </c>
      <c r="M589" s="19">
        <v>0</v>
      </c>
      <c r="N589" s="20">
        <v>0</v>
      </c>
      <c r="O589" s="19">
        <v>0</v>
      </c>
      <c r="P589" s="19">
        <v>0</v>
      </c>
      <c r="Q589" s="19">
        <v>0</v>
      </c>
      <c r="R589" s="19">
        <v>0</v>
      </c>
      <c r="S589" s="19">
        <v>0</v>
      </c>
      <c r="T589" s="19">
        <v>0</v>
      </c>
      <c r="U589" s="19">
        <v>0</v>
      </c>
      <c r="V589" s="19">
        <v>0</v>
      </c>
      <c r="W589" s="19">
        <v>0</v>
      </c>
      <c r="X589" s="19">
        <v>0</v>
      </c>
      <c r="Y589" s="20">
        <v>0</v>
      </c>
      <c r="Z589" s="19">
        <v>0</v>
      </c>
      <c r="AA589" s="19">
        <v>0</v>
      </c>
      <c r="AB589" t="str">
        <f>VLOOKUP(E:E,笔记匹配!A:N,3,FALSE)</f>
        <v>圆圆今天暴富了么</v>
      </c>
      <c r="AC589" t="str">
        <f>VLOOKUP(E:E,笔记匹配!A:N,2,FALSE)</f>
        <v>筋膜枪</v>
      </c>
      <c r="AD589" t="str">
        <f>VLOOKUP(E:E,笔记匹配!A:N,4,FALSE)</f>
        <v>云麦筋膜枪PB2</v>
      </c>
      <c r="AE589" t="str">
        <f>VLOOKUP(E:E,笔记匹配!A:N,14,FALSE)</f>
        <v>云麦筋膜枪pb2</v>
      </c>
      <c r="AF589" t="str">
        <f>VLOOKUP(E:E,笔记匹配!A:N,6,FALSE)</f>
        <v>云麦的筋膜枪我真的是服了….</v>
      </c>
    </row>
    <row r="590" spans="1:32">
      <c r="A590" s="18" t="s">
        <v>91</v>
      </c>
      <c r="B590" s="18" t="s">
        <v>1179</v>
      </c>
      <c r="C590" s="19">
        <v>18541581</v>
      </c>
      <c r="D590" s="18" t="s">
        <v>209</v>
      </c>
      <c r="E590" s="18" t="s">
        <v>488</v>
      </c>
      <c r="F590" s="18" t="s">
        <v>1180</v>
      </c>
      <c r="G590" s="19">
        <v>3817956</v>
      </c>
      <c r="H590" s="18" t="s">
        <v>1180</v>
      </c>
      <c r="I590" s="19">
        <v>3202963</v>
      </c>
      <c r="J590" s="18" t="s">
        <v>1015</v>
      </c>
      <c r="K590" s="19">
        <v>0</v>
      </c>
      <c r="L590" s="19">
        <v>0</v>
      </c>
      <c r="M590" s="19">
        <v>0</v>
      </c>
      <c r="N590" s="20">
        <v>0</v>
      </c>
      <c r="O590" s="19">
        <v>0</v>
      </c>
      <c r="P590" s="19">
        <v>0</v>
      </c>
      <c r="Q590" s="19">
        <v>0</v>
      </c>
      <c r="R590" s="19">
        <v>0</v>
      </c>
      <c r="S590" s="19">
        <v>0</v>
      </c>
      <c r="T590" s="19">
        <v>0</v>
      </c>
      <c r="U590" s="19">
        <v>0</v>
      </c>
      <c r="V590" s="19">
        <v>0</v>
      </c>
      <c r="W590" s="19">
        <v>0</v>
      </c>
      <c r="X590" s="19">
        <v>0</v>
      </c>
      <c r="Y590" s="20">
        <v>0</v>
      </c>
      <c r="Z590" s="19">
        <v>0</v>
      </c>
      <c r="AA590" s="19">
        <v>0</v>
      </c>
      <c r="AB590" t="str">
        <f>VLOOKUP(E:E,笔记匹配!A:N,3,FALSE)</f>
        <v>板野友美iii</v>
      </c>
      <c r="AC590" t="str">
        <f>VLOOKUP(E:E,笔记匹配!A:N,2,FALSE)</f>
        <v>筋膜枪</v>
      </c>
      <c r="AD590" t="str">
        <f>VLOOKUP(E:E,笔记匹配!A:N,4,FALSE)</f>
        <v>云麦筋膜枪PB2</v>
      </c>
      <c r="AE590" t="str">
        <f>VLOOKUP(E:E,笔记匹配!A:N,14,FALSE)</f>
        <v>云麦筋膜枪pb2</v>
      </c>
      <c r="AF590" t="str">
        <f>VLOOKUP(E:E,笔记匹配!A:N,6,FALSE)</f>
        <v>这小东西真的可以拯救肩颈酸痛！后悔用晚了！</v>
      </c>
    </row>
    <row r="591" spans="1:32">
      <c r="A591" s="18" t="s">
        <v>91</v>
      </c>
      <c r="B591" s="18" t="s">
        <v>1181</v>
      </c>
      <c r="C591" s="19">
        <v>18606896</v>
      </c>
      <c r="D591" s="18" t="s">
        <v>209</v>
      </c>
      <c r="E591" s="18" t="s">
        <v>545</v>
      </c>
      <c r="F591" s="18" t="s">
        <v>1182</v>
      </c>
      <c r="G591" s="19">
        <v>3851140</v>
      </c>
      <c r="H591" s="18" t="s">
        <v>1182</v>
      </c>
      <c r="I591" s="19">
        <v>3236249</v>
      </c>
      <c r="J591" s="18" t="s">
        <v>1015</v>
      </c>
      <c r="K591" s="19">
        <v>11.61</v>
      </c>
      <c r="L591" s="19">
        <v>1143</v>
      </c>
      <c r="M591" s="19">
        <v>63</v>
      </c>
      <c r="N591" s="20">
        <v>0.0551</v>
      </c>
      <c r="O591" s="19">
        <v>0.18</v>
      </c>
      <c r="P591" s="19">
        <v>10.16</v>
      </c>
      <c r="Q591" s="19">
        <v>1</v>
      </c>
      <c r="R591" s="19">
        <v>0</v>
      </c>
      <c r="S591" s="19">
        <v>2</v>
      </c>
      <c r="T591" s="19">
        <v>0</v>
      </c>
      <c r="U591" s="19">
        <v>1</v>
      </c>
      <c r="V591" s="19">
        <v>4</v>
      </c>
      <c r="W591" s="19">
        <v>2.9</v>
      </c>
      <c r="X591" s="19">
        <v>0</v>
      </c>
      <c r="Y591" s="20">
        <v>0</v>
      </c>
      <c r="Z591" s="19">
        <v>0</v>
      </c>
      <c r="AA591" s="19">
        <v>0</v>
      </c>
      <c r="AB591" t="str">
        <f>VLOOKUP(E:E,笔记匹配!A:N,3,FALSE)</f>
        <v>雾霾少女i</v>
      </c>
      <c r="AC591" t="str">
        <f>VLOOKUP(E:E,笔记匹配!A:N,2,FALSE)</f>
        <v>筋膜枪</v>
      </c>
      <c r="AD591" t="str">
        <f>VLOOKUP(E:E,笔记匹配!A:N,4,FALSE)</f>
        <v>云麦筋膜枪pb2</v>
      </c>
      <c r="AE591" t="str">
        <f>VLOOKUP(E:E,笔记匹配!A:N,14,FALSE)</f>
        <v>云麦筋膜枪pb2</v>
      </c>
      <c r="AF591" t="str">
        <f>VLOOKUP(E:E,笔记匹配!A:N,6,FALSE)</f>
        <v>千万不要乱用！初学者必看筋膜枪正确用法</v>
      </c>
    </row>
    <row r="592" spans="1:32">
      <c r="A592" s="18" t="s">
        <v>91</v>
      </c>
      <c r="B592" s="18" t="s">
        <v>1181</v>
      </c>
      <c r="C592" s="19">
        <v>18606961</v>
      </c>
      <c r="D592" s="18" t="s">
        <v>209</v>
      </c>
      <c r="E592" s="18" t="s">
        <v>289</v>
      </c>
      <c r="F592" s="18" t="s">
        <v>1183</v>
      </c>
      <c r="G592" s="19">
        <v>3851160</v>
      </c>
      <c r="H592" s="18" t="s">
        <v>1183</v>
      </c>
      <c r="I592" s="19">
        <v>3236289</v>
      </c>
      <c r="J592" s="18" t="s">
        <v>1015</v>
      </c>
      <c r="K592" s="19">
        <v>459.4</v>
      </c>
      <c r="L592" s="19">
        <v>48698</v>
      </c>
      <c r="M592" s="19">
        <v>1935</v>
      </c>
      <c r="N592" s="20">
        <v>0.0397</v>
      </c>
      <c r="O592" s="19">
        <v>0.24</v>
      </c>
      <c r="P592" s="19">
        <v>9.43</v>
      </c>
      <c r="Q592" s="19">
        <v>112</v>
      </c>
      <c r="R592" s="19">
        <v>1</v>
      </c>
      <c r="S592" s="19">
        <v>65</v>
      </c>
      <c r="T592" s="19">
        <v>1</v>
      </c>
      <c r="U592" s="19">
        <v>18</v>
      </c>
      <c r="V592" s="19">
        <v>197</v>
      </c>
      <c r="W592" s="19">
        <v>2.33</v>
      </c>
      <c r="X592" s="19">
        <v>11</v>
      </c>
      <c r="Y592" s="20">
        <v>0.0057</v>
      </c>
      <c r="Z592" s="19">
        <v>5</v>
      </c>
      <c r="AA592" s="19">
        <v>19</v>
      </c>
      <c r="AB592" t="str">
        <f>VLOOKUP(E:E,笔记匹配!A:N,3,FALSE)</f>
        <v>小蓝今天吃了没</v>
      </c>
      <c r="AC592" t="str">
        <f>VLOOKUP(E:E,笔记匹配!A:N,2,FALSE)</f>
        <v>筋膜枪</v>
      </c>
      <c r="AD592" t="str">
        <f>VLOOKUP(E:E,笔记匹配!A:N,4,FALSE)</f>
        <v>云麦 筋膜枪PB2</v>
      </c>
      <c r="AE592" t="str">
        <f>VLOOKUP(E:E,笔记匹配!A:N,14,FALSE)</f>
        <v>云麦筋膜枪pb2</v>
      </c>
      <c r="AF592" t="str">
        <f>VLOOKUP(E:E,笔记匹配!A:N,6,FALSE)</f>
        <v>筋膜枪正确用法！刘耕宏女孩永不认输</v>
      </c>
    </row>
    <row r="593" spans="1:32">
      <c r="A593" s="18" t="s">
        <v>91</v>
      </c>
      <c r="B593" s="18" t="s">
        <v>1184</v>
      </c>
      <c r="C593" s="19">
        <v>18646400</v>
      </c>
      <c r="D593" s="18" t="s">
        <v>209</v>
      </c>
      <c r="E593" s="18" t="s">
        <v>495</v>
      </c>
      <c r="F593" s="18" t="s">
        <v>1185</v>
      </c>
      <c r="G593" s="19">
        <v>3870533</v>
      </c>
      <c r="H593" s="18" t="s">
        <v>1185</v>
      </c>
      <c r="I593" s="19">
        <v>3255602</v>
      </c>
      <c r="J593" s="18" t="s">
        <v>1015</v>
      </c>
      <c r="K593" s="19">
        <v>303.07</v>
      </c>
      <c r="L593" s="19">
        <v>56879</v>
      </c>
      <c r="M593" s="19">
        <v>966</v>
      </c>
      <c r="N593" s="20">
        <v>0.017</v>
      </c>
      <c r="O593" s="19">
        <v>0.31</v>
      </c>
      <c r="P593" s="19">
        <v>5.33</v>
      </c>
      <c r="Q593" s="19">
        <v>21</v>
      </c>
      <c r="R593" s="19">
        <v>2</v>
      </c>
      <c r="S593" s="19">
        <v>4</v>
      </c>
      <c r="T593" s="19">
        <v>0</v>
      </c>
      <c r="U593" s="19">
        <v>2</v>
      </c>
      <c r="V593" s="19">
        <v>29</v>
      </c>
      <c r="W593" s="19">
        <v>10.45</v>
      </c>
      <c r="X593" s="19">
        <v>6</v>
      </c>
      <c r="Y593" s="20">
        <v>0.0062</v>
      </c>
      <c r="Z593" s="19">
        <v>1</v>
      </c>
      <c r="AA593" s="19">
        <v>0</v>
      </c>
      <c r="AB593" t="str">
        <f>VLOOKUP(E:E,笔记匹配!A:N,3,FALSE)</f>
        <v>桃子酱酱</v>
      </c>
      <c r="AC593" t="str">
        <f>VLOOKUP(E:E,笔记匹配!A:N,2,FALSE)</f>
        <v>筋膜枪</v>
      </c>
      <c r="AD593" t="str">
        <f>VLOOKUP(E:E,笔记匹配!A:N,4,FALSE)</f>
        <v>云麦筋膜枪pb2</v>
      </c>
      <c r="AE593" t="str">
        <f>VLOOKUP(E:E,笔记匹配!A:N,14,FALSE)</f>
        <v>云麦筋膜枪pb2</v>
      </c>
      <c r="AF593" t="str">
        <f>VLOOKUP(E:E,笔记匹配!A:N,6,FALSE)</f>
        <v>爱运动的姐妹！筋膜枪放松法get一下！</v>
      </c>
    </row>
    <row r="594" spans="1:32">
      <c r="A594" s="18" t="s">
        <v>91</v>
      </c>
      <c r="B594" s="18" t="s">
        <v>1184</v>
      </c>
      <c r="C594" s="19">
        <v>18646457</v>
      </c>
      <c r="D594" s="18" t="s">
        <v>209</v>
      </c>
      <c r="E594" s="18" t="s">
        <v>395</v>
      </c>
      <c r="F594" s="18" t="s">
        <v>1186</v>
      </c>
      <c r="G594" s="19">
        <v>3870563</v>
      </c>
      <c r="H594" s="18" t="s">
        <v>1186</v>
      </c>
      <c r="I594" s="19">
        <v>3255634</v>
      </c>
      <c r="J594" s="18" t="s">
        <v>1015</v>
      </c>
      <c r="K594" s="19">
        <v>506.47</v>
      </c>
      <c r="L594" s="19">
        <v>94143</v>
      </c>
      <c r="M594" s="19">
        <v>4646</v>
      </c>
      <c r="N594" s="20">
        <v>0.0494</v>
      </c>
      <c r="O594" s="19">
        <v>0.11</v>
      </c>
      <c r="P594" s="19">
        <v>5.38</v>
      </c>
      <c r="Q594" s="19">
        <v>106</v>
      </c>
      <c r="R594" s="19">
        <v>0</v>
      </c>
      <c r="S594" s="19">
        <v>61</v>
      </c>
      <c r="T594" s="19">
        <v>5</v>
      </c>
      <c r="U594" s="19">
        <v>5</v>
      </c>
      <c r="V594" s="19">
        <v>177</v>
      </c>
      <c r="W594" s="19">
        <v>2.86</v>
      </c>
      <c r="X594" s="19">
        <v>0</v>
      </c>
      <c r="Y594" s="20">
        <v>0</v>
      </c>
      <c r="Z594" s="19">
        <v>1</v>
      </c>
      <c r="AA594" s="19">
        <v>3</v>
      </c>
      <c r="AB594" t="str">
        <f>VLOOKUP(E:E,笔记匹配!A:N,3,FALSE)</f>
        <v>月亮起床了</v>
      </c>
      <c r="AC594" t="str">
        <f>VLOOKUP(E:E,笔记匹配!A:N,2,FALSE)</f>
        <v>筋膜枪</v>
      </c>
      <c r="AD594" t="str">
        <f>VLOOKUP(E:E,笔记匹配!A:N,4,FALSE)</f>
        <v>云麦筋膜枪pb2</v>
      </c>
      <c r="AE594" t="str">
        <f>VLOOKUP(E:E,笔记匹配!A:N,14,FALSE)</f>
        <v>云麦筋膜枪pb2</v>
      </c>
      <c r="AF594" t="str">
        <f>VLOOKUP(E:E,笔记匹配!A:N,6,FALSE)</f>
        <v>超强瘦🦵绝招，记得用筋膜枪放松</v>
      </c>
    </row>
    <row r="595" spans="1:32">
      <c r="A595" s="18" t="s">
        <v>92</v>
      </c>
      <c r="B595" s="18" t="s">
        <v>1161</v>
      </c>
      <c r="C595" s="19">
        <v>18085273</v>
      </c>
      <c r="D595" s="18" t="s">
        <v>209</v>
      </c>
      <c r="E595" s="18" t="s">
        <v>296</v>
      </c>
      <c r="F595" s="18" t="s">
        <v>1162</v>
      </c>
      <c r="G595" s="19">
        <v>3600311</v>
      </c>
      <c r="H595" s="18" t="s">
        <v>1163</v>
      </c>
      <c r="I595" s="19">
        <v>2985865</v>
      </c>
      <c r="J595" s="18" t="s">
        <v>1015</v>
      </c>
      <c r="K595" s="19">
        <v>0</v>
      </c>
      <c r="L595" s="19">
        <v>0</v>
      </c>
      <c r="M595" s="19">
        <v>0</v>
      </c>
      <c r="N595" s="20">
        <v>0</v>
      </c>
      <c r="O595" s="19">
        <v>0</v>
      </c>
      <c r="P595" s="19">
        <v>0</v>
      </c>
      <c r="Q595" s="19">
        <v>0</v>
      </c>
      <c r="R595" s="19">
        <v>0</v>
      </c>
      <c r="S595" s="19">
        <v>0</v>
      </c>
      <c r="T595" s="19">
        <v>0</v>
      </c>
      <c r="U595" s="19">
        <v>0</v>
      </c>
      <c r="V595" s="19">
        <v>0</v>
      </c>
      <c r="W595" s="19">
        <v>0</v>
      </c>
      <c r="X595" s="19">
        <v>0</v>
      </c>
      <c r="Y595" s="20">
        <v>0</v>
      </c>
      <c r="Z595" s="19">
        <v>0</v>
      </c>
      <c r="AA595" s="19">
        <v>0</v>
      </c>
      <c r="AB595" t="str">
        <f>VLOOKUP(E:E,笔记匹配!A:N,3,FALSE)</f>
        <v>元气芥末酱</v>
      </c>
      <c r="AC595" t="str">
        <f>VLOOKUP(E:E,笔记匹配!A:N,2,FALSE)</f>
        <v>筋膜枪</v>
      </c>
      <c r="AD595" t="str">
        <f>VLOOKUP(E:E,笔记匹配!A:N,4,FALSE)</f>
        <v>云麦筋膜枪PB2</v>
      </c>
      <c r="AE595" t="str">
        <f>VLOOKUP(E:E,笔记匹配!A:N,14,FALSE)</f>
        <v>云麦筋膜枪pb2</v>
      </c>
      <c r="AF595" t="str">
        <f>VLOOKUP(E:E,笔记匹配!A:N,6,FALSE)</f>
        <v>小腿粗的姐妹信我！肌肉腿就要这样按！</v>
      </c>
    </row>
    <row r="596" spans="1:32">
      <c r="A596" s="18" t="s">
        <v>92</v>
      </c>
      <c r="B596" s="18" t="s">
        <v>1164</v>
      </c>
      <c r="C596" s="19">
        <v>18170615</v>
      </c>
      <c r="D596" s="18" t="s">
        <v>209</v>
      </c>
      <c r="E596" s="18" t="s">
        <v>205</v>
      </c>
      <c r="F596" s="18" t="s">
        <v>1165</v>
      </c>
      <c r="G596" s="19">
        <v>3639848</v>
      </c>
      <c r="H596" s="18" t="s">
        <v>1166</v>
      </c>
      <c r="I596" s="19">
        <v>3024741</v>
      </c>
      <c r="J596" s="18" t="s">
        <v>1015</v>
      </c>
      <c r="K596" s="19">
        <v>437.05</v>
      </c>
      <c r="L596" s="19">
        <v>31537</v>
      </c>
      <c r="M596" s="19">
        <v>1940</v>
      </c>
      <c r="N596" s="20">
        <v>0.0615</v>
      </c>
      <c r="O596" s="19">
        <v>0.23</v>
      </c>
      <c r="P596" s="19">
        <v>13.86</v>
      </c>
      <c r="Q596" s="19">
        <v>108</v>
      </c>
      <c r="R596" s="19">
        <v>0</v>
      </c>
      <c r="S596" s="19">
        <v>102</v>
      </c>
      <c r="T596" s="19">
        <v>14</v>
      </c>
      <c r="U596" s="19">
        <v>1</v>
      </c>
      <c r="V596" s="19">
        <v>225</v>
      </c>
      <c r="W596" s="19">
        <v>1.94</v>
      </c>
      <c r="X596" s="19">
        <v>0</v>
      </c>
      <c r="Y596" s="20">
        <v>0</v>
      </c>
      <c r="Z596" s="19">
        <v>0</v>
      </c>
      <c r="AA596" s="19">
        <v>2</v>
      </c>
      <c r="AB596" t="str">
        <f>VLOOKUP(E:E,笔记匹配!A:N,3,FALSE)</f>
        <v>马可乐cora</v>
      </c>
      <c r="AC596" t="str">
        <f>VLOOKUP(E:E,笔记匹配!A:N,2,FALSE)</f>
        <v>筋膜枪</v>
      </c>
      <c r="AD596" t="str">
        <f>VLOOKUP(E:E,笔记匹配!A:N,4,FALSE)</f>
        <v>云麦筋膜枪PB2</v>
      </c>
      <c r="AE596" t="str">
        <f>VLOOKUP(E:E,笔记匹配!A:N,14,FALSE)</f>
        <v>云麦筋膜枪pb2</v>
      </c>
      <c r="AF596" t="str">
        <f>VLOOKUP(E:E,笔记匹配!A:N,6,FALSE)</f>
        <v>跳操的姐妹听我的用筋膜枪放松下肢真的有用</v>
      </c>
    </row>
    <row r="597" spans="1:32">
      <c r="A597" s="18" t="s">
        <v>92</v>
      </c>
      <c r="B597" s="18" t="s">
        <v>1181</v>
      </c>
      <c r="C597" s="19">
        <v>18606961</v>
      </c>
      <c r="D597" s="18" t="s">
        <v>209</v>
      </c>
      <c r="E597" s="18" t="s">
        <v>289</v>
      </c>
      <c r="F597" s="18" t="s">
        <v>1183</v>
      </c>
      <c r="G597" s="19">
        <v>3851160</v>
      </c>
      <c r="H597" s="18" t="s">
        <v>1183</v>
      </c>
      <c r="I597" s="19">
        <v>3236289</v>
      </c>
      <c r="J597" s="18" t="s">
        <v>1015</v>
      </c>
      <c r="K597" s="19">
        <v>508.88</v>
      </c>
      <c r="L597" s="19">
        <v>53670</v>
      </c>
      <c r="M597" s="19">
        <v>2642</v>
      </c>
      <c r="N597" s="20">
        <v>0.0492</v>
      </c>
      <c r="O597" s="19">
        <v>0.19</v>
      </c>
      <c r="P597" s="19">
        <v>9.48</v>
      </c>
      <c r="Q597" s="19">
        <v>131</v>
      </c>
      <c r="R597" s="19">
        <v>1</v>
      </c>
      <c r="S597" s="19">
        <v>83</v>
      </c>
      <c r="T597" s="19">
        <v>0</v>
      </c>
      <c r="U597" s="19">
        <v>20</v>
      </c>
      <c r="V597" s="19">
        <v>235</v>
      </c>
      <c r="W597" s="19">
        <v>2.17</v>
      </c>
      <c r="X597" s="19">
        <v>12</v>
      </c>
      <c r="Y597" s="20">
        <v>0.0045</v>
      </c>
      <c r="Z597" s="19">
        <v>4</v>
      </c>
      <c r="AA597" s="19">
        <v>9</v>
      </c>
      <c r="AB597" t="str">
        <f>VLOOKUP(E:E,笔记匹配!A:N,3,FALSE)</f>
        <v>小蓝今天吃了没</v>
      </c>
      <c r="AC597" t="str">
        <f>VLOOKUP(E:E,笔记匹配!A:N,2,FALSE)</f>
        <v>筋膜枪</v>
      </c>
      <c r="AD597" t="str">
        <f>VLOOKUP(E:E,笔记匹配!A:N,4,FALSE)</f>
        <v>云麦 筋膜枪PB2</v>
      </c>
      <c r="AE597" t="str">
        <f>VLOOKUP(E:E,笔记匹配!A:N,14,FALSE)</f>
        <v>云麦筋膜枪pb2</v>
      </c>
      <c r="AF597" t="str">
        <f>VLOOKUP(E:E,笔记匹配!A:N,6,FALSE)</f>
        <v>筋膜枪正确用法！刘耕宏女孩永不认输</v>
      </c>
    </row>
    <row r="598" spans="1:32">
      <c r="A598" s="18" t="s">
        <v>92</v>
      </c>
      <c r="B598" s="18" t="s">
        <v>1184</v>
      </c>
      <c r="C598" s="19">
        <v>18646400</v>
      </c>
      <c r="D598" s="18" t="s">
        <v>209</v>
      </c>
      <c r="E598" s="18" t="s">
        <v>495</v>
      </c>
      <c r="F598" s="18" t="s">
        <v>1185</v>
      </c>
      <c r="G598" s="19">
        <v>3870533</v>
      </c>
      <c r="H598" s="18" t="s">
        <v>1185</v>
      </c>
      <c r="I598" s="19">
        <v>3255602</v>
      </c>
      <c r="J598" s="18" t="s">
        <v>1015</v>
      </c>
      <c r="K598" s="19">
        <v>134.28</v>
      </c>
      <c r="L598" s="19">
        <v>12437</v>
      </c>
      <c r="M598" s="19">
        <v>265</v>
      </c>
      <c r="N598" s="20">
        <v>0.0213</v>
      </c>
      <c r="O598" s="19">
        <v>0.51</v>
      </c>
      <c r="P598" s="19">
        <v>10.8</v>
      </c>
      <c r="Q598" s="19">
        <v>5</v>
      </c>
      <c r="R598" s="19">
        <v>0</v>
      </c>
      <c r="S598" s="19">
        <v>3</v>
      </c>
      <c r="T598" s="19">
        <v>0</v>
      </c>
      <c r="U598" s="19">
        <v>0</v>
      </c>
      <c r="V598" s="19">
        <v>8</v>
      </c>
      <c r="W598" s="19">
        <v>16.78</v>
      </c>
      <c r="X598" s="19">
        <v>5</v>
      </c>
      <c r="Y598" s="20">
        <v>0.0189</v>
      </c>
      <c r="Z598" s="19">
        <v>2</v>
      </c>
      <c r="AA598" s="19">
        <v>1</v>
      </c>
      <c r="AB598" t="str">
        <f>VLOOKUP(E:E,笔记匹配!A:N,3,FALSE)</f>
        <v>桃子酱酱</v>
      </c>
      <c r="AC598" t="str">
        <f>VLOOKUP(E:E,笔记匹配!A:N,2,FALSE)</f>
        <v>筋膜枪</v>
      </c>
      <c r="AD598" t="str">
        <f>VLOOKUP(E:E,笔记匹配!A:N,4,FALSE)</f>
        <v>云麦筋膜枪pb2</v>
      </c>
      <c r="AE598" t="str">
        <f>VLOOKUP(E:E,笔记匹配!A:N,14,FALSE)</f>
        <v>云麦筋膜枪pb2</v>
      </c>
      <c r="AF598" t="str">
        <f>VLOOKUP(E:E,笔记匹配!A:N,6,FALSE)</f>
        <v>爱运动的姐妹！筋膜枪放松法get一下！</v>
      </c>
    </row>
    <row r="599" spans="1:32">
      <c r="A599" s="18" t="s">
        <v>92</v>
      </c>
      <c r="B599" s="18" t="s">
        <v>1184</v>
      </c>
      <c r="C599" s="19">
        <v>18646457</v>
      </c>
      <c r="D599" s="18" t="s">
        <v>209</v>
      </c>
      <c r="E599" s="18" t="s">
        <v>395</v>
      </c>
      <c r="F599" s="18" t="s">
        <v>1186</v>
      </c>
      <c r="G599" s="19">
        <v>3870563</v>
      </c>
      <c r="H599" s="18" t="s">
        <v>1186</v>
      </c>
      <c r="I599" s="19">
        <v>3255634</v>
      </c>
      <c r="J599" s="18" t="s">
        <v>1015</v>
      </c>
      <c r="K599" s="19">
        <v>503.28</v>
      </c>
      <c r="L599" s="19">
        <v>66635</v>
      </c>
      <c r="M599" s="19">
        <v>3817</v>
      </c>
      <c r="N599" s="20">
        <v>0.0573</v>
      </c>
      <c r="O599" s="19">
        <v>0.13</v>
      </c>
      <c r="P599" s="19">
        <v>7.55</v>
      </c>
      <c r="Q599" s="19">
        <v>104</v>
      </c>
      <c r="R599" s="19">
        <v>3</v>
      </c>
      <c r="S599" s="19">
        <v>78</v>
      </c>
      <c r="T599" s="19">
        <v>2</v>
      </c>
      <c r="U599" s="19">
        <v>3</v>
      </c>
      <c r="V599" s="19">
        <v>190</v>
      </c>
      <c r="W599" s="19">
        <v>2.65</v>
      </c>
      <c r="X599" s="19">
        <v>0</v>
      </c>
      <c r="Y599" s="20">
        <v>0</v>
      </c>
      <c r="Z599" s="19">
        <v>1</v>
      </c>
      <c r="AA599" s="19">
        <v>3</v>
      </c>
      <c r="AB599" t="str">
        <f>VLOOKUP(E:E,笔记匹配!A:N,3,FALSE)</f>
        <v>月亮起床了</v>
      </c>
      <c r="AC599" t="str">
        <f>VLOOKUP(E:E,笔记匹配!A:N,2,FALSE)</f>
        <v>筋膜枪</v>
      </c>
      <c r="AD599" t="str">
        <f>VLOOKUP(E:E,笔记匹配!A:N,4,FALSE)</f>
        <v>云麦筋膜枪pb2</v>
      </c>
      <c r="AE599" t="str">
        <f>VLOOKUP(E:E,笔记匹配!A:N,14,FALSE)</f>
        <v>云麦筋膜枪pb2</v>
      </c>
      <c r="AF599" t="str">
        <f>VLOOKUP(E:E,笔记匹配!A:N,6,FALSE)</f>
        <v>超强瘦🦵绝招，记得用筋膜枪放松</v>
      </c>
    </row>
    <row r="600" spans="1:32">
      <c r="A600" s="18" t="s">
        <v>93</v>
      </c>
      <c r="B600" s="18" t="s">
        <v>1164</v>
      </c>
      <c r="C600" s="19">
        <v>18170615</v>
      </c>
      <c r="D600" s="18" t="s">
        <v>209</v>
      </c>
      <c r="E600" s="18" t="s">
        <v>205</v>
      </c>
      <c r="F600" s="18" t="s">
        <v>1165</v>
      </c>
      <c r="G600" s="19">
        <v>3639848</v>
      </c>
      <c r="H600" s="18" t="s">
        <v>1166</v>
      </c>
      <c r="I600" s="19">
        <v>3024741</v>
      </c>
      <c r="J600" s="18" t="s">
        <v>1015</v>
      </c>
      <c r="K600" s="19">
        <v>485.93</v>
      </c>
      <c r="L600" s="19">
        <v>33015</v>
      </c>
      <c r="M600" s="19">
        <v>2110</v>
      </c>
      <c r="N600" s="20">
        <v>0.0639</v>
      </c>
      <c r="O600" s="19">
        <v>0.23</v>
      </c>
      <c r="P600" s="19">
        <v>14.72</v>
      </c>
      <c r="Q600" s="19">
        <v>130</v>
      </c>
      <c r="R600" s="19">
        <v>2</v>
      </c>
      <c r="S600" s="19">
        <v>119</v>
      </c>
      <c r="T600" s="19">
        <v>20</v>
      </c>
      <c r="U600" s="19">
        <v>8</v>
      </c>
      <c r="V600" s="19">
        <v>279</v>
      </c>
      <c r="W600" s="19">
        <v>1.74</v>
      </c>
      <c r="X600" s="19">
        <v>0</v>
      </c>
      <c r="Y600" s="20">
        <v>0</v>
      </c>
      <c r="Z600" s="19">
        <v>0</v>
      </c>
      <c r="AA600" s="19">
        <v>1</v>
      </c>
      <c r="AB600" t="str">
        <f>VLOOKUP(E:E,笔记匹配!A:N,3,FALSE)</f>
        <v>马可乐cora</v>
      </c>
      <c r="AC600" t="str">
        <f>VLOOKUP(E:E,笔记匹配!A:N,2,FALSE)</f>
        <v>筋膜枪</v>
      </c>
      <c r="AD600" t="str">
        <f>VLOOKUP(E:E,笔记匹配!A:N,4,FALSE)</f>
        <v>云麦筋膜枪PB2</v>
      </c>
      <c r="AE600" t="str">
        <f>VLOOKUP(E:E,笔记匹配!A:N,14,FALSE)</f>
        <v>云麦筋膜枪pb2</v>
      </c>
      <c r="AF600" t="str">
        <f>VLOOKUP(E:E,笔记匹配!A:N,6,FALSE)</f>
        <v>跳操的姐妹听我的用筋膜枪放松下肢真的有用</v>
      </c>
    </row>
    <row r="601" spans="1:32">
      <c r="A601" s="18" t="s">
        <v>93</v>
      </c>
      <c r="B601" s="18" t="s">
        <v>1181</v>
      </c>
      <c r="C601" s="19">
        <v>18606961</v>
      </c>
      <c r="D601" s="18" t="s">
        <v>209</v>
      </c>
      <c r="E601" s="18" t="s">
        <v>289</v>
      </c>
      <c r="F601" s="18" t="s">
        <v>1183</v>
      </c>
      <c r="G601" s="19">
        <v>3851160</v>
      </c>
      <c r="H601" s="18" t="s">
        <v>1183</v>
      </c>
      <c r="I601" s="19">
        <v>3236289</v>
      </c>
      <c r="J601" s="18" t="s">
        <v>1015</v>
      </c>
      <c r="K601" s="19">
        <v>803.82</v>
      </c>
      <c r="L601" s="19">
        <v>117893</v>
      </c>
      <c r="M601" s="19">
        <v>5788</v>
      </c>
      <c r="N601" s="20">
        <v>0.0491</v>
      </c>
      <c r="O601" s="19">
        <v>0.14</v>
      </c>
      <c r="P601" s="19">
        <v>6.82</v>
      </c>
      <c r="Q601" s="19">
        <v>193</v>
      </c>
      <c r="R601" s="19">
        <v>2</v>
      </c>
      <c r="S601" s="19">
        <v>129</v>
      </c>
      <c r="T601" s="19">
        <v>0</v>
      </c>
      <c r="U601" s="19">
        <v>66</v>
      </c>
      <c r="V601" s="19">
        <v>390</v>
      </c>
      <c r="W601" s="19">
        <v>2.06</v>
      </c>
      <c r="X601" s="19">
        <v>28</v>
      </c>
      <c r="Y601" s="20">
        <v>0.0048</v>
      </c>
      <c r="Z601" s="19">
        <v>23</v>
      </c>
      <c r="AA601" s="19">
        <v>46</v>
      </c>
      <c r="AB601" t="str">
        <f>VLOOKUP(E:E,笔记匹配!A:N,3,FALSE)</f>
        <v>小蓝今天吃了没</v>
      </c>
      <c r="AC601" t="str">
        <f>VLOOKUP(E:E,笔记匹配!A:N,2,FALSE)</f>
        <v>筋膜枪</v>
      </c>
      <c r="AD601" t="str">
        <f>VLOOKUP(E:E,笔记匹配!A:N,4,FALSE)</f>
        <v>云麦 筋膜枪PB2</v>
      </c>
      <c r="AE601" t="str">
        <f>VLOOKUP(E:E,笔记匹配!A:N,14,FALSE)</f>
        <v>云麦筋膜枪pb2</v>
      </c>
      <c r="AF601" t="str">
        <f>VLOOKUP(E:E,笔记匹配!A:N,6,FALSE)</f>
        <v>筋膜枪正确用法！刘耕宏女孩永不认输</v>
      </c>
    </row>
    <row r="602" spans="1:32">
      <c r="A602" s="18" t="s">
        <v>93</v>
      </c>
      <c r="B602" s="18" t="s">
        <v>1184</v>
      </c>
      <c r="C602" s="19">
        <v>18646400</v>
      </c>
      <c r="D602" s="18" t="s">
        <v>209</v>
      </c>
      <c r="E602" s="18" t="s">
        <v>495</v>
      </c>
      <c r="F602" s="18" t="s">
        <v>1185</v>
      </c>
      <c r="G602" s="19">
        <v>3870533</v>
      </c>
      <c r="H602" s="18" t="s">
        <v>1185</v>
      </c>
      <c r="I602" s="19">
        <v>3255602</v>
      </c>
      <c r="J602" s="18" t="s">
        <v>1015</v>
      </c>
      <c r="K602" s="19">
        <v>4.13</v>
      </c>
      <c r="L602" s="19">
        <v>271</v>
      </c>
      <c r="M602" s="19">
        <v>6</v>
      </c>
      <c r="N602" s="20">
        <v>0.0221</v>
      </c>
      <c r="O602" s="19">
        <v>0.69</v>
      </c>
      <c r="P602" s="19">
        <v>15.24</v>
      </c>
      <c r="Q602" s="19">
        <v>1</v>
      </c>
      <c r="R602" s="19">
        <v>0</v>
      </c>
      <c r="S602" s="19">
        <v>0</v>
      </c>
      <c r="T602" s="19">
        <v>0</v>
      </c>
      <c r="U602" s="19">
        <v>0</v>
      </c>
      <c r="V602" s="19">
        <v>1</v>
      </c>
      <c r="W602" s="19">
        <v>4.13</v>
      </c>
      <c r="X602" s="19">
        <v>1</v>
      </c>
      <c r="Y602" s="20">
        <v>0.1667</v>
      </c>
      <c r="Z602" s="19">
        <v>0</v>
      </c>
      <c r="AA602" s="19">
        <v>0</v>
      </c>
      <c r="AB602" t="str">
        <f>VLOOKUP(E:E,笔记匹配!A:N,3,FALSE)</f>
        <v>桃子酱酱</v>
      </c>
      <c r="AC602" t="str">
        <f>VLOOKUP(E:E,笔记匹配!A:N,2,FALSE)</f>
        <v>筋膜枪</v>
      </c>
      <c r="AD602" t="str">
        <f>VLOOKUP(E:E,笔记匹配!A:N,4,FALSE)</f>
        <v>云麦筋膜枪pb2</v>
      </c>
      <c r="AE602" t="str">
        <f>VLOOKUP(E:E,笔记匹配!A:N,14,FALSE)</f>
        <v>云麦筋膜枪pb2</v>
      </c>
      <c r="AF602" t="str">
        <f>VLOOKUP(E:E,笔记匹配!A:N,6,FALSE)</f>
        <v>爱运动的姐妹！筋膜枪放松法get一下！</v>
      </c>
    </row>
    <row r="603" spans="1:32">
      <c r="A603" s="18" t="s">
        <v>93</v>
      </c>
      <c r="B603" s="18" t="s">
        <v>1184</v>
      </c>
      <c r="C603" s="19">
        <v>18646457</v>
      </c>
      <c r="D603" s="18" t="s">
        <v>209</v>
      </c>
      <c r="E603" s="18" t="s">
        <v>395</v>
      </c>
      <c r="F603" s="18" t="s">
        <v>1186</v>
      </c>
      <c r="G603" s="19">
        <v>3870563</v>
      </c>
      <c r="H603" s="18" t="s">
        <v>1186</v>
      </c>
      <c r="I603" s="19">
        <v>3255634</v>
      </c>
      <c r="J603" s="18" t="s">
        <v>1015</v>
      </c>
      <c r="K603" s="19">
        <v>1.92</v>
      </c>
      <c r="L603" s="19">
        <v>305</v>
      </c>
      <c r="M603" s="19">
        <v>18</v>
      </c>
      <c r="N603" s="20">
        <v>0.059</v>
      </c>
      <c r="O603" s="19">
        <v>0.11</v>
      </c>
      <c r="P603" s="19">
        <v>6.3</v>
      </c>
      <c r="Q603" s="19">
        <v>0</v>
      </c>
      <c r="R603" s="19">
        <v>0</v>
      </c>
      <c r="S603" s="19">
        <v>1</v>
      </c>
      <c r="T603" s="19">
        <v>0</v>
      </c>
      <c r="U603" s="19">
        <v>0</v>
      </c>
      <c r="V603" s="19">
        <v>1</v>
      </c>
      <c r="W603" s="19">
        <v>1.92</v>
      </c>
      <c r="X603" s="19">
        <v>0</v>
      </c>
      <c r="Y603" s="20">
        <v>0</v>
      </c>
      <c r="Z603" s="19">
        <v>0</v>
      </c>
      <c r="AA603" s="19">
        <v>0</v>
      </c>
      <c r="AB603" t="str">
        <f>VLOOKUP(E:E,笔记匹配!A:N,3,FALSE)</f>
        <v>月亮起床了</v>
      </c>
      <c r="AC603" t="str">
        <f>VLOOKUP(E:E,笔记匹配!A:N,2,FALSE)</f>
        <v>筋膜枪</v>
      </c>
      <c r="AD603" t="str">
        <f>VLOOKUP(E:E,笔记匹配!A:N,4,FALSE)</f>
        <v>云麦筋膜枪pb2</v>
      </c>
      <c r="AE603" t="str">
        <f>VLOOKUP(E:E,笔记匹配!A:N,14,FALSE)</f>
        <v>云麦筋膜枪pb2</v>
      </c>
      <c r="AF603" t="str">
        <f>VLOOKUP(E:E,笔记匹配!A:N,6,FALSE)</f>
        <v>超强瘦🦵绝招，记得用筋膜枪放松</v>
      </c>
    </row>
    <row r="604" spans="1:32">
      <c r="A604" s="18" t="s">
        <v>94</v>
      </c>
      <c r="B604" s="18" t="s">
        <v>1161</v>
      </c>
      <c r="C604" s="19">
        <v>18085273</v>
      </c>
      <c r="D604" s="18" t="s">
        <v>209</v>
      </c>
      <c r="E604" s="18" t="s">
        <v>296</v>
      </c>
      <c r="F604" s="18" t="s">
        <v>1162</v>
      </c>
      <c r="G604" s="19">
        <v>3600311</v>
      </c>
      <c r="H604" s="18" t="s">
        <v>1163</v>
      </c>
      <c r="I604" s="19">
        <v>2985865</v>
      </c>
      <c r="J604" s="18" t="s">
        <v>1015</v>
      </c>
      <c r="K604" s="19">
        <v>0</v>
      </c>
      <c r="L604" s="19">
        <v>0</v>
      </c>
      <c r="M604" s="19">
        <v>0</v>
      </c>
      <c r="N604" s="20">
        <v>0</v>
      </c>
      <c r="O604" s="19">
        <v>0</v>
      </c>
      <c r="P604" s="19">
        <v>0</v>
      </c>
      <c r="Q604" s="19">
        <v>0</v>
      </c>
      <c r="R604" s="19">
        <v>0</v>
      </c>
      <c r="S604" s="19">
        <v>0</v>
      </c>
      <c r="T604" s="19">
        <v>0</v>
      </c>
      <c r="U604" s="19">
        <v>0</v>
      </c>
      <c r="V604" s="19">
        <v>0</v>
      </c>
      <c r="W604" s="19">
        <v>0</v>
      </c>
      <c r="X604" s="19">
        <v>0</v>
      </c>
      <c r="Y604" s="20">
        <v>0</v>
      </c>
      <c r="Z604" s="19">
        <v>0</v>
      </c>
      <c r="AA604" s="19">
        <v>0</v>
      </c>
      <c r="AB604" t="str">
        <f>VLOOKUP(E:E,笔记匹配!A:N,3,FALSE)</f>
        <v>元气芥末酱</v>
      </c>
      <c r="AC604" t="str">
        <f>VLOOKUP(E:E,笔记匹配!A:N,2,FALSE)</f>
        <v>筋膜枪</v>
      </c>
      <c r="AD604" t="str">
        <f>VLOOKUP(E:E,笔记匹配!A:N,4,FALSE)</f>
        <v>云麦筋膜枪PB2</v>
      </c>
      <c r="AE604" t="str">
        <f>VLOOKUP(E:E,笔记匹配!A:N,14,FALSE)</f>
        <v>云麦筋膜枪pb2</v>
      </c>
      <c r="AF604" t="str">
        <f>VLOOKUP(E:E,笔记匹配!A:N,6,FALSE)</f>
        <v>小腿粗的姐妹信我！肌肉腿就要这样按！</v>
      </c>
    </row>
    <row r="605" spans="1:32">
      <c r="A605" s="18" t="s">
        <v>94</v>
      </c>
      <c r="B605" s="18" t="s">
        <v>1164</v>
      </c>
      <c r="C605" s="19">
        <v>18170615</v>
      </c>
      <c r="D605" s="18" t="s">
        <v>209</v>
      </c>
      <c r="E605" s="18" t="s">
        <v>205</v>
      </c>
      <c r="F605" s="18" t="s">
        <v>1165</v>
      </c>
      <c r="G605" s="19">
        <v>3639848</v>
      </c>
      <c r="H605" s="18" t="s">
        <v>1166</v>
      </c>
      <c r="I605" s="19">
        <v>3024741</v>
      </c>
      <c r="J605" s="18" t="s">
        <v>1015</v>
      </c>
      <c r="K605" s="19">
        <v>504.48</v>
      </c>
      <c r="L605" s="19">
        <v>32550</v>
      </c>
      <c r="M605" s="19">
        <v>1979</v>
      </c>
      <c r="N605" s="20">
        <v>0.0608</v>
      </c>
      <c r="O605" s="19">
        <v>0.25</v>
      </c>
      <c r="P605" s="19">
        <v>15.5</v>
      </c>
      <c r="Q605" s="19">
        <v>116</v>
      </c>
      <c r="R605" s="19">
        <v>3</v>
      </c>
      <c r="S605" s="19">
        <v>106</v>
      </c>
      <c r="T605" s="19">
        <v>12</v>
      </c>
      <c r="U605" s="19">
        <v>2</v>
      </c>
      <c r="V605" s="19">
        <v>239</v>
      </c>
      <c r="W605" s="19">
        <v>2.11</v>
      </c>
      <c r="X605" s="19">
        <v>0</v>
      </c>
      <c r="Y605" s="20">
        <v>0</v>
      </c>
      <c r="Z605" s="19">
        <v>1</v>
      </c>
      <c r="AA605" s="19">
        <v>0</v>
      </c>
      <c r="AB605" t="str">
        <f>VLOOKUP(E:E,笔记匹配!A:N,3,FALSE)</f>
        <v>马可乐cora</v>
      </c>
      <c r="AC605" t="str">
        <f>VLOOKUP(E:E,笔记匹配!A:N,2,FALSE)</f>
        <v>筋膜枪</v>
      </c>
      <c r="AD605" t="str">
        <f>VLOOKUP(E:E,笔记匹配!A:N,4,FALSE)</f>
        <v>云麦筋膜枪PB2</v>
      </c>
      <c r="AE605" t="str">
        <f>VLOOKUP(E:E,笔记匹配!A:N,14,FALSE)</f>
        <v>云麦筋膜枪pb2</v>
      </c>
      <c r="AF605" t="str">
        <f>VLOOKUP(E:E,笔记匹配!A:N,6,FALSE)</f>
        <v>跳操的姐妹听我的用筋膜枪放松下肢真的有用</v>
      </c>
    </row>
    <row r="606" spans="1:32">
      <c r="A606" s="18" t="s">
        <v>94</v>
      </c>
      <c r="B606" s="18" t="s">
        <v>1167</v>
      </c>
      <c r="C606" s="19">
        <v>18224197</v>
      </c>
      <c r="D606" s="18" t="s">
        <v>209</v>
      </c>
      <c r="E606" s="18" t="s">
        <v>300</v>
      </c>
      <c r="F606" s="18" t="s">
        <v>1168</v>
      </c>
      <c r="G606" s="19">
        <v>3665138</v>
      </c>
      <c r="H606" s="18" t="s">
        <v>1168</v>
      </c>
      <c r="I606" s="19">
        <v>3050231</v>
      </c>
      <c r="J606" s="18" t="s">
        <v>1015</v>
      </c>
      <c r="K606" s="19">
        <v>0</v>
      </c>
      <c r="L606" s="19">
        <v>0</v>
      </c>
      <c r="M606" s="19">
        <v>0</v>
      </c>
      <c r="N606" s="20">
        <v>0</v>
      </c>
      <c r="O606" s="19">
        <v>0</v>
      </c>
      <c r="P606" s="19">
        <v>0</v>
      </c>
      <c r="Q606" s="19">
        <v>0</v>
      </c>
      <c r="R606" s="19">
        <v>0</v>
      </c>
      <c r="S606" s="19">
        <v>0</v>
      </c>
      <c r="T606" s="19">
        <v>0</v>
      </c>
      <c r="U606" s="19">
        <v>0</v>
      </c>
      <c r="V606" s="19">
        <v>0</v>
      </c>
      <c r="W606" s="19">
        <v>0</v>
      </c>
      <c r="X606" s="19">
        <v>0</v>
      </c>
      <c r="Y606" s="20">
        <v>0</v>
      </c>
      <c r="Z606" s="19">
        <v>0</v>
      </c>
      <c r="AA606" s="19">
        <v>0</v>
      </c>
      <c r="AB606" t="str">
        <f>VLOOKUP(E:E,笔记匹配!A:N,3,FALSE)</f>
        <v>朱俊畅</v>
      </c>
      <c r="AC606" t="str">
        <f>VLOOKUP(E:E,笔记匹配!A:N,2,FALSE)</f>
        <v>筋膜枪</v>
      </c>
      <c r="AD606" t="str">
        <f>VLOOKUP(E:E,笔记匹配!A:N,4,FALSE)</f>
        <v>云麦筋膜枪PB2</v>
      </c>
      <c r="AE606" t="str">
        <f>VLOOKUP(E:E,笔记匹配!A:N,14,FALSE)</f>
        <v>云麦筋膜枪pb2</v>
      </c>
      <c r="AF606" t="str">
        <f>VLOOKUP(E:E,笔记匹配!A:N,6,FALSE)</f>
        <v>打球完容易肌肉酸痛，筋膜枪放松更有效！</v>
      </c>
    </row>
    <row r="607" spans="1:32">
      <c r="A607" s="18" t="s">
        <v>94</v>
      </c>
      <c r="B607" s="18" t="s">
        <v>1181</v>
      </c>
      <c r="C607" s="19">
        <v>18606961</v>
      </c>
      <c r="D607" s="18" t="s">
        <v>209</v>
      </c>
      <c r="E607" s="18" t="s">
        <v>289</v>
      </c>
      <c r="F607" s="18" t="s">
        <v>1183</v>
      </c>
      <c r="G607" s="19">
        <v>3851160</v>
      </c>
      <c r="H607" s="18" t="s">
        <v>1183</v>
      </c>
      <c r="I607" s="19">
        <v>3236289</v>
      </c>
      <c r="J607" s="18" t="s">
        <v>1015</v>
      </c>
      <c r="K607" s="19">
        <v>502.95</v>
      </c>
      <c r="L607" s="19">
        <v>100599</v>
      </c>
      <c r="M607" s="19">
        <v>4419</v>
      </c>
      <c r="N607" s="20">
        <v>0.0439</v>
      </c>
      <c r="O607" s="19">
        <v>0.11</v>
      </c>
      <c r="P607" s="19">
        <v>5</v>
      </c>
      <c r="Q607" s="19">
        <v>113</v>
      </c>
      <c r="R607" s="19">
        <v>2</v>
      </c>
      <c r="S607" s="19">
        <v>78</v>
      </c>
      <c r="T607" s="19">
        <v>1</v>
      </c>
      <c r="U607" s="19">
        <v>28</v>
      </c>
      <c r="V607" s="19">
        <v>222</v>
      </c>
      <c r="W607" s="19">
        <v>2.27</v>
      </c>
      <c r="X607" s="19">
        <v>14</v>
      </c>
      <c r="Y607" s="20">
        <v>0.0032</v>
      </c>
      <c r="Z607" s="19">
        <v>12</v>
      </c>
      <c r="AA607" s="19">
        <v>25</v>
      </c>
      <c r="AB607" t="str">
        <f>VLOOKUP(E:E,笔记匹配!A:N,3,FALSE)</f>
        <v>小蓝今天吃了没</v>
      </c>
      <c r="AC607" t="str">
        <f>VLOOKUP(E:E,笔记匹配!A:N,2,FALSE)</f>
        <v>筋膜枪</v>
      </c>
      <c r="AD607" t="str">
        <f>VLOOKUP(E:E,笔记匹配!A:N,4,FALSE)</f>
        <v>云麦 筋膜枪PB2</v>
      </c>
      <c r="AE607" t="str">
        <f>VLOOKUP(E:E,笔记匹配!A:N,14,FALSE)</f>
        <v>云麦筋膜枪pb2</v>
      </c>
      <c r="AF607" t="str">
        <f>VLOOKUP(E:E,笔记匹配!A:N,6,FALSE)</f>
        <v>筋膜枪正确用法！刘耕宏女孩永不认输</v>
      </c>
    </row>
    <row r="608" spans="1:32">
      <c r="A608" s="18" t="s">
        <v>94</v>
      </c>
      <c r="B608" s="18" t="s">
        <v>1184</v>
      </c>
      <c r="C608" s="19">
        <v>18646457</v>
      </c>
      <c r="D608" s="18" t="s">
        <v>209</v>
      </c>
      <c r="E608" s="18" t="s">
        <v>395</v>
      </c>
      <c r="F608" s="18" t="s">
        <v>1186</v>
      </c>
      <c r="G608" s="19">
        <v>3870563</v>
      </c>
      <c r="H608" s="18" t="s">
        <v>1186</v>
      </c>
      <c r="I608" s="19">
        <v>3255634</v>
      </c>
      <c r="J608" s="18" t="s">
        <v>1015</v>
      </c>
      <c r="K608" s="19">
        <v>999.21</v>
      </c>
      <c r="L608" s="19">
        <v>69338</v>
      </c>
      <c r="M608" s="19">
        <v>4006</v>
      </c>
      <c r="N608" s="20">
        <v>0.0578</v>
      </c>
      <c r="O608" s="19">
        <v>0.25</v>
      </c>
      <c r="P608" s="19">
        <v>14.41</v>
      </c>
      <c r="Q608" s="19">
        <v>195</v>
      </c>
      <c r="R608" s="19">
        <v>2</v>
      </c>
      <c r="S608" s="19">
        <v>129</v>
      </c>
      <c r="T608" s="19">
        <v>10</v>
      </c>
      <c r="U608" s="19">
        <v>11</v>
      </c>
      <c r="V608" s="19">
        <v>347</v>
      </c>
      <c r="W608" s="19">
        <v>2.88</v>
      </c>
      <c r="X608" s="19">
        <v>0</v>
      </c>
      <c r="Y608" s="20">
        <v>0</v>
      </c>
      <c r="Z608" s="19">
        <v>6</v>
      </c>
      <c r="AA608" s="19">
        <v>2</v>
      </c>
      <c r="AB608" t="str">
        <f>VLOOKUP(E:E,笔记匹配!A:N,3,FALSE)</f>
        <v>月亮起床了</v>
      </c>
      <c r="AC608" t="str">
        <f>VLOOKUP(E:E,笔记匹配!A:N,2,FALSE)</f>
        <v>筋膜枪</v>
      </c>
      <c r="AD608" t="str">
        <f>VLOOKUP(E:E,笔记匹配!A:N,4,FALSE)</f>
        <v>云麦筋膜枪pb2</v>
      </c>
      <c r="AE608" t="str">
        <f>VLOOKUP(E:E,笔记匹配!A:N,14,FALSE)</f>
        <v>云麦筋膜枪pb2</v>
      </c>
      <c r="AF608" t="str">
        <f>VLOOKUP(E:E,笔记匹配!A:N,6,FALSE)</f>
        <v>超强瘦🦵绝招，记得用筋膜枪放松</v>
      </c>
    </row>
    <row r="609" spans="1:32">
      <c r="A609" s="18" t="s">
        <v>95</v>
      </c>
      <c r="B609" s="18" t="s">
        <v>1164</v>
      </c>
      <c r="C609" s="19">
        <v>18170615</v>
      </c>
      <c r="D609" s="18" t="s">
        <v>209</v>
      </c>
      <c r="E609" s="18" t="s">
        <v>205</v>
      </c>
      <c r="F609" s="18" t="s">
        <v>1165</v>
      </c>
      <c r="G609" s="19">
        <v>3639848</v>
      </c>
      <c r="H609" s="18" t="s">
        <v>1166</v>
      </c>
      <c r="I609" s="19">
        <v>3024741</v>
      </c>
      <c r="J609" s="18" t="s">
        <v>1015</v>
      </c>
      <c r="K609" s="19">
        <v>339.6</v>
      </c>
      <c r="L609" s="19">
        <v>27922</v>
      </c>
      <c r="M609" s="19">
        <v>1666</v>
      </c>
      <c r="N609" s="20">
        <v>0.0597</v>
      </c>
      <c r="O609" s="19">
        <v>0.2</v>
      </c>
      <c r="P609" s="19">
        <v>12.16</v>
      </c>
      <c r="Q609" s="19">
        <v>108</v>
      </c>
      <c r="R609" s="19">
        <v>0</v>
      </c>
      <c r="S609" s="19">
        <v>104</v>
      </c>
      <c r="T609" s="19">
        <v>15</v>
      </c>
      <c r="U609" s="19">
        <v>3</v>
      </c>
      <c r="V609" s="19">
        <v>230</v>
      </c>
      <c r="W609" s="19">
        <v>1.48</v>
      </c>
      <c r="X609" s="19">
        <v>0</v>
      </c>
      <c r="Y609" s="20">
        <v>0</v>
      </c>
      <c r="Z609" s="19">
        <v>1</v>
      </c>
      <c r="AA609" s="19">
        <v>3</v>
      </c>
      <c r="AB609" t="str">
        <f>VLOOKUP(E:E,笔记匹配!A:N,3,FALSE)</f>
        <v>马可乐cora</v>
      </c>
      <c r="AC609" t="str">
        <f>VLOOKUP(E:E,笔记匹配!A:N,2,FALSE)</f>
        <v>筋膜枪</v>
      </c>
      <c r="AD609" t="str">
        <f>VLOOKUP(E:E,笔记匹配!A:N,4,FALSE)</f>
        <v>云麦筋膜枪PB2</v>
      </c>
      <c r="AE609" t="str">
        <f>VLOOKUP(E:E,笔记匹配!A:N,14,FALSE)</f>
        <v>云麦筋膜枪pb2</v>
      </c>
      <c r="AF609" t="str">
        <f>VLOOKUP(E:E,笔记匹配!A:N,6,FALSE)</f>
        <v>跳操的姐妹听我的用筋膜枪放松下肢真的有用</v>
      </c>
    </row>
    <row r="610" spans="1:32">
      <c r="A610" s="18" t="s">
        <v>95</v>
      </c>
      <c r="B610" s="18" t="s">
        <v>1181</v>
      </c>
      <c r="C610" s="19">
        <v>18606961</v>
      </c>
      <c r="D610" s="18" t="s">
        <v>209</v>
      </c>
      <c r="E610" s="18" t="s">
        <v>289</v>
      </c>
      <c r="F610" s="18" t="s">
        <v>1183</v>
      </c>
      <c r="G610" s="19">
        <v>3851160</v>
      </c>
      <c r="H610" s="18" t="s">
        <v>1183</v>
      </c>
      <c r="I610" s="19">
        <v>3236289</v>
      </c>
      <c r="J610" s="18" t="s">
        <v>1015</v>
      </c>
      <c r="K610" s="19">
        <v>490.65</v>
      </c>
      <c r="L610" s="19">
        <v>94032</v>
      </c>
      <c r="M610" s="19">
        <v>4172</v>
      </c>
      <c r="N610" s="20">
        <v>0.0444</v>
      </c>
      <c r="O610" s="19">
        <v>0.12</v>
      </c>
      <c r="P610" s="19">
        <v>5.22</v>
      </c>
      <c r="Q610" s="19">
        <v>123</v>
      </c>
      <c r="R610" s="19">
        <v>1</v>
      </c>
      <c r="S610" s="19">
        <v>82</v>
      </c>
      <c r="T610" s="19">
        <v>1</v>
      </c>
      <c r="U610" s="19">
        <v>27</v>
      </c>
      <c r="V610" s="19">
        <v>234</v>
      </c>
      <c r="W610" s="19">
        <v>2.1</v>
      </c>
      <c r="X610" s="19">
        <v>22</v>
      </c>
      <c r="Y610" s="20">
        <v>0.0053</v>
      </c>
      <c r="Z610" s="19">
        <v>10</v>
      </c>
      <c r="AA610" s="19">
        <v>15</v>
      </c>
      <c r="AB610" t="str">
        <f>VLOOKUP(E:E,笔记匹配!A:N,3,FALSE)</f>
        <v>小蓝今天吃了没</v>
      </c>
      <c r="AC610" t="str">
        <f>VLOOKUP(E:E,笔记匹配!A:N,2,FALSE)</f>
        <v>筋膜枪</v>
      </c>
      <c r="AD610" t="str">
        <f>VLOOKUP(E:E,笔记匹配!A:N,4,FALSE)</f>
        <v>云麦 筋膜枪PB2</v>
      </c>
      <c r="AE610" t="str">
        <f>VLOOKUP(E:E,笔记匹配!A:N,14,FALSE)</f>
        <v>云麦筋膜枪pb2</v>
      </c>
      <c r="AF610" t="str">
        <f>VLOOKUP(E:E,笔记匹配!A:N,6,FALSE)</f>
        <v>筋膜枪正确用法！刘耕宏女孩永不认输</v>
      </c>
    </row>
    <row r="611" spans="1:32">
      <c r="A611" s="18" t="s">
        <v>95</v>
      </c>
      <c r="B611" s="18" t="s">
        <v>1184</v>
      </c>
      <c r="C611" s="19">
        <v>18646457</v>
      </c>
      <c r="D611" s="18" t="s">
        <v>209</v>
      </c>
      <c r="E611" s="18" t="s">
        <v>395</v>
      </c>
      <c r="F611" s="18" t="s">
        <v>1186</v>
      </c>
      <c r="G611" s="19">
        <v>3870563</v>
      </c>
      <c r="H611" s="18" t="s">
        <v>1186</v>
      </c>
      <c r="I611" s="19">
        <v>3255634</v>
      </c>
      <c r="J611" s="18" t="s">
        <v>1015</v>
      </c>
      <c r="K611" s="19">
        <v>623.86</v>
      </c>
      <c r="L611" s="19">
        <v>46500</v>
      </c>
      <c r="M611" s="19">
        <v>2740</v>
      </c>
      <c r="N611" s="20">
        <v>0.0589</v>
      </c>
      <c r="O611" s="19">
        <v>0.23</v>
      </c>
      <c r="P611" s="19">
        <v>13.42</v>
      </c>
      <c r="Q611" s="19">
        <v>104</v>
      </c>
      <c r="R611" s="19">
        <v>0</v>
      </c>
      <c r="S611" s="19">
        <v>69</v>
      </c>
      <c r="T611" s="19">
        <v>5</v>
      </c>
      <c r="U611" s="19">
        <v>7</v>
      </c>
      <c r="V611" s="19">
        <v>185</v>
      </c>
      <c r="W611" s="19">
        <v>3.37</v>
      </c>
      <c r="X611" s="19">
        <v>0</v>
      </c>
      <c r="Y611" s="20">
        <v>0</v>
      </c>
      <c r="Z611" s="19">
        <v>1</v>
      </c>
      <c r="AA611" s="19">
        <v>2</v>
      </c>
      <c r="AB611" t="str">
        <f>VLOOKUP(E:E,笔记匹配!A:N,3,FALSE)</f>
        <v>月亮起床了</v>
      </c>
      <c r="AC611" t="str">
        <f>VLOOKUP(E:E,笔记匹配!A:N,2,FALSE)</f>
        <v>筋膜枪</v>
      </c>
      <c r="AD611" t="str">
        <f>VLOOKUP(E:E,笔记匹配!A:N,4,FALSE)</f>
        <v>云麦筋膜枪pb2</v>
      </c>
      <c r="AE611" t="str">
        <f>VLOOKUP(E:E,笔记匹配!A:N,14,FALSE)</f>
        <v>云麦筋膜枪pb2</v>
      </c>
      <c r="AF611" t="str">
        <f>VLOOKUP(E:E,笔记匹配!A:N,6,FALSE)</f>
        <v>超强瘦🦵绝招，记得用筋膜枪放松</v>
      </c>
    </row>
    <row r="612" spans="1:32">
      <c r="A612" s="18" t="s">
        <v>96</v>
      </c>
      <c r="B612" s="18" t="s">
        <v>1164</v>
      </c>
      <c r="C612" s="19">
        <v>18170615</v>
      </c>
      <c r="D612" s="18" t="s">
        <v>209</v>
      </c>
      <c r="E612" s="18" t="s">
        <v>205</v>
      </c>
      <c r="F612" s="18" t="s">
        <v>1165</v>
      </c>
      <c r="G612" s="19">
        <v>3639848</v>
      </c>
      <c r="H612" s="18" t="s">
        <v>1166</v>
      </c>
      <c r="I612" s="19">
        <v>3024741</v>
      </c>
      <c r="J612" s="18" t="s">
        <v>1015</v>
      </c>
      <c r="K612" s="19">
        <v>460.6</v>
      </c>
      <c r="L612" s="19">
        <v>43067</v>
      </c>
      <c r="M612" s="19">
        <v>2391</v>
      </c>
      <c r="N612" s="20">
        <v>0.0555</v>
      </c>
      <c r="O612" s="19">
        <v>0.19</v>
      </c>
      <c r="P612" s="19">
        <v>10.69</v>
      </c>
      <c r="Q612" s="19">
        <v>150</v>
      </c>
      <c r="R612" s="19">
        <v>2</v>
      </c>
      <c r="S612" s="19">
        <v>118</v>
      </c>
      <c r="T612" s="19">
        <v>21</v>
      </c>
      <c r="U612" s="19">
        <v>3</v>
      </c>
      <c r="V612" s="19">
        <v>294</v>
      </c>
      <c r="W612" s="19">
        <v>1.57</v>
      </c>
      <c r="X612" s="19">
        <v>0</v>
      </c>
      <c r="Y612" s="20">
        <v>0</v>
      </c>
      <c r="Z612" s="19">
        <v>3</v>
      </c>
      <c r="AA612" s="19">
        <v>2</v>
      </c>
      <c r="AB612" t="str">
        <f>VLOOKUP(E:E,笔记匹配!A:N,3,FALSE)</f>
        <v>马可乐cora</v>
      </c>
      <c r="AC612" t="str">
        <f>VLOOKUP(E:E,笔记匹配!A:N,2,FALSE)</f>
        <v>筋膜枪</v>
      </c>
      <c r="AD612" t="str">
        <f>VLOOKUP(E:E,笔记匹配!A:N,4,FALSE)</f>
        <v>云麦筋膜枪PB2</v>
      </c>
      <c r="AE612" t="str">
        <f>VLOOKUP(E:E,笔记匹配!A:N,14,FALSE)</f>
        <v>云麦筋膜枪pb2</v>
      </c>
      <c r="AF612" t="str">
        <f>VLOOKUP(E:E,笔记匹配!A:N,6,FALSE)</f>
        <v>跳操的姐妹听我的用筋膜枪放松下肢真的有用</v>
      </c>
    </row>
    <row r="613" spans="1:32">
      <c r="A613" s="18" t="s">
        <v>96</v>
      </c>
      <c r="B613" s="18" t="s">
        <v>1181</v>
      </c>
      <c r="C613" s="19">
        <v>18606961</v>
      </c>
      <c r="D613" s="18" t="s">
        <v>209</v>
      </c>
      <c r="E613" s="18" t="s">
        <v>289</v>
      </c>
      <c r="F613" s="18" t="s">
        <v>1183</v>
      </c>
      <c r="G613" s="19">
        <v>3851160</v>
      </c>
      <c r="H613" s="18" t="s">
        <v>1183</v>
      </c>
      <c r="I613" s="19">
        <v>3236289</v>
      </c>
      <c r="J613" s="18" t="s">
        <v>1015</v>
      </c>
      <c r="K613" s="19">
        <v>9.66</v>
      </c>
      <c r="L613" s="19">
        <v>1603</v>
      </c>
      <c r="M613" s="19">
        <v>89</v>
      </c>
      <c r="N613" s="20">
        <v>0.0555</v>
      </c>
      <c r="O613" s="19">
        <v>0.11</v>
      </c>
      <c r="P613" s="19">
        <v>6.03</v>
      </c>
      <c r="Q613" s="19">
        <v>2</v>
      </c>
      <c r="R613" s="19">
        <v>0</v>
      </c>
      <c r="S613" s="19">
        <v>0</v>
      </c>
      <c r="T613" s="19">
        <v>0</v>
      </c>
      <c r="U613" s="19">
        <v>0</v>
      </c>
      <c r="V613" s="19">
        <v>2</v>
      </c>
      <c r="W613" s="19">
        <v>4.83</v>
      </c>
      <c r="X613" s="19">
        <v>0</v>
      </c>
      <c r="Y613" s="20">
        <v>0</v>
      </c>
      <c r="Z613" s="19">
        <v>0</v>
      </c>
      <c r="AA613" s="19">
        <v>1</v>
      </c>
      <c r="AB613" t="str">
        <f>VLOOKUP(E:E,笔记匹配!A:N,3,FALSE)</f>
        <v>小蓝今天吃了没</v>
      </c>
      <c r="AC613" t="str">
        <f>VLOOKUP(E:E,笔记匹配!A:N,2,FALSE)</f>
        <v>筋膜枪</v>
      </c>
      <c r="AD613" t="str">
        <f>VLOOKUP(E:E,笔记匹配!A:N,4,FALSE)</f>
        <v>云麦 筋膜枪PB2</v>
      </c>
      <c r="AE613" t="str">
        <f>VLOOKUP(E:E,笔记匹配!A:N,14,FALSE)</f>
        <v>云麦筋膜枪pb2</v>
      </c>
      <c r="AF613" t="str">
        <f>VLOOKUP(E:E,笔记匹配!A:N,6,FALSE)</f>
        <v>筋膜枪正确用法！刘耕宏女孩永不认输</v>
      </c>
    </row>
    <row r="614" spans="1:32">
      <c r="A614" s="18" t="s">
        <v>96</v>
      </c>
      <c r="B614" s="18" t="s">
        <v>1184</v>
      </c>
      <c r="C614" s="19">
        <v>18646457</v>
      </c>
      <c r="D614" s="18" t="s">
        <v>209</v>
      </c>
      <c r="E614" s="18" t="s">
        <v>395</v>
      </c>
      <c r="F614" s="18" t="s">
        <v>1186</v>
      </c>
      <c r="G614" s="19">
        <v>3870563</v>
      </c>
      <c r="H614" s="18" t="s">
        <v>1186</v>
      </c>
      <c r="I614" s="19">
        <v>3255634</v>
      </c>
      <c r="J614" s="18" t="s">
        <v>1015</v>
      </c>
      <c r="K614" s="19">
        <v>848.03</v>
      </c>
      <c r="L614" s="19">
        <v>65782</v>
      </c>
      <c r="M614" s="19">
        <v>3708</v>
      </c>
      <c r="N614" s="20">
        <v>0.0564</v>
      </c>
      <c r="O614" s="19">
        <v>0.23</v>
      </c>
      <c r="P614" s="19">
        <v>12.89</v>
      </c>
      <c r="Q614" s="19">
        <v>143</v>
      </c>
      <c r="R614" s="19">
        <v>3</v>
      </c>
      <c r="S614" s="19">
        <v>113</v>
      </c>
      <c r="T614" s="19">
        <v>7</v>
      </c>
      <c r="U614" s="19">
        <v>8</v>
      </c>
      <c r="V614" s="19">
        <v>274</v>
      </c>
      <c r="W614" s="19">
        <v>3.1</v>
      </c>
      <c r="X614" s="19">
        <v>0</v>
      </c>
      <c r="Y614" s="20">
        <v>0</v>
      </c>
      <c r="Z614" s="19">
        <v>1</v>
      </c>
      <c r="AA614" s="19">
        <v>5</v>
      </c>
      <c r="AB614" t="str">
        <f>VLOOKUP(E:E,笔记匹配!A:N,3,FALSE)</f>
        <v>月亮起床了</v>
      </c>
      <c r="AC614" t="str">
        <f>VLOOKUP(E:E,笔记匹配!A:N,2,FALSE)</f>
        <v>筋膜枪</v>
      </c>
      <c r="AD614" t="str">
        <f>VLOOKUP(E:E,笔记匹配!A:N,4,FALSE)</f>
        <v>云麦筋膜枪pb2</v>
      </c>
      <c r="AE614" t="str">
        <f>VLOOKUP(E:E,笔记匹配!A:N,14,FALSE)</f>
        <v>云麦筋膜枪pb2</v>
      </c>
      <c r="AF614" t="str">
        <f>VLOOKUP(E:E,笔记匹配!A:N,6,FALSE)</f>
        <v>超强瘦🦵绝招，记得用筋膜枪放松</v>
      </c>
    </row>
    <row r="615" spans="1:32">
      <c r="A615" s="18" t="s">
        <v>97</v>
      </c>
      <c r="B615" s="18" t="s">
        <v>1161</v>
      </c>
      <c r="C615" s="19">
        <v>18085273</v>
      </c>
      <c r="D615" s="18" t="s">
        <v>209</v>
      </c>
      <c r="E615" s="18" t="s">
        <v>296</v>
      </c>
      <c r="F615" s="18" t="s">
        <v>1162</v>
      </c>
      <c r="G615" s="19">
        <v>3600311</v>
      </c>
      <c r="H615" s="18" t="s">
        <v>1163</v>
      </c>
      <c r="I615" s="19">
        <v>2985865</v>
      </c>
      <c r="J615" s="18" t="s">
        <v>1015</v>
      </c>
      <c r="K615" s="19">
        <v>0</v>
      </c>
      <c r="L615" s="19">
        <v>0</v>
      </c>
      <c r="M615" s="19">
        <v>0</v>
      </c>
      <c r="N615" s="20">
        <v>0</v>
      </c>
      <c r="O615" s="19">
        <v>0</v>
      </c>
      <c r="P615" s="19">
        <v>0</v>
      </c>
      <c r="Q615" s="19">
        <v>0</v>
      </c>
      <c r="R615" s="19">
        <v>0</v>
      </c>
      <c r="S615" s="19">
        <v>0</v>
      </c>
      <c r="T615" s="19">
        <v>0</v>
      </c>
      <c r="U615" s="19">
        <v>0</v>
      </c>
      <c r="V615" s="19">
        <v>0</v>
      </c>
      <c r="W615" s="19">
        <v>0</v>
      </c>
      <c r="X615" s="19">
        <v>0</v>
      </c>
      <c r="Y615" s="20">
        <v>0</v>
      </c>
      <c r="Z615" s="19">
        <v>0</v>
      </c>
      <c r="AA615" s="19">
        <v>0</v>
      </c>
      <c r="AB615" t="str">
        <f>VLOOKUP(E:E,笔记匹配!A:N,3,FALSE)</f>
        <v>元气芥末酱</v>
      </c>
      <c r="AC615" t="str">
        <f>VLOOKUP(E:E,笔记匹配!A:N,2,FALSE)</f>
        <v>筋膜枪</v>
      </c>
      <c r="AD615" t="str">
        <f>VLOOKUP(E:E,笔记匹配!A:N,4,FALSE)</f>
        <v>云麦筋膜枪PB2</v>
      </c>
      <c r="AE615" t="str">
        <f>VLOOKUP(E:E,笔记匹配!A:N,14,FALSE)</f>
        <v>云麦筋膜枪pb2</v>
      </c>
      <c r="AF615" t="str">
        <f>VLOOKUP(E:E,笔记匹配!A:N,6,FALSE)</f>
        <v>小腿粗的姐妹信我！肌肉腿就要这样按！</v>
      </c>
    </row>
    <row r="616" spans="1:32">
      <c r="A616" s="18" t="s">
        <v>97</v>
      </c>
      <c r="B616" s="18" t="s">
        <v>1164</v>
      </c>
      <c r="C616" s="19">
        <v>18170615</v>
      </c>
      <c r="D616" s="18" t="s">
        <v>209</v>
      </c>
      <c r="E616" s="18" t="s">
        <v>205</v>
      </c>
      <c r="F616" s="18" t="s">
        <v>1165</v>
      </c>
      <c r="G616" s="19">
        <v>3639848</v>
      </c>
      <c r="H616" s="18" t="s">
        <v>1166</v>
      </c>
      <c r="I616" s="19">
        <v>3024741</v>
      </c>
      <c r="J616" s="18" t="s">
        <v>1015</v>
      </c>
      <c r="K616" s="19">
        <v>415.79</v>
      </c>
      <c r="L616" s="19">
        <v>28309</v>
      </c>
      <c r="M616" s="19">
        <v>1802</v>
      </c>
      <c r="N616" s="20">
        <v>0.0637</v>
      </c>
      <c r="O616" s="19">
        <v>0.23</v>
      </c>
      <c r="P616" s="19">
        <v>14.69</v>
      </c>
      <c r="Q616" s="19">
        <v>106</v>
      </c>
      <c r="R616" s="19">
        <v>3</v>
      </c>
      <c r="S616" s="19">
        <v>102</v>
      </c>
      <c r="T616" s="19">
        <v>11</v>
      </c>
      <c r="U616" s="19">
        <v>6</v>
      </c>
      <c r="V616" s="19">
        <v>228</v>
      </c>
      <c r="W616" s="19">
        <v>1.82</v>
      </c>
      <c r="X616" s="19">
        <v>0</v>
      </c>
      <c r="Y616" s="20">
        <v>0</v>
      </c>
      <c r="Z616" s="19">
        <v>1</v>
      </c>
      <c r="AA616" s="19">
        <v>4</v>
      </c>
      <c r="AB616" t="str">
        <f>VLOOKUP(E:E,笔记匹配!A:N,3,FALSE)</f>
        <v>马可乐cora</v>
      </c>
      <c r="AC616" t="str">
        <f>VLOOKUP(E:E,笔记匹配!A:N,2,FALSE)</f>
        <v>筋膜枪</v>
      </c>
      <c r="AD616" t="str">
        <f>VLOOKUP(E:E,笔记匹配!A:N,4,FALSE)</f>
        <v>云麦筋膜枪PB2</v>
      </c>
      <c r="AE616" t="str">
        <f>VLOOKUP(E:E,笔记匹配!A:N,14,FALSE)</f>
        <v>云麦筋膜枪pb2</v>
      </c>
      <c r="AF616" t="str">
        <f>VLOOKUP(E:E,笔记匹配!A:N,6,FALSE)</f>
        <v>跳操的姐妹听我的用筋膜枪放松下肢真的有用</v>
      </c>
    </row>
    <row r="617" spans="1:32">
      <c r="A617" s="18" t="s">
        <v>97</v>
      </c>
      <c r="B617" s="18" t="s">
        <v>1181</v>
      </c>
      <c r="C617" s="19">
        <v>18606961</v>
      </c>
      <c r="D617" s="18" t="s">
        <v>209</v>
      </c>
      <c r="E617" s="18" t="s">
        <v>289</v>
      </c>
      <c r="F617" s="18" t="s">
        <v>1183</v>
      </c>
      <c r="G617" s="19">
        <v>3851160</v>
      </c>
      <c r="H617" s="18" t="s">
        <v>1183</v>
      </c>
      <c r="I617" s="19">
        <v>3236289</v>
      </c>
      <c r="J617" s="18" t="s">
        <v>1015</v>
      </c>
      <c r="K617" s="19">
        <v>1014.02</v>
      </c>
      <c r="L617" s="19">
        <v>156465</v>
      </c>
      <c r="M617" s="19">
        <v>6191</v>
      </c>
      <c r="N617" s="20">
        <v>0.0396</v>
      </c>
      <c r="O617" s="19">
        <v>0.16</v>
      </c>
      <c r="P617" s="19">
        <v>6.48</v>
      </c>
      <c r="Q617" s="19">
        <v>163</v>
      </c>
      <c r="R617" s="19">
        <v>3</v>
      </c>
      <c r="S617" s="19">
        <v>118</v>
      </c>
      <c r="T617" s="19">
        <v>0</v>
      </c>
      <c r="U617" s="19">
        <v>45</v>
      </c>
      <c r="V617" s="19">
        <v>329</v>
      </c>
      <c r="W617" s="19">
        <v>3.08</v>
      </c>
      <c r="X617" s="19">
        <v>27</v>
      </c>
      <c r="Y617" s="20">
        <v>0.0044</v>
      </c>
      <c r="Z617" s="19">
        <v>18</v>
      </c>
      <c r="AA617" s="19">
        <v>37</v>
      </c>
      <c r="AB617" t="str">
        <f>VLOOKUP(E:E,笔记匹配!A:N,3,FALSE)</f>
        <v>小蓝今天吃了没</v>
      </c>
      <c r="AC617" t="str">
        <f>VLOOKUP(E:E,笔记匹配!A:N,2,FALSE)</f>
        <v>筋膜枪</v>
      </c>
      <c r="AD617" t="str">
        <f>VLOOKUP(E:E,笔记匹配!A:N,4,FALSE)</f>
        <v>云麦 筋膜枪PB2</v>
      </c>
      <c r="AE617" t="str">
        <f>VLOOKUP(E:E,笔记匹配!A:N,14,FALSE)</f>
        <v>云麦筋膜枪pb2</v>
      </c>
      <c r="AF617" t="str">
        <f>VLOOKUP(E:E,笔记匹配!A:N,6,FALSE)</f>
        <v>筋膜枪正确用法！刘耕宏女孩永不认输</v>
      </c>
    </row>
    <row r="618" spans="1:32">
      <c r="A618" s="18" t="s">
        <v>97</v>
      </c>
      <c r="B618" s="18" t="s">
        <v>1184</v>
      </c>
      <c r="C618" s="19">
        <v>18646400</v>
      </c>
      <c r="D618" s="18" t="s">
        <v>209</v>
      </c>
      <c r="E618" s="18" t="s">
        <v>495</v>
      </c>
      <c r="F618" s="18" t="s">
        <v>1185</v>
      </c>
      <c r="G618" s="19">
        <v>3870533</v>
      </c>
      <c r="H618" s="18" t="s">
        <v>1185</v>
      </c>
      <c r="I618" s="19">
        <v>3255602</v>
      </c>
      <c r="J618" s="18" t="s">
        <v>1015</v>
      </c>
      <c r="K618" s="19">
        <v>0</v>
      </c>
      <c r="L618" s="19">
        <v>0</v>
      </c>
      <c r="M618" s="19">
        <v>0</v>
      </c>
      <c r="N618" s="20">
        <v>0</v>
      </c>
      <c r="O618" s="19">
        <v>0</v>
      </c>
      <c r="P618" s="19">
        <v>0</v>
      </c>
      <c r="Q618" s="19">
        <v>0</v>
      </c>
      <c r="R618" s="19">
        <v>0</v>
      </c>
      <c r="S618" s="19">
        <v>0</v>
      </c>
      <c r="T618" s="19">
        <v>0</v>
      </c>
      <c r="U618" s="19">
        <v>0</v>
      </c>
      <c r="V618" s="19">
        <v>0</v>
      </c>
      <c r="W618" s="19">
        <v>0</v>
      </c>
      <c r="X618" s="19">
        <v>0</v>
      </c>
      <c r="Y618" s="20">
        <v>0</v>
      </c>
      <c r="Z618" s="19">
        <v>0</v>
      </c>
      <c r="AA618" s="19">
        <v>0</v>
      </c>
      <c r="AB618" t="str">
        <f>VLOOKUP(E:E,笔记匹配!A:N,3,FALSE)</f>
        <v>桃子酱酱</v>
      </c>
      <c r="AC618" t="str">
        <f>VLOOKUP(E:E,笔记匹配!A:N,2,FALSE)</f>
        <v>筋膜枪</v>
      </c>
      <c r="AD618" t="str">
        <f>VLOOKUP(E:E,笔记匹配!A:N,4,FALSE)</f>
        <v>云麦筋膜枪pb2</v>
      </c>
      <c r="AE618" t="str">
        <f>VLOOKUP(E:E,笔记匹配!A:N,14,FALSE)</f>
        <v>云麦筋膜枪pb2</v>
      </c>
      <c r="AF618" t="str">
        <f>VLOOKUP(E:E,笔记匹配!A:N,6,FALSE)</f>
        <v>爱运动的姐妹！筋膜枪放松法get一下！</v>
      </c>
    </row>
    <row r="619" spans="1:32">
      <c r="A619" s="18" t="s">
        <v>97</v>
      </c>
      <c r="B619" s="18" t="s">
        <v>1184</v>
      </c>
      <c r="C619" s="19">
        <v>18646457</v>
      </c>
      <c r="D619" s="18" t="s">
        <v>209</v>
      </c>
      <c r="E619" s="18" t="s">
        <v>395</v>
      </c>
      <c r="F619" s="18" t="s">
        <v>1186</v>
      </c>
      <c r="G619" s="19">
        <v>3870563</v>
      </c>
      <c r="H619" s="18" t="s">
        <v>1186</v>
      </c>
      <c r="I619" s="19">
        <v>3255634</v>
      </c>
      <c r="J619" s="18" t="s">
        <v>1015</v>
      </c>
      <c r="K619" s="19">
        <v>750.9</v>
      </c>
      <c r="L619" s="19">
        <v>55084</v>
      </c>
      <c r="M619" s="19">
        <v>3661</v>
      </c>
      <c r="N619" s="20">
        <v>0.0665</v>
      </c>
      <c r="O619" s="19">
        <v>0.21</v>
      </c>
      <c r="P619" s="19">
        <v>13.63</v>
      </c>
      <c r="Q619" s="19">
        <v>93</v>
      </c>
      <c r="R619" s="19">
        <v>1</v>
      </c>
      <c r="S619" s="19">
        <v>68</v>
      </c>
      <c r="T619" s="19">
        <v>6</v>
      </c>
      <c r="U619" s="19">
        <v>6</v>
      </c>
      <c r="V619" s="19">
        <v>174</v>
      </c>
      <c r="W619" s="19">
        <v>4.32</v>
      </c>
      <c r="X619" s="19">
        <v>0</v>
      </c>
      <c r="Y619" s="20">
        <v>0</v>
      </c>
      <c r="Z619" s="19">
        <v>5</v>
      </c>
      <c r="AA619" s="19">
        <v>1</v>
      </c>
      <c r="AB619" t="str">
        <f>VLOOKUP(E:E,笔记匹配!A:N,3,FALSE)</f>
        <v>月亮起床了</v>
      </c>
      <c r="AC619" t="str">
        <f>VLOOKUP(E:E,笔记匹配!A:N,2,FALSE)</f>
        <v>筋膜枪</v>
      </c>
      <c r="AD619" t="str">
        <f>VLOOKUP(E:E,笔记匹配!A:N,4,FALSE)</f>
        <v>云麦筋膜枪pb2</v>
      </c>
      <c r="AE619" t="str">
        <f>VLOOKUP(E:E,笔记匹配!A:N,14,FALSE)</f>
        <v>云麦筋膜枪pb2</v>
      </c>
      <c r="AF619" t="str">
        <f>VLOOKUP(E:E,笔记匹配!A:N,6,FALSE)</f>
        <v>超强瘦🦵绝招，记得用筋膜枪放松</v>
      </c>
    </row>
    <row r="620" spans="1:32">
      <c r="A620" s="18" t="s">
        <v>97</v>
      </c>
      <c r="B620" s="18" t="s">
        <v>1187</v>
      </c>
      <c r="C620" s="19">
        <v>18907506</v>
      </c>
      <c r="D620" s="18" t="s">
        <v>209</v>
      </c>
      <c r="E620" s="18" t="s">
        <v>462</v>
      </c>
      <c r="F620" s="18" t="s">
        <v>1188</v>
      </c>
      <c r="G620" s="19">
        <v>3992888</v>
      </c>
      <c r="H620" s="18" t="s">
        <v>1188</v>
      </c>
      <c r="I620" s="19">
        <v>3377376</v>
      </c>
      <c r="J620" s="18" t="s">
        <v>1015</v>
      </c>
      <c r="K620" s="19">
        <v>516.58</v>
      </c>
      <c r="L620" s="19">
        <v>47578</v>
      </c>
      <c r="M620" s="19">
        <v>2891</v>
      </c>
      <c r="N620" s="20">
        <v>0.0608</v>
      </c>
      <c r="O620" s="19">
        <v>0.18</v>
      </c>
      <c r="P620" s="19">
        <v>10.86</v>
      </c>
      <c r="Q620" s="19">
        <v>48</v>
      </c>
      <c r="R620" s="19">
        <v>3</v>
      </c>
      <c r="S620" s="19">
        <v>12</v>
      </c>
      <c r="T620" s="19">
        <v>5</v>
      </c>
      <c r="U620" s="19">
        <v>7</v>
      </c>
      <c r="V620" s="19">
        <v>75</v>
      </c>
      <c r="W620" s="19">
        <v>6.89</v>
      </c>
      <c r="X620" s="19">
        <v>0</v>
      </c>
      <c r="Y620" s="20">
        <v>0</v>
      </c>
      <c r="Z620" s="19">
        <v>2</v>
      </c>
      <c r="AA620" s="19">
        <v>2</v>
      </c>
      <c r="AB620" t="str">
        <f>VLOOKUP(E:E,笔记匹配!A:N,3,FALSE)</f>
        <v>爱梨</v>
      </c>
      <c r="AC620" t="str">
        <f>VLOOKUP(E:E,笔记匹配!A:N,2,FALSE)</f>
        <v>筋膜枪</v>
      </c>
      <c r="AD620" t="str">
        <f>VLOOKUP(E:E,笔记匹配!A:N,4,FALSE)</f>
        <v>云麦筋膜枪PB2</v>
      </c>
      <c r="AE620" t="str">
        <f>VLOOKUP(E:E,笔记匹配!A:N,14,FALSE)</f>
        <v>云麦筋膜枪pb2</v>
      </c>
      <c r="AF620" t="str">
        <f>VLOOKUP(E:E,笔记匹配!A:N,6,FALSE)</f>
        <v>打完羽毛球后肌肉酸痛？筋膜枪按摩有效放松</v>
      </c>
    </row>
    <row r="621" spans="1:32">
      <c r="A621" s="18" t="s">
        <v>98</v>
      </c>
      <c r="B621" s="18" t="s">
        <v>1164</v>
      </c>
      <c r="C621" s="19">
        <v>18170615</v>
      </c>
      <c r="D621" s="18" t="s">
        <v>209</v>
      </c>
      <c r="E621" s="18" t="s">
        <v>205</v>
      </c>
      <c r="F621" s="18" t="s">
        <v>1165</v>
      </c>
      <c r="G621" s="19">
        <v>3639848</v>
      </c>
      <c r="H621" s="18" t="s">
        <v>1166</v>
      </c>
      <c r="I621" s="19">
        <v>3024741</v>
      </c>
      <c r="J621" s="18" t="s">
        <v>1015</v>
      </c>
      <c r="K621" s="19">
        <v>8.28</v>
      </c>
      <c r="L621" s="19">
        <v>681</v>
      </c>
      <c r="M621" s="19">
        <v>42</v>
      </c>
      <c r="N621" s="20">
        <v>0.0617</v>
      </c>
      <c r="O621" s="19">
        <v>0.2</v>
      </c>
      <c r="P621" s="19">
        <v>12.16</v>
      </c>
      <c r="Q621" s="19">
        <v>3</v>
      </c>
      <c r="R621" s="19">
        <v>0</v>
      </c>
      <c r="S621" s="19">
        <v>2</v>
      </c>
      <c r="T621" s="19">
        <v>2</v>
      </c>
      <c r="U621" s="19">
        <v>0</v>
      </c>
      <c r="V621" s="19">
        <v>7</v>
      </c>
      <c r="W621" s="19">
        <v>1.18</v>
      </c>
      <c r="X621" s="19">
        <v>0</v>
      </c>
      <c r="Y621" s="20">
        <v>0</v>
      </c>
      <c r="Z621" s="19">
        <v>0</v>
      </c>
      <c r="AA621" s="19">
        <v>0</v>
      </c>
      <c r="AB621" t="str">
        <f>VLOOKUP(E:E,笔记匹配!A:N,3,FALSE)</f>
        <v>马可乐cora</v>
      </c>
      <c r="AC621" t="str">
        <f>VLOOKUP(E:E,笔记匹配!A:N,2,FALSE)</f>
        <v>筋膜枪</v>
      </c>
      <c r="AD621" t="str">
        <f>VLOOKUP(E:E,笔记匹配!A:N,4,FALSE)</f>
        <v>云麦筋膜枪PB2</v>
      </c>
      <c r="AE621" t="str">
        <f>VLOOKUP(E:E,笔记匹配!A:N,14,FALSE)</f>
        <v>云麦筋膜枪pb2</v>
      </c>
      <c r="AF621" t="str">
        <f>VLOOKUP(E:E,笔记匹配!A:N,6,FALSE)</f>
        <v>跳操的姐妹听我的用筋膜枪放松下肢真的有用</v>
      </c>
    </row>
    <row r="622" spans="1:32">
      <c r="A622" s="18" t="s">
        <v>98</v>
      </c>
      <c r="B622" s="18" t="s">
        <v>1167</v>
      </c>
      <c r="C622" s="19">
        <v>18224197</v>
      </c>
      <c r="D622" s="18" t="s">
        <v>209</v>
      </c>
      <c r="E622" s="18" t="s">
        <v>300</v>
      </c>
      <c r="F622" s="18" t="s">
        <v>1168</v>
      </c>
      <c r="G622" s="19">
        <v>3665138</v>
      </c>
      <c r="H622" s="18" t="s">
        <v>1168</v>
      </c>
      <c r="I622" s="19">
        <v>3050231</v>
      </c>
      <c r="J622" s="18" t="s">
        <v>1015</v>
      </c>
      <c r="K622" s="19">
        <v>0</v>
      </c>
      <c r="L622" s="19">
        <v>0</v>
      </c>
      <c r="M622" s="19">
        <v>0</v>
      </c>
      <c r="N622" s="20">
        <v>0</v>
      </c>
      <c r="O622" s="19">
        <v>0</v>
      </c>
      <c r="P622" s="19">
        <v>0</v>
      </c>
      <c r="Q622" s="19">
        <v>0</v>
      </c>
      <c r="R622" s="19">
        <v>0</v>
      </c>
      <c r="S622" s="19">
        <v>0</v>
      </c>
      <c r="T622" s="19">
        <v>0</v>
      </c>
      <c r="U622" s="19">
        <v>0</v>
      </c>
      <c r="V622" s="19">
        <v>0</v>
      </c>
      <c r="W622" s="19">
        <v>0</v>
      </c>
      <c r="X622" s="19">
        <v>0</v>
      </c>
      <c r="Y622" s="20">
        <v>0</v>
      </c>
      <c r="Z622" s="19">
        <v>0</v>
      </c>
      <c r="AA622" s="19">
        <v>0</v>
      </c>
      <c r="AB622" t="str">
        <f>VLOOKUP(E:E,笔记匹配!A:N,3,FALSE)</f>
        <v>朱俊畅</v>
      </c>
      <c r="AC622" t="str">
        <f>VLOOKUP(E:E,笔记匹配!A:N,2,FALSE)</f>
        <v>筋膜枪</v>
      </c>
      <c r="AD622" t="str">
        <f>VLOOKUP(E:E,笔记匹配!A:N,4,FALSE)</f>
        <v>云麦筋膜枪PB2</v>
      </c>
      <c r="AE622" t="str">
        <f>VLOOKUP(E:E,笔记匹配!A:N,14,FALSE)</f>
        <v>云麦筋膜枪pb2</v>
      </c>
      <c r="AF622" t="str">
        <f>VLOOKUP(E:E,笔记匹配!A:N,6,FALSE)</f>
        <v>打球完容易肌肉酸痛，筋膜枪放松更有效！</v>
      </c>
    </row>
    <row r="623" spans="1:32">
      <c r="A623" s="18" t="s">
        <v>98</v>
      </c>
      <c r="B623" s="18" t="s">
        <v>1174</v>
      </c>
      <c r="C623" s="19">
        <v>18455742</v>
      </c>
      <c r="D623" s="18" t="s">
        <v>209</v>
      </c>
      <c r="E623" s="18" t="s">
        <v>488</v>
      </c>
      <c r="F623" s="18" t="s">
        <v>1175</v>
      </c>
      <c r="G623" s="19">
        <v>3775804</v>
      </c>
      <c r="H623" s="18" t="s">
        <v>1175</v>
      </c>
      <c r="I623" s="19">
        <v>3160901</v>
      </c>
      <c r="J623" s="18" t="s">
        <v>1015</v>
      </c>
      <c r="K623" s="19">
        <v>0</v>
      </c>
      <c r="L623" s="19">
        <v>0</v>
      </c>
      <c r="M623" s="19">
        <v>0</v>
      </c>
      <c r="N623" s="20">
        <v>0</v>
      </c>
      <c r="O623" s="19">
        <v>0</v>
      </c>
      <c r="P623" s="19">
        <v>0</v>
      </c>
      <c r="Q623" s="19">
        <v>0</v>
      </c>
      <c r="R623" s="19">
        <v>0</v>
      </c>
      <c r="S623" s="19">
        <v>0</v>
      </c>
      <c r="T623" s="19">
        <v>0</v>
      </c>
      <c r="U623" s="19">
        <v>0</v>
      </c>
      <c r="V623" s="19">
        <v>0</v>
      </c>
      <c r="W623" s="19">
        <v>0</v>
      </c>
      <c r="X623" s="19">
        <v>0</v>
      </c>
      <c r="Y623" s="20">
        <v>0</v>
      </c>
      <c r="Z623" s="19">
        <v>0</v>
      </c>
      <c r="AA623" s="19">
        <v>0</v>
      </c>
      <c r="AB623" t="str">
        <f>VLOOKUP(E:E,笔记匹配!A:N,3,FALSE)</f>
        <v>板野友美iii</v>
      </c>
      <c r="AC623" t="str">
        <f>VLOOKUP(E:E,笔记匹配!A:N,2,FALSE)</f>
        <v>筋膜枪</v>
      </c>
      <c r="AD623" t="str">
        <f>VLOOKUP(E:E,笔记匹配!A:N,4,FALSE)</f>
        <v>云麦筋膜枪PB2</v>
      </c>
      <c r="AE623" t="str">
        <f>VLOOKUP(E:E,笔记匹配!A:N,14,FALSE)</f>
        <v>云麦筋膜枪pb2</v>
      </c>
      <c r="AF623" t="str">
        <f>VLOOKUP(E:E,笔记匹配!A:N,6,FALSE)</f>
        <v>这小东西真的可以拯救肩颈酸痛！后悔用晚了！</v>
      </c>
    </row>
    <row r="624" spans="1:32">
      <c r="A624" s="18" t="s">
        <v>98</v>
      </c>
      <c r="B624" s="18" t="s">
        <v>1181</v>
      </c>
      <c r="C624" s="19">
        <v>18606896</v>
      </c>
      <c r="D624" s="18" t="s">
        <v>209</v>
      </c>
      <c r="E624" s="18" t="s">
        <v>545</v>
      </c>
      <c r="F624" s="18" t="s">
        <v>1182</v>
      </c>
      <c r="G624" s="19">
        <v>3851140</v>
      </c>
      <c r="H624" s="18" t="s">
        <v>1182</v>
      </c>
      <c r="I624" s="19">
        <v>3236249</v>
      </c>
      <c r="J624" s="18" t="s">
        <v>1015</v>
      </c>
      <c r="K624" s="19">
        <v>0</v>
      </c>
      <c r="L624" s="19">
        <v>0</v>
      </c>
      <c r="M624" s="19">
        <v>0</v>
      </c>
      <c r="N624" s="20">
        <v>0</v>
      </c>
      <c r="O624" s="19">
        <v>0</v>
      </c>
      <c r="P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0</v>
      </c>
      <c r="W624" s="19">
        <v>0</v>
      </c>
      <c r="X624" s="19">
        <v>0</v>
      </c>
      <c r="Y624" s="20">
        <v>0</v>
      </c>
      <c r="Z624" s="19">
        <v>0</v>
      </c>
      <c r="AA624" s="19">
        <v>0</v>
      </c>
      <c r="AB624" t="str">
        <f>VLOOKUP(E:E,笔记匹配!A:N,3,FALSE)</f>
        <v>雾霾少女i</v>
      </c>
      <c r="AC624" t="str">
        <f>VLOOKUP(E:E,笔记匹配!A:N,2,FALSE)</f>
        <v>筋膜枪</v>
      </c>
      <c r="AD624" t="str">
        <f>VLOOKUP(E:E,笔记匹配!A:N,4,FALSE)</f>
        <v>云麦筋膜枪pb2</v>
      </c>
      <c r="AE624" t="str">
        <f>VLOOKUP(E:E,笔记匹配!A:N,14,FALSE)</f>
        <v>云麦筋膜枪pb2</v>
      </c>
      <c r="AF624" t="str">
        <f>VLOOKUP(E:E,笔记匹配!A:N,6,FALSE)</f>
        <v>千万不要乱用！初学者必看筋膜枪正确用法</v>
      </c>
    </row>
    <row r="625" spans="1:32">
      <c r="A625" s="18" t="s">
        <v>98</v>
      </c>
      <c r="B625" s="18" t="s">
        <v>1181</v>
      </c>
      <c r="C625" s="19">
        <v>18606961</v>
      </c>
      <c r="D625" s="18" t="s">
        <v>209</v>
      </c>
      <c r="E625" s="18" t="s">
        <v>289</v>
      </c>
      <c r="F625" s="18" t="s">
        <v>1183</v>
      </c>
      <c r="G625" s="19">
        <v>3851160</v>
      </c>
      <c r="H625" s="18" t="s">
        <v>1183</v>
      </c>
      <c r="I625" s="19">
        <v>3236289</v>
      </c>
      <c r="J625" s="18" t="s">
        <v>1015</v>
      </c>
      <c r="K625" s="19">
        <v>2017.98</v>
      </c>
      <c r="L625" s="19">
        <v>273125</v>
      </c>
      <c r="M625" s="19">
        <v>10080</v>
      </c>
      <c r="N625" s="20">
        <v>0.0369</v>
      </c>
      <c r="O625" s="19">
        <v>0.2</v>
      </c>
      <c r="P625" s="19">
        <v>7.39</v>
      </c>
      <c r="Q625" s="19">
        <v>338</v>
      </c>
      <c r="R625" s="19">
        <v>7</v>
      </c>
      <c r="S625" s="19">
        <v>221</v>
      </c>
      <c r="T625" s="19">
        <v>2</v>
      </c>
      <c r="U625" s="19">
        <v>90</v>
      </c>
      <c r="V625" s="19">
        <v>658</v>
      </c>
      <c r="W625" s="19">
        <v>3.07</v>
      </c>
      <c r="X625" s="19">
        <v>31</v>
      </c>
      <c r="Y625" s="20">
        <v>0.0031</v>
      </c>
      <c r="Z625" s="19">
        <v>22</v>
      </c>
      <c r="AA625" s="19">
        <v>55</v>
      </c>
      <c r="AB625" t="str">
        <f>VLOOKUP(E:E,笔记匹配!A:N,3,FALSE)</f>
        <v>小蓝今天吃了没</v>
      </c>
      <c r="AC625" t="str">
        <f>VLOOKUP(E:E,笔记匹配!A:N,2,FALSE)</f>
        <v>筋膜枪</v>
      </c>
      <c r="AD625" t="str">
        <f>VLOOKUP(E:E,笔记匹配!A:N,4,FALSE)</f>
        <v>云麦 筋膜枪PB2</v>
      </c>
      <c r="AE625" t="str">
        <f>VLOOKUP(E:E,笔记匹配!A:N,14,FALSE)</f>
        <v>云麦筋膜枪pb2</v>
      </c>
      <c r="AF625" t="str">
        <f>VLOOKUP(E:E,笔记匹配!A:N,6,FALSE)</f>
        <v>筋膜枪正确用法！刘耕宏女孩永不认输</v>
      </c>
    </row>
    <row r="626" spans="1:32">
      <c r="A626" s="18" t="s">
        <v>98</v>
      </c>
      <c r="B626" s="18" t="s">
        <v>1184</v>
      </c>
      <c r="C626" s="19">
        <v>18646457</v>
      </c>
      <c r="D626" s="18" t="s">
        <v>209</v>
      </c>
      <c r="E626" s="18" t="s">
        <v>395</v>
      </c>
      <c r="F626" s="18" t="s">
        <v>1186</v>
      </c>
      <c r="G626" s="19">
        <v>3870563</v>
      </c>
      <c r="H626" s="18" t="s">
        <v>1186</v>
      </c>
      <c r="I626" s="19">
        <v>3255634</v>
      </c>
      <c r="J626" s="18" t="s">
        <v>1015</v>
      </c>
      <c r="K626" s="19">
        <v>21.34</v>
      </c>
      <c r="L626" s="19">
        <v>1568</v>
      </c>
      <c r="M626" s="19">
        <v>130</v>
      </c>
      <c r="N626" s="20">
        <v>0.0829</v>
      </c>
      <c r="O626" s="19">
        <v>0.16</v>
      </c>
      <c r="P626" s="19">
        <v>13.61</v>
      </c>
      <c r="Q626" s="19">
        <v>5</v>
      </c>
      <c r="R626" s="19">
        <v>0</v>
      </c>
      <c r="S626" s="19">
        <v>3</v>
      </c>
      <c r="T626" s="19">
        <v>0</v>
      </c>
      <c r="U626" s="19">
        <v>0</v>
      </c>
      <c r="V626" s="19">
        <v>8</v>
      </c>
      <c r="W626" s="19">
        <v>2.67</v>
      </c>
      <c r="X626" s="19">
        <v>0</v>
      </c>
      <c r="Y626" s="20">
        <v>0</v>
      </c>
      <c r="Z626" s="19">
        <v>0</v>
      </c>
      <c r="AA626" s="19">
        <v>0</v>
      </c>
      <c r="AB626" t="str">
        <f>VLOOKUP(E:E,笔记匹配!A:N,3,FALSE)</f>
        <v>月亮起床了</v>
      </c>
      <c r="AC626" t="str">
        <f>VLOOKUP(E:E,笔记匹配!A:N,2,FALSE)</f>
        <v>筋膜枪</v>
      </c>
      <c r="AD626" t="str">
        <f>VLOOKUP(E:E,笔记匹配!A:N,4,FALSE)</f>
        <v>云麦筋膜枪pb2</v>
      </c>
      <c r="AE626" t="str">
        <f>VLOOKUP(E:E,笔记匹配!A:N,14,FALSE)</f>
        <v>云麦筋膜枪pb2</v>
      </c>
      <c r="AF626" t="str">
        <f>VLOOKUP(E:E,笔记匹配!A:N,6,FALSE)</f>
        <v>超强瘦🦵绝招，记得用筋膜枪放松</v>
      </c>
    </row>
    <row r="627" spans="1:32">
      <c r="A627" s="18" t="s">
        <v>98</v>
      </c>
      <c r="B627" s="18" t="s">
        <v>1187</v>
      </c>
      <c r="C627" s="19">
        <v>18907506</v>
      </c>
      <c r="D627" s="18" t="s">
        <v>209</v>
      </c>
      <c r="E627" s="18" t="s">
        <v>462</v>
      </c>
      <c r="F627" s="18" t="s">
        <v>1188</v>
      </c>
      <c r="G627" s="19">
        <v>3992888</v>
      </c>
      <c r="H627" s="18" t="s">
        <v>1188</v>
      </c>
      <c r="I627" s="19">
        <v>3377376</v>
      </c>
      <c r="J627" s="18" t="s">
        <v>1015</v>
      </c>
      <c r="K627" s="19">
        <v>1.18</v>
      </c>
      <c r="L627" s="19">
        <v>158</v>
      </c>
      <c r="M627" s="19">
        <v>5</v>
      </c>
      <c r="N627" s="20">
        <v>0.0316</v>
      </c>
      <c r="O627" s="19">
        <v>0.24</v>
      </c>
      <c r="P627" s="19">
        <v>7.47</v>
      </c>
      <c r="Q627" s="19">
        <v>1</v>
      </c>
      <c r="R627" s="19">
        <v>0</v>
      </c>
      <c r="S627" s="19">
        <v>0</v>
      </c>
      <c r="T627" s="19">
        <v>0</v>
      </c>
      <c r="U627" s="19">
        <v>0</v>
      </c>
      <c r="V627" s="19">
        <v>1</v>
      </c>
      <c r="W627" s="19">
        <v>1.18</v>
      </c>
      <c r="X627" s="19">
        <v>0</v>
      </c>
      <c r="Y627" s="20">
        <v>0</v>
      </c>
      <c r="Z627" s="19">
        <v>0</v>
      </c>
      <c r="AA627" s="19">
        <v>0</v>
      </c>
      <c r="AB627" t="str">
        <f>VLOOKUP(E:E,笔记匹配!A:N,3,FALSE)</f>
        <v>爱梨</v>
      </c>
      <c r="AC627" t="str">
        <f>VLOOKUP(E:E,笔记匹配!A:N,2,FALSE)</f>
        <v>筋膜枪</v>
      </c>
      <c r="AD627" t="str">
        <f>VLOOKUP(E:E,笔记匹配!A:N,4,FALSE)</f>
        <v>云麦筋膜枪PB2</v>
      </c>
      <c r="AE627" t="str">
        <f>VLOOKUP(E:E,笔记匹配!A:N,14,FALSE)</f>
        <v>云麦筋膜枪pb2</v>
      </c>
      <c r="AF627" t="str">
        <f>VLOOKUP(E:E,笔记匹配!A:N,6,FALSE)</f>
        <v>打完羽毛球后肌肉酸痛？筋膜枪按摩有效放松</v>
      </c>
    </row>
    <row r="628" spans="1:32">
      <c r="A628" s="18" t="s">
        <v>99</v>
      </c>
      <c r="B628" s="18" t="s">
        <v>1099</v>
      </c>
      <c r="C628" s="19">
        <v>15678883</v>
      </c>
      <c r="D628" s="18" t="s">
        <v>209</v>
      </c>
      <c r="E628" s="18" t="s">
        <v>549</v>
      </c>
      <c r="F628" s="18" t="s">
        <v>1100</v>
      </c>
      <c r="G628" s="19">
        <v>3067721</v>
      </c>
      <c r="H628" s="18" t="s">
        <v>1100</v>
      </c>
      <c r="I628" s="19">
        <v>2464984</v>
      </c>
      <c r="J628" s="18" t="s">
        <v>1015</v>
      </c>
      <c r="K628" s="19">
        <v>0</v>
      </c>
      <c r="L628" s="19">
        <v>0</v>
      </c>
      <c r="M628" s="19">
        <v>0</v>
      </c>
      <c r="N628" s="20">
        <v>0</v>
      </c>
      <c r="O628" s="19">
        <v>0</v>
      </c>
      <c r="P628" s="19">
        <v>0</v>
      </c>
      <c r="Q628" s="19">
        <v>0</v>
      </c>
      <c r="R628" s="19">
        <v>0</v>
      </c>
      <c r="S628" s="19">
        <v>0</v>
      </c>
      <c r="T628" s="19">
        <v>0</v>
      </c>
      <c r="U628" s="19">
        <v>0</v>
      </c>
      <c r="V628" s="19">
        <v>0</v>
      </c>
      <c r="W628" s="19">
        <v>0</v>
      </c>
      <c r="X628" s="19">
        <v>0</v>
      </c>
      <c r="Y628" s="20">
        <v>0</v>
      </c>
      <c r="Z628" s="19">
        <v>0</v>
      </c>
      <c r="AA628" s="19">
        <v>0</v>
      </c>
      <c r="AB628" t="str">
        <f>VLOOKUP(E:E,笔记匹配!A:N,3,FALSE)</f>
        <v>爽姐腿特长</v>
      </c>
      <c r="AC628" t="str">
        <f>VLOOKUP(E:E,笔记匹配!A:N,2,FALSE)</f>
        <v>筋膜枪</v>
      </c>
      <c r="AD628" t="str">
        <f>VLOOKUP(E:E,笔记匹配!A:N,4,FALSE)</f>
        <v>云麦筋膜枪cc</v>
      </c>
      <c r="AE628" t="str">
        <f>VLOOKUP(E:E,笔记匹配!A:N,14,FALSE)</f>
        <v>云麦筋膜枪cc</v>
      </c>
      <c r="AF628" t="str">
        <f>VLOOKUP(E:E,笔记匹配!A:N,6,FALSE)</f>
        <v>筋膜枪有效放松|顽固肌肉腿有救了🦵</v>
      </c>
    </row>
    <row r="629" spans="1:32">
      <c r="A629" s="18" t="s">
        <v>99</v>
      </c>
      <c r="B629" s="18" t="s">
        <v>1164</v>
      </c>
      <c r="C629" s="19">
        <v>18170615</v>
      </c>
      <c r="D629" s="18" t="s">
        <v>209</v>
      </c>
      <c r="E629" s="18" t="s">
        <v>205</v>
      </c>
      <c r="F629" s="18" t="s">
        <v>1165</v>
      </c>
      <c r="G629" s="19">
        <v>3639848</v>
      </c>
      <c r="H629" s="18" t="s">
        <v>1166</v>
      </c>
      <c r="I629" s="19">
        <v>3024741</v>
      </c>
      <c r="J629" s="18" t="s">
        <v>1015</v>
      </c>
      <c r="K629" s="19">
        <v>0</v>
      </c>
      <c r="L629" s="19">
        <v>0</v>
      </c>
      <c r="M629" s="19">
        <v>0</v>
      </c>
      <c r="N629" s="20">
        <v>0</v>
      </c>
      <c r="O629" s="19">
        <v>0</v>
      </c>
      <c r="P629" s="19">
        <v>0</v>
      </c>
      <c r="Q629" s="19">
        <v>0</v>
      </c>
      <c r="R629" s="19">
        <v>0</v>
      </c>
      <c r="S629" s="19">
        <v>0</v>
      </c>
      <c r="T629" s="19">
        <v>0</v>
      </c>
      <c r="U629" s="19">
        <v>0</v>
      </c>
      <c r="V629" s="19">
        <v>0</v>
      </c>
      <c r="W629" s="19">
        <v>0</v>
      </c>
      <c r="X629" s="19">
        <v>0</v>
      </c>
      <c r="Y629" s="20">
        <v>0</v>
      </c>
      <c r="Z629" s="19">
        <v>0</v>
      </c>
      <c r="AA629" s="19">
        <v>0</v>
      </c>
      <c r="AB629" t="str">
        <f>VLOOKUP(E:E,笔记匹配!A:N,3,FALSE)</f>
        <v>马可乐cora</v>
      </c>
      <c r="AC629" t="str">
        <f>VLOOKUP(E:E,笔记匹配!A:N,2,FALSE)</f>
        <v>筋膜枪</v>
      </c>
      <c r="AD629" t="str">
        <f>VLOOKUP(E:E,笔记匹配!A:N,4,FALSE)</f>
        <v>云麦筋膜枪PB2</v>
      </c>
      <c r="AE629" t="str">
        <f>VLOOKUP(E:E,笔记匹配!A:N,14,FALSE)</f>
        <v>云麦筋膜枪pb2</v>
      </c>
      <c r="AF629" t="str">
        <f>VLOOKUP(E:E,笔记匹配!A:N,6,FALSE)</f>
        <v>跳操的姐妹听我的用筋膜枪放松下肢真的有用</v>
      </c>
    </row>
    <row r="630" spans="1:32">
      <c r="A630" s="18" t="s">
        <v>99</v>
      </c>
      <c r="B630" s="18" t="s">
        <v>1181</v>
      </c>
      <c r="C630" s="19">
        <v>18606961</v>
      </c>
      <c r="D630" s="18" t="s">
        <v>209</v>
      </c>
      <c r="E630" s="18" t="s">
        <v>289</v>
      </c>
      <c r="F630" s="18" t="s">
        <v>1183</v>
      </c>
      <c r="G630" s="19">
        <v>3851160</v>
      </c>
      <c r="H630" s="18" t="s">
        <v>1183</v>
      </c>
      <c r="I630" s="19">
        <v>3236289</v>
      </c>
      <c r="J630" s="18" t="s">
        <v>1015</v>
      </c>
      <c r="K630" s="19">
        <v>16.91</v>
      </c>
      <c r="L630" s="19">
        <v>1773</v>
      </c>
      <c r="M630" s="19">
        <v>80</v>
      </c>
      <c r="N630" s="20">
        <v>0.0451</v>
      </c>
      <c r="O630" s="19">
        <v>0.21</v>
      </c>
      <c r="P630" s="19">
        <v>9.54</v>
      </c>
      <c r="Q630" s="19">
        <v>1</v>
      </c>
      <c r="R630" s="19">
        <v>0</v>
      </c>
      <c r="S630" s="19">
        <v>3</v>
      </c>
      <c r="T630" s="19">
        <v>0</v>
      </c>
      <c r="U630" s="19">
        <v>0</v>
      </c>
      <c r="V630" s="19">
        <v>4</v>
      </c>
      <c r="W630" s="19">
        <v>4.23</v>
      </c>
      <c r="X630" s="19">
        <v>0</v>
      </c>
      <c r="Y630" s="20">
        <v>0</v>
      </c>
      <c r="Z630" s="19">
        <v>0</v>
      </c>
      <c r="AA630" s="19">
        <v>1</v>
      </c>
      <c r="AB630" t="str">
        <f>VLOOKUP(E:E,笔记匹配!A:N,3,FALSE)</f>
        <v>小蓝今天吃了没</v>
      </c>
      <c r="AC630" t="str">
        <f>VLOOKUP(E:E,笔记匹配!A:N,2,FALSE)</f>
        <v>筋膜枪</v>
      </c>
      <c r="AD630" t="str">
        <f>VLOOKUP(E:E,笔记匹配!A:N,4,FALSE)</f>
        <v>云麦 筋膜枪PB2</v>
      </c>
      <c r="AE630" t="str">
        <f>VLOOKUP(E:E,笔记匹配!A:N,14,FALSE)</f>
        <v>云麦筋膜枪pb2</v>
      </c>
      <c r="AF630" t="str">
        <f>VLOOKUP(E:E,笔记匹配!A:N,6,FALSE)</f>
        <v>筋膜枪正确用法！刘耕宏女孩永不认输</v>
      </c>
    </row>
    <row r="631" spans="1:32">
      <c r="A631" s="18" t="s">
        <v>99</v>
      </c>
      <c r="B631" s="18" t="s">
        <v>1184</v>
      </c>
      <c r="C631" s="19">
        <v>18646457</v>
      </c>
      <c r="D631" s="18" t="s">
        <v>209</v>
      </c>
      <c r="E631" s="18" t="s">
        <v>395</v>
      </c>
      <c r="F631" s="18" t="s">
        <v>1186</v>
      </c>
      <c r="G631" s="19">
        <v>3870563</v>
      </c>
      <c r="H631" s="18" t="s">
        <v>1186</v>
      </c>
      <c r="I631" s="19">
        <v>3255634</v>
      </c>
      <c r="J631" s="18" t="s">
        <v>1015</v>
      </c>
      <c r="K631" s="19">
        <v>0</v>
      </c>
      <c r="L631" s="19">
        <v>0</v>
      </c>
      <c r="M631" s="19">
        <v>0</v>
      </c>
      <c r="N631" s="20">
        <v>0</v>
      </c>
      <c r="O631" s="19">
        <v>0</v>
      </c>
      <c r="P631" s="19">
        <v>0</v>
      </c>
      <c r="Q631" s="19">
        <v>0</v>
      </c>
      <c r="R631" s="19">
        <v>0</v>
      </c>
      <c r="S631" s="19">
        <v>0</v>
      </c>
      <c r="T631" s="19">
        <v>0</v>
      </c>
      <c r="U631" s="19">
        <v>0</v>
      </c>
      <c r="V631" s="19">
        <v>0</v>
      </c>
      <c r="W631" s="19">
        <v>0</v>
      </c>
      <c r="X631" s="19">
        <v>0</v>
      </c>
      <c r="Y631" s="20">
        <v>0</v>
      </c>
      <c r="Z631" s="19">
        <v>0</v>
      </c>
      <c r="AA631" s="19">
        <v>0</v>
      </c>
      <c r="AB631" t="str">
        <f>VLOOKUP(E:E,笔记匹配!A:N,3,FALSE)</f>
        <v>月亮起床了</v>
      </c>
      <c r="AC631" t="str">
        <f>VLOOKUP(E:E,笔记匹配!A:N,2,FALSE)</f>
        <v>筋膜枪</v>
      </c>
      <c r="AD631" t="str">
        <f>VLOOKUP(E:E,笔记匹配!A:N,4,FALSE)</f>
        <v>云麦筋膜枪pb2</v>
      </c>
      <c r="AE631" t="str">
        <f>VLOOKUP(E:E,笔记匹配!A:N,14,FALSE)</f>
        <v>云麦筋膜枪pb2</v>
      </c>
      <c r="AF631" t="str">
        <f>VLOOKUP(E:E,笔记匹配!A:N,6,FALSE)</f>
        <v>超强瘦🦵绝招，记得用筋膜枪放松</v>
      </c>
    </row>
    <row r="632" spans="1:32">
      <c r="A632" s="18" t="s">
        <v>99</v>
      </c>
      <c r="B632" s="18" t="s">
        <v>1187</v>
      </c>
      <c r="C632" s="19">
        <v>18907506</v>
      </c>
      <c r="D632" s="18" t="s">
        <v>209</v>
      </c>
      <c r="E632" s="18" t="s">
        <v>462</v>
      </c>
      <c r="F632" s="18" t="s">
        <v>1188</v>
      </c>
      <c r="G632" s="19">
        <v>3992888</v>
      </c>
      <c r="H632" s="18" t="s">
        <v>1188</v>
      </c>
      <c r="I632" s="19">
        <v>3377376</v>
      </c>
      <c r="J632" s="18" t="s">
        <v>1015</v>
      </c>
      <c r="K632" s="19">
        <v>505.71</v>
      </c>
      <c r="L632" s="19">
        <v>35962</v>
      </c>
      <c r="M632" s="19">
        <v>2972</v>
      </c>
      <c r="N632" s="20">
        <v>0.0826</v>
      </c>
      <c r="O632" s="19">
        <v>0.17</v>
      </c>
      <c r="P632" s="19">
        <v>14.06</v>
      </c>
      <c r="Q632" s="19">
        <v>65</v>
      </c>
      <c r="R632" s="19">
        <v>2</v>
      </c>
      <c r="S632" s="19">
        <v>13</v>
      </c>
      <c r="T632" s="19">
        <v>15</v>
      </c>
      <c r="U632" s="19">
        <v>3</v>
      </c>
      <c r="V632" s="19">
        <v>98</v>
      </c>
      <c r="W632" s="19">
        <v>5.16</v>
      </c>
      <c r="X632" s="19">
        <v>0</v>
      </c>
      <c r="Y632" s="20">
        <v>0</v>
      </c>
      <c r="Z632" s="19">
        <v>0</v>
      </c>
      <c r="AA632" s="19">
        <v>1</v>
      </c>
      <c r="AB632" t="str">
        <f>VLOOKUP(E:E,笔记匹配!A:N,3,FALSE)</f>
        <v>爱梨</v>
      </c>
      <c r="AC632" t="str">
        <f>VLOOKUP(E:E,笔记匹配!A:N,2,FALSE)</f>
        <v>筋膜枪</v>
      </c>
      <c r="AD632" t="str">
        <f>VLOOKUP(E:E,笔记匹配!A:N,4,FALSE)</f>
        <v>云麦筋膜枪PB2</v>
      </c>
      <c r="AE632" t="str">
        <f>VLOOKUP(E:E,笔记匹配!A:N,14,FALSE)</f>
        <v>云麦筋膜枪pb2</v>
      </c>
      <c r="AF632" t="str">
        <f>VLOOKUP(E:E,笔记匹配!A:N,6,FALSE)</f>
        <v>打完羽毛球后肌肉酸痛？筋膜枪按摩有效放松</v>
      </c>
    </row>
    <row r="633" spans="1:32">
      <c r="A633" s="18" t="s">
        <v>99</v>
      </c>
      <c r="B633" s="18" t="s">
        <v>1189</v>
      </c>
      <c r="C633" s="19">
        <v>19004470</v>
      </c>
      <c r="D633" s="18" t="s">
        <v>209</v>
      </c>
      <c r="E633" s="18" t="s">
        <v>476</v>
      </c>
      <c r="F633" s="18" t="s">
        <v>1190</v>
      </c>
      <c r="G633" s="19">
        <v>4036081</v>
      </c>
      <c r="H633" s="18" t="s">
        <v>1190</v>
      </c>
      <c r="I633" s="19">
        <v>3419519</v>
      </c>
      <c r="J633" s="18" t="s">
        <v>1015</v>
      </c>
      <c r="K633" s="19">
        <v>429.48</v>
      </c>
      <c r="L633" s="19">
        <v>67223</v>
      </c>
      <c r="M633" s="19">
        <v>1261</v>
      </c>
      <c r="N633" s="20">
        <v>0.0188</v>
      </c>
      <c r="O633" s="19">
        <v>0.34</v>
      </c>
      <c r="P633" s="19">
        <v>6.39</v>
      </c>
      <c r="Q633" s="19">
        <v>25</v>
      </c>
      <c r="R633" s="19">
        <v>2</v>
      </c>
      <c r="S633" s="19">
        <v>5</v>
      </c>
      <c r="T633" s="19">
        <v>0</v>
      </c>
      <c r="U633" s="19">
        <v>1</v>
      </c>
      <c r="V633" s="19">
        <v>33</v>
      </c>
      <c r="W633" s="19">
        <v>13.01</v>
      </c>
      <c r="X633" s="19">
        <v>11</v>
      </c>
      <c r="Y633" s="20">
        <v>0.0087</v>
      </c>
      <c r="Z633" s="19">
        <v>4</v>
      </c>
      <c r="AA633" s="19">
        <v>0</v>
      </c>
      <c r="AB633" t="str">
        <f>VLOOKUP(E:E,笔记匹配!A:N,3,FALSE)</f>
        <v>雪碧要加冰-</v>
      </c>
      <c r="AC633" t="str">
        <f>VLOOKUP(E:E,笔记匹配!A:N,2,FALSE)</f>
        <v>筋膜枪</v>
      </c>
      <c r="AD633" t="str">
        <f>VLOOKUP(E:E,笔记匹配!A:N,4,FALSE)</f>
        <v>云麦筋膜枪pb2</v>
      </c>
      <c r="AE633" t="str">
        <f>VLOOKUP(E:E,笔记匹配!A:N,14,FALSE)</f>
        <v>云麦筋膜枪pb2</v>
      </c>
      <c r="AF633" t="str">
        <f>VLOOKUP(E:E,笔记匹配!A:N,6,FALSE)</f>
        <v>提前给男友准备的生日🎁他开心的合不拢嘴</v>
      </c>
    </row>
    <row r="634" spans="1:32">
      <c r="A634" s="18" t="s">
        <v>99</v>
      </c>
      <c r="B634" s="18" t="s">
        <v>1189</v>
      </c>
      <c r="C634" s="19">
        <v>19010467</v>
      </c>
      <c r="D634" s="18" t="s">
        <v>209</v>
      </c>
      <c r="E634" s="18" t="s">
        <v>300</v>
      </c>
      <c r="F634" s="18" t="s">
        <v>1191</v>
      </c>
      <c r="G634" s="19">
        <v>4039162</v>
      </c>
      <c r="H634" s="18" t="s">
        <v>1191</v>
      </c>
      <c r="I634" s="19">
        <v>3422446</v>
      </c>
      <c r="J634" s="18" t="s">
        <v>1015</v>
      </c>
      <c r="K634" s="19">
        <v>929.84</v>
      </c>
      <c r="L634" s="19">
        <v>50846</v>
      </c>
      <c r="M634" s="19">
        <v>2736</v>
      </c>
      <c r="N634" s="20">
        <v>0.0538</v>
      </c>
      <c r="O634" s="19">
        <v>0.34</v>
      </c>
      <c r="P634" s="19">
        <v>18.29</v>
      </c>
      <c r="Q634" s="19">
        <v>82</v>
      </c>
      <c r="R634" s="19">
        <v>1</v>
      </c>
      <c r="S634" s="19">
        <v>22</v>
      </c>
      <c r="T634" s="19">
        <v>10</v>
      </c>
      <c r="U634" s="19">
        <v>3</v>
      </c>
      <c r="V634" s="19">
        <v>118</v>
      </c>
      <c r="W634" s="19">
        <v>7.88</v>
      </c>
      <c r="X634" s="19">
        <v>0</v>
      </c>
      <c r="Y634" s="20">
        <v>0</v>
      </c>
      <c r="Z634" s="19">
        <v>3</v>
      </c>
      <c r="AA634" s="19">
        <v>4</v>
      </c>
      <c r="AB634" t="str">
        <f>VLOOKUP(E:E,笔记匹配!A:N,3,FALSE)</f>
        <v>朱俊畅</v>
      </c>
      <c r="AC634" t="str">
        <f>VLOOKUP(E:E,笔记匹配!A:N,2,FALSE)</f>
        <v>筋膜枪</v>
      </c>
      <c r="AD634" t="str">
        <f>VLOOKUP(E:E,笔记匹配!A:N,4,FALSE)</f>
        <v>云麦筋膜枪PB2</v>
      </c>
      <c r="AE634" t="str">
        <f>VLOOKUP(E:E,笔记匹配!A:N,14,FALSE)</f>
        <v>云麦筋膜枪pb2</v>
      </c>
      <c r="AF634" t="str">
        <f>VLOOKUP(E:E,笔记匹配!A:N,6,FALSE)</f>
        <v>打球完容易肌肉酸痛，筋膜枪放松更有效！</v>
      </c>
    </row>
    <row r="635" spans="1:32">
      <c r="A635" s="18" t="s">
        <v>99</v>
      </c>
      <c r="B635" s="18" t="s">
        <v>1189</v>
      </c>
      <c r="C635" s="19">
        <v>19010569</v>
      </c>
      <c r="D635" s="18" t="s">
        <v>209</v>
      </c>
      <c r="E635" s="18" t="s">
        <v>400</v>
      </c>
      <c r="F635" s="18" t="s">
        <v>1192</v>
      </c>
      <c r="G635" s="19">
        <v>4039210</v>
      </c>
      <c r="H635" s="18" t="s">
        <v>1192</v>
      </c>
      <c r="I635" s="19">
        <v>3422478</v>
      </c>
      <c r="J635" s="18" t="s">
        <v>1015</v>
      </c>
      <c r="K635" s="19">
        <v>1014.19</v>
      </c>
      <c r="L635" s="19">
        <v>130458</v>
      </c>
      <c r="M635" s="19">
        <v>7123</v>
      </c>
      <c r="N635" s="20">
        <v>0.0546</v>
      </c>
      <c r="O635" s="19">
        <v>0.14</v>
      </c>
      <c r="P635" s="19">
        <v>7.77</v>
      </c>
      <c r="Q635" s="19">
        <v>153</v>
      </c>
      <c r="R635" s="19">
        <v>3</v>
      </c>
      <c r="S635" s="19">
        <v>123</v>
      </c>
      <c r="T635" s="19">
        <v>16</v>
      </c>
      <c r="U635" s="19">
        <v>12</v>
      </c>
      <c r="V635" s="19">
        <v>307</v>
      </c>
      <c r="W635" s="19">
        <v>3.3</v>
      </c>
      <c r="X635" s="19">
        <v>0</v>
      </c>
      <c r="Y635" s="20">
        <v>0</v>
      </c>
      <c r="Z635" s="19">
        <v>9</v>
      </c>
      <c r="AA635" s="19">
        <v>10</v>
      </c>
      <c r="AB635" t="str">
        <f>VLOOKUP(E:E,笔记匹配!A:N,3,FALSE)</f>
        <v>小雪教瑜伽</v>
      </c>
      <c r="AC635" t="str">
        <f>VLOOKUP(E:E,笔记匹配!A:N,2,FALSE)</f>
        <v>筋膜枪</v>
      </c>
      <c r="AD635" t="str">
        <f>VLOOKUP(E:E,笔记匹配!A:N,4,FALSE)</f>
        <v>云麦筋膜枪cc</v>
      </c>
      <c r="AE635" t="str">
        <f>VLOOKUP(E:E,笔记匹配!A:N,14,FALSE)</f>
        <v>云麦筋膜枪cc</v>
      </c>
      <c r="AF635" t="str">
        <f>VLOOKUP(E:E,笔记匹配!A:N,6,FALSE)</f>
        <v>瘦肌肉腿必备&amp;筋膜枪按摩跟练教程</v>
      </c>
    </row>
    <row r="636" spans="1:32">
      <c r="A636" s="18" t="s">
        <v>99</v>
      </c>
      <c r="B636" s="18" t="s">
        <v>1189</v>
      </c>
      <c r="C636" s="19">
        <v>19010961</v>
      </c>
      <c r="D636" s="18" t="s">
        <v>196</v>
      </c>
      <c r="E636" s="18" t="s">
        <v>300</v>
      </c>
      <c r="F636" s="18" t="s">
        <v>1193</v>
      </c>
      <c r="G636" s="19">
        <v>4039364</v>
      </c>
      <c r="H636" s="18" t="s">
        <v>1193</v>
      </c>
      <c r="I636" s="19">
        <v>3422548</v>
      </c>
      <c r="J636" s="18" t="s">
        <v>1015</v>
      </c>
      <c r="K636" s="19">
        <v>797.9</v>
      </c>
      <c r="L636" s="19">
        <v>18363</v>
      </c>
      <c r="M636" s="19">
        <v>674</v>
      </c>
      <c r="N636" s="20">
        <v>0.0367</v>
      </c>
      <c r="O636" s="19">
        <v>1.18</v>
      </c>
      <c r="P636" s="19">
        <v>43.45</v>
      </c>
      <c r="Q636" s="19">
        <v>6</v>
      </c>
      <c r="R636" s="19">
        <v>0</v>
      </c>
      <c r="S636" s="19">
        <v>7</v>
      </c>
      <c r="T636" s="19">
        <v>4</v>
      </c>
      <c r="U636" s="19">
        <v>1</v>
      </c>
      <c r="V636" s="19">
        <v>18</v>
      </c>
      <c r="W636" s="19">
        <v>44.33</v>
      </c>
      <c r="X636" s="19">
        <v>0</v>
      </c>
      <c r="Y636" s="20">
        <v>0</v>
      </c>
      <c r="Z636" s="19">
        <v>0</v>
      </c>
      <c r="AA636" s="19">
        <v>0</v>
      </c>
      <c r="AB636" t="str">
        <f>VLOOKUP(E:E,笔记匹配!A:N,3,FALSE)</f>
        <v>朱俊畅</v>
      </c>
      <c r="AC636" t="str">
        <f>VLOOKUP(E:E,笔记匹配!A:N,2,FALSE)</f>
        <v>筋膜枪</v>
      </c>
      <c r="AD636" t="str">
        <f>VLOOKUP(E:E,笔记匹配!A:N,4,FALSE)</f>
        <v>云麦筋膜枪PB2</v>
      </c>
      <c r="AE636" t="str">
        <f>VLOOKUP(E:E,笔记匹配!A:N,14,FALSE)</f>
        <v>云麦筋膜枪pb2</v>
      </c>
      <c r="AF636" t="str">
        <f>VLOOKUP(E:E,笔记匹配!A:N,6,FALSE)</f>
        <v>打球完容易肌肉酸痛，筋膜枪放松更有效！</v>
      </c>
    </row>
    <row r="637" spans="1:32">
      <c r="A637" s="18" t="s">
        <v>99</v>
      </c>
      <c r="B637" s="18" t="s">
        <v>1194</v>
      </c>
      <c r="C637" s="19">
        <v>19010992</v>
      </c>
      <c r="D637" s="18" t="s">
        <v>196</v>
      </c>
      <c r="E637" s="18" t="s">
        <v>300</v>
      </c>
      <c r="F637" s="18" t="s">
        <v>1195</v>
      </c>
      <c r="G637" s="19">
        <v>4039390</v>
      </c>
      <c r="H637" s="18" t="s">
        <v>1195</v>
      </c>
      <c r="I637" s="19">
        <v>3422670</v>
      </c>
      <c r="J637" s="18" t="s">
        <v>1015</v>
      </c>
      <c r="K637" s="19">
        <v>2.18</v>
      </c>
      <c r="L637" s="19">
        <v>35</v>
      </c>
      <c r="M637" s="19">
        <v>2</v>
      </c>
      <c r="N637" s="20">
        <v>0.0571</v>
      </c>
      <c r="O637" s="19">
        <v>1.09</v>
      </c>
      <c r="P637" s="19">
        <v>62.29</v>
      </c>
      <c r="Q637" s="19">
        <v>0</v>
      </c>
      <c r="R637" s="19">
        <v>0</v>
      </c>
      <c r="S637" s="19">
        <v>0</v>
      </c>
      <c r="T637" s="19">
        <v>0</v>
      </c>
      <c r="U637" s="19">
        <v>0</v>
      </c>
      <c r="V637" s="19">
        <v>0</v>
      </c>
      <c r="W637" s="19">
        <v>0</v>
      </c>
      <c r="X637" s="19">
        <v>0</v>
      </c>
      <c r="Y637" s="20">
        <v>0</v>
      </c>
      <c r="Z637" s="19">
        <v>0</v>
      </c>
      <c r="AA637" s="19">
        <v>0</v>
      </c>
      <c r="AB637" t="str">
        <f>VLOOKUP(E:E,笔记匹配!A:N,3,FALSE)</f>
        <v>朱俊畅</v>
      </c>
      <c r="AC637" t="str">
        <f>VLOOKUP(E:E,笔记匹配!A:N,2,FALSE)</f>
        <v>筋膜枪</v>
      </c>
      <c r="AD637" t="str">
        <f>VLOOKUP(E:E,笔记匹配!A:N,4,FALSE)</f>
        <v>云麦筋膜枪PB2</v>
      </c>
      <c r="AE637" t="str">
        <f>VLOOKUP(E:E,笔记匹配!A:N,14,FALSE)</f>
        <v>云麦筋膜枪pb2</v>
      </c>
      <c r="AF637" t="str">
        <f>VLOOKUP(E:E,笔记匹配!A:N,6,FALSE)</f>
        <v>打球完容易肌肉酸痛，筋膜枪放松更有效！</v>
      </c>
    </row>
    <row r="638" spans="1:32">
      <c r="A638" s="18" t="s">
        <v>99</v>
      </c>
      <c r="B638" s="18" t="s">
        <v>1189</v>
      </c>
      <c r="C638" s="19">
        <v>19011007</v>
      </c>
      <c r="D638" s="18" t="s">
        <v>196</v>
      </c>
      <c r="E638" s="18" t="s">
        <v>400</v>
      </c>
      <c r="F638" s="18" t="s">
        <v>1195</v>
      </c>
      <c r="G638" s="19">
        <v>4039390</v>
      </c>
      <c r="H638" s="18" t="s">
        <v>1195</v>
      </c>
      <c r="I638" s="19">
        <v>3422670</v>
      </c>
      <c r="J638" s="18" t="s">
        <v>1015</v>
      </c>
      <c r="K638" s="19">
        <v>1016.99</v>
      </c>
      <c r="L638" s="19">
        <v>35718</v>
      </c>
      <c r="M638" s="19">
        <v>1169</v>
      </c>
      <c r="N638" s="20">
        <v>0.0327</v>
      </c>
      <c r="O638" s="19">
        <v>0.87</v>
      </c>
      <c r="P638" s="19">
        <v>28.47</v>
      </c>
      <c r="Q638" s="19">
        <v>23</v>
      </c>
      <c r="R638" s="19">
        <v>1</v>
      </c>
      <c r="S638" s="19">
        <v>30</v>
      </c>
      <c r="T638" s="19">
        <v>4</v>
      </c>
      <c r="U638" s="19">
        <v>2</v>
      </c>
      <c r="V638" s="19">
        <v>60</v>
      </c>
      <c r="W638" s="19">
        <v>16.95</v>
      </c>
      <c r="X638" s="19">
        <v>0</v>
      </c>
      <c r="Y638" s="20">
        <v>0</v>
      </c>
      <c r="Z638" s="19">
        <v>1</v>
      </c>
      <c r="AA638" s="19">
        <v>2</v>
      </c>
      <c r="AB638" t="str">
        <f>VLOOKUP(E:E,笔记匹配!A:N,3,FALSE)</f>
        <v>小雪教瑜伽</v>
      </c>
      <c r="AC638" t="str">
        <f>VLOOKUP(E:E,笔记匹配!A:N,2,FALSE)</f>
        <v>筋膜枪</v>
      </c>
      <c r="AD638" t="str">
        <f>VLOOKUP(E:E,笔记匹配!A:N,4,FALSE)</f>
        <v>云麦筋膜枪cc</v>
      </c>
      <c r="AE638" t="str">
        <f>VLOOKUP(E:E,笔记匹配!A:N,14,FALSE)</f>
        <v>云麦筋膜枪cc</v>
      </c>
      <c r="AF638" t="str">
        <f>VLOOKUP(E:E,笔记匹配!A:N,6,FALSE)</f>
        <v>瘦肌肉腿必备&amp;筋膜枪按摩跟练教程</v>
      </c>
    </row>
    <row r="639" spans="1:32">
      <c r="A639" s="18" t="s">
        <v>100</v>
      </c>
      <c r="B639" s="18" t="s">
        <v>1164</v>
      </c>
      <c r="C639" s="19">
        <v>18170615</v>
      </c>
      <c r="D639" s="18" t="s">
        <v>209</v>
      </c>
      <c r="E639" s="18" t="s">
        <v>205</v>
      </c>
      <c r="F639" s="18" t="s">
        <v>1165</v>
      </c>
      <c r="G639" s="19">
        <v>3639848</v>
      </c>
      <c r="H639" s="18" t="s">
        <v>1166</v>
      </c>
      <c r="I639" s="19">
        <v>3024741</v>
      </c>
      <c r="J639" s="18" t="s">
        <v>1015</v>
      </c>
      <c r="K639" s="19">
        <v>0</v>
      </c>
      <c r="L639" s="19">
        <v>0</v>
      </c>
      <c r="M639" s="19">
        <v>0</v>
      </c>
      <c r="N639" s="20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  <c r="T639" s="19">
        <v>0</v>
      </c>
      <c r="U639" s="19">
        <v>0</v>
      </c>
      <c r="V639" s="19">
        <v>0</v>
      </c>
      <c r="W639" s="19">
        <v>0</v>
      </c>
      <c r="X639" s="19">
        <v>0</v>
      </c>
      <c r="Y639" s="20">
        <v>0</v>
      </c>
      <c r="Z639" s="19">
        <v>0</v>
      </c>
      <c r="AA639" s="19">
        <v>0</v>
      </c>
      <c r="AB639" t="str">
        <f>VLOOKUP(E:E,笔记匹配!A:N,3,FALSE)</f>
        <v>马可乐cora</v>
      </c>
      <c r="AC639" t="str">
        <f>VLOOKUP(E:E,笔记匹配!A:N,2,FALSE)</f>
        <v>筋膜枪</v>
      </c>
      <c r="AD639" t="str">
        <f>VLOOKUP(E:E,笔记匹配!A:N,4,FALSE)</f>
        <v>云麦筋膜枪PB2</v>
      </c>
      <c r="AE639" t="str">
        <f>VLOOKUP(E:E,笔记匹配!A:N,14,FALSE)</f>
        <v>云麦筋膜枪pb2</v>
      </c>
      <c r="AF639" t="str">
        <f>VLOOKUP(E:E,笔记匹配!A:N,6,FALSE)</f>
        <v>跳操的姐妹听我的用筋膜枪放松下肢真的有用</v>
      </c>
    </row>
    <row r="640" spans="1:32">
      <c r="A640" s="18" t="s">
        <v>100</v>
      </c>
      <c r="B640" s="18" t="s">
        <v>1167</v>
      </c>
      <c r="C640" s="19">
        <v>18224197</v>
      </c>
      <c r="D640" s="18" t="s">
        <v>209</v>
      </c>
      <c r="E640" s="18" t="s">
        <v>300</v>
      </c>
      <c r="F640" s="18" t="s">
        <v>1168</v>
      </c>
      <c r="G640" s="19">
        <v>3665138</v>
      </c>
      <c r="H640" s="18" t="s">
        <v>1168</v>
      </c>
      <c r="I640" s="19">
        <v>3050231</v>
      </c>
      <c r="J640" s="18" t="s">
        <v>1015</v>
      </c>
      <c r="K640" s="19">
        <v>0</v>
      </c>
      <c r="L640" s="19">
        <v>0</v>
      </c>
      <c r="M640" s="19">
        <v>0</v>
      </c>
      <c r="N640" s="20">
        <v>0</v>
      </c>
      <c r="O640" s="19">
        <v>0</v>
      </c>
      <c r="P640" s="19">
        <v>0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9">
        <v>0</v>
      </c>
      <c r="Y640" s="20">
        <v>0</v>
      </c>
      <c r="Z640" s="19">
        <v>0</v>
      </c>
      <c r="AA640" s="19">
        <v>0</v>
      </c>
      <c r="AB640" t="str">
        <f>VLOOKUP(E:E,笔记匹配!A:N,3,FALSE)</f>
        <v>朱俊畅</v>
      </c>
      <c r="AC640" t="str">
        <f>VLOOKUP(E:E,笔记匹配!A:N,2,FALSE)</f>
        <v>筋膜枪</v>
      </c>
      <c r="AD640" t="str">
        <f>VLOOKUP(E:E,笔记匹配!A:N,4,FALSE)</f>
        <v>云麦筋膜枪PB2</v>
      </c>
      <c r="AE640" t="str">
        <f>VLOOKUP(E:E,笔记匹配!A:N,14,FALSE)</f>
        <v>云麦筋膜枪pb2</v>
      </c>
      <c r="AF640" t="str">
        <f>VLOOKUP(E:E,笔记匹配!A:N,6,FALSE)</f>
        <v>打球完容易肌肉酸痛，筋膜枪放松更有效！</v>
      </c>
    </row>
    <row r="641" spans="1:32">
      <c r="A641" s="18" t="s">
        <v>100</v>
      </c>
      <c r="B641" s="18" t="s">
        <v>1181</v>
      </c>
      <c r="C641" s="19">
        <v>18606961</v>
      </c>
      <c r="D641" s="18" t="s">
        <v>209</v>
      </c>
      <c r="E641" s="18" t="s">
        <v>289</v>
      </c>
      <c r="F641" s="18" t="s">
        <v>1183</v>
      </c>
      <c r="G641" s="19">
        <v>3851160</v>
      </c>
      <c r="H641" s="18" t="s">
        <v>1183</v>
      </c>
      <c r="I641" s="19">
        <v>3236289</v>
      </c>
      <c r="J641" s="18" t="s">
        <v>1015</v>
      </c>
      <c r="K641" s="19">
        <v>0</v>
      </c>
      <c r="L641" s="19">
        <v>0</v>
      </c>
      <c r="M641" s="19">
        <v>0</v>
      </c>
      <c r="N641" s="20">
        <v>0</v>
      </c>
      <c r="O641" s="19">
        <v>0</v>
      </c>
      <c r="P641" s="19">
        <v>0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0</v>
      </c>
      <c r="W641" s="19">
        <v>0</v>
      </c>
      <c r="X641" s="19">
        <v>0</v>
      </c>
      <c r="Y641" s="20">
        <v>0</v>
      </c>
      <c r="Z641" s="19">
        <v>0</v>
      </c>
      <c r="AA641" s="19">
        <v>0</v>
      </c>
      <c r="AB641" t="str">
        <f>VLOOKUP(E:E,笔记匹配!A:N,3,FALSE)</f>
        <v>小蓝今天吃了没</v>
      </c>
      <c r="AC641" t="str">
        <f>VLOOKUP(E:E,笔记匹配!A:N,2,FALSE)</f>
        <v>筋膜枪</v>
      </c>
      <c r="AD641" t="str">
        <f>VLOOKUP(E:E,笔记匹配!A:N,4,FALSE)</f>
        <v>云麦 筋膜枪PB2</v>
      </c>
      <c r="AE641" t="str">
        <f>VLOOKUP(E:E,笔记匹配!A:N,14,FALSE)</f>
        <v>云麦筋膜枪pb2</v>
      </c>
      <c r="AF641" t="str">
        <f>VLOOKUP(E:E,笔记匹配!A:N,6,FALSE)</f>
        <v>筋膜枪正确用法！刘耕宏女孩永不认输</v>
      </c>
    </row>
    <row r="642" spans="1:32">
      <c r="A642" s="18" t="s">
        <v>100</v>
      </c>
      <c r="B642" s="18" t="s">
        <v>1184</v>
      </c>
      <c r="C642" s="19">
        <v>18646457</v>
      </c>
      <c r="D642" s="18" t="s">
        <v>209</v>
      </c>
      <c r="E642" s="18" t="s">
        <v>395</v>
      </c>
      <c r="F642" s="18" t="s">
        <v>1186</v>
      </c>
      <c r="G642" s="19">
        <v>3870563</v>
      </c>
      <c r="H642" s="18" t="s">
        <v>1186</v>
      </c>
      <c r="I642" s="19">
        <v>3255634</v>
      </c>
      <c r="J642" s="18" t="s">
        <v>1015</v>
      </c>
      <c r="K642" s="19">
        <v>0</v>
      </c>
      <c r="L642" s="19">
        <v>0</v>
      </c>
      <c r="M642" s="19">
        <v>0</v>
      </c>
      <c r="N642" s="20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0</v>
      </c>
      <c r="X642" s="19">
        <v>0</v>
      </c>
      <c r="Y642" s="20">
        <v>0</v>
      </c>
      <c r="Z642" s="19">
        <v>0</v>
      </c>
      <c r="AA642" s="19">
        <v>0</v>
      </c>
      <c r="AB642" t="str">
        <f>VLOOKUP(E:E,笔记匹配!A:N,3,FALSE)</f>
        <v>月亮起床了</v>
      </c>
      <c r="AC642" t="str">
        <f>VLOOKUP(E:E,笔记匹配!A:N,2,FALSE)</f>
        <v>筋膜枪</v>
      </c>
      <c r="AD642" t="str">
        <f>VLOOKUP(E:E,笔记匹配!A:N,4,FALSE)</f>
        <v>云麦筋膜枪pb2</v>
      </c>
      <c r="AE642" t="str">
        <f>VLOOKUP(E:E,笔记匹配!A:N,14,FALSE)</f>
        <v>云麦筋膜枪pb2</v>
      </c>
      <c r="AF642" t="str">
        <f>VLOOKUP(E:E,笔记匹配!A:N,6,FALSE)</f>
        <v>超强瘦🦵绝招，记得用筋膜枪放松</v>
      </c>
    </row>
    <row r="643" spans="1:32">
      <c r="A643" s="18" t="s">
        <v>100</v>
      </c>
      <c r="B643" s="18" t="s">
        <v>1187</v>
      </c>
      <c r="C643" s="19">
        <v>18907506</v>
      </c>
      <c r="D643" s="18" t="s">
        <v>209</v>
      </c>
      <c r="E643" s="18" t="s">
        <v>462</v>
      </c>
      <c r="F643" s="18" t="s">
        <v>1188</v>
      </c>
      <c r="G643" s="19">
        <v>3992888</v>
      </c>
      <c r="H643" s="18" t="s">
        <v>1188</v>
      </c>
      <c r="I643" s="19">
        <v>3377376</v>
      </c>
      <c r="J643" s="18" t="s">
        <v>1015</v>
      </c>
      <c r="K643" s="19">
        <v>0.81</v>
      </c>
      <c r="L643" s="19">
        <v>110</v>
      </c>
      <c r="M643" s="19">
        <v>6</v>
      </c>
      <c r="N643" s="20">
        <v>0.0545</v>
      </c>
      <c r="O643" s="19">
        <v>0.14</v>
      </c>
      <c r="P643" s="19">
        <v>7.36</v>
      </c>
      <c r="Q643" s="19">
        <v>0</v>
      </c>
      <c r="R643" s="19">
        <v>0</v>
      </c>
      <c r="S643" s="19">
        <v>0</v>
      </c>
      <c r="T643" s="19">
        <v>0</v>
      </c>
      <c r="U643" s="19">
        <v>0</v>
      </c>
      <c r="V643" s="19">
        <v>0</v>
      </c>
      <c r="W643" s="19">
        <v>0</v>
      </c>
      <c r="X643" s="19">
        <v>0</v>
      </c>
      <c r="Y643" s="20">
        <v>0</v>
      </c>
      <c r="Z643" s="19">
        <v>0</v>
      </c>
      <c r="AA643" s="19">
        <v>0</v>
      </c>
      <c r="AB643" t="str">
        <f>VLOOKUP(E:E,笔记匹配!A:N,3,FALSE)</f>
        <v>爱梨</v>
      </c>
      <c r="AC643" t="str">
        <f>VLOOKUP(E:E,笔记匹配!A:N,2,FALSE)</f>
        <v>筋膜枪</v>
      </c>
      <c r="AD643" t="str">
        <f>VLOOKUP(E:E,笔记匹配!A:N,4,FALSE)</f>
        <v>云麦筋膜枪PB2</v>
      </c>
      <c r="AE643" t="str">
        <f>VLOOKUP(E:E,笔记匹配!A:N,14,FALSE)</f>
        <v>云麦筋膜枪pb2</v>
      </c>
      <c r="AF643" t="str">
        <f>VLOOKUP(E:E,笔记匹配!A:N,6,FALSE)</f>
        <v>打完羽毛球后肌肉酸痛？筋膜枪按摩有效放松</v>
      </c>
    </row>
    <row r="644" spans="1:32">
      <c r="A644" s="18" t="s">
        <v>100</v>
      </c>
      <c r="B644" s="18" t="s">
        <v>1189</v>
      </c>
      <c r="C644" s="19">
        <v>19004470</v>
      </c>
      <c r="D644" s="18" t="s">
        <v>209</v>
      </c>
      <c r="E644" s="18" t="s">
        <v>476</v>
      </c>
      <c r="F644" s="18" t="s">
        <v>1190</v>
      </c>
      <c r="G644" s="19">
        <v>4036081</v>
      </c>
      <c r="H644" s="18" t="s">
        <v>1190</v>
      </c>
      <c r="I644" s="19">
        <v>3419519</v>
      </c>
      <c r="J644" s="18" t="s">
        <v>1015</v>
      </c>
      <c r="K644" s="19">
        <v>24.78</v>
      </c>
      <c r="L644" s="19">
        <v>4881</v>
      </c>
      <c r="M644" s="19">
        <v>102</v>
      </c>
      <c r="N644" s="20">
        <v>0.0209</v>
      </c>
      <c r="O644" s="19">
        <v>0.24</v>
      </c>
      <c r="P644" s="19">
        <v>5.08</v>
      </c>
      <c r="Q644" s="19">
        <v>2</v>
      </c>
      <c r="R644" s="19">
        <v>0</v>
      </c>
      <c r="S644" s="19">
        <v>1</v>
      </c>
      <c r="T644" s="19">
        <v>0</v>
      </c>
      <c r="U644" s="19">
        <v>0</v>
      </c>
      <c r="V644" s="19">
        <v>3</v>
      </c>
      <c r="W644" s="19">
        <v>8.26</v>
      </c>
      <c r="X644" s="19">
        <v>1</v>
      </c>
      <c r="Y644" s="20">
        <v>0.0098</v>
      </c>
      <c r="Z644" s="19">
        <v>1</v>
      </c>
      <c r="AA644" s="19">
        <v>0</v>
      </c>
      <c r="AB644" t="str">
        <f>VLOOKUP(E:E,笔记匹配!A:N,3,FALSE)</f>
        <v>雪碧要加冰-</v>
      </c>
      <c r="AC644" t="str">
        <f>VLOOKUP(E:E,笔记匹配!A:N,2,FALSE)</f>
        <v>筋膜枪</v>
      </c>
      <c r="AD644" t="str">
        <f>VLOOKUP(E:E,笔记匹配!A:N,4,FALSE)</f>
        <v>云麦筋膜枪pb2</v>
      </c>
      <c r="AE644" t="str">
        <f>VLOOKUP(E:E,笔记匹配!A:N,14,FALSE)</f>
        <v>云麦筋膜枪pb2</v>
      </c>
      <c r="AF644" t="str">
        <f>VLOOKUP(E:E,笔记匹配!A:N,6,FALSE)</f>
        <v>提前给男友准备的生日🎁他开心的合不拢嘴</v>
      </c>
    </row>
    <row r="645" spans="1:32">
      <c r="A645" s="18" t="s">
        <v>100</v>
      </c>
      <c r="B645" s="18" t="s">
        <v>1189</v>
      </c>
      <c r="C645" s="19">
        <v>19010467</v>
      </c>
      <c r="D645" s="18" t="s">
        <v>209</v>
      </c>
      <c r="E645" s="18" t="s">
        <v>300</v>
      </c>
      <c r="F645" s="18" t="s">
        <v>1191</v>
      </c>
      <c r="G645" s="19">
        <v>4039162</v>
      </c>
      <c r="H645" s="18" t="s">
        <v>1191</v>
      </c>
      <c r="I645" s="19">
        <v>3422446</v>
      </c>
      <c r="J645" s="18" t="s">
        <v>1015</v>
      </c>
      <c r="K645" s="19">
        <v>769.44</v>
      </c>
      <c r="L645" s="19">
        <v>47331</v>
      </c>
      <c r="M645" s="19">
        <v>2431</v>
      </c>
      <c r="N645" s="20">
        <v>0.0514</v>
      </c>
      <c r="O645" s="19">
        <v>0.32</v>
      </c>
      <c r="P645" s="19">
        <v>16.26</v>
      </c>
      <c r="Q645" s="19">
        <v>65</v>
      </c>
      <c r="R645" s="19">
        <v>1</v>
      </c>
      <c r="S645" s="19">
        <v>15</v>
      </c>
      <c r="T645" s="19">
        <v>17</v>
      </c>
      <c r="U645" s="19">
        <v>2</v>
      </c>
      <c r="V645" s="19">
        <v>100</v>
      </c>
      <c r="W645" s="19">
        <v>7.69</v>
      </c>
      <c r="X645" s="19">
        <v>0</v>
      </c>
      <c r="Y645" s="20">
        <v>0</v>
      </c>
      <c r="Z645" s="19">
        <v>1</v>
      </c>
      <c r="AA645" s="19">
        <v>2</v>
      </c>
      <c r="AB645" t="str">
        <f>VLOOKUP(E:E,笔记匹配!A:N,3,FALSE)</f>
        <v>朱俊畅</v>
      </c>
      <c r="AC645" t="str">
        <f>VLOOKUP(E:E,笔记匹配!A:N,2,FALSE)</f>
        <v>筋膜枪</v>
      </c>
      <c r="AD645" t="str">
        <f>VLOOKUP(E:E,笔记匹配!A:N,4,FALSE)</f>
        <v>云麦筋膜枪PB2</v>
      </c>
      <c r="AE645" t="str">
        <f>VLOOKUP(E:E,笔记匹配!A:N,14,FALSE)</f>
        <v>云麦筋膜枪pb2</v>
      </c>
      <c r="AF645" t="str">
        <f>VLOOKUP(E:E,笔记匹配!A:N,6,FALSE)</f>
        <v>打球完容易肌肉酸痛，筋膜枪放松更有效！</v>
      </c>
    </row>
    <row r="646" spans="1:32">
      <c r="A646" s="18" t="s">
        <v>100</v>
      </c>
      <c r="B646" s="18" t="s">
        <v>1189</v>
      </c>
      <c r="C646" s="19">
        <v>19010569</v>
      </c>
      <c r="D646" s="18" t="s">
        <v>209</v>
      </c>
      <c r="E646" s="18" t="s">
        <v>400</v>
      </c>
      <c r="F646" s="18" t="s">
        <v>1192</v>
      </c>
      <c r="G646" s="19">
        <v>4039210</v>
      </c>
      <c r="H646" s="18" t="s">
        <v>1192</v>
      </c>
      <c r="I646" s="19">
        <v>3422478</v>
      </c>
      <c r="J646" s="18" t="s">
        <v>1015</v>
      </c>
      <c r="K646" s="19">
        <v>1017.91</v>
      </c>
      <c r="L646" s="19">
        <v>110601</v>
      </c>
      <c r="M646" s="19">
        <v>7456</v>
      </c>
      <c r="N646" s="20">
        <v>0.0674</v>
      </c>
      <c r="O646" s="19">
        <v>0.14</v>
      </c>
      <c r="P646" s="19">
        <v>9.2</v>
      </c>
      <c r="Q646" s="19">
        <v>166</v>
      </c>
      <c r="R646" s="19">
        <v>2</v>
      </c>
      <c r="S646" s="19">
        <v>134</v>
      </c>
      <c r="T646" s="19">
        <v>13</v>
      </c>
      <c r="U646" s="19">
        <v>14</v>
      </c>
      <c r="V646" s="19">
        <v>329</v>
      </c>
      <c r="W646" s="19">
        <v>3.09</v>
      </c>
      <c r="X646" s="19">
        <v>0</v>
      </c>
      <c r="Y646" s="20">
        <v>0</v>
      </c>
      <c r="Z646" s="19">
        <v>5</v>
      </c>
      <c r="AA646" s="19">
        <v>4</v>
      </c>
      <c r="AB646" t="str">
        <f>VLOOKUP(E:E,笔记匹配!A:N,3,FALSE)</f>
        <v>小雪教瑜伽</v>
      </c>
      <c r="AC646" t="str">
        <f>VLOOKUP(E:E,笔记匹配!A:N,2,FALSE)</f>
        <v>筋膜枪</v>
      </c>
      <c r="AD646" t="str">
        <f>VLOOKUP(E:E,笔记匹配!A:N,4,FALSE)</f>
        <v>云麦筋膜枪cc</v>
      </c>
      <c r="AE646" t="str">
        <f>VLOOKUP(E:E,笔记匹配!A:N,14,FALSE)</f>
        <v>云麦筋膜枪cc</v>
      </c>
      <c r="AF646" t="str">
        <f>VLOOKUP(E:E,笔记匹配!A:N,6,FALSE)</f>
        <v>瘦肌肉腿必备&amp;筋膜枪按摩跟练教程</v>
      </c>
    </row>
    <row r="647" spans="1:32">
      <c r="A647" s="18" t="s">
        <v>100</v>
      </c>
      <c r="B647" s="18" t="s">
        <v>1189</v>
      </c>
      <c r="C647" s="19">
        <v>19010961</v>
      </c>
      <c r="D647" s="18" t="s">
        <v>196</v>
      </c>
      <c r="E647" s="18" t="s">
        <v>300</v>
      </c>
      <c r="F647" s="18" t="s">
        <v>1193</v>
      </c>
      <c r="G647" s="19">
        <v>4039364</v>
      </c>
      <c r="H647" s="18" t="s">
        <v>1193</v>
      </c>
      <c r="I647" s="19">
        <v>3422548</v>
      </c>
      <c r="J647" s="18" t="s">
        <v>1015</v>
      </c>
      <c r="K647" s="19">
        <v>20.1</v>
      </c>
      <c r="L647" s="19">
        <v>206</v>
      </c>
      <c r="M647" s="19">
        <v>12</v>
      </c>
      <c r="N647" s="20">
        <v>0.0583</v>
      </c>
      <c r="O647" s="19">
        <v>1.68</v>
      </c>
      <c r="P647" s="19">
        <v>97.57</v>
      </c>
      <c r="Q647" s="19">
        <v>0</v>
      </c>
      <c r="R647" s="19">
        <v>0</v>
      </c>
      <c r="S647" s="19">
        <v>0</v>
      </c>
      <c r="T647" s="19">
        <v>0</v>
      </c>
      <c r="U647" s="19">
        <v>0</v>
      </c>
      <c r="V647" s="19">
        <v>0</v>
      </c>
      <c r="W647" s="19">
        <v>0</v>
      </c>
      <c r="X647" s="19">
        <v>0</v>
      </c>
      <c r="Y647" s="20">
        <v>0</v>
      </c>
      <c r="Z647" s="19">
        <v>0</v>
      </c>
      <c r="AA647" s="19">
        <v>0</v>
      </c>
      <c r="AB647" t="str">
        <f>VLOOKUP(E:E,笔记匹配!A:N,3,FALSE)</f>
        <v>朱俊畅</v>
      </c>
      <c r="AC647" t="str">
        <f>VLOOKUP(E:E,笔记匹配!A:N,2,FALSE)</f>
        <v>筋膜枪</v>
      </c>
      <c r="AD647" t="str">
        <f>VLOOKUP(E:E,笔记匹配!A:N,4,FALSE)</f>
        <v>云麦筋膜枪PB2</v>
      </c>
      <c r="AE647" t="str">
        <f>VLOOKUP(E:E,笔记匹配!A:N,14,FALSE)</f>
        <v>云麦筋膜枪pb2</v>
      </c>
      <c r="AF647" t="str">
        <f>VLOOKUP(E:E,笔记匹配!A:N,6,FALSE)</f>
        <v>打球完容易肌肉酸痛，筋膜枪放松更有效！</v>
      </c>
    </row>
    <row r="648" spans="1:32">
      <c r="A648" s="18" t="s">
        <v>100</v>
      </c>
      <c r="B648" s="18" t="s">
        <v>1189</v>
      </c>
      <c r="C648" s="19">
        <v>19011007</v>
      </c>
      <c r="D648" s="18" t="s">
        <v>196</v>
      </c>
      <c r="E648" s="18" t="s">
        <v>400</v>
      </c>
      <c r="F648" s="18" t="s">
        <v>1195</v>
      </c>
      <c r="G648" s="19">
        <v>4039390</v>
      </c>
      <c r="H648" s="18" t="s">
        <v>1195</v>
      </c>
      <c r="I648" s="19">
        <v>3422670</v>
      </c>
      <c r="J648" s="18" t="s">
        <v>1015</v>
      </c>
      <c r="K648" s="19">
        <v>478.07</v>
      </c>
      <c r="L648" s="19">
        <v>5120</v>
      </c>
      <c r="M648" s="19">
        <v>310</v>
      </c>
      <c r="N648" s="20">
        <v>0.0605</v>
      </c>
      <c r="O648" s="19">
        <v>1.54</v>
      </c>
      <c r="P648" s="19">
        <v>93.37</v>
      </c>
      <c r="Q648" s="19">
        <v>7</v>
      </c>
      <c r="R648" s="19">
        <v>0</v>
      </c>
      <c r="S648" s="19">
        <v>5</v>
      </c>
      <c r="T648" s="19">
        <v>0</v>
      </c>
      <c r="U648" s="19">
        <v>1</v>
      </c>
      <c r="V648" s="19">
        <v>13</v>
      </c>
      <c r="W648" s="19">
        <v>36.77</v>
      </c>
      <c r="X648" s="19">
        <v>0</v>
      </c>
      <c r="Y648" s="20">
        <v>0</v>
      </c>
      <c r="Z648" s="19">
        <v>0</v>
      </c>
      <c r="AA648" s="19">
        <v>2</v>
      </c>
      <c r="AB648" t="str">
        <f>VLOOKUP(E:E,笔记匹配!A:N,3,FALSE)</f>
        <v>小雪教瑜伽</v>
      </c>
      <c r="AC648" t="str">
        <f>VLOOKUP(E:E,笔记匹配!A:N,2,FALSE)</f>
        <v>筋膜枪</v>
      </c>
      <c r="AD648" t="str">
        <f>VLOOKUP(E:E,笔记匹配!A:N,4,FALSE)</f>
        <v>云麦筋膜枪cc</v>
      </c>
      <c r="AE648" t="str">
        <f>VLOOKUP(E:E,笔记匹配!A:N,14,FALSE)</f>
        <v>云麦筋膜枪cc</v>
      </c>
      <c r="AF648" t="str">
        <f>VLOOKUP(E:E,笔记匹配!A:N,6,FALSE)</f>
        <v>瘦肌肉腿必备&amp;筋膜枪按摩跟练教程</v>
      </c>
    </row>
    <row r="649" spans="1:32">
      <c r="A649" s="18" t="s">
        <v>100</v>
      </c>
      <c r="B649" s="18" t="s">
        <v>1196</v>
      </c>
      <c r="C649" s="19">
        <v>19054447</v>
      </c>
      <c r="D649" s="18" t="s">
        <v>209</v>
      </c>
      <c r="E649" s="18" t="s">
        <v>382</v>
      </c>
      <c r="F649" s="18" t="s">
        <v>1197</v>
      </c>
      <c r="G649" s="19">
        <v>4059790</v>
      </c>
      <c r="H649" s="18" t="s">
        <v>1197</v>
      </c>
      <c r="I649" s="19">
        <v>3442545</v>
      </c>
      <c r="J649" s="18" t="s">
        <v>1015</v>
      </c>
      <c r="K649" s="19">
        <v>508.55</v>
      </c>
      <c r="L649" s="19">
        <v>46477</v>
      </c>
      <c r="M649" s="19">
        <v>2340</v>
      </c>
      <c r="N649" s="20">
        <v>0.0503</v>
      </c>
      <c r="O649" s="19">
        <v>0.22</v>
      </c>
      <c r="P649" s="19">
        <v>10.94</v>
      </c>
      <c r="Q649" s="19">
        <v>49</v>
      </c>
      <c r="R649" s="19">
        <v>0</v>
      </c>
      <c r="S649" s="19">
        <v>14</v>
      </c>
      <c r="T649" s="19">
        <v>10</v>
      </c>
      <c r="U649" s="19">
        <v>0</v>
      </c>
      <c r="V649" s="19">
        <v>73</v>
      </c>
      <c r="W649" s="19">
        <v>6.97</v>
      </c>
      <c r="X649" s="19">
        <v>0</v>
      </c>
      <c r="Y649" s="20">
        <v>0</v>
      </c>
      <c r="Z649" s="19">
        <v>7</v>
      </c>
      <c r="AA649" s="19">
        <v>1</v>
      </c>
      <c r="AB649" t="str">
        <f>VLOOKUP(E:E,笔记匹配!A:N,3,FALSE)</f>
        <v>玩长板的慧慧</v>
      </c>
      <c r="AC649" t="str">
        <f>VLOOKUP(E:E,笔记匹配!A:N,2,FALSE)</f>
        <v>筋膜枪</v>
      </c>
      <c r="AD649" t="str">
        <f>VLOOKUP(E:E,笔记匹配!A:N,4,FALSE)</f>
        <v>云麦筋膜枪PB2</v>
      </c>
      <c r="AE649" t="str">
        <f>VLOOKUP(E:E,笔记匹配!A:N,14,FALSE)</f>
        <v>云麦筋膜枪pb2</v>
      </c>
      <c r="AF649" t="str">
        <f>VLOOKUP(E:E,笔记匹配!A:N,6,FALSE)</f>
        <v>滑板5年|分享我的滑板后筋膜枪放松小经验</v>
      </c>
    </row>
    <row r="650" spans="1:32">
      <c r="A650" s="18" t="s">
        <v>100</v>
      </c>
      <c r="B650" s="18" t="s">
        <v>1196</v>
      </c>
      <c r="C650" s="19">
        <v>19054497</v>
      </c>
      <c r="D650" s="18" t="s">
        <v>209</v>
      </c>
      <c r="E650" s="18" t="s">
        <v>452</v>
      </c>
      <c r="F650" s="18" t="s">
        <v>1198</v>
      </c>
      <c r="G650" s="19">
        <v>4059827</v>
      </c>
      <c r="H650" s="18" t="s">
        <v>1198</v>
      </c>
      <c r="I650" s="19">
        <v>3442591</v>
      </c>
      <c r="J650" s="18" t="s">
        <v>1015</v>
      </c>
      <c r="K650" s="19">
        <v>507.61</v>
      </c>
      <c r="L650" s="19">
        <v>44797</v>
      </c>
      <c r="M650" s="19">
        <v>1985</v>
      </c>
      <c r="N650" s="20">
        <v>0.0443</v>
      </c>
      <c r="O650" s="19">
        <v>0.26</v>
      </c>
      <c r="P650" s="19">
        <v>11.33</v>
      </c>
      <c r="Q650" s="19">
        <v>73</v>
      </c>
      <c r="R650" s="19">
        <v>3</v>
      </c>
      <c r="S650" s="19">
        <v>22</v>
      </c>
      <c r="T650" s="19">
        <v>3</v>
      </c>
      <c r="U650" s="19">
        <v>1</v>
      </c>
      <c r="V650" s="19">
        <v>102</v>
      </c>
      <c r="W650" s="19">
        <v>4.98</v>
      </c>
      <c r="X650" s="19">
        <v>0</v>
      </c>
      <c r="Y650" s="20">
        <v>0</v>
      </c>
      <c r="Z650" s="19">
        <v>0</v>
      </c>
      <c r="AA650" s="19">
        <v>2</v>
      </c>
      <c r="AB650" t="str">
        <f>VLOOKUP(E:E,笔记匹配!A:N,3,FALSE)</f>
        <v>Bruce小厮</v>
      </c>
      <c r="AC650" t="str">
        <f>VLOOKUP(E:E,笔记匹配!A:N,2,FALSE)</f>
        <v>筋膜枪</v>
      </c>
      <c r="AD650" t="str">
        <f>VLOOKUP(E:E,笔记匹配!A:N,4,FALSE)</f>
        <v>云麦筋膜枪PB2</v>
      </c>
      <c r="AE650" t="str">
        <f>VLOOKUP(E:E,笔记匹配!A:N,14,FALSE)</f>
        <v>云麦筋膜枪pb2</v>
      </c>
      <c r="AF650" t="str">
        <f>VLOOKUP(E:E,笔记匹配!A:N,6,FALSE)</f>
        <v>女生练球后如何拉伸按摩，筋膜枪放松！！</v>
      </c>
    </row>
    <row r="651" spans="1:32">
      <c r="A651" s="18" t="s">
        <v>100</v>
      </c>
      <c r="B651" s="18" t="s">
        <v>1196</v>
      </c>
      <c r="C651" s="19">
        <v>19058466</v>
      </c>
      <c r="D651" s="18" t="s">
        <v>196</v>
      </c>
      <c r="E651" s="18" t="s">
        <v>296</v>
      </c>
      <c r="F651" s="18" t="s">
        <v>1199</v>
      </c>
      <c r="G651" s="19">
        <v>4061725</v>
      </c>
      <c r="H651" s="18" t="s">
        <v>1199</v>
      </c>
      <c r="I651" s="19">
        <v>3444458</v>
      </c>
      <c r="J651" s="18" t="s">
        <v>1015</v>
      </c>
      <c r="K651" s="19">
        <v>836.45</v>
      </c>
      <c r="L651" s="19">
        <v>23290</v>
      </c>
      <c r="M651" s="19">
        <v>939</v>
      </c>
      <c r="N651" s="20">
        <v>0.0403</v>
      </c>
      <c r="O651" s="19">
        <v>0.89</v>
      </c>
      <c r="P651" s="19">
        <v>35.91</v>
      </c>
      <c r="Q651" s="19">
        <v>5</v>
      </c>
      <c r="R651" s="19">
        <v>0</v>
      </c>
      <c r="S651" s="19">
        <v>6</v>
      </c>
      <c r="T651" s="19">
        <v>0</v>
      </c>
      <c r="U651" s="19">
        <v>0</v>
      </c>
      <c r="V651" s="19">
        <v>11</v>
      </c>
      <c r="W651" s="19">
        <v>76.04</v>
      </c>
      <c r="X651" s="19">
        <v>16</v>
      </c>
      <c r="Y651" s="20">
        <v>0.017</v>
      </c>
      <c r="Z651" s="19">
        <v>2</v>
      </c>
      <c r="AA651" s="19">
        <v>1</v>
      </c>
      <c r="AB651" t="str">
        <f>VLOOKUP(E:E,笔记匹配!A:N,3,FALSE)</f>
        <v>元气芥末酱</v>
      </c>
      <c r="AC651" t="str">
        <f>VLOOKUP(E:E,笔记匹配!A:N,2,FALSE)</f>
        <v>筋膜枪</v>
      </c>
      <c r="AD651" t="str">
        <f>VLOOKUP(E:E,笔记匹配!A:N,4,FALSE)</f>
        <v>云麦筋膜枪PB2</v>
      </c>
      <c r="AE651" t="str">
        <f>VLOOKUP(E:E,笔记匹配!A:N,14,FALSE)</f>
        <v>云麦筋膜枪pb2</v>
      </c>
      <c r="AF651" t="str">
        <f>VLOOKUP(E:E,笔记匹配!A:N,6,FALSE)</f>
        <v>小腿粗的姐妹信我！肌肉腿就要这样按！</v>
      </c>
    </row>
    <row r="652" spans="1:32">
      <c r="A652" s="18" t="s">
        <v>101</v>
      </c>
      <c r="B652" s="18" t="s">
        <v>1164</v>
      </c>
      <c r="C652" s="19">
        <v>18170615</v>
      </c>
      <c r="D652" s="18" t="s">
        <v>209</v>
      </c>
      <c r="E652" s="18" t="s">
        <v>205</v>
      </c>
      <c r="F652" s="18" t="s">
        <v>1165</v>
      </c>
      <c r="G652" s="19">
        <v>3639848</v>
      </c>
      <c r="H652" s="18" t="s">
        <v>1166</v>
      </c>
      <c r="I652" s="19">
        <v>3024741</v>
      </c>
      <c r="J652" s="18" t="s">
        <v>1015</v>
      </c>
      <c r="K652" s="19">
        <v>0</v>
      </c>
      <c r="L652" s="19">
        <v>0</v>
      </c>
      <c r="M652" s="19">
        <v>0</v>
      </c>
      <c r="N652" s="20">
        <v>0</v>
      </c>
      <c r="O652" s="19">
        <v>0</v>
      </c>
      <c r="P652" s="19">
        <v>0</v>
      </c>
      <c r="Q652" s="19">
        <v>0</v>
      </c>
      <c r="R652" s="19">
        <v>0</v>
      </c>
      <c r="S652" s="19">
        <v>0</v>
      </c>
      <c r="T652" s="19">
        <v>0</v>
      </c>
      <c r="U652" s="19">
        <v>0</v>
      </c>
      <c r="V652" s="19">
        <v>0</v>
      </c>
      <c r="W652" s="19">
        <v>0</v>
      </c>
      <c r="X652" s="19">
        <v>0</v>
      </c>
      <c r="Y652" s="20">
        <v>0</v>
      </c>
      <c r="Z652" s="19">
        <v>0</v>
      </c>
      <c r="AA652" s="19">
        <v>0</v>
      </c>
      <c r="AB652" t="str">
        <f>VLOOKUP(E:E,笔记匹配!A:N,3,FALSE)</f>
        <v>马可乐cora</v>
      </c>
      <c r="AC652" t="str">
        <f>VLOOKUP(E:E,笔记匹配!A:N,2,FALSE)</f>
        <v>筋膜枪</v>
      </c>
      <c r="AD652" t="str">
        <f>VLOOKUP(E:E,笔记匹配!A:N,4,FALSE)</f>
        <v>云麦筋膜枪PB2</v>
      </c>
      <c r="AE652" t="str">
        <f>VLOOKUP(E:E,笔记匹配!A:N,14,FALSE)</f>
        <v>云麦筋膜枪pb2</v>
      </c>
      <c r="AF652" t="str">
        <f>VLOOKUP(E:E,笔记匹配!A:N,6,FALSE)</f>
        <v>跳操的姐妹听我的用筋膜枪放松下肢真的有用</v>
      </c>
    </row>
    <row r="653" spans="1:32">
      <c r="A653" s="18" t="s">
        <v>101</v>
      </c>
      <c r="B653" s="18" t="s">
        <v>1181</v>
      </c>
      <c r="C653" s="19">
        <v>18606961</v>
      </c>
      <c r="D653" s="18" t="s">
        <v>209</v>
      </c>
      <c r="E653" s="18" t="s">
        <v>289</v>
      </c>
      <c r="F653" s="18" t="s">
        <v>1183</v>
      </c>
      <c r="G653" s="19">
        <v>3851160</v>
      </c>
      <c r="H653" s="18" t="s">
        <v>1183</v>
      </c>
      <c r="I653" s="19">
        <v>3236289</v>
      </c>
      <c r="J653" s="18" t="s">
        <v>1015</v>
      </c>
      <c r="K653" s="19">
        <v>0</v>
      </c>
      <c r="L653" s="19">
        <v>0</v>
      </c>
      <c r="M653" s="19">
        <v>0</v>
      </c>
      <c r="N653" s="20">
        <v>0</v>
      </c>
      <c r="O653" s="19">
        <v>0</v>
      </c>
      <c r="P653" s="19">
        <v>0</v>
      </c>
      <c r="Q653" s="19">
        <v>0</v>
      </c>
      <c r="R653" s="19">
        <v>0</v>
      </c>
      <c r="S653" s="19">
        <v>0</v>
      </c>
      <c r="T653" s="19">
        <v>0</v>
      </c>
      <c r="U653" s="19">
        <v>0</v>
      </c>
      <c r="V653" s="19">
        <v>0</v>
      </c>
      <c r="W653" s="19">
        <v>0</v>
      </c>
      <c r="X653" s="19">
        <v>0</v>
      </c>
      <c r="Y653" s="20">
        <v>0</v>
      </c>
      <c r="Z653" s="19">
        <v>0</v>
      </c>
      <c r="AA653" s="19">
        <v>0</v>
      </c>
      <c r="AB653" t="str">
        <f>VLOOKUP(E:E,笔记匹配!A:N,3,FALSE)</f>
        <v>小蓝今天吃了没</v>
      </c>
      <c r="AC653" t="str">
        <f>VLOOKUP(E:E,笔记匹配!A:N,2,FALSE)</f>
        <v>筋膜枪</v>
      </c>
      <c r="AD653" t="str">
        <f>VLOOKUP(E:E,笔记匹配!A:N,4,FALSE)</f>
        <v>云麦 筋膜枪PB2</v>
      </c>
      <c r="AE653" t="str">
        <f>VLOOKUP(E:E,笔记匹配!A:N,14,FALSE)</f>
        <v>云麦筋膜枪pb2</v>
      </c>
      <c r="AF653" t="str">
        <f>VLOOKUP(E:E,笔记匹配!A:N,6,FALSE)</f>
        <v>筋膜枪正确用法！刘耕宏女孩永不认输</v>
      </c>
    </row>
    <row r="654" spans="1:32">
      <c r="A654" s="18" t="s">
        <v>101</v>
      </c>
      <c r="B654" s="18" t="s">
        <v>1184</v>
      </c>
      <c r="C654" s="19">
        <v>18646457</v>
      </c>
      <c r="D654" s="18" t="s">
        <v>209</v>
      </c>
      <c r="E654" s="18" t="s">
        <v>395</v>
      </c>
      <c r="F654" s="18" t="s">
        <v>1186</v>
      </c>
      <c r="G654" s="19">
        <v>3870563</v>
      </c>
      <c r="H654" s="18" t="s">
        <v>1186</v>
      </c>
      <c r="I654" s="19">
        <v>3255634</v>
      </c>
      <c r="J654" s="18" t="s">
        <v>1015</v>
      </c>
      <c r="K654" s="19">
        <v>0</v>
      </c>
      <c r="L654" s="19">
        <v>0</v>
      </c>
      <c r="M654" s="19">
        <v>0</v>
      </c>
      <c r="N654" s="20">
        <v>0</v>
      </c>
      <c r="O654" s="19">
        <v>0</v>
      </c>
      <c r="P654" s="19">
        <v>0</v>
      </c>
      <c r="Q654" s="19">
        <v>0</v>
      </c>
      <c r="R654" s="19">
        <v>0</v>
      </c>
      <c r="S654" s="19">
        <v>0</v>
      </c>
      <c r="T654" s="19">
        <v>0</v>
      </c>
      <c r="U654" s="19">
        <v>0</v>
      </c>
      <c r="V654" s="19">
        <v>0</v>
      </c>
      <c r="W654" s="19">
        <v>0</v>
      </c>
      <c r="X654" s="19">
        <v>0</v>
      </c>
      <c r="Y654" s="20">
        <v>0</v>
      </c>
      <c r="Z654" s="19">
        <v>0</v>
      </c>
      <c r="AA654" s="19">
        <v>0</v>
      </c>
      <c r="AB654" t="str">
        <f>VLOOKUP(E:E,笔记匹配!A:N,3,FALSE)</f>
        <v>月亮起床了</v>
      </c>
      <c r="AC654" t="str">
        <f>VLOOKUP(E:E,笔记匹配!A:N,2,FALSE)</f>
        <v>筋膜枪</v>
      </c>
      <c r="AD654" t="str">
        <f>VLOOKUP(E:E,笔记匹配!A:N,4,FALSE)</f>
        <v>云麦筋膜枪pb2</v>
      </c>
      <c r="AE654" t="str">
        <f>VLOOKUP(E:E,笔记匹配!A:N,14,FALSE)</f>
        <v>云麦筋膜枪pb2</v>
      </c>
      <c r="AF654" t="str">
        <f>VLOOKUP(E:E,笔记匹配!A:N,6,FALSE)</f>
        <v>超强瘦🦵绝招，记得用筋膜枪放松</v>
      </c>
    </row>
    <row r="655" spans="1:32">
      <c r="A655" s="18" t="s">
        <v>101</v>
      </c>
      <c r="B655" s="18" t="s">
        <v>1187</v>
      </c>
      <c r="C655" s="19">
        <v>18907506</v>
      </c>
      <c r="D655" s="18" t="s">
        <v>209</v>
      </c>
      <c r="E655" s="18" t="s">
        <v>462</v>
      </c>
      <c r="F655" s="18" t="s">
        <v>1188</v>
      </c>
      <c r="G655" s="19">
        <v>3992888</v>
      </c>
      <c r="H655" s="18" t="s">
        <v>1188</v>
      </c>
      <c r="I655" s="19">
        <v>3377376</v>
      </c>
      <c r="J655" s="18" t="s">
        <v>1015</v>
      </c>
      <c r="K655" s="19">
        <v>0</v>
      </c>
      <c r="L655" s="19">
        <v>0</v>
      </c>
      <c r="M655" s="19">
        <v>0</v>
      </c>
      <c r="N655" s="20">
        <v>0</v>
      </c>
      <c r="O655" s="19">
        <v>0</v>
      </c>
      <c r="P655" s="19">
        <v>0</v>
      </c>
      <c r="Q655" s="19">
        <v>0</v>
      </c>
      <c r="R655" s="19">
        <v>0</v>
      </c>
      <c r="S655" s="19">
        <v>0</v>
      </c>
      <c r="T655" s="19">
        <v>0</v>
      </c>
      <c r="U655" s="19">
        <v>0</v>
      </c>
      <c r="V655" s="19">
        <v>0</v>
      </c>
      <c r="W655" s="19">
        <v>0</v>
      </c>
      <c r="X655" s="19">
        <v>0</v>
      </c>
      <c r="Y655" s="20">
        <v>0</v>
      </c>
      <c r="Z655" s="19">
        <v>0</v>
      </c>
      <c r="AA655" s="19">
        <v>0</v>
      </c>
      <c r="AB655" t="str">
        <f>VLOOKUP(E:E,笔记匹配!A:N,3,FALSE)</f>
        <v>爱梨</v>
      </c>
      <c r="AC655" t="str">
        <f>VLOOKUP(E:E,笔记匹配!A:N,2,FALSE)</f>
        <v>筋膜枪</v>
      </c>
      <c r="AD655" t="str">
        <f>VLOOKUP(E:E,笔记匹配!A:N,4,FALSE)</f>
        <v>云麦筋膜枪PB2</v>
      </c>
      <c r="AE655" t="str">
        <f>VLOOKUP(E:E,笔记匹配!A:N,14,FALSE)</f>
        <v>云麦筋膜枪pb2</v>
      </c>
      <c r="AF655" t="str">
        <f>VLOOKUP(E:E,笔记匹配!A:N,6,FALSE)</f>
        <v>打完羽毛球后肌肉酸痛？筋膜枪按摩有效放松</v>
      </c>
    </row>
    <row r="656" spans="1:32">
      <c r="A656" s="18" t="s">
        <v>101</v>
      </c>
      <c r="B656" s="18" t="s">
        <v>1189</v>
      </c>
      <c r="C656" s="19">
        <v>19010467</v>
      </c>
      <c r="D656" s="18" t="s">
        <v>209</v>
      </c>
      <c r="E656" s="18" t="s">
        <v>300</v>
      </c>
      <c r="F656" s="18" t="s">
        <v>1191</v>
      </c>
      <c r="G656" s="19">
        <v>4039162</v>
      </c>
      <c r="H656" s="18" t="s">
        <v>1191</v>
      </c>
      <c r="I656" s="19">
        <v>3422446</v>
      </c>
      <c r="J656" s="18" t="s">
        <v>1015</v>
      </c>
      <c r="K656" s="19">
        <v>13.05</v>
      </c>
      <c r="L656" s="19">
        <v>885</v>
      </c>
      <c r="M656" s="19">
        <v>79</v>
      </c>
      <c r="N656" s="20">
        <v>0.0893</v>
      </c>
      <c r="O656" s="19">
        <v>0.17</v>
      </c>
      <c r="P656" s="19">
        <v>14.75</v>
      </c>
      <c r="Q656" s="19">
        <v>0</v>
      </c>
      <c r="R656" s="19">
        <v>0</v>
      </c>
      <c r="S656" s="19">
        <v>1</v>
      </c>
      <c r="T656" s="19">
        <v>0</v>
      </c>
      <c r="U656" s="19">
        <v>0</v>
      </c>
      <c r="V656" s="19">
        <v>1</v>
      </c>
      <c r="W656" s="19">
        <v>13.05</v>
      </c>
      <c r="X656" s="19">
        <v>0</v>
      </c>
      <c r="Y656" s="20">
        <v>0</v>
      </c>
      <c r="Z656" s="19">
        <v>0</v>
      </c>
      <c r="AA656" s="19">
        <v>0</v>
      </c>
      <c r="AB656" t="str">
        <f>VLOOKUP(E:E,笔记匹配!A:N,3,FALSE)</f>
        <v>朱俊畅</v>
      </c>
      <c r="AC656" t="str">
        <f>VLOOKUP(E:E,笔记匹配!A:N,2,FALSE)</f>
        <v>筋膜枪</v>
      </c>
      <c r="AD656" t="str">
        <f>VLOOKUP(E:E,笔记匹配!A:N,4,FALSE)</f>
        <v>云麦筋膜枪PB2</v>
      </c>
      <c r="AE656" t="str">
        <f>VLOOKUP(E:E,笔记匹配!A:N,14,FALSE)</f>
        <v>云麦筋膜枪pb2</v>
      </c>
      <c r="AF656" t="str">
        <f>VLOOKUP(E:E,笔记匹配!A:N,6,FALSE)</f>
        <v>打球完容易肌肉酸痛，筋膜枪放松更有效！</v>
      </c>
    </row>
    <row r="657" spans="1:32">
      <c r="A657" s="18" t="s">
        <v>101</v>
      </c>
      <c r="B657" s="18" t="s">
        <v>1189</v>
      </c>
      <c r="C657" s="19">
        <v>19010569</v>
      </c>
      <c r="D657" s="18" t="s">
        <v>209</v>
      </c>
      <c r="E657" s="18" t="s">
        <v>400</v>
      </c>
      <c r="F657" s="18" t="s">
        <v>1192</v>
      </c>
      <c r="G657" s="19">
        <v>4039210</v>
      </c>
      <c r="H657" s="18" t="s">
        <v>1192</v>
      </c>
      <c r="I657" s="19">
        <v>3422478</v>
      </c>
      <c r="J657" s="18" t="s">
        <v>1015</v>
      </c>
      <c r="K657" s="19">
        <v>1.09</v>
      </c>
      <c r="L657" s="19">
        <v>157</v>
      </c>
      <c r="M657" s="19">
        <v>10</v>
      </c>
      <c r="N657" s="20">
        <v>0.0637</v>
      </c>
      <c r="O657" s="19">
        <v>0.11</v>
      </c>
      <c r="P657" s="19">
        <v>6.94</v>
      </c>
      <c r="Q657" s="19">
        <v>0</v>
      </c>
      <c r="R657" s="19">
        <v>0</v>
      </c>
      <c r="S657" s="19">
        <v>0</v>
      </c>
      <c r="T657" s="19">
        <v>0</v>
      </c>
      <c r="U657" s="19">
        <v>0</v>
      </c>
      <c r="V657" s="19">
        <v>0</v>
      </c>
      <c r="W657" s="19">
        <v>0</v>
      </c>
      <c r="X657" s="19">
        <v>0</v>
      </c>
      <c r="Y657" s="20">
        <v>0</v>
      </c>
      <c r="Z657" s="19">
        <v>0</v>
      </c>
      <c r="AA657" s="19">
        <v>0</v>
      </c>
      <c r="AB657" t="str">
        <f>VLOOKUP(E:E,笔记匹配!A:N,3,FALSE)</f>
        <v>小雪教瑜伽</v>
      </c>
      <c r="AC657" t="str">
        <f>VLOOKUP(E:E,笔记匹配!A:N,2,FALSE)</f>
        <v>筋膜枪</v>
      </c>
      <c r="AD657" t="str">
        <f>VLOOKUP(E:E,笔记匹配!A:N,4,FALSE)</f>
        <v>云麦筋膜枪cc</v>
      </c>
      <c r="AE657" t="str">
        <f>VLOOKUP(E:E,笔记匹配!A:N,14,FALSE)</f>
        <v>云麦筋膜枪cc</v>
      </c>
      <c r="AF657" t="str">
        <f>VLOOKUP(E:E,笔记匹配!A:N,6,FALSE)</f>
        <v>瘦肌肉腿必备&amp;筋膜枪按摩跟练教程</v>
      </c>
    </row>
    <row r="658" spans="1:32">
      <c r="A658" s="18" t="s">
        <v>101</v>
      </c>
      <c r="B658" s="18" t="s">
        <v>1189</v>
      </c>
      <c r="C658" s="19">
        <v>19010961</v>
      </c>
      <c r="D658" s="18" t="s">
        <v>196</v>
      </c>
      <c r="E658" s="18" t="s">
        <v>300</v>
      </c>
      <c r="F658" s="18" t="s">
        <v>1193</v>
      </c>
      <c r="G658" s="19">
        <v>4039364</v>
      </c>
      <c r="H658" s="18" t="s">
        <v>1193</v>
      </c>
      <c r="I658" s="19">
        <v>3422548</v>
      </c>
      <c r="J658" s="18" t="s">
        <v>1015</v>
      </c>
      <c r="K658" s="19">
        <v>0</v>
      </c>
      <c r="L658" s="19">
        <v>0</v>
      </c>
      <c r="M658" s="19">
        <v>0</v>
      </c>
      <c r="N658" s="20">
        <v>0</v>
      </c>
      <c r="O658" s="19">
        <v>0</v>
      </c>
      <c r="P658" s="19">
        <v>0</v>
      </c>
      <c r="Q658" s="19">
        <v>0</v>
      </c>
      <c r="R658" s="19">
        <v>0</v>
      </c>
      <c r="S658" s="19">
        <v>0</v>
      </c>
      <c r="T658" s="19">
        <v>0</v>
      </c>
      <c r="U658" s="19">
        <v>0</v>
      </c>
      <c r="V658" s="19">
        <v>0</v>
      </c>
      <c r="W658" s="19">
        <v>0</v>
      </c>
      <c r="X658" s="19">
        <v>0</v>
      </c>
      <c r="Y658" s="20">
        <v>0</v>
      </c>
      <c r="Z658" s="19">
        <v>0</v>
      </c>
      <c r="AA658" s="19">
        <v>0</v>
      </c>
      <c r="AB658" t="str">
        <f>VLOOKUP(E:E,笔记匹配!A:N,3,FALSE)</f>
        <v>朱俊畅</v>
      </c>
      <c r="AC658" t="str">
        <f>VLOOKUP(E:E,笔记匹配!A:N,2,FALSE)</f>
        <v>筋膜枪</v>
      </c>
      <c r="AD658" t="str">
        <f>VLOOKUP(E:E,笔记匹配!A:N,4,FALSE)</f>
        <v>云麦筋膜枪PB2</v>
      </c>
      <c r="AE658" t="str">
        <f>VLOOKUP(E:E,笔记匹配!A:N,14,FALSE)</f>
        <v>云麦筋膜枪pb2</v>
      </c>
      <c r="AF658" t="str">
        <f>VLOOKUP(E:E,笔记匹配!A:N,6,FALSE)</f>
        <v>打球完容易肌肉酸痛，筋膜枪放松更有效！</v>
      </c>
    </row>
    <row r="659" spans="1:32">
      <c r="A659" s="18" t="s">
        <v>101</v>
      </c>
      <c r="B659" s="18" t="s">
        <v>1196</v>
      </c>
      <c r="C659" s="19">
        <v>19054447</v>
      </c>
      <c r="D659" s="18" t="s">
        <v>209</v>
      </c>
      <c r="E659" s="18" t="s">
        <v>382</v>
      </c>
      <c r="F659" s="18" t="s">
        <v>1197</v>
      </c>
      <c r="G659" s="19">
        <v>4059790</v>
      </c>
      <c r="H659" s="18" t="s">
        <v>1197</v>
      </c>
      <c r="I659" s="19">
        <v>3442545</v>
      </c>
      <c r="J659" s="18" t="s">
        <v>1015</v>
      </c>
      <c r="K659" s="19">
        <v>3.28</v>
      </c>
      <c r="L659" s="19">
        <v>271</v>
      </c>
      <c r="M659" s="19">
        <v>11</v>
      </c>
      <c r="N659" s="20">
        <v>0.0406</v>
      </c>
      <c r="O659" s="19">
        <v>0.3</v>
      </c>
      <c r="P659" s="19">
        <v>12.1</v>
      </c>
      <c r="Q659" s="19">
        <v>0</v>
      </c>
      <c r="R659" s="19">
        <v>0</v>
      </c>
      <c r="S659" s="19">
        <v>0</v>
      </c>
      <c r="T659" s="19">
        <v>0</v>
      </c>
      <c r="U659" s="19">
        <v>0</v>
      </c>
      <c r="V659" s="19">
        <v>0</v>
      </c>
      <c r="W659" s="19">
        <v>0</v>
      </c>
      <c r="X659" s="19">
        <v>0</v>
      </c>
      <c r="Y659" s="20">
        <v>0</v>
      </c>
      <c r="Z659" s="19">
        <v>0</v>
      </c>
      <c r="AA659" s="19">
        <v>0</v>
      </c>
      <c r="AB659" t="str">
        <f>VLOOKUP(E:E,笔记匹配!A:N,3,FALSE)</f>
        <v>玩长板的慧慧</v>
      </c>
      <c r="AC659" t="str">
        <f>VLOOKUP(E:E,笔记匹配!A:N,2,FALSE)</f>
        <v>筋膜枪</v>
      </c>
      <c r="AD659" t="str">
        <f>VLOOKUP(E:E,笔记匹配!A:N,4,FALSE)</f>
        <v>云麦筋膜枪PB2</v>
      </c>
      <c r="AE659" t="str">
        <f>VLOOKUP(E:E,笔记匹配!A:N,14,FALSE)</f>
        <v>云麦筋膜枪pb2</v>
      </c>
      <c r="AF659" t="str">
        <f>VLOOKUP(E:E,笔记匹配!A:N,6,FALSE)</f>
        <v>滑板5年|分享我的滑板后筋膜枪放松小经验</v>
      </c>
    </row>
    <row r="660" spans="1:32">
      <c r="A660" s="18" t="s">
        <v>101</v>
      </c>
      <c r="B660" s="18" t="s">
        <v>1196</v>
      </c>
      <c r="C660" s="19">
        <v>19054497</v>
      </c>
      <c r="D660" s="18" t="s">
        <v>209</v>
      </c>
      <c r="E660" s="18" t="s">
        <v>452</v>
      </c>
      <c r="F660" s="18" t="s">
        <v>1198</v>
      </c>
      <c r="G660" s="19">
        <v>4059827</v>
      </c>
      <c r="H660" s="18" t="s">
        <v>1198</v>
      </c>
      <c r="I660" s="19">
        <v>3442591</v>
      </c>
      <c r="J660" s="18" t="s">
        <v>1015</v>
      </c>
      <c r="K660" s="19">
        <v>1.69</v>
      </c>
      <c r="L660" s="19">
        <v>200</v>
      </c>
      <c r="M660" s="19">
        <v>10</v>
      </c>
      <c r="N660" s="20">
        <v>0.05</v>
      </c>
      <c r="O660" s="19">
        <v>0.17</v>
      </c>
      <c r="P660" s="19">
        <v>8.45</v>
      </c>
      <c r="Q660" s="19">
        <v>0</v>
      </c>
      <c r="R660" s="19">
        <v>0</v>
      </c>
      <c r="S660" s="19">
        <v>0</v>
      </c>
      <c r="T660" s="19">
        <v>0</v>
      </c>
      <c r="U660" s="19">
        <v>0</v>
      </c>
      <c r="V660" s="19">
        <v>0</v>
      </c>
      <c r="W660" s="19">
        <v>0</v>
      </c>
      <c r="X660" s="19">
        <v>0</v>
      </c>
      <c r="Y660" s="20">
        <v>0</v>
      </c>
      <c r="Z660" s="19">
        <v>0</v>
      </c>
      <c r="AA660" s="19">
        <v>0</v>
      </c>
      <c r="AB660" t="str">
        <f>VLOOKUP(E:E,笔记匹配!A:N,3,FALSE)</f>
        <v>Bruce小厮</v>
      </c>
      <c r="AC660" t="str">
        <f>VLOOKUP(E:E,笔记匹配!A:N,2,FALSE)</f>
        <v>筋膜枪</v>
      </c>
      <c r="AD660" t="str">
        <f>VLOOKUP(E:E,笔记匹配!A:N,4,FALSE)</f>
        <v>云麦筋膜枪PB2</v>
      </c>
      <c r="AE660" t="str">
        <f>VLOOKUP(E:E,笔记匹配!A:N,14,FALSE)</f>
        <v>云麦筋膜枪pb2</v>
      </c>
      <c r="AF660" t="str">
        <f>VLOOKUP(E:E,笔记匹配!A:N,6,FALSE)</f>
        <v>女生练球后如何拉伸按摩，筋膜枪放松！！</v>
      </c>
    </row>
    <row r="661" spans="1:32">
      <c r="A661" s="18" t="s">
        <v>101</v>
      </c>
      <c r="B661" s="18" t="s">
        <v>1196</v>
      </c>
      <c r="C661" s="19">
        <v>19058466</v>
      </c>
      <c r="D661" s="18" t="s">
        <v>196</v>
      </c>
      <c r="E661" s="18" t="s">
        <v>296</v>
      </c>
      <c r="F661" s="18" t="s">
        <v>1199</v>
      </c>
      <c r="G661" s="19">
        <v>4061725</v>
      </c>
      <c r="H661" s="18" t="s">
        <v>1199</v>
      </c>
      <c r="I661" s="19">
        <v>3444458</v>
      </c>
      <c r="J661" s="18" t="s">
        <v>1015</v>
      </c>
      <c r="K661" s="19">
        <v>0</v>
      </c>
      <c r="L661" s="19">
        <v>3</v>
      </c>
      <c r="M661" s="19">
        <v>0</v>
      </c>
      <c r="N661" s="20">
        <v>0</v>
      </c>
      <c r="O661" s="19">
        <v>0</v>
      </c>
      <c r="P661" s="19">
        <v>0</v>
      </c>
      <c r="Q661" s="19">
        <v>0</v>
      </c>
      <c r="R661" s="19">
        <v>0</v>
      </c>
      <c r="S661" s="19">
        <v>0</v>
      </c>
      <c r="T661" s="19">
        <v>0</v>
      </c>
      <c r="U661" s="19">
        <v>0</v>
      </c>
      <c r="V661" s="19">
        <v>0</v>
      </c>
      <c r="W661" s="19">
        <v>0</v>
      </c>
      <c r="X661" s="19">
        <v>0</v>
      </c>
      <c r="Y661" s="20">
        <v>0</v>
      </c>
      <c r="Z661" s="19">
        <v>0</v>
      </c>
      <c r="AA661" s="19">
        <v>0</v>
      </c>
      <c r="AB661" t="str">
        <f>VLOOKUP(E:E,笔记匹配!A:N,3,FALSE)</f>
        <v>元气芥末酱</v>
      </c>
      <c r="AC661" t="str">
        <f>VLOOKUP(E:E,笔记匹配!A:N,2,FALSE)</f>
        <v>筋膜枪</v>
      </c>
      <c r="AD661" t="str">
        <f>VLOOKUP(E:E,笔记匹配!A:N,4,FALSE)</f>
        <v>云麦筋膜枪PB2</v>
      </c>
      <c r="AE661" t="str">
        <f>VLOOKUP(E:E,笔记匹配!A:N,14,FALSE)</f>
        <v>云麦筋膜枪pb2</v>
      </c>
      <c r="AF661" t="str">
        <f>VLOOKUP(E:E,笔记匹配!A:N,6,FALSE)</f>
        <v>小腿粗的姐妹信我！肌肉腿就要这样按！</v>
      </c>
    </row>
    <row r="662" spans="1:32">
      <c r="A662" s="18" t="s">
        <v>101</v>
      </c>
      <c r="B662" s="18" t="s">
        <v>1200</v>
      </c>
      <c r="C662" s="19">
        <v>19106392</v>
      </c>
      <c r="D662" s="18" t="s">
        <v>209</v>
      </c>
      <c r="E662" s="18" t="s">
        <v>581</v>
      </c>
      <c r="F662" s="18" t="s">
        <v>1201</v>
      </c>
      <c r="G662" s="19">
        <v>4083919</v>
      </c>
      <c r="H662" s="18" t="s">
        <v>1201</v>
      </c>
      <c r="I662" s="19">
        <v>3466445</v>
      </c>
      <c r="J662" s="18" t="s">
        <v>1015</v>
      </c>
      <c r="K662" s="19">
        <v>51.13</v>
      </c>
      <c r="L662" s="19">
        <v>6277</v>
      </c>
      <c r="M662" s="19">
        <v>145</v>
      </c>
      <c r="N662" s="20">
        <v>0.0231</v>
      </c>
      <c r="O662" s="19">
        <v>0.35</v>
      </c>
      <c r="P662" s="19">
        <v>8.15</v>
      </c>
      <c r="Q662" s="19">
        <v>2</v>
      </c>
      <c r="R662" s="19">
        <v>0</v>
      </c>
      <c r="S662" s="19">
        <v>3</v>
      </c>
      <c r="T662" s="19">
        <v>1</v>
      </c>
      <c r="U662" s="19">
        <v>0</v>
      </c>
      <c r="V662" s="19">
        <v>6</v>
      </c>
      <c r="W662" s="19">
        <v>8.52</v>
      </c>
      <c r="X662" s="19">
        <v>3</v>
      </c>
      <c r="Y662" s="20">
        <v>0.0207</v>
      </c>
      <c r="Z662" s="19">
        <v>0</v>
      </c>
      <c r="AA662" s="19">
        <v>1</v>
      </c>
      <c r="AB662" t="str">
        <f>VLOOKUP(E:E,笔记匹配!A:N,3,FALSE)</f>
        <v>木子棋Kiki</v>
      </c>
      <c r="AC662" t="str">
        <f>VLOOKUP(E:E,笔记匹配!A:N,2,FALSE)</f>
        <v>筋膜枪</v>
      </c>
      <c r="AD662" t="str">
        <f>VLOOKUP(E:E,笔记匹配!A:N,4,FALSE)</f>
        <v>云麦筋膜枪PB2</v>
      </c>
      <c r="AE662" t="str">
        <f>VLOOKUP(E:E,笔记匹配!A:N,14,FALSE)</f>
        <v>云麦筋膜枪pb2</v>
      </c>
      <c r="AF662" t="str">
        <f>VLOOKUP(E:E,笔记匹配!A:N,6,FALSE)</f>
        <v>筋膜枪要怎么选❓3款不同类型筋膜枪测评‼️</v>
      </c>
    </row>
    <row r="663" spans="1:32">
      <c r="A663" s="18" t="s">
        <v>101</v>
      </c>
      <c r="B663" s="18" t="s">
        <v>1200</v>
      </c>
      <c r="C663" s="19">
        <v>19106863</v>
      </c>
      <c r="D663" s="18" t="s">
        <v>209</v>
      </c>
      <c r="E663" s="18" t="s">
        <v>201</v>
      </c>
      <c r="F663" s="18" t="s">
        <v>1202</v>
      </c>
      <c r="G663" s="19">
        <v>4084168</v>
      </c>
      <c r="H663" s="18" t="s">
        <v>1202</v>
      </c>
      <c r="I663" s="19">
        <v>3466674</v>
      </c>
      <c r="J663" s="18" t="s">
        <v>1015</v>
      </c>
      <c r="K663" s="19">
        <v>218.84</v>
      </c>
      <c r="L663" s="19">
        <v>31643</v>
      </c>
      <c r="M663" s="19">
        <v>772</v>
      </c>
      <c r="N663" s="20">
        <v>0.0244</v>
      </c>
      <c r="O663" s="19">
        <v>0.28</v>
      </c>
      <c r="P663" s="19">
        <v>6.92</v>
      </c>
      <c r="Q663" s="19">
        <v>20</v>
      </c>
      <c r="R663" s="19">
        <v>2</v>
      </c>
      <c r="S663" s="19">
        <v>8</v>
      </c>
      <c r="T663" s="19">
        <v>1</v>
      </c>
      <c r="U663" s="19">
        <v>1</v>
      </c>
      <c r="V663" s="19">
        <v>32</v>
      </c>
      <c r="W663" s="19">
        <v>6.84</v>
      </c>
      <c r="X663" s="19">
        <v>5</v>
      </c>
      <c r="Y663" s="20">
        <v>0.0065</v>
      </c>
      <c r="Z663" s="19">
        <v>5</v>
      </c>
      <c r="AA663" s="19">
        <v>2</v>
      </c>
      <c r="AB663" t="str">
        <f>VLOOKUP(E:E,笔记匹配!A:N,3,FALSE)</f>
        <v>包子熟了</v>
      </c>
      <c r="AC663" t="str">
        <f>VLOOKUP(E:E,笔记匹配!A:N,2,FALSE)</f>
        <v>筋膜枪</v>
      </c>
      <c r="AD663" t="str">
        <f>VLOOKUP(E:E,笔记匹配!A:N,4,FALSE)</f>
        <v>云麦筋膜枪</v>
      </c>
      <c r="AE663" t="str">
        <f>VLOOKUP(E:E,笔记匹配!A:N,14,FALSE)</f>
        <v>云麦筋膜枪pb2</v>
      </c>
      <c r="AF663" t="str">
        <f>VLOOKUP(E:E,笔记匹配!A:N,6,FALSE)</f>
        <v>筋膜枪测评|健身小白如何挑选筋膜枪？</v>
      </c>
    </row>
    <row r="664" spans="1:32">
      <c r="A664" s="18" t="s">
        <v>101</v>
      </c>
      <c r="B664" s="18" t="s">
        <v>1200</v>
      </c>
      <c r="C664" s="19">
        <v>19106999</v>
      </c>
      <c r="D664" s="18" t="s">
        <v>196</v>
      </c>
      <c r="E664" s="18" t="s">
        <v>205</v>
      </c>
      <c r="F664" s="18" t="s">
        <v>1203</v>
      </c>
      <c r="G664" s="19">
        <v>4084260</v>
      </c>
      <c r="H664" s="18" t="s">
        <v>1203</v>
      </c>
      <c r="I664" s="19">
        <v>3466751</v>
      </c>
      <c r="J664" s="18" t="s">
        <v>1015</v>
      </c>
      <c r="K664" s="19">
        <v>1042.41</v>
      </c>
      <c r="L664" s="19">
        <v>29992</v>
      </c>
      <c r="M664" s="19">
        <v>1519</v>
      </c>
      <c r="N664" s="20">
        <v>0.0506</v>
      </c>
      <c r="O664" s="19">
        <v>0.69</v>
      </c>
      <c r="P664" s="19">
        <v>34.76</v>
      </c>
      <c r="Q664" s="19">
        <v>44</v>
      </c>
      <c r="R664" s="19">
        <v>0</v>
      </c>
      <c r="S664" s="19">
        <v>28</v>
      </c>
      <c r="T664" s="19">
        <v>10</v>
      </c>
      <c r="U664" s="19">
        <v>4</v>
      </c>
      <c r="V664" s="19">
        <v>86</v>
      </c>
      <c r="W664" s="19">
        <v>12.12</v>
      </c>
      <c r="X664" s="19">
        <v>0</v>
      </c>
      <c r="Y664" s="20">
        <v>0</v>
      </c>
      <c r="Z664" s="19">
        <v>0</v>
      </c>
      <c r="AA664" s="19">
        <v>0</v>
      </c>
      <c r="AB664" t="str">
        <f>VLOOKUP(E:E,笔记匹配!A:N,3,FALSE)</f>
        <v>马可乐cora</v>
      </c>
      <c r="AC664" t="str">
        <f>VLOOKUP(E:E,笔记匹配!A:N,2,FALSE)</f>
        <v>筋膜枪</v>
      </c>
      <c r="AD664" t="str">
        <f>VLOOKUP(E:E,笔记匹配!A:N,4,FALSE)</f>
        <v>云麦筋膜枪PB2</v>
      </c>
      <c r="AE664" t="str">
        <f>VLOOKUP(E:E,笔记匹配!A:N,14,FALSE)</f>
        <v>云麦筋膜枪pb2</v>
      </c>
      <c r="AF664" t="str">
        <f>VLOOKUP(E:E,笔记匹配!A:N,6,FALSE)</f>
        <v>跳操的姐妹听我的用筋膜枪放松下肢真的有用</v>
      </c>
    </row>
    <row r="665" spans="1:32">
      <c r="A665" s="18" t="s">
        <v>102</v>
      </c>
      <c r="B665" s="18" t="s">
        <v>1164</v>
      </c>
      <c r="C665" s="19">
        <v>18170615</v>
      </c>
      <c r="D665" s="18" t="s">
        <v>209</v>
      </c>
      <c r="E665" s="18" t="s">
        <v>205</v>
      </c>
      <c r="F665" s="18" t="s">
        <v>1165</v>
      </c>
      <c r="G665" s="19">
        <v>3639848</v>
      </c>
      <c r="H665" s="18" t="s">
        <v>1166</v>
      </c>
      <c r="I665" s="19">
        <v>3024741</v>
      </c>
      <c r="J665" s="18" t="s">
        <v>1015</v>
      </c>
      <c r="K665" s="19">
        <v>0</v>
      </c>
      <c r="L665" s="19">
        <v>0</v>
      </c>
      <c r="M665" s="19">
        <v>0</v>
      </c>
      <c r="N665" s="20">
        <v>0</v>
      </c>
      <c r="O665" s="19">
        <v>0</v>
      </c>
      <c r="P665" s="19">
        <v>0</v>
      </c>
      <c r="Q665" s="19">
        <v>0</v>
      </c>
      <c r="R665" s="19">
        <v>0</v>
      </c>
      <c r="S665" s="19">
        <v>0</v>
      </c>
      <c r="T665" s="19">
        <v>0</v>
      </c>
      <c r="U665" s="19">
        <v>0</v>
      </c>
      <c r="V665" s="19">
        <v>0</v>
      </c>
      <c r="W665" s="19">
        <v>0</v>
      </c>
      <c r="X665" s="19">
        <v>0</v>
      </c>
      <c r="Y665" s="20">
        <v>0</v>
      </c>
      <c r="Z665" s="19">
        <v>0</v>
      </c>
      <c r="AA665" s="19">
        <v>0</v>
      </c>
      <c r="AB665" t="str">
        <f>VLOOKUP(E:E,笔记匹配!A:N,3,FALSE)</f>
        <v>马可乐cora</v>
      </c>
      <c r="AC665" t="str">
        <f>VLOOKUP(E:E,笔记匹配!A:N,2,FALSE)</f>
        <v>筋膜枪</v>
      </c>
      <c r="AD665" t="str">
        <f>VLOOKUP(E:E,笔记匹配!A:N,4,FALSE)</f>
        <v>云麦筋膜枪PB2</v>
      </c>
      <c r="AE665" t="str">
        <f>VLOOKUP(E:E,笔记匹配!A:N,14,FALSE)</f>
        <v>云麦筋膜枪pb2</v>
      </c>
      <c r="AF665" t="str">
        <f>VLOOKUP(E:E,笔记匹配!A:N,6,FALSE)</f>
        <v>跳操的姐妹听我的用筋膜枪放松下肢真的有用</v>
      </c>
    </row>
    <row r="666" spans="1:32">
      <c r="A666" s="18" t="s">
        <v>102</v>
      </c>
      <c r="B666" s="18" t="s">
        <v>1167</v>
      </c>
      <c r="C666" s="19">
        <v>18224197</v>
      </c>
      <c r="D666" s="18" t="s">
        <v>209</v>
      </c>
      <c r="E666" s="18" t="s">
        <v>300</v>
      </c>
      <c r="F666" s="18" t="s">
        <v>1168</v>
      </c>
      <c r="G666" s="19">
        <v>3665138</v>
      </c>
      <c r="H666" s="18" t="s">
        <v>1168</v>
      </c>
      <c r="I666" s="19">
        <v>3050231</v>
      </c>
      <c r="J666" s="18" t="s">
        <v>1015</v>
      </c>
      <c r="K666" s="19">
        <v>0</v>
      </c>
      <c r="L666" s="19">
        <v>0</v>
      </c>
      <c r="M666" s="19">
        <v>0</v>
      </c>
      <c r="N666" s="20">
        <v>0</v>
      </c>
      <c r="O666" s="19">
        <v>0</v>
      </c>
      <c r="P666" s="19">
        <v>0</v>
      </c>
      <c r="Q666" s="19">
        <v>0</v>
      </c>
      <c r="R666" s="19">
        <v>0</v>
      </c>
      <c r="S666" s="19">
        <v>0</v>
      </c>
      <c r="T666" s="19">
        <v>0</v>
      </c>
      <c r="U666" s="19">
        <v>0</v>
      </c>
      <c r="V666" s="19">
        <v>0</v>
      </c>
      <c r="W666" s="19">
        <v>0</v>
      </c>
      <c r="X666" s="19">
        <v>0</v>
      </c>
      <c r="Y666" s="20">
        <v>0</v>
      </c>
      <c r="Z666" s="19">
        <v>0</v>
      </c>
      <c r="AA666" s="19">
        <v>0</v>
      </c>
      <c r="AB666" t="str">
        <f>VLOOKUP(E:E,笔记匹配!A:N,3,FALSE)</f>
        <v>朱俊畅</v>
      </c>
      <c r="AC666" t="str">
        <f>VLOOKUP(E:E,笔记匹配!A:N,2,FALSE)</f>
        <v>筋膜枪</v>
      </c>
      <c r="AD666" t="str">
        <f>VLOOKUP(E:E,笔记匹配!A:N,4,FALSE)</f>
        <v>云麦筋膜枪PB2</v>
      </c>
      <c r="AE666" t="str">
        <f>VLOOKUP(E:E,笔记匹配!A:N,14,FALSE)</f>
        <v>云麦筋膜枪pb2</v>
      </c>
      <c r="AF666" t="str">
        <f>VLOOKUP(E:E,笔记匹配!A:N,6,FALSE)</f>
        <v>打球完容易肌肉酸痛，筋膜枪放松更有效！</v>
      </c>
    </row>
    <row r="667" spans="1:32">
      <c r="A667" s="18" t="s">
        <v>102</v>
      </c>
      <c r="B667" s="18" t="s">
        <v>1184</v>
      </c>
      <c r="C667" s="19">
        <v>18646457</v>
      </c>
      <c r="D667" s="18" t="s">
        <v>209</v>
      </c>
      <c r="E667" s="18" t="s">
        <v>395</v>
      </c>
      <c r="F667" s="18" t="s">
        <v>1186</v>
      </c>
      <c r="G667" s="19">
        <v>3870563</v>
      </c>
      <c r="H667" s="18" t="s">
        <v>1186</v>
      </c>
      <c r="I667" s="19">
        <v>3255634</v>
      </c>
      <c r="J667" s="18" t="s">
        <v>1015</v>
      </c>
      <c r="K667" s="19">
        <v>0</v>
      </c>
      <c r="L667" s="19">
        <v>0</v>
      </c>
      <c r="M667" s="19">
        <v>0</v>
      </c>
      <c r="N667" s="20">
        <v>0</v>
      </c>
      <c r="O667" s="19">
        <v>0</v>
      </c>
      <c r="P667" s="19">
        <v>0</v>
      </c>
      <c r="Q667" s="19">
        <v>0</v>
      </c>
      <c r="R667" s="19">
        <v>0</v>
      </c>
      <c r="S667" s="19">
        <v>0</v>
      </c>
      <c r="T667" s="19">
        <v>0</v>
      </c>
      <c r="U667" s="19">
        <v>0</v>
      </c>
      <c r="V667" s="19">
        <v>0</v>
      </c>
      <c r="W667" s="19">
        <v>0</v>
      </c>
      <c r="X667" s="19">
        <v>0</v>
      </c>
      <c r="Y667" s="20">
        <v>0</v>
      </c>
      <c r="Z667" s="19">
        <v>0</v>
      </c>
      <c r="AA667" s="19">
        <v>0</v>
      </c>
      <c r="AB667" t="str">
        <f>VLOOKUP(E:E,笔记匹配!A:N,3,FALSE)</f>
        <v>月亮起床了</v>
      </c>
      <c r="AC667" t="str">
        <f>VLOOKUP(E:E,笔记匹配!A:N,2,FALSE)</f>
        <v>筋膜枪</v>
      </c>
      <c r="AD667" t="str">
        <f>VLOOKUP(E:E,笔记匹配!A:N,4,FALSE)</f>
        <v>云麦筋膜枪pb2</v>
      </c>
      <c r="AE667" t="str">
        <f>VLOOKUP(E:E,笔记匹配!A:N,14,FALSE)</f>
        <v>云麦筋膜枪pb2</v>
      </c>
      <c r="AF667" t="str">
        <f>VLOOKUP(E:E,笔记匹配!A:N,6,FALSE)</f>
        <v>超强瘦🦵绝招，记得用筋膜枪放松</v>
      </c>
    </row>
    <row r="668" spans="1:32">
      <c r="A668" s="18" t="s">
        <v>102</v>
      </c>
      <c r="B668" s="18" t="s">
        <v>1189</v>
      </c>
      <c r="C668" s="19">
        <v>19010467</v>
      </c>
      <c r="D668" s="18" t="s">
        <v>209</v>
      </c>
      <c r="E668" s="18" t="s">
        <v>300</v>
      </c>
      <c r="F668" s="18" t="s">
        <v>1191</v>
      </c>
      <c r="G668" s="19">
        <v>4039162</v>
      </c>
      <c r="H668" s="18" t="s">
        <v>1191</v>
      </c>
      <c r="I668" s="19">
        <v>3422446</v>
      </c>
      <c r="J668" s="18" t="s">
        <v>1015</v>
      </c>
      <c r="K668" s="19">
        <v>0</v>
      </c>
      <c r="L668" s="19">
        <v>0</v>
      </c>
      <c r="M668" s="19">
        <v>0</v>
      </c>
      <c r="N668" s="20">
        <v>0</v>
      </c>
      <c r="O668" s="19">
        <v>0</v>
      </c>
      <c r="P668" s="19">
        <v>0</v>
      </c>
      <c r="Q668" s="19">
        <v>0</v>
      </c>
      <c r="R668" s="19">
        <v>0</v>
      </c>
      <c r="S668" s="19">
        <v>0</v>
      </c>
      <c r="T668" s="19">
        <v>0</v>
      </c>
      <c r="U668" s="19">
        <v>0</v>
      </c>
      <c r="V668" s="19">
        <v>0</v>
      </c>
      <c r="W668" s="19">
        <v>0</v>
      </c>
      <c r="X668" s="19">
        <v>0</v>
      </c>
      <c r="Y668" s="20">
        <v>0</v>
      </c>
      <c r="Z668" s="19">
        <v>0</v>
      </c>
      <c r="AA668" s="19">
        <v>0</v>
      </c>
      <c r="AB668" t="str">
        <f>VLOOKUP(E:E,笔记匹配!A:N,3,FALSE)</f>
        <v>朱俊畅</v>
      </c>
      <c r="AC668" t="str">
        <f>VLOOKUP(E:E,笔记匹配!A:N,2,FALSE)</f>
        <v>筋膜枪</v>
      </c>
      <c r="AD668" t="str">
        <f>VLOOKUP(E:E,笔记匹配!A:N,4,FALSE)</f>
        <v>云麦筋膜枪PB2</v>
      </c>
      <c r="AE668" t="str">
        <f>VLOOKUP(E:E,笔记匹配!A:N,14,FALSE)</f>
        <v>云麦筋膜枪pb2</v>
      </c>
      <c r="AF668" t="str">
        <f>VLOOKUP(E:E,笔记匹配!A:N,6,FALSE)</f>
        <v>打球完容易肌肉酸痛，筋膜枪放松更有效！</v>
      </c>
    </row>
    <row r="669" spans="1:32">
      <c r="A669" s="18" t="s">
        <v>102</v>
      </c>
      <c r="B669" s="18" t="s">
        <v>1189</v>
      </c>
      <c r="C669" s="19">
        <v>19010569</v>
      </c>
      <c r="D669" s="18" t="s">
        <v>209</v>
      </c>
      <c r="E669" s="18" t="s">
        <v>400</v>
      </c>
      <c r="F669" s="18" t="s">
        <v>1192</v>
      </c>
      <c r="G669" s="19">
        <v>4039210</v>
      </c>
      <c r="H669" s="18" t="s">
        <v>1192</v>
      </c>
      <c r="I669" s="19">
        <v>3422478</v>
      </c>
      <c r="J669" s="18" t="s">
        <v>1015</v>
      </c>
      <c r="K669" s="19">
        <v>0</v>
      </c>
      <c r="L669" s="19">
        <v>0</v>
      </c>
      <c r="M669" s="19">
        <v>0</v>
      </c>
      <c r="N669" s="20">
        <v>0</v>
      </c>
      <c r="O669" s="19">
        <v>0</v>
      </c>
      <c r="P669" s="19">
        <v>0</v>
      </c>
      <c r="Q669" s="19">
        <v>0</v>
      </c>
      <c r="R669" s="19">
        <v>0</v>
      </c>
      <c r="S669" s="19">
        <v>0</v>
      </c>
      <c r="T669" s="19">
        <v>0</v>
      </c>
      <c r="U669" s="19">
        <v>0</v>
      </c>
      <c r="V669" s="19">
        <v>0</v>
      </c>
      <c r="W669" s="19">
        <v>0</v>
      </c>
      <c r="X669" s="19">
        <v>0</v>
      </c>
      <c r="Y669" s="20">
        <v>0</v>
      </c>
      <c r="Z669" s="19">
        <v>0</v>
      </c>
      <c r="AA669" s="19">
        <v>0</v>
      </c>
      <c r="AB669" t="str">
        <f>VLOOKUP(E:E,笔记匹配!A:N,3,FALSE)</f>
        <v>小雪教瑜伽</v>
      </c>
      <c r="AC669" t="str">
        <f>VLOOKUP(E:E,笔记匹配!A:N,2,FALSE)</f>
        <v>筋膜枪</v>
      </c>
      <c r="AD669" t="str">
        <f>VLOOKUP(E:E,笔记匹配!A:N,4,FALSE)</f>
        <v>云麦筋膜枪cc</v>
      </c>
      <c r="AE669" t="str">
        <f>VLOOKUP(E:E,笔记匹配!A:N,14,FALSE)</f>
        <v>云麦筋膜枪cc</v>
      </c>
      <c r="AF669" t="str">
        <f>VLOOKUP(E:E,笔记匹配!A:N,6,FALSE)</f>
        <v>瘦肌肉腿必备&amp;筋膜枪按摩跟练教程</v>
      </c>
    </row>
    <row r="670" spans="1:32">
      <c r="A670" s="18" t="s">
        <v>102</v>
      </c>
      <c r="B670" s="18" t="s">
        <v>1196</v>
      </c>
      <c r="C670" s="19">
        <v>19054497</v>
      </c>
      <c r="D670" s="18" t="s">
        <v>209</v>
      </c>
      <c r="E670" s="18" t="s">
        <v>452</v>
      </c>
      <c r="F670" s="18" t="s">
        <v>1198</v>
      </c>
      <c r="G670" s="19">
        <v>4059827</v>
      </c>
      <c r="H670" s="18" t="s">
        <v>1198</v>
      </c>
      <c r="I670" s="19">
        <v>3442591</v>
      </c>
      <c r="J670" s="18" t="s">
        <v>1015</v>
      </c>
      <c r="K670" s="19">
        <v>0</v>
      </c>
      <c r="L670" s="19">
        <v>0</v>
      </c>
      <c r="M670" s="19">
        <v>0</v>
      </c>
      <c r="N670" s="20">
        <v>0</v>
      </c>
      <c r="O670" s="19">
        <v>0</v>
      </c>
      <c r="P670" s="19">
        <v>0</v>
      </c>
      <c r="Q670" s="19">
        <v>0</v>
      </c>
      <c r="R670" s="19">
        <v>0</v>
      </c>
      <c r="S670" s="19">
        <v>0</v>
      </c>
      <c r="T670" s="19">
        <v>0</v>
      </c>
      <c r="U670" s="19">
        <v>0</v>
      </c>
      <c r="V670" s="19">
        <v>0</v>
      </c>
      <c r="W670" s="19">
        <v>0</v>
      </c>
      <c r="X670" s="19">
        <v>0</v>
      </c>
      <c r="Y670" s="20">
        <v>0</v>
      </c>
      <c r="Z670" s="19">
        <v>0</v>
      </c>
      <c r="AA670" s="19">
        <v>0</v>
      </c>
      <c r="AB670" t="str">
        <f>VLOOKUP(E:E,笔记匹配!A:N,3,FALSE)</f>
        <v>Bruce小厮</v>
      </c>
      <c r="AC670" t="str">
        <f>VLOOKUP(E:E,笔记匹配!A:N,2,FALSE)</f>
        <v>筋膜枪</v>
      </c>
      <c r="AD670" t="str">
        <f>VLOOKUP(E:E,笔记匹配!A:N,4,FALSE)</f>
        <v>云麦筋膜枪PB2</v>
      </c>
      <c r="AE670" t="str">
        <f>VLOOKUP(E:E,笔记匹配!A:N,14,FALSE)</f>
        <v>云麦筋膜枪pb2</v>
      </c>
      <c r="AF670" t="str">
        <f>VLOOKUP(E:E,笔记匹配!A:N,6,FALSE)</f>
        <v>女生练球后如何拉伸按摩，筋膜枪放松！！</v>
      </c>
    </row>
    <row r="671" spans="1:32">
      <c r="A671" s="18" t="s">
        <v>102</v>
      </c>
      <c r="B671" s="18" t="s">
        <v>1200</v>
      </c>
      <c r="C671" s="19">
        <v>19106392</v>
      </c>
      <c r="D671" s="18" t="s">
        <v>209</v>
      </c>
      <c r="E671" s="18" t="s">
        <v>581</v>
      </c>
      <c r="F671" s="18" t="s">
        <v>1201</v>
      </c>
      <c r="G671" s="19">
        <v>4083919</v>
      </c>
      <c r="H671" s="18" t="s">
        <v>1201</v>
      </c>
      <c r="I671" s="19">
        <v>3466445</v>
      </c>
      <c r="J671" s="18" t="s">
        <v>1015</v>
      </c>
      <c r="K671" s="19">
        <v>429.77</v>
      </c>
      <c r="L671" s="19">
        <v>46271</v>
      </c>
      <c r="M671" s="19">
        <v>1158</v>
      </c>
      <c r="N671" s="20">
        <v>0.025</v>
      </c>
      <c r="O671" s="19">
        <v>0.37</v>
      </c>
      <c r="P671" s="19">
        <v>9.29</v>
      </c>
      <c r="Q671" s="19">
        <v>47</v>
      </c>
      <c r="R671" s="19">
        <v>1</v>
      </c>
      <c r="S671" s="19">
        <v>20</v>
      </c>
      <c r="T671" s="19">
        <v>0</v>
      </c>
      <c r="U671" s="19">
        <v>0</v>
      </c>
      <c r="V671" s="19">
        <v>68</v>
      </c>
      <c r="W671" s="19">
        <v>6.32</v>
      </c>
      <c r="X671" s="19">
        <v>12</v>
      </c>
      <c r="Y671" s="20">
        <v>0.0104</v>
      </c>
      <c r="Z671" s="19">
        <v>1</v>
      </c>
      <c r="AA671" s="19">
        <v>2</v>
      </c>
      <c r="AB671" t="str">
        <f>VLOOKUP(E:E,笔记匹配!A:N,3,FALSE)</f>
        <v>木子棋Kiki</v>
      </c>
      <c r="AC671" t="str">
        <f>VLOOKUP(E:E,笔记匹配!A:N,2,FALSE)</f>
        <v>筋膜枪</v>
      </c>
      <c r="AD671" t="str">
        <f>VLOOKUP(E:E,笔记匹配!A:N,4,FALSE)</f>
        <v>云麦筋膜枪PB2</v>
      </c>
      <c r="AE671" t="str">
        <f>VLOOKUP(E:E,笔记匹配!A:N,14,FALSE)</f>
        <v>云麦筋膜枪pb2</v>
      </c>
      <c r="AF671" t="str">
        <f>VLOOKUP(E:E,笔记匹配!A:N,6,FALSE)</f>
        <v>筋膜枪要怎么选❓3款不同类型筋膜枪测评‼️</v>
      </c>
    </row>
    <row r="672" spans="1:32">
      <c r="A672" s="18" t="s">
        <v>102</v>
      </c>
      <c r="B672" s="18" t="s">
        <v>1200</v>
      </c>
      <c r="C672" s="19">
        <v>19106863</v>
      </c>
      <c r="D672" s="18" t="s">
        <v>209</v>
      </c>
      <c r="E672" s="18" t="s">
        <v>201</v>
      </c>
      <c r="F672" s="18" t="s">
        <v>1202</v>
      </c>
      <c r="G672" s="19">
        <v>4084168</v>
      </c>
      <c r="H672" s="18" t="s">
        <v>1202</v>
      </c>
      <c r="I672" s="19">
        <v>3466674</v>
      </c>
      <c r="J672" s="18" t="s">
        <v>1015</v>
      </c>
      <c r="K672" s="19">
        <v>997.47</v>
      </c>
      <c r="L672" s="19">
        <v>140024</v>
      </c>
      <c r="M672" s="19">
        <v>3915</v>
      </c>
      <c r="N672" s="20">
        <v>0.028</v>
      </c>
      <c r="O672" s="19">
        <v>0.25</v>
      </c>
      <c r="P672" s="19">
        <v>7.12</v>
      </c>
      <c r="Q672" s="19">
        <v>116</v>
      </c>
      <c r="R672" s="19">
        <v>4</v>
      </c>
      <c r="S672" s="19">
        <v>43</v>
      </c>
      <c r="T672" s="19">
        <v>0</v>
      </c>
      <c r="U672" s="19">
        <v>10</v>
      </c>
      <c r="V672" s="19">
        <v>173</v>
      </c>
      <c r="W672" s="19">
        <v>5.77</v>
      </c>
      <c r="X672" s="19">
        <v>17</v>
      </c>
      <c r="Y672" s="20">
        <v>0.0043</v>
      </c>
      <c r="Z672" s="19">
        <v>6</v>
      </c>
      <c r="AA672" s="19">
        <v>4</v>
      </c>
      <c r="AB672" t="str">
        <f>VLOOKUP(E:E,笔记匹配!A:N,3,FALSE)</f>
        <v>包子熟了</v>
      </c>
      <c r="AC672" t="str">
        <f>VLOOKUP(E:E,笔记匹配!A:N,2,FALSE)</f>
        <v>筋膜枪</v>
      </c>
      <c r="AD672" t="str">
        <f>VLOOKUP(E:E,笔记匹配!A:N,4,FALSE)</f>
        <v>云麦筋膜枪</v>
      </c>
      <c r="AE672" t="str">
        <f>VLOOKUP(E:E,笔记匹配!A:N,14,FALSE)</f>
        <v>云麦筋膜枪pb2</v>
      </c>
      <c r="AF672" t="str">
        <f>VLOOKUP(E:E,笔记匹配!A:N,6,FALSE)</f>
        <v>筋膜枪测评|健身小白如何挑选筋膜枪？</v>
      </c>
    </row>
    <row r="673" spans="1:32">
      <c r="A673" s="18" t="s">
        <v>102</v>
      </c>
      <c r="B673" s="18" t="s">
        <v>1200</v>
      </c>
      <c r="C673" s="19">
        <v>19106999</v>
      </c>
      <c r="D673" s="18" t="s">
        <v>196</v>
      </c>
      <c r="E673" s="18" t="s">
        <v>205</v>
      </c>
      <c r="F673" s="18" t="s">
        <v>1203</v>
      </c>
      <c r="G673" s="19">
        <v>4084260</v>
      </c>
      <c r="H673" s="18" t="s">
        <v>1203</v>
      </c>
      <c r="I673" s="19">
        <v>3466751</v>
      </c>
      <c r="J673" s="18" t="s">
        <v>1015</v>
      </c>
      <c r="K673" s="19">
        <v>474.01</v>
      </c>
      <c r="L673" s="19">
        <v>11697</v>
      </c>
      <c r="M673" s="19">
        <v>471</v>
      </c>
      <c r="N673" s="20">
        <v>0.0403</v>
      </c>
      <c r="O673" s="19">
        <v>1.01</v>
      </c>
      <c r="P673" s="19">
        <v>40.52</v>
      </c>
      <c r="Q673" s="19">
        <v>16</v>
      </c>
      <c r="R673" s="19">
        <v>1</v>
      </c>
      <c r="S673" s="19">
        <v>15</v>
      </c>
      <c r="T673" s="19">
        <v>1</v>
      </c>
      <c r="U673" s="19">
        <v>1</v>
      </c>
      <c r="V673" s="19">
        <v>34</v>
      </c>
      <c r="W673" s="19">
        <v>13.94</v>
      </c>
      <c r="X673" s="19">
        <v>0</v>
      </c>
      <c r="Y673" s="20">
        <v>0</v>
      </c>
      <c r="Z673" s="19">
        <v>0</v>
      </c>
      <c r="AA673" s="19">
        <v>0</v>
      </c>
      <c r="AB673" t="str">
        <f>VLOOKUP(E:E,笔记匹配!A:N,3,FALSE)</f>
        <v>马可乐cora</v>
      </c>
      <c r="AC673" t="str">
        <f>VLOOKUP(E:E,笔记匹配!A:N,2,FALSE)</f>
        <v>筋膜枪</v>
      </c>
      <c r="AD673" t="str">
        <f>VLOOKUP(E:E,笔记匹配!A:N,4,FALSE)</f>
        <v>云麦筋膜枪PB2</v>
      </c>
      <c r="AE673" t="str">
        <f>VLOOKUP(E:E,笔记匹配!A:N,14,FALSE)</f>
        <v>云麦筋膜枪pb2</v>
      </c>
      <c r="AF673" t="str">
        <f>VLOOKUP(E:E,笔记匹配!A:N,6,FALSE)</f>
        <v>跳操的姐妹听我的用筋膜枪放松下肢真的有用</v>
      </c>
    </row>
    <row r="674" spans="1:32">
      <c r="A674" s="18" t="s">
        <v>103</v>
      </c>
      <c r="B674" s="18" t="s">
        <v>1164</v>
      </c>
      <c r="C674" s="19">
        <v>18170615</v>
      </c>
      <c r="D674" s="18" t="s">
        <v>209</v>
      </c>
      <c r="E674" s="18" t="s">
        <v>205</v>
      </c>
      <c r="F674" s="18" t="s">
        <v>1165</v>
      </c>
      <c r="G674" s="19">
        <v>3639848</v>
      </c>
      <c r="H674" s="18" t="s">
        <v>1166</v>
      </c>
      <c r="I674" s="19">
        <v>3024741</v>
      </c>
      <c r="J674" s="18" t="s">
        <v>1015</v>
      </c>
      <c r="K674" s="19">
        <v>0</v>
      </c>
      <c r="L674" s="19">
        <v>0</v>
      </c>
      <c r="M674" s="19">
        <v>0</v>
      </c>
      <c r="N674" s="20">
        <v>0</v>
      </c>
      <c r="O674" s="19">
        <v>0</v>
      </c>
      <c r="P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0</v>
      </c>
      <c r="V674" s="19">
        <v>0</v>
      </c>
      <c r="W674" s="19">
        <v>0</v>
      </c>
      <c r="X674" s="19">
        <v>0</v>
      </c>
      <c r="Y674" s="20">
        <v>0</v>
      </c>
      <c r="Z674" s="19">
        <v>0</v>
      </c>
      <c r="AA674" s="19">
        <v>0</v>
      </c>
      <c r="AB674" t="str">
        <f>VLOOKUP(E:E,笔记匹配!A:N,3,FALSE)</f>
        <v>马可乐cora</v>
      </c>
      <c r="AC674" t="str">
        <f>VLOOKUP(E:E,笔记匹配!A:N,2,FALSE)</f>
        <v>筋膜枪</v>
      </c>
      <c r="AD674" t="str">
        <f>VLOOKUP(E:E,笔记匹配!A:N,4,FALSE)</f>
        <v>云麦筋膜枪PB2</v>
      </c>
      <c r="AE674" t="str">
        <f>VLOOKUP(E:E,笔记匹配!A:N,14,FALSE)</f>
        <v>云麦筋膜枪pb2</v>
      </c>
      <c r="AF674" t="str">
        <f>VLOOKUP(E:E,笔记匹配!A:N,6,FALSE)</f>
        <v>跳操的姐妹听我的用筋膜枪放松下肢真的有用</v>
      </c>
    </row>
    <row r="675" spans="1:32">
      <c r="A675" s="18" t="s">
        <v>103</v>
      </c>
      <c r="B675" s="18" t="s">
        <v>1181</v>
      </c>
      <c r="C675" s="19">
        <v>18606961</v>
      </c>
      <c r="D675" s="18" t="s">
        <v>209</v>
      </c>
      <c r="E675" s="18" t="s">
        <v>289</v>
      </c>
      <c r="F675" s="18" t="s">
        <v>1183</v>
      </c>
      <c r="G675" s="19">
        <v>3851160</v>
      </c>
      <c r="H675" s="18" t="s">
        <v>1183</v>
      </c>
      <c r="I675" s="19">
        <v>3236289</v>
      </c>
      <c r="J675" s="18" t="s">
        <v>1015</v>
      </c>
      <c r="K675" s="19">
        <v>0</v>
      </c>
      <c r="L675" s="19">
        <v>0</v>
      </c>
      <c r="M675" s="19">
        <v>0</v>
      </c>
      <c r="N675" s="20">
        <v>0</v>
      </c>
      <c r="O675" s="19">
        <v>0</v>
      </c>
      <c r="P675" s="19">
        <v>0</v>
      </c>
      <c r="Q675" s="19">
        <v>0</v>
      </c>
      <c r="R675" s="19">
        <v>0</v>
      </c>
      <c r="S675" s="19">
        <v>0</v>
      </c>
      <c r="T675" s="19">
        <v>0</v>
      </c>
      <c r="U675" s="19">
        <v>0</v>
      </c>
      <c r="V675" s="19">
        <v>0</v>
      </c>
      <c r="W675" s="19">
        <v>0</v>
      </c>
      <c r="X675" s="19">
        <v>0</v>
      </c>
      <c r="Y675" s="20">
        <v>0</v>
      </c>
      <c r="Z675" s="19">
        <v>1</v>
      </c>
      <c r="AA675" s="19">
        <v>0</v>
      </c>
      <c r="AB675" t="str">
        <f>VLOOKUP(E:E,笔记匹配!A:N,3,FALSE)</f>
        <v>小蓝今天吃了没</v>
      </c>
      <c r="AC675" t="str">
        <f>VLOOKUP(E:E,笔记匹配!A:N,2,FALSE)</f>
        <v>筋膜枪</v>
      </c>
      <c r="AD675" t="str">
        <f>VLOOKUP(E:E,笔记匹配!A:N,4,FALSE)</f>
        <v>云麦 筋膜枪PB2</v>
      </c>
      <c r="AE675" t="str">
        <f>VLOOKUP(E:E,笔记匹配!A:N,14,FALSE)</f>
        <v>云麦筋膜枪pb2</v>
      </c>
      <c r="AF675" t="str">
        <f>VLOOKUP(E:E,笔记匹配!A:N,6,FALSE)</f>
        <v>筋膜枪正确用法！刘耕宏女孩永不认输</v>
      </c>
    </row>
    <row r="676" spans="1:32">
      <c r="A676" s="18" t="s">
        <v>103</v>
      </c>
      <c r="B676" s="18" t="s">
        <v>1189</v>
      </c>
      <c r="C676" s="19">
        <v>19010467</v>
      </c>
      <c r="D676" s="18" t="s">
        <v>209</v>
      </c>
      <c r="E676" s="18" t="s">
        <v>300</v>
      </c>
      <c r="F676" s="18" t="s">
        <v>1191</v>
      </c>
      <c r="G676" s="19">
        <v>4039162</v>
      </c>
      <c r="H676" s="18" t="s">
        <v>1191</v>
      </c>
      <c r="I676" s="19">
        <v>3422446</v>
      </c>
      <c r="J676" s="18" t="s">
        <v>1015</v>
      </c>
      <c r="K676" s="19">
        <v>0</v>
      </c>
      <c r="L676" s="19">
        <v>0</v>
      </c>
      <c r="M676" s="19">
        <v>0</v>
      </c>
      <c r="N676" s="20">
        <v>0</v>
      </c>
      <c r="O676" s="19">
        <v>0</v>
      </c>
      <c r="P676" s="19">
        <v>0</v>
      </c>
      <c r="Q676" s="19">
        <v>0</v>
      </c>
      <c r="R676" s="19">
        <v>0</v>
      </c>
      <c r="S676" s="19">
        <v>0</v>
      </c>
      <c r="T676" s="19">
        <v>0</v>
      </c>
      <c r="U676" s="19">
        <v>0</v>
      </c>
      <c r="V676" s="19">
        <v>0</v>
      </c>
      <c r="W676" s="19">
        <v>0</v>
      </c>
      <c r="X676" s="19">
        <v>0</v>
      </c>
      <c r="Y676" s="20">
        <v>0</v>
      </c>
      <c r="Z676" s="19">
        <v>0</v>
      </c>
      <c r="AA676" s="19">
        <v>0</v>
      </c>
      <c r="AB676" t="str">
        <f>VLOOKUP(E:E,笔记匹配!A:N,3,FALSE)</f>
        <v>朱俊畅</v>
      </c>
      <c r="AC676" t="str">
        <f>VLOOKUP(E:E,笔记匹配!A:N,2,FALSE)</f>
        <v>筋膜枪</v>
      </c>
      <c r="AD676" t="str">
        <f>VLOOKUP(E:E,笔记匹配!A:N,4,FALSE)</f>
        <v>云麦筋膜枪PB2</v>
      </c>
      <c r="AE676" t="str">
        <f>VLOOKUP(E:E,笔记匹配!A:N,14,FALSE)</f>
        <v>云麦筋膜枪pb2</v>
      </c>
      <c r="AF676" t="str">
        <f>VLOOKUP(E:E,笔记匹配!A:N,6,FALSE)</f>
        <v>打球完容易肌肉酸痛，筋膜枪放松更有效！</v>
      </c>
    </row>
    <row r="677" spans="1:32">
      <c r="A677" s="18" t="s">
        <v>103</v>
      </c>
      <c r="B677" s="18" t="s">
        <v>1189</v>
      </c>
      <c r="C677" s="19">
        <v>19010569</v>
      </c>
      <c r="D677" s="18" t="s">
        <v>209</v>
      </c>
      <c r="E677" s="18" t="s">
        <v>400</v>
      </c>
      <c r="F677" s="18" t="s">
        <v>1192</v>
      </c>
      <c r="G677" s="19">
        <v>4039210</v>
      </c>
      <c r="H677" s="18" t="s">
        <v>1192</v>
      </c>
      <c r="I677" s="19">
        <v>3422478</v>
      </c>
      <c r="J677" s="18" t="s">
        <v>1015</v>
      </c>
      <c r="K677" s="19">
        <v>0</v>
      </c>
      <c r="L677" s="19">
        <v>0</v>
      </c>
      <c r="M677" s="19">
        <v>0</v>
      </c>
      <c r="N677" s="20">
        <v>0</v>
      </c>
      <c r="O677" s="19">
        <v>0</v>
      </c>
      <c r="P677" s="19">
        <v>0</v>
      </c>
      <c r="Q677" s="19">
        <v>0</v>
      </c>
      <c r="R677" s="19">
        <v>0</v>
      </c>
      <c r="S677" s="19">
        <v>0</v>
      </c>
      <c r="T677" s="19">
        <v>0</v>
      </c>
      <c r="U677" s="19">
        <v>0</v>
      </c>
      <c r="V677" s="19">
        <v>0</v>
      </c>
      <c r="W677" s="19">
        <v>0</v>
      </c>
      <c r="X677" s="19">
        <v>0</v>
      </c>
      <c r="Y677" s="20">
        <v>0</v>
      </c>
      <c r="Z677" s="19">
        <v>0</v>
      </c>
      <c r="AA677" s="19">
        <v>0</v>
      </c>
      <c r="AB677" t="str">
        <f>VLOOKUP(E:E,笔记匹配!A:N,3,FALSE)</f>
        <v>小雪教瑜伽</v>
      </c>
      <c r="AC677" t="str">
        <f>VLOOKUP(E:E,笔记匹配!A:N,2,FALSE)</f>
        <v>筋膜枪</v>
      </c>
      <c r="AD677" t="str">
        <f>VLOOKUP(E:E,笔记匹配!A:N,4,FALSE)</f>
        <v>云麦筋膜枪cc</v>
      </c>
      <c r="AE677" t="str">
        <f>VLOOKUP(E:E,笔记匹配!A:N,14,FALSE)</f>
        <v>云麦筋膜枪cc</v>
      </c>
      <c r="AF677" t="str">
        <f>VLOOKUP(E:E,笔记匹配!A:N,6,FALSE)</f>
        <v>瘦肌肉腿必备&amp;筋膜枪按摩跟练教程</v>
      </c>
    </row>
    <row r="678" spans="1:32">
      <c r="A678" s="18" t="s">
        <v>103</v>
      </c>
      <c r="B678" s="18" t="s">
        <v>1196</v>
      </c>
      <c r="C678" s="19">
        <v>19054447</v>
      </c>
      <c r="D678" s="18" t="s">
        <v>209</v>
      </c>
      <c r="E678" s="18" t="s">
        <v>382</v>
      </c>
      <c r="F678" s="18" t="s">
        <v>1197</v>
      </c>
      <c r="G678" s="19">
        <v>4059790</v>
      </c>
      <c r="H678" s="18" t="s">
        <v>1197</v>
      </c>
      <c r="I678" s="19">
        <v>3442545</v>
      </c>
      <c r="J678" s="18" t="s">
        <v>1015</v>
      </c>
      <c r="K678" s="19">
        <v>0</v>
      </c>
      <c r="L678" s="19">
        <v>0</v>
      </c>
      <c r="M678" s="19">
        <v>0</v>
      </c>
      <c r="N678" s="20">
        <v>0</v>
      </c>
      <c r="O678" s="19">
        <v>0</v>
      </c>
      <c r="P678" s="19">
        <v>0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0</v>
      </c>
      <c r="W678" s="19">
        <v>0</v>
      </c>
      <c r="X678" s="19">
        <v>0</v>
      </c>
      <c r="Y678" s="20">
        <v>0</v>
      </c>
      <c r="Z678" s="19">
        <v>0</v>
      </c>
      <c r="AA678" s="19">
        <v>0</v>
      </c>
      <c r="AB678" t="str">
        <f>VLOOKUP(E:E,笔记匹配!A:N,3,FALSE)</f>
        <v>玩长板的慧慧</v>
      </c>
      <c r="AC678" t="str">
        <f>VLOOKUP(E:E,笔记匹配!A:N,2,FALSE)</f>
        <v>筋膜枪</v>
      </c>
      <c r="AD678" t="str">
        <f>VLOOKUP(E:E,笔记匹配!A:N,4,FALSE)</f>
        <v>云麦筋膜枪PB2</v>
      </c>
      <c r="AE678" t="str">
        <f>VLOOKUP(E:E,笔记匹配!A:N,14,FALSE)</f>
        <v>云麦筋膜枪pb2</v>
      </c>
      <c r="AF678" t="str">
        <f>VLOOKUP(E:E,笔记匹配!A:N,6,FALSE)</f>
        <v>滑板5年|分享我的滑板后筋膜枪放松小经验</v>
      </c>
    </row>
    <row r="679" spans="1:32">
      <c r="A679" s="18" t="s">
        <v>103</v>
      </c>
      <c r="B679" s="18" t="s">
        <v>1200</v>
      </c>
      <c r="C679" s="19">
        <v>19106392</v>
      </c>
      <c r="D679" s="18" t="s">
        <v>209</v>
      </c>
      <c r="E679" s="18" t="s">
        <v>581</v>
      </c>
      <c r="F679" s="18" t="s">
        <v>1201</v>
      </c>
      <c r="G679" s="19">
        <v>4083919</v>
      </c>
      <c r="H679" s="18" t="s">
        <v>1201</v>
      </c>
      <c r="I679" s="19">
        <v>3466445</v>
      </c>
      <c r="J679" s="18" t="s">
        <v>1015</v>
      </c>
      <c r="K679" s="19">
        <v>268.39</v>
      </c>
      <c r="L679" s="19">
        <v>20911</v>
      </c>
      <c r="M679" s="19">
        <v>568</v>
      </c>
      <c r="N679" s="20">
        <v>0.0272</v>
      </c>
      <c r="O679" s="19">
        <v>0.47</v>
      </c>
      <c r="P679" s="19">
        <v>12.83</v>
      </c>
      <c r="Q679" s="19">
        <v>30</v>
      </c>
      <c r="R679" s="19">
        <v>1</v>
      </c>
      <c r="S679" s="19">
        <v>15</v>
      </c>
      <c r="T679" s="19">
        <v>0</v>
      </c>
      <c r="U679" s="19">
        <v>3</v>
      </c>
      <c r="V679" s="19">
        <v>49</v>
      </c>
      <c r="W679" s="19">
        <v>5.48</v>
      </c>
      <c r="X679" s="19">
        <v>5</v>
      </c>
      <c r="Y679" s="20">
        <v>0.0088</v>
      </c>
      <c r="Z679" s="19">
        <v>2</v>
      </c>
      <c r="AA679" s="19">
        <v>0</v>
      </c>
      <c r="AB679" t="str">
        <f>VLOOKUP(E:E,笔记匹配!A:N,3,FALSE)</f>
        <v>木子棋Kiki</v>
      </c>
      <c r="AC679" t="str">
        <f>VLOOKUP(E:E,笔记匹配!A:N,2,FALSE)</f>
        <v>筋膜枪</v>
      </c>
      <c r="AD679" t="str">
        <f>VLOOKUP(E:E,笔记匹配!A:N,4,FALSE)</f>
        <v>云麦筋膜枪PB2</v>
      </c>
      <c r="AE679" t="str">
        <f>VLOOKUP(E:E,笔记匹配!A:N,14,FALSE)</f>
        <v>云麦筋膜枪pb2</v>
      </c>
      <c r="AF679" t="str">
        <f>VLOOKUP(E:E,笔记匹配!A:N,6,FALSE)</f>
        <v>筋膜枪要怎么选❓3款不同类型筋膜枪测评‼️</v>
      </c>
    </row>
    <row r="680" spans="1:32">
      <c r="A680" s="18" t="s">
        <v>103</v>
      </c>
      <c r="B680" s="18" t="s">
        <v>1200</v>
      </c>
      <c r="C680" s="19">
        <v>19106863</v>
      </c>
      <c r="D680" s="18" t="s">
        <v>209</v>
      </c>
      <c r="E680" s="18" t="s">
        <v>201</v>
      </c>
      <c r="F680" s="18" t="s">
        <v>1202</v>
      </c>
      <c r="G680" s="19">
        <v>4084168</v>
      </c>
      <c r="H680" s="18" t="s">
        <v>1202</v>
      </c>
      <c r="I680" s="19">
        <v>3466674</v>
      </c>
      <c r="J680" s="18" t="s">
        <v>1015</v>
      </c>
      <c r="K680" s="19">
        <v>428.64</v>
      </c>
      <c r="L680" s="19">
        <v>32816</v>
      </c>
      <c r="M680" s="19">
        <v>1091</v>
      </c>
      <c r="N680" s="20">
        <v>0.0332</v>
      </c>
      <c r="O680" s="19">
        <v>0.39</v>
      </c>
      <c r="P680" s="19">
        <v>13.06</v>
      </c>
      <c r="Q680" s="19">
        <v>60</v>
      </c>
      <c r="R680" s="19">
        <v>6</v>
      </c>
      <c r="S680" s="19">
        <v>26</v>
      </c>
      <c r="T680" s="19">
        <v>0</v>
      </c>
      <c r="U680" s="19">
        <v>3</v>
      </c>
      <c r="V680" s="19">
        <v>95</v>
      </c>
      <c r="W680" s="19">
        <v>4.51</v>
      </c>
      <c r="X680" s="19">
        <v>6</v>
      </c>
      <c r="Y680" s="20">
        <v>0.0055</v>
      </c>
      <c r="Z680" s="19">
        <v>2</v>
      </c>
      <c r="AA680" s="19">
        <v>6</v>
      </c>
      <c r="AB680" t="str">
        <f>VLOOKUP(E:E,笔记匹配!A:N,3,FALSE)</f>
        <v>包子熟了</v>
      </c>
      <c r="AC680" t="str">
        <f>VLOOKUP(E:E,笔记匹配!A:N,2,FALSE)</f>
        <v>筋膜枪</v>
      </c>
      <c r="AD680" t="str">
        <f>VLOOKUP(E:E,笔记匹配!A:N,4,FALSE)</f>
        <v>云麦筋膜枪</v>
      </c>
      <c r="AE680" t="str">
        <f>VLOOKUP(E:E,笔记匹配!A:N,14,FALSE)</f>
        <v>云麦筋膜枪pb2</v>
      </c>
      <c r="AF680" t="str">
        <f>VLOOKUP(E:E,笔记匹配!A:N,6,FALSE)</f>
        <v>筋膜枪测评|健身小白如何挑选筋膜枪？</v>
      </c>
    </row>
    <row r="681" spans="1:32">
      <c r="A681" s="18" t="s">
        <v>103</v>
      </c>
      <c r="B681" s="18" t="s">
        <v>1200</v>
      </c>
      <c r="C681" s="19">
        <v>19106999</v>
      </c>
      <c r="D681" s="18" t="s">
        <v>196</v>
      </c>
      <c r="E681" s="18" t="s">
        <v>205</v>
      </c>
      <c r="F681" s="18" t="s">
        <v>1203</v>
      </c>
      <c r="G681" s="19">
        <v>4084260</v>
      </c>
      <c r="H681" s="18" t="s">
        <v>1203</v>
      </c>
      <c r="I681" s="19">
        <v>3466751</v>
      </c>
      <c r="J681" s="18" t="s">
        <v>1015</v>
      </c>
      <c r="K681" s="19">
        <v>483.48</v>
      </c>
      <c r="L681" s="19">
        <v>23828</v>
      </c>
      <c r="M681" s="19">
        <v>1065</v>
      </c>
      <c r="N681" s="20">
        <v>0.0447</v>
      </c>
      <c r="O681" s="19">
        <v>0.45</v>
      </c>
      <c r="P681" s="19">
        <v>20.29</v>
      </c>
      <c r="Q681" s="19">
        <v>20</v>
      </c>
      <c r="R681" s="19">
        <v>1</v>
      </c>
      <c r="S681" s="19">
        <v>21</v>
      </c>
      <c r="T681" s="19">
        <v>6</v>
      </c>
      <c r="U681" s="19">
        <v>1</v>
      </c>
      <c r="V681" s="19">
        <v>49</v>
      </c>
      <c r="W681" s="19">
        <v>9.87</v>
      </c>
      <c r="X681" s="19">
        <v>0</v>
      </c>
      <c r="Y681" s="20">
        <v>0</v>
      </c>
      <c r="Z681" s="19">
        <v>1</v>
      </c>
      <c r="AA681" s="19">
        <v>2</v>
      </c>
      <c r="AB681" t="str">
        <f>VLOOKUP(E:E,笔记匹配!A:N,3,FALSE)</f>
        <v>马可乐cora</v>
      </c>
      <c r="AC681" t="str">
        <f>VLOOKUP(E:E,笔记匹配!A:N,2,FALSE)</f>
        <v>筋膜枪</v>
      </c>
      <c r="AD681" t="str">
        <f>VLOOKUP(E:E,笔记匹配!A:N,4,FALSE)</f>
        <v>云麦筋膜枪PB2</v>
      </c>
      <c r="AE681" t="str">
        <f>VLOOKUP(E:E,笔记匹配!A:N,14,FALSE)</f>
        <v>云麦筋膜枪pb2</v>
      </c>
      <c r="AF681" t="str">
        <f>VLOOKUP(E:E,笔记匹配!A:N,6,FALSE)</f>
        <v>跳操的姐妹听我的用筋膜枪放松下肢真的有用</v>
      </c>
    </row>
    <row r="682" spans="1:32">
      <c r="A682" s="18" t="s">
        <v>104</v>
      </c>
      <c r="B682" s="18" t="s">
        <v>1164</v>
      </c>
      <c r="C682" s="19">
        <v>18170615</v>
      </c>
      <c r="D682" s="18" t="s">
        <v>209</v>
      </c>
      <c r="E682" s="18" t="s">
        <v>205</v>
      </c>
      <c r="F682" s="18" t="s">
        <v>1165</v>
      </c>
      <c r="G682" s="19">
        <v>3639848</v>
      </c>
      <c r="H682" s="18" t="s">
        <v>1166</v>
      </c>
      <c r="I682" s="19">
        <v>3024741</v>
      </c>
      <c r="J682" s="18" t="s">
        <v>1015</v>
      </c>
      <c r="K682" s="19">
        <v>0</v>
      </c>
      <c r="L682" s="19">
        <v>0</v>
      </c>
      <c r="M682" s="19">
        <v>0</v>
      </c>
      <c r="N682" s="20">
        <v>0</v>
      </c>
      <c r="O682" s="19">
        <v>0</v>
      </c>
      <c r="P682" s="19">
        <v>0</v>
      </c>
      <c r="Q682" s="19">
        <v>0</v>
      </c>
      <c r="R682" s="19">
        <v>0</v>
      </c>
      <c r="S682" s="19">
        <v>0</v>
      </c>
      <c r="T682" s="19">
        <v>0</v>
      </c>
      <c r="U682" s="19">
        <v>0</v>
      </c>
      <c r="V682" s="19">
        <v>0</v>
      </c>
      <c r="W682" s="19">
        <v>0</v>
      </c>
      <c r="X682" s="19">
        <v>0</v>
      </c>
      <c r="Y682" s="20">
        <v>0</v>
      </c>
      <c r="Z682" s="19">
        <v>0</v>
      </c>
      <c r="AA682" s="19">
        <v>0</v>
      </c>
      <c r="AB682" t="str">
        <f>VLOOKUP(E:E,笔记匹配!A:N,3,FALSE)</f>
        <v>马可乐cora</v>
      </c>
      <c r="AC682" t="str">
        <f>VLOOKUP(E:E,笔记匹配!A:N,2,FALSE)</f>
        <v>筋膜枪</v>
      </c>
      <c r="AD682" t="str">
        <f>VLOOKUP(E:E,笔记匹配!A:N,4,FALSE)</f>
        <v>云麦筋膜枪PB2</v>
      </c>
      <c r="AE682" t="str">
        <f>VLOOKUP(E:E,笔记匹配!A:N,14,FALSE)</f>
        <v>云麦筋膜枪pb2</v>
      </c>
      <c r="AF682" t="str">
        <f>VLOOKUP(E:E,笔记匹配!A:N,6,FALSE)</f>
        <v>跳操的姐妹听我的用筋膜枪放松下肢真的有用</v>
      </c>
    </row>
    <row r="683" spans="1:32">
      <c r="A683" s="18" t="s">
        <v>104</v>
      </c>
      <c r="B683" s="18" t="s">
        <v>1167</v>
      </c>
      <c r="C683" s="19">
        <v>18224197</v>
      </c>
      <c r="D683" s="18" t="s">
        <v>209</v>
      </c>
      <c r="E683" s="18" t="s">
        <v>300</v>
      </c>
      <c r="F683" s="18" t="s">
        <v>1168</v>
      </c>
      <c r="G683" s="19">
        <v>3665138</v>
      </c>
      <c r="H683" s="18" t="s">
        <v>1168</v>
      </c>
      <c r="I683" s="19">
        <v>3050231</v>
      </c>
      <c r="J683" s="18" t="s">
        <v>1015</v>
      </c>
      <c r="K683" s="19">
        <v>0</v>
      </c>
      <c r="L683" s="19">
        <v>0</v>
      </c>
      <c r="M683" s="19">
        <v>0</v>
      </c>
      <c r="N683" s="20">
        <v>0</v>
      </c>
      <c r="O683" s="19">
        <v>0</v>
      </c>
      <c r="P683" s="19">
        <v>0</v>
      </c>
      <c r="Q683" s="19">
        <v>0</v>
      </c>
      <c r="R683" s="19">
        <v>0</v>
      </c>
      <c r="S683" s="19">
        <v>0</v>
      </c>
      <c r="T683" s="19">
        <v>0</v>
      </c>
      <c r="U683" s="19">
        <v>0</v>
      </c>
      <c r="V683" s="19">
        <v>0</v>
      </c>
      <c r="W683" s="19">
        <v>0</v>
      </c>
      <c r="X683" s="19">
        <v>0</v>
      </c>
      <c r="Y683" s="20">
        <v>0</v>
      </c>
      <c r="Z683" s="19">
        <v>0</v>
      </c>
      <c r="AA683" s="19">
        <v>0</v>
      </c>
      <c r="AB683" t="str">
        <f>VLOOKUP(E:E,笔记匹配!A:N,3,FALSE)</f>
        <v>朱俊畅</v>
      </c>
      <c r="AC683" t="str">
        <f>VLOOKUP(E:E,笔记匹配!A:N,2,FALSE)</f>
        <v>筋膜枪</v>
      </c>
      <c r="AD683" t="str">
        <f>VLOOKUP(E:E,笔记匹配!A:N,4,FALSE)</f>
        <v>云麦筋膜枪PB2</v>
      </c>
      <c r="AE683" t="str">
        <f>VLOOKUP(E:E,笔记匹配!A:N,14,FALSE)</f>
        <v>云麦筋膜枪pb2</v>
      </c>
      <c r="AF683" t="str">
        <f>VLOOKUP(E:E,笔记匹配!A:N,6,FALSE)</f>
        <v>打球完容易肌肉酸痛，筋膜枪放松更有效！</v>
      </c>
    </row>
    <row r="684" spans="1:32">
      <c r="A684" s="18" t="s">
        <v>104</v>
      </c>
      <c r="B684" s="18" t="s">
        <v>1181</v>
      </c>
      <c r="C684" s="19">
        <v>18606961</v>
      </c>
      <c r="D684" s="18" t="s">
        <v>209</v>
      </c>
      <c r="E684" s="18" t="s">
        <v>289</v>
      </c>
      <c r="F684" s="18" t="s">
        <v>1183</v>
      </c>
      <c r="G684" s="19">
        <v>3851160</v>
      </c>
      <c r="H684" s="18" t="s">
        <v>1183</v>
      </c>
      <c r="I684" s="19">
        <v>3236289</v>
      </c>
      <c r="J684" s="18" t="s">
        <v>1015</v>
      </c>
      <c r="K684" s="19">
        <v>0</v>
      </c>
      <c r="L684" s="19">
        <v>0</v>
      </c>
      <c r="M684" s="19">
        <v>0</v>
      </c>
      <c r="N684" s="20">
        <v>0</v>
      </c>
      <c r="O684" s="19">
        <v>0</v>
      </c>
      <c r="P684" s="19">
        <v>0</v>
      </c>
      <c r="Q684" s="19">
        <v>0</v>
      </c>
      <c r="R684" s="19">
        <v>0</v>
      </c>
      <c r="S684" s="19">
        <v>0</v>
      </c>
      <c r="T684" s="19">
        <v>0</v>
      </c>
      <c r="U684" s="19">
        <v>0</v>
      </c>
      <c r="V684" s="19">
        <v>0</v>
      </c>
      <c r="W684" s="19">
        <v>0</v>
      </c>
      <c r="X684" s="19">
        <v>0</v>
      </c>
      <c r="Y684" s="20">
        <v>0</v>
      </c>
      <c r="Z684" s="19">
        <v>0</v>
      </c>
      <c r="AA684" s="19">
        <v>0</v>
      </c>
      <c r="AB684" t="str">
        <f>VLOOKUP(E:E,笔记匹配!A:N,3,FALSE)</f>
        <v>小蓝今天吃了没</v>
      </c>
      <c r="AC684" t="str">
        <f>VLOOKUP(E:E,笔记匹配!A:N,2,FALSE)</f>
        <v>筋膜枪</v>
      </c>
      <c r="AD684" t="str">
        <f>VLOOKUP(E:E,笔记匹配!A:N,4,FALSE)</f>
        <v>云麦 筋膜枪PB2</v>
      </c>
      <c r="AE684" t="str">
        <f>VLOOKUP(E:E,笔记匹配!A:N,14,FALSE)</f>
        <v>云麦筋膜枪pb2</v>
      </c>
      <c r="AF684" t="str">
        <f>VLOOKUP(E:E,笔记匹配!A:N,6,FALSE)</f>
        <v>筋膜枪正确用法！刘耕宏女孩永不认输</v>
      </c>
    </row>
    <row r="685" spans="1:32">
      <c r="A685" s="18" t="s">
        <v>104</v>
      </c>
      <c r="B685" s="18" t="s">
        <v>1189</v>
      </c>
      <c r="C685" s="19">
        <v>19004470</v>
      </c>
      <c r="D685" s="18" t="s">
        <v>209</v>
      </c>
      <c r="E685" s="18" t="s">
        <v>476</v>
      </c>
      <c r="F685" s="18" t="s">
        <v>1190</v>
      </c>
      <c r="G685" s="19">
        <v>4036081</v>
      </c>
      <c r="H685" s="18" t="s">
        <v>1190</v>
      </c>
      <c r="I685" s="19">
        <v>3419519</v>
      </c>
      <c r="J685" s="18" t="s">
        <v>1015</v>
      </c>
      <c r="K685" s="19">
        <v>0</v>
      </c>
      <c r="L685" s="19">
        <v>0</v>
      </c>
      <c r="M685" s="19">
        <v>0</v>
      </c>
      <c r="N685" s="20">
        <v>0</v>
      </c>
      <c r="O685" s="19">
        <v>0</v>
      </c>
      <c r="P685" s="19">
        <v>0</v>
      </c>
      <c r="Q685" s="19">
        <v>0</v>
      </c>
      <c r="R685" s="19">
        <v>0</v>
      </c>
      <c r="S685" s="19">
        <v>0</v>
      </c>
      <c r="T685" s="19">
        <v>0</v>
      </c>
      <c r="U685" s="19">
        <v>0</v>
      </c>
      <c r="V685" s="19">
        <v>0</v>
      </c>
      <c r="W685" s="19">
        <v>0</v>
      </c>
      <c r="X685" s="19">
        <v>0</v>
      </c>
      <c r="Y685" s="20">
        <v>0</v>
      </c>
      <c r="Z685" s="19">
        <v>0</v>
      </c>
      <c r="AA685" s="19">
        <v>0</v>
      </c>
      <c r="AB685" t="str">
        <f>VLOOKUP(E:E,笔记匹配!A:N,3,FALSE)</f>
        <v>雪碧要加冰-</v>
      </c>
      <c r="AC685" t="str">
        <f>VLOOKUP(E:E,笔记匹配!A:N,2,FALSE)</f>
        <v>筋膜枪</v>
      </c>
      <c r="AD685" t="str">
        <f>VLOOKUP(E:E,笔记匹配!A:N,4,FALSE)</f>
        <v>云麦筋膜枪pb2</v>
      </c>
      <c r="AE685" t="str">
        <f>VLOOKUP(E:E,笔记匹配!A:N,14,FALSE)</f>
        <v>云麦筋膜枪pb2</v>
      </c>
      <c r="AF685" t="str">
        <f>VLOOKUP(E:E,笔记匹配!A:N,6,FALSE)</f>
        <v>提前给男友准备的生日🎁他开心的合不拢嘴</v>
      </c>
    </row>
    <row r="686" spans="1:32">
      <c r="A686" s="18" t="s">
        <v>104</v>
      </c>
      <c r="B686" s="18" t="s">
        <v>1196</v>
      </c>
      <c r="C686" s="19">
        <v>19058466</v>
      </c>
      <c r="D686" s="18" t="s">
        <v>196</v>
      </c>
      <c r="E686" s="18" t="s">
        <v>296</v>
      </c>
      <c r="F686" s="18" t="s">
        <v>1199</v>
      </c>
      <c r="G686" s="19">
        <v>4061725</v>
      </c>
      <c r="H686" s="18" t="s">
        <v>1199</v>
      </c>
      <c r="I686" s="19">
        <v>3444458</v>
      </c>
      <c r="J686" s="18" t="s">
        <v>1015</v>
      </c>
      <c r="K686" s="19">
        <v>552.48</v>
      </c>
      <c r="L686" s="19">
        <v>12708</v>
      </c>
      <c r="M686" s="19">
        <v>522</v>
      </c>
      <c r="N686" s="20">
        <v>0.0411</v>
      </c>
      <c r="O686" s="19">
        <v>1.06</v>
      </c>
      <c r="P686" s="19">
        <v>43.47</v>
      </c>
      <c r="Q686" s="19">
        <v>7</v>
      </c>
      <c r="R686" s="19">
        <v>0</v>
      </c>
      <c r="S686" s="19">
        <v>1</v>
      </c>
      <c r="T686" s="19">
        <v>0</v>
      </c>
      <c r="U686" s="19">
        <v>0</v>
      </c>
      <c r="V686" s="19">
        <v>8</v>
      </c>
      <c r="W686" s="19">
        <v>69.06</v>
      </c>
      <c r="X686" s="19">
        <v>4</v>
      </c>
      <c r="Y686" s="20">
        <v>0.0077</v>
      </c>
      <c r="Z686" s="19">
        <v>1</v>
      </c>
      <c r="AA686" s="19">
        <v>1</v>
      </c>
      <c r="AB686" t="str">
        <f>VLOOKUP(E:E,笔记匹配!A:N,3,FALSE)</f>
        <v>元气芥末酱</v>
      </c>
      <c r="AC686" t="str">
        <f>VLOOKUP(E:E,笔记匹配!A:N,2,FALSE)</f>
        <v>筋膜枪</v>
      </c>
      <c r="AD686" t="str">
        <f>VLOOKUP(E:E,笔记匹配!A:N,4,FALSE)</f>
        <v>云麦筋膜枪PB2</v>
      </c>
      <c r="AE686" t="str">
        <f>VLOOKUP(E:E,笔记匹配!A:N,14,FALSE)</f>
        <v>云麦筋膜枪pb2</v>
      </c>
      <c r="AF686" t="str">
        <f>VLOOKUP(E:E,笔记匹配!A:N,6,FALSE)</f>
        <v>小腿粗的姐妹信我！肌肉腿就要这样按！</v>
      </c>
    </row>
    <row r="687" spans="1:32">
      <c r="A687" s="18" t="s">
        <v>104</v>
      </c>
      <c r="B687" s="18" t="s">
        <v>1200</v>
      </c>
      <c r="C687" s="19">
        <v>19106392</v>
      </c>
      <c r="D687" s="18" t="s">
        <v>209</v>
      </c>
      <c r="E687" s="18" t="s">
        <v>581</v>
      </c>
      <c r="F687" s="18" t="s">
        <v>1201</v>
      </c>
      <c r="G687" s="19">
        <v>4083919</v>
      </c>
      <c r="H687" s="18" t="s">
        <v>1201</v>
      </c>
      <c r="I687" s="19">
        <v>3466445</v>
      </c>
      <c r="J687" s="18" t="s">
        <v>1015</v>
      </c>
      <c r="K687" s="19">
        <v>8.77</v>
      </c>
      <c r="L687" s="19">
        <v>380</v>
      </c>
      <c r="M687" s="19">
        <v>17</v>
      </c>
      <c r="N687" s="20">
        <v>0.0447</v>
      </c>
      <c r="O687" s="19">
        <v>0.52</v>
      </c>
      <c r="P687" s="19">
        <v>23.08</v>
      </c>
      <c r="Q687" s="19">
        <v>1</v>
      </c>
      <c r="R687" s="19">
        <v>0</v>
      </c>
      <c r="S687" s="19">
        <v>0</v>
      </c>
      <c r="T687" s="19">
        <v>0</v>
      </c>
      <c r="U687" s="19">
        <v>0</v>
      </c>
      <c r="V687" s="19">
        <v>1</v>
      </c>
      <c r="W687" s="19">
        <v>8.77</v>
      </c>
      <c r="X687" s="19">
        <v>0</v>
      </c>
      <c r="Y687" s="20">
        <v>0</v>
      </c>
      <c r="Z687" s="19">
        <v>0</v>
      </c>
      <c r="AA687" s="19">
        <v>0</v>
      </c>
      <c r="AB687" t="str">
        <f>VLOOKUP(E:E,笔记匹配!A:N,3,FALSE)</f>
        <v>木子棋Kiki</v>
      </c>
      <c r="AC687" t="str">
        <f>VLOOKUP(E:E,笔记匹配!A:N,2,FALSE)</f>
        <v>筋膜枪</v>
      </c>
      <c r="AD687" t="str">
        <f>VLOOKUP(E:E,笔记匹配!A:N,4,FALSE)</f>
        <v>云麦筋膜枪PB2</v>
      </c>
      <c r="AE687" t="str">
        <f>VLOOKUP(E:E,笔记匹配!A:N,14,FALSE)</f>
        <v>云麦筋膜枪pb2</v>
      </c>
      <c r="AF687" t="str">
        <f>VLOOKUP(E:E,笔记匹配!A:N,6,FALSE)</f>
        <v>筋膜枪要怎么选❓3款不同类型筋膜枪测评‼️</v>
      </c>
    </row>
    <row r="688" spans="1:32">
      <c r="A688" s="18" t="s">
        <v>104</v>
      </c>
      <c r="B688" s="18" t="s">
        <v>1200</v>
      </c>
      <c r="C688" s="19">
        <v>19106863</v>
      </c>
      <c r="D688" s="18" t="s">
        <v>209</v>
      </c>
      <c r="E688" s="18" t="s">
        <v>201</v>
      </c>
      <c r="F688" s="18" t="s">
        <v>1202</v>
      </c>
      <c r="G688" s="19">
        <v>4084168</v>
      </c>
      <c r="H688" s="18" t="s">
        <v>1202</v>
      </c>
      <c r="I688" s="19">
        <v>3466674</v>
      </c>
      <c r="J688" s="18" t="s">
        <v>1015</v>
      </c>
      <c r="K688" s="19">
        <v>9.59</v>
      </c>
      <c r="L688" s="19">
        <v>510</v>
      </c>
      <c r="M688" s="19">
        <v>33</v>
      </c>
      <c r="N688" s="20">
        <v>0.0647</v>
      </c>
      <c r="O688" s="19">
        <v>0.29</v>
      </c>
      <c r="P688" s="19">
        <v>18.8</v>
      </c>
      <c r="Q688" s="19">
        <v>1</v>
      </c>
      <c r="R688" s="19">
        <v>0</v>
      </c>
      <c r="S688" s="19">
        <v>1</v>
      </c>
      <c r="T688" s="19">
        <v>0</v>
      </c>
      <c r="U688" s="19">
        <v>0</v>
      </c>
      <c r="V688" s="19">
        <v>2</v>
      </c>
      <c r="W688" s="19">
        <v>4.8</v>
      </c>
      <c r="X688" s="19">
        <v>0</v>
      </c>
      <c r="Y688" s="20">
        <v>0</v>
      </c>
      <c r="Z688" s="19">
        <v>0</v>
      </c>
      <c r="AA688" s="19">
        <v>0</v>
      </c>
      <c r="AB688" t="str">
        <f>VLOOKUP(E:E,笔记匹配!A:N,3,FALSE)</f>
        <v>包子熟了</v>
      </c>
      <c r="AC688" t="str">
        <f>VLOOKUP(E:E,笔记匹配!A:N,2,FALSE)</f>
        <v>筋膜枪</v>
      </c>
      <c r="AD688" t="str">
        <f>VLOOKUP(E:E,笔记匹配!A:N,4,FALSE)</f>
        <v>云麦筋膜枪</v>
      </c>
      <c r="AE688" t="str">
        <f>VLOOKUP(E:E,笔记匹配!A:N,14,FALSE)</f>
        <v>云麦筋膜枪pb2</v>
      </c>
      <c r="AF688" t="str">
        <f>VLOOKUP(E:E,笔记匹配!A:N,6,FALSE)</f>
        <v>筋膜枪测评|健身小白如何挑选筋膜枪？</v>
      </c>
    </row>
    <row r="689" spans="1:32">
      <c r="A689" s="18" t="s">
        <v>104</v>
      </c>
      <c r="B689" s="18" t="s">
        <v>1200</v>
      </c>
      <c r="C689" s="19">
        <v>19106999</v>
      </c>
      <c r="D689" s="18" t="s">
        <v>196</v>
      </c>
      <c r="E689" s="18" t="s">
        <v>205</v>
      </c>
      <c r="F689" s="18" t="s">
        <v>1203</v>
      </c>
      <c r="G689" s="19">
        <v>4084260</v>
      </c>
      <c r="H689" s="18" t="s">
        <v>1203</v>
      </c>
      <c r="I689" s="19">
        <v>3466751</v>
      </c>
      <c r="J689" s="18" t="s">
        <v>1015</v>
      </c>
      <c r="K689" s="19">
        <v>0</v>
      </c>
      <c r="L689" s="19">
        <v>0</v>
      </c>
      <c r="M689" s="19">
        <v>0</v>
      </c>
      <c r="N689" s="20">
        <v>0</v>
      </c>
      <c r="O689" s="19">
        <v>0</v>
      </c>
      <c r="P689" s="19">
        <v>0</v>
      </c>
      <c r="Q689" s="19">
        <v>0</v>
      </c>
      <c r="R689" s="19">
        <v>0</v>
      </c>
      <c r="S689" s="19">
        <v>0</v>
      </c>
      <c r="T689" s="19">
        <v>0</v>
      </c>
      <c r="U689" s="19">
        <v>0</v>
      </c>
      <c r="V689" s="19">
        <v>0</v>
      </c>
      <c r="W689" s="19">
        <v>0</v>
      </c>
      <c r="X689" s="19">
        <v>0</v>
      </c>
      <c r="Y689" s="20">
        <v>0</v>
      </c>
      <c r="Z689" s="19">
        <v>0</v>
      </c>
      <c r="AA689" s="19">
        <v>0</v>
      </c>
      <c r="AB689" t="str">
        <f>VLOOKUP(E:E,笔记匹配!A:N,3,FALSE)</f>
        <v>马可乐cora</v>
      </c>
      <c r="AC689" t="str">
        <f>VLOOKUP(E:E,笔记匹配!A:N,2,FALSE)</f>
        <v>筋膜枪</v>
      </c>
      <c r="AD689" t="str">
        <f>VLOOKUP(E:E,笔记匹配!A:N,4,FALSE)</f>
        <v>云麦筋膜枪PB2</v>
      </c>
      <c r="AE689" t="str">
        <f>VLOOKUP(E:E,笔记匹配!A:N,14,FALSE)</f>
        <v>云麦筋膜枪pb2</v>
      </c>
      <c r="AF689" t="str">
        <f>VLOOKUP(E:E,笔记匹配!A:N,6,FALSE)</f>
        <v>跳操的姐妹听我的用筋膜枪放松下肢真的有用</v>
      </c>
    </row>
    <row r="690" spans="1:32">
      <c r="A690" s="18" t="s">
        <v>104</v>
      </c>
      <c r="B690" s="18" t="s">
        <v>1204</v>
      </c>
      <c r="C690" s="19">
        <v>19210765</v>
      </c>
      <c r="D690" s="18" t="s">
        <v>196</v>
      </c>
      <c r="E690" s="18" t="s">
        <v>296</v>
      </c>
      <c r="F690" s="18" t="s">
        <v>1205</v>
      </c>
      <c r="G690" s="19">
        <v>4133905</v>
      </c>
      <c r="H690" s="18" t="s">
        <v>1205</v>
      </c>
      <c r="I690" s="19">
        <v>3516487</v>
      </c>
      <c r="J690" s="18" t="s">
        <v>1015</v>
      </c>
      <c r="K690" s="19">
        <v>1.27</v>
      </c>
      <c r="L690" s="19">
        <v>81</v>
      </c>
      <c r="M690" s="19">
        <v>3</v>
      </c>
      <c r="N690" s="20">
        <v>0.037</v>
      </c>
      <c r="O690" s="19">
        <v>0.42</v>
      </c>
      <c r="P690" s="19">
        <v>15.68</v>
      </c>
      <c r="Q690" s="19">
        <v>0</v>
      </c>
      <c r="R690" s="19">
        <v>0</v>
      </c>
      <c r="S690" s="19">
        <v>0</v>
      </c>
      <c r="T690" s="19">
        <v>0</v>
      </c>
      <c r="U690" s="19">
        <v>0</v>
      </c>
      <c r="V690" s="19">
        <v>0</v>
      </c>
      <c r="W690" s="19">
        <v>0</v>
      </c>
      <c r="X690" s="19">
        <v>0</v>
      </c>
      <c r="Y690" s="20">
        <v>0</v>
      </c>
      <c r="Z690" s="19">
        <v>0</v>
      </c>
      <c r="AA690" s="19">
        <v>0</v>
      </c>
      <c r="AB690" t="str">
        <f>VLOOKUP(E:E,笔记匹配!A:N,3,FALSE)</f>
        <v>元气芥末酱</v>
      </c>
      <c r="AC690" t="str">
        <f>VLOOKUP(E:E,笔记匹配!A:N,2,FALSE)</f>
        <v>筋膜枪</v>
      </c>
      <c r="AD690" t="str">
        <f>VLOOKUP(E:E,笔记匹配!A:N,4,FALSE)</f>
        <v>云麦筋膜枪PB2</v>
      </c>
      <c r="AE690" t="str">
        <f>VLOOKUP(E:E,笔记匹配!A:N,14,FALSE)</f>
        <v>云麦筋膜枪pb2</v>
      </c>
      <c r="AF690" t="str">
        <f>VLOOKUP(E:E,笔记匹配!A:N,6,FALSE)</f>
        <v>小腿粗的姐妹信我！肌肉腿就要这样按！</v>
      </c>
    </row>
    <row r="691" spans="1:32">
      <c r="A691" s="18" t="s">
        <v>105</v>
      </c>
      <c r="B691" s="18" t="s">
        <v>1164</v>
      </c>
      <c r="C691" s="19">
        <v>18170615</v>
      </c>
      <c r="D691" s="18" t="s">
        <v>209</v>
      </c>
      <c r="E691" s="18" t="s">
        <v>205</v>
      </c>
      <c r="F691" s="18" t="s">
        <v>1165</v>
      </c>
      <c r="G691" s="19">
        <v>3639848</v>
      </c>
      <c r="H691" s="18" t="s">
        <v>1166</v>
      </c>
      <c r="I691" s="19">
        <v>3024741</v>
      </c>
      <c r="J691" s="18" t="s">
        <v>1015</v>
      </c>
      <c r="K691" s="19">
        <v>0</v>
      </c>
      <c r="L691" s="19">
        <v>0</v>
      </c>
      <c r="M691" s="19">
        <v>0</v>
      </c>
      <c r="N691" s="20">
        <v>0</v>
      </c>
      <c r="O691" s="19">
        <v>0</v>
      </c>
      <c r="P691" s="19">
        <v>0</v>
      </c>
      <c r="Q691" s="19">
        <v>0</v>
      </c>
      <c r="R691" s="19">
        <v>0</v>
      </c>
      <c r="S691" s="19">
        <v>0</v>
      </c>
      <c r="T691" s="19">
        <v>0</v>
      </c>
      <c r="U691" s="19">
        <v>0</v>
      </c>
      <c r="V691" s="19">
        <v>0</v>
      </c>
      <c r="W691" s="19">
        <v>0</v>
      </c>
      <c r="X691" s="19">
        <v>0</v>
      </c>
      <c r="Y691" s="20">
        <v>0</v>
      </c>
      <c r="Z691" s="19">
        <v>0</v>
      </c>
      <c r="AA691" s="19">
        <v>0</v>
      </c>
      <c r="AB691" t="str">
        <f>VLOOKUP(E:E,笔记匹配!A:N,3,FALSE)</f>
        <v>马可乐cora</v>
      </c>
      <c r="AC691" t="str">
        <f>VLOOKUP(E:E,笔记匹配!A:N,2,FALSE)</f>
        <v>筋膜枪</v>
      </c>
      <c r="AD691" t="str">
        <f>VLOOKUP(E:E,笔记匹配!A:N,4,FALSE)</f>
        <v>云麦筋膜枪PB2</v>
      </c>
      <c r="AE691" t="str">
        <f>VLOOKUP(E:E,笔记匹配!A:N,14,FALSE)</f>
        <v>云麦筋膜枪pb2</v>
      </c>
      <c r="AF691" t="str">
        <f>VLOOKUP(E:E,笔记匹配!A:N,6,FALSE)</f>
        <v>跳操的姐妹听我的用筋膜枪放松下肢真的有用</v>
      </c>
    </row>
    <row r="692" spans="1:32">
      <c r="A692" s="18" t="s">
        <v>105</v>
      </c>
      <c r="B692" s="18" t="s">
        <v>1200</v>
      </c>
      <c r="C692" s="19">
        <v>19106863</v>
      </c>
      <c r="D692" s="18" t="s">
        <v>209</v>
      </c>
      <c r="E692" s="18" t="s">
        <v>201</v>
      </c>
      <c r="F692" s="18" t="s">
        <v>1202</v>
      </c>
      <c r="G692" s="19">
        <v>4084168</v>
      </c>
      <c r="H692" s="18" t="s">
        <v>1202</v>
      </c>
      <c r="I692" s="19">
        <v>3466674</v>
      </c>
      <c r="J692" s="18" t="s">
        <v>1015</v>
      </c>
      <c r="K692" s="19">
        <v>575.89</v>
      </c>
      <c r="L692" s="19">
        <v>45337</v>
      </c>
      <c r="M692" s="19">
        <v>1175</v>
      </c>
      <c r="N692" s="20">
        <v>0.0259</v>
      </c>
      <c r="O692" s="19">
        <v>0.49</v>
      </c>
      <c r="P692" s="19">
        <v>12.7</v>
      </c>
      <c r="Q692" s="19">
        <v>64</v>
      </c>
      <c r="R692" s="19">
        <v>2</v>
      </c>
      <c r="S692" s="19">
        <v>23</v>
      </c>
      <c r="T692" s="19">
        <v>0</v>
      </c>
      <c r="U692" s="19">
        <v>0</v>
      </c>
      <c r="V692" s="19">
        <v>89</v>
      </c>
      <c r="W692" s="19">
        <v>6.47</v>
      </c>
      <c r="X692" s="19">
        <v>2</v>
      </c>
      <c r="Y692" s="20">
        <v>0.0017</v>
      </c>
      <c r="Z692" s="19">
        <v>3</v>
      </c>
      <c r="AA692" s="19">
        <v>4</v>
      </c>
      <c r="AB692" t="str">
        <f>VLOOKUP(E:E,笔记匹配!A:N,3,FALSE)</f>
        <v>包子熟了</v>
      </c>
      <c r="AC692" t="str">
        <f>VLOOKUP(E:E,笔记匹配!A:N,2,FALSE)</f>
        <v>筋膜枪</v>
      </c>
      <c r="AD692" t="str">
        <f>VLOOKUP(E:E,笔记匹配!A:N,4,FALSE)</f>
        <v>云麦筋膜枪</v>
      </c>
      <c r="AE692" t="str">
        <f>VLOOKUP(E:E,笔记匹配!A:N,14,FALSE)</f>
        <v>云麦筋膜枪pb2</v>
      </c>
      <c r="AF692" t="str">
        <f>VLOOKUP(E:E,笔记匹配!A:N,6,FALSE)</f>
        <v>筋膜枪测评|健身小白如何挑选筋膜枪？</v>
      </c>
    </row>
    <row r="693" spans="1:32">
      <c r="A693" s="18" t="s">
        <v>105</v>
      </c>
      <c r="B693" s="18" t="s">
        <v>1200</v>
      </c>
      <c r="C693" s="19">
        <v>19106999</v>
      </c>
      <c r="D693" s="18" t="s">
        <v>196</v>
      </c>
      <c r="E693" s="18" t="s">
        <v>205</v>
      </c>
      <c r="F693" s="18" t="s">
        <v>1203</v>
      </c>
      <c r="G693" s="19">
        <v>4084260</v>
      </c>
      <c r="H693" s="18" t="s">
        <v>1203</v>
      </c>
      <c r="I693" s="19">
        <v>3466751</v>
      </c>
      <c r="J693" s="18" t="s">
        <v>1015</v>
      </c>
      <c r="K693" s="19">
        <v>0</v>
      </c>
      <c r="L693" s="19">
        <v>0</v>
      </c>
      <c r="M693" s="19">
        <v>0</v>
      </c>
      <c r="N693" s="20">
        <v>0</v>
      </c>
      <c r="O693" s="19">
        <v>0</v>
      </c>
      <c r="P693" s="19">
        <v>0</v>
      </c>
      <c r="Q693" s="19">
        <v>0</v>
      </c>
      <c r="R693" s="19">
        <v>0</v>
      </c>
      <c r="S693" s="19">
        <v>0</v>
      </c>
      <c r="T693" s="19">
        <v>0</v>
      </c>
      <c r="U693" s="19">
        <v>0</v>
      </c>
      <c r="V693" s="19">
        <v>0</v>
      </c>
      <c r="W693" s="19">
        <v>0</v>
      </c>
      <c r="X693" s="19">
        <v>0</v>
      </c>
      <c r="Y693" s="20">
        <v>0</v>
      </c>
      <c r="Z693" s="19">
        <v>0</v>
      </c>
      <c r="AA693" s="19">
        <v>0</v>
      </c>
      <c r="AB693" t="str">
        <f>VLOOKUP(E:E,笔记匹配!A:N,3,FALSE)</f>
        <v>马可乐cora</v>
      </c>
      <c r="AC693" t="str">
        <f>VLOOKUP(E:E,笔记匹配!A:N,2,FALSE)</f>
        <v>筋膜枪</v>
      </c>
      <c r="AD693" t="str">
        <f>VLOOKUP(E:E,笔记匹配!A:N,4,FALSE)</f>
        <v>云麦筋膜枪PB2</v>
      </c>
      <c r="AE693" t="str">
        <f>VLOOKUP(E:E,笔记匹配!A:N,14,FALSE)</f>
        <v>云麦筋膜枪pb2</v>
      </c>
      <c r="AF693" t="str">
        <f>VLOOKUP(E:E,笔记匹配!A:N,6,FALSE)</f>
        <v>跳操的姐妹听我的用筋膜枪放松下肢真的有用</v>
      </c>
    </row>
    <row r="694" spans="1:32">
      <c r="A694" s="18" t="s">
        <v>105</v>
      </c>
      <c r="B694" s="18" t="s">
        <v>1206</v>
      </c>
      <c r="C694" s="19">
        <v>19210822</v>
      </c>
      <c r="D694" s="18" t="s">
        <v>196</v>
      </c>
      <c r="E694" s="18" t="s">
        <v>201</v>
      </c>
      <c r="F694" s="18" t="s">
        <v>1205</v>
      </c>
      <c r="G694" s="19">
        <v>4133905</v>
      </c>
      <c r="H694" s="18" t="s">
        <v>1205</v>
      </c>
      <c r="I694" s="19">
        <v>3516487</v>
      </c>
      <c r="J694" s="18" t="s">
        <v>1015</v>
      </c>
      <c r="K694" s="19">
        <v>547.59</v>
      </c>
      <c r="L694" s="19">
        <v>7433</v>
      </c>
      <c r="M694" s="19">
        <v>410</v>
      </c>
      <c r="N694" s="20">
        <v>0.0552</v>
      </c>
      <c r="O694" s="19">
        <v>1.34</v>
      </c>
      <c r="P694" s="19">
        <v>73.67</v>
      </c>
      <c r="Q694" s="19">
        <v>3</v>
      </c>
      <c r="R694" s="19">
        <v>0</v>
      </c>
      <c r="S694" s="19">
        <v>0</v>
      </c>
      <c r="T694" s="19">
        <v>0</v>
      </c>
      <c r="U694" s="19">
        <v>1</v>
      </c>
      <c r="V694" s="19">
        <v>4</v>
      </c>
      <c r="W694" s="19">
        <v>136.9</v>
      </c>
      <c r="X694" s="19">
        <v>0</v>
      </c>
      <c r="Y694" s="20">
        <v>0</v>
      </c>
      <c r="Z694" s="19">
        <v>0</v>
      </c>
      <c r="AA694" s="19">
        <v>0</v>
      </c>
      <c r="AB694" t="str">
        <f>VLOOKUP(E:E,笔记匹配!A:N,3,FALSE)</f>
        <v>包子熟了</v>
      </c>
      <c r="AC694" t="str">
        <f>VLOOKUP(E:E,笔记匹配!A:N,2,FALSE)</f>
        <v>筋膜枪</v>
      </c>
      <c r="AD694" t="str">
        <f>VLOOKUP(E:E,笔记匹配!A:N,4,FALSE)</f>
        <v>云麦筋膜枪</v>
      </c>
      <c r="AE694" t="str">
        <f>VLOOKUP(E:E,笔记匹配!A:N,14,FALSE)</f>
        <v>云麦筋膜枪pb2</v>
      </c>
      <c r="AF694" t="str">
        <f>VLOOKUP(E:E,笔记匹配!A:N,6,FALSE)</f>
        <v>筋膜枪测评|健身小白如何挑选筋膜枪？</v>
      </c>
    </row>
    <row r="695" spans="1:32">
      <c r="A695" s="18" t="s">
        <v>105</v>
      </c>
      <c r="B695" s="18" t="s">
        <v>1207</v>
      </c>
      <c r="C695" s="19">
        <v>19261230</v>
      </c>
      <c r="D695" s="18" t="s">
        <v>209</v>
      </c>
      <c r="E695" s="18" t="s">
        <v>579</v>
      </c>
      <c r="F695" s="18" t="s">
        <v>1208</v>
      </c>
      <c r="G695" s="19">
        <v>4155782</v>
      </c>
      <c r="H695" s="18" t="s">
        <v>1208</v>
      </c>
      <c r="I695" s="19">
        <v>3538615</v>
      </c>
      <c r="J695" s="18" t="s">
        <v>1015</v>
      </c>
      <c r="K695" s="19">
        <v>513.36</v>
      </c>
      <c r="L695" s="19">
        <v>89082</v>
      </c>
      <c r="M695" s="19">
        <v>3864</v>
      </c>
      <c r="N695" s="20">
        <v>0.0434</v>
      </c>
      <c r="O695" s="19">
        <v>0.13</v>
      </c>
      <c r="P695" s="19">
        <v>5.76</v>
      </c>
      <c r="Q695" s="19">
        <v>50</v>
      </c>
      <c r="R695" s="19">
        <v>0</v>
      </c>
      <c r="S695" s="19">
        <v>19</v>
      </c>
      <c r="T695" s="19">
        <v>9</v>
      </c>
      <c r="U695" s="19">
        <v>3</v>
      </c>
      <c r="V695" s="19">
        <v>81</v>
      </c>
      <c r="W695" s="19">
        <v>6.34</v>
      </c>
      <c r="X695" s="19">
        <v>0</v>
      </c>
      <c r="Y695" s="20">
        <v>0</v>
      </c>
      <c r="Z695" s="19">
        <v>1</v>
      </c>
      <c r="AA695" s="19">
        <v>2</v>
      </c>
      <c r="AB695" t="str">
        <f>VLOOKUP(E:E,笔记匹配!A:N,3,FALSE)</f>
        <v>Lucas雨田</v>
      </c>
      <c r="AC695" t="str">
        <f>VLOOKUP(E:E,笔记匹配!A:N,2,FALSE)</f>
        <v>筋膜枪</v>
      </c>
      <c r="AD695" t="str">
        <f>VLOOKUP(E:E,笔记匹配!A:N,4,FALSE)</f>
        <v>云麦筋膜枪PB2</v>
      </c>
      <c r="AE695" t="str">
        <f>VLOOKUP(E:E,笔记匹配!A:N,14,FALSE)</f>
        <v>云麦筋膜枪pb2</v>
      </c>
      <c r="AF695" t="str">
        <f>VLOOKUP(E:E,笔记匹配!A:N,6,FALSE)</f>
        <v>2个游泳后的放松技巧⭐️自主拉伸、筋膜枪按摩</v>
      </c>
    </row>
    <row r="696" spans="1:32">
      <c r="A696" s="18" t="s">
        <v>106</v>
      </c>
      <c r="B696" s="18" t="s">
        <v>1129</v>
      </c>
      <c r="C696" s="19">
        <v>17799451</v>
      </c>
      <c r="D696" s="18" t="s">
        <v>209</v>
      </c>
      <c r="E696" s="18" t="s">
        <v>378</v>
      </c>
      <c r="F696" s="18" t="s">
        <v>1130</v>
      </c>
      <c r="G696" s="19">
        <v>3466574</v>
      </c>
      <c r="H696" s="18" t="s">
        <v>1131</v>
      </c>
      <c r="I696" s="19">
        <v>2852359</v>
      </c>
      <c r="J696" s="18" t="s">
        <v>1015</v>
      </c>
      <c r="K696" s="19">
        <v>0</v>
      </c>
      <c r="L696" s="19">
        <v>0</v>
      </c>
      <c r="M696" s="19">
        <v>0</v>
      </c>
      <c r="N696" s="20">
        <v>0</v>
      </c>
      <c r="O696" s="19">
        <v>0</v>
      </c>
      <c r="P696" s="19">
        <v>0</v>
      </c>
      <c r="Q696" s="19">
        <v>0</v>
      </c>
      <c r="R696" s="19">
        <v>0</v>
      </c>
      <c r="S696" s="19">
        <v>0</v>
      </c>
      <c r="T696" s="19">
        <v>0</v>
      </c>
      <c r="U696" s="19">
        <v>0</v>
      </c>
      <c r="V696" s="19">
        <v>0</v>
      </c>
      <c r="W696" s="19">
        <v>0</v>
      </c>
      <c r="X696" s="19">
        <v>0</v>
      </c>
      <c r="Y696" s="20">
        <v>0</v>
      </c>
      <c r="Z696" s="19">
        <v>0</v>
      </c>
      <c r="AA696" s="19">
        <v>0</v>
      </c>
      <c r="AB696" t="str">
        <f>VLOOKUP(E:E,笔记匹配!A:N,3,FALSE)</f>
        <v>曲美腻腻</v>
      </c>
      <c r="AC696" t="str">
        <f>VLOOKUP(E:E,笔记匹配!A:N,2,FALSE)</f>
        <v>筋膜枪</v>
      </c>
      <c r="AD696" t="str">
        <f>VLOOKUP(E:E,笔记匹配!A:N,4,FALSE)</f>
        <v>云麦智能筋膜枪</v>
      </c>
      <c r="AE696" t="str">
        <f>VLOOKUP(E:E,笔记匹配!A:N,14,FALSE)</f>
        <v>云麦筋膜枪pb2</v>
      </c>
      <c r="AF696" t="str">
        <f>VLOOKUP(E:E,笔记匹配!A:N,6,FALSE)</f>
        <v>学会这3个动作！轻松在家瘦全身！不是梦！简单</v>
      </c>
    </row>
    <row r="697" spans="1:32">
      <c r="A697" s="18" t="s">
        <v>106</v>
      </c>
      <c r="B697" s="18" t="s">
        <v>1164</v>
      </c>
      <c r="C697" s="19">
        <v>18170615</v>
      </c>
      <c r="D697" s="18" t="s">
        <v>209</v>
      </c>
      <c r="E697" s="18" t="s">
        <v>205</v>
      </c>
      <c r="F697" s="18" t="s">
        <v>1165</v>
      </c>
      <c r="G697" s="19">
        <v>3639848</v>
      </c>
      <c r="H697" s="18" t="s">
        <v>1166</v>
      </c>
      <c r="I697" s="19">
        <v>3024741</v>
      </c>
      <c r="J697" s="18" t="s">
        <v>1015</v>
      </c>
      <c r="K697" s="19">
        <v>0</v>
      </c>
      <c r="L697" s="19">
        <v>0</v>
      </c>
      <c r="M697" s="19">
        <v>0</v>
      </c>
      <c r="N697" s="20">
        <v>0</v>
      </c>
      <c r="O697" s="19">
        <v>0</v>
      </c>
      <c r="P697" s="19">
        <v>0</v>
      </c>
      <c r="Q697" s="19">
        <v>0</v>
      </c>
      <c r="R697" s="19">
        <v>0</v>
      </c>
      <c r="S697" s="19">
        <v>0</v>
      </c>
      <c r="T697" s="19">
        <v>0</v>
      </c>
      <c r="U697" s="19">
        <v>0</v>
      </c>
      <c r="V697" s="19">
        <v>0</v>
      </c>
      <c r="W697" s="19">
        <v>0</v>
      </c>
      <c r="X697" s="19">
        <v>0</v>
      </c>
      <c r="Y697" s="20">
        <v>0</v>
      </c>
      <c r="Z697" s="19">
        <v>0</v>
      </c>
      <c r="AA697" s="19">
        <v>0</v>
      </c>
      <c r="AB697" t="str">
        <f>VLOOKUP(E:E,笔记匹配!A:N,3,FALSE)</f>
        <v>马可乐cora</v>
      </c>
      <c r="AC697" t="str">
        <f>VLOOKUP(E:E,笔记匹配!A:N,2,FALSE)</f>
        <v>筋膜枪</v>
      </c>
      <c r="AD697" t="str">
        <f>VLOOKUP(E:E,笔记匹配!A:N,4,FALSE)</f>
        <v>云麦筋膜枪PB2</v>
      </c>
      <c r="AE697" t="str">
        <f>VLOOKUP(E:E,笔记匹配!A:N,14,FALSE)</f>
        <v>云麦筋膜枪pb2</v>
      </c>
      <c r="AF697" t="str">
        <f>VLOOKUP(E:E,笔记匹配!A:N,6,FALSE)</f>
        <v>跳操的姐妹听我的用筋膜枪放松下肢真的有用</v>
      </c>
    </row>
    <row r="698" spans="1:32">
      <c r="A698" s="18" t="s">
        <v>106</v>
      </c>
      <c r="B698" s="18" t="s">
        <v>1184</v>
      </c>
      <c r="C698" s="19">
        <v>18646400</v>
      </c>
      <c r="D698" s="18" t="s">
        <v>209</v>
      </c>
      <c r="E698" s="18" t="s">
        <v>495</v>
      </c>
      <c r="F698" s="18" t="s">
        <v>1185</v>
      </c>
      <c r="G698" s="19">
        <v>3870533</v>
      </c>
      <c r="H698" s="18" t="s">
        <v>1185</v>
      </c>
      <c r="I698" s="19">
        <v>3255602</v>
      </c>
      <c r="J698" s="18" t="s">
        <v>1015</v>
      </c>
      <c r="K698" s="19">
        <v>0</v>
      </c>
      <c r="L698" s="19">
        <v>0</v>
      </c>
      <c r="M698" s="19">
        <v>0</v>
      </c>
      <c r="N698" s="20">
        <v>0</v>
      </c>
      <c r="O698" s="19">
        <v>0</v>
      </c>
      <c r="P698" s="19">
        <v>0</v>
      </c>
      <c r="Q698" s="19">
        <v>0</v>
      </c>
      <c r="R698" s="19">
        <v>0</v>
      </c>
      <c r="S698" s="19">
        <v>0</v>
      </c>
      <c r="T698" s="19">
        <v>0</v>
      </c>
      <c r="U698" s="19">
        <v>0</v>
      </c>
      <c r="V698" s="19">
        <v>0</v>
      </c>
      <c r="W698" s="19">
        <v>0</v>
      </c>
      <c r="X698" s="19">
        <v>0</v>
      </c>
      <c r="Y698" s="20">
        <v>0</v>
      </c>
      <c r="Z698" s="19">
        <v>0</v>
      </c>
      <c r="AA698" s="19">
        <v>0</v>
      </c>
      <c r="AB698" t="str">
        <f>VLOOKUP(E:E,笔记匹配!A:N,3,FALSE)</f>
        <v>桃子酱酱</v>
      </c>
      <c r="AC698" t="str">
        <f>VLOOKUP(E:E,笔记匹配!A:N,2,FALSE)</f>
        <v>筋膜枪</v>
      </c>
      <c r="AD698" t="str">
        <f>VLOOKUP(E:E,笔记匹配!A:N,4,FALSE)</f>
        <v>云麦筋膜枪pb2</v>
      </c>
      <c r="AE698" t="str">
        <f>VLOOKUP(E:E,笔记匹配!A:N,14,FALSE)</f>
        <v>云麦筋膜枪pb2</v>
      </c>
      <c r="AF698" t="str">
        <f>VLOOKUP(E:E,笔记匹配!A:N,6,FALSE)</f>
        <v>爱运动的姐妹！筋膜枪放松法get一下！</v>
      </c>
    </row>
    <row r="699" spans="1:32">
      <c r="A699" s="18" t="s">
        <v>106</v>
      </c>
      <c r="B699" s="18" t="s">
        <v>1189</v>
      </c>
      <c r="C699" s="19">
        <v>19010467</v>
      </c>
      <c r="D699" s="18" t="s">
        <v>209</v>
      </c>
      <c r="E699" s="18" t="s">
        <v>300</v>
      </c>
      <c r="F699" s="18" t="s">
        <v>1191</v>
      </c>
      <c r="G699" s="19">
        <v>4039162</v>
      </c>
      <c r="H699" s="18" t="s">
        <v>1191</v>
      </c>
      <c r="I699" s="19">
        <v>3422446</v>
      </c>
      <c r="J699" s="18" t="s">
        <v>1015</v>
      </c>
      <c r="K699" s="19">
        <v>0</v>
      </c>
      <c r="L699" s="19">
        <v>0</v>
      </c>
      <c r="M699" s="19">
        <v>0</v>
      </c>
      <c r="N699" s="20">
        <v>0</v>
      </c>
      <c r="O699" s="19">
        <v>0</v>
      </c>
      <c r="P699" s="19">
        <v>0</v>
      </c>
      <c r="Q699" s="19">
        <v>0</v>
      </c>
      <c r="R699" s="19">
        <v>0</v>
      </c>
      <c r="S699" s="19">
        <v>0</v>
      </c>
      <c r="T699" s="19">
        <v>0</v>
      </c>
      <c r="U699" s="19">
        <v>0</v>
      </c>
      <c r="V699" s="19">
        <v>0</v>
      </c>
      <c r="W699" s="19">
        <v>0</v>
      </c>
      <c r="X699" s="19">
        <v>0</v>
      </c>
      <c r="Y699" s="20">
        <v>0</v>
      </c>
      <c r="Z699" s="19">
        <v>0</v>
      </c>
      <c r="AA699" s="19">
        <v>0</v>
      </c>
      <c r="AB699" t="str">
        <f>VLOOKUP(E:E,笔记匹配!A:N,3,FALSE)</f>
        <v>朱俊畅</v>
      </c>
      <c r="AC699" t="str">
        <f>VLOOKUP(E:E,笔记匹配!A:N,2,FALSE)</f>
        <v>筋膜枪</v>
      </c>
      <c r="AD699" t="str">
        <f>VLOOKUP(E:E,笔记匹配!A:N,4,FALSE)</f>
        <v>云麦筋膜枪PB2</v>
      </c>
      <c r="AE699" t="str">
        <f>VLOOKUP(E:E,笔记匹配!A:N,14,FALSE)</f>
        <v>云麦筋膜枪pb2</v>
      </c>
      <c r="AF699" t="str">
        <f>VLOOKUP(E:E,笔记匹配!A:N,6,FALSE)</f>
        <v>打球完容易肌肉酸痛，筋膜枪放松更有效！</v>
      </c>
    </row>
    <row r="700" spans="1:32">
      <c r="A700" s="18" t="s">
        <v>106</v>
      </c>
      <c r="B700" s="18" t="s">
        <v>1196</v>
      </c>
      <c r="C700" s="19">
        <v>19058466</v>
      </c>
      <c r="D700" s="18" t="s">
        <v>196</v>
      </c>
      <c r="E700" s="18" t="s">
        <v>296</v>
      </c>
      <c r="F700" s="18" t="s">
        <v>1199</v>
      </c>
      <c r="G700" s="19">
        <v>4061725</v>
      </c>
      <c r="H700" s="18" t="s">
        <v>1199</v>
      </c>
      <c r="I700" s="19">
        <v>3444458</v>
      </c>
      <c r="J700" s="18" t="s">
        <v>1015</v>
      </c>
      <c r="K700" s="19">
        <v>0</v>
      </c>
      <c r="L700" s="19">
        <v>0</v>
      </c>
      <c r="M700" s="19">
        <v>0</v>
      </c>
      <c r="N700" s="20">
        <v>0</v>
      </c>
      <c r="O700" s="19">
        <v>0</v>
      </c>
      <c r="P700" s="19">
        <v>0</v>
      </c>
      <c r="Q700" s="19">
        <v>0</v>
      </c>
      <c r="R700" s="19">
        <v>0</v>
      </c>
      <c r="S700" s="19">
        <v>0</v>
      </c>
      <c r="T700" s="19">
        <v>0</v>
      </c>
      <c r="U700" s="19">
        <v>0</v>
      </c>
      <c r="V700" s="19">
        <v>0</v>
      </c>
      <c r="W700" s="19">
        <v>0</v>
      </c>
      <c r="X700" s="19">
        <v>0</v>
      </c>
      <c r="Y700" s="20">
        <v>0</v>
      </c>
      <c r="Z700" s="19">
        <v>0</v>
      </c>
      <c r="AA700" s="19">
        <v>0</v>
      </c>
      <c r="AB700" t="str">
        <f>VLOOKUP(E:E,笔记匹配!A:N,3,FALSE)</f>
        <v>元气芥末酱</v>
      </c>
      <c r="AC700" t="str">
        <f>VLOOKUP(E:E,笔记匹配!A:N,2,FALSE)</f>
        <v>筋膜枪</v>
      </c>
      <c r="AD700" t="str">
        <f>VLOOKUP(E:E,笔记匹配!A:N,4,FALSE)</f>
        <v>云麦筋膜枪PB2</v>
      </c>
      <c r="AE700" t="str">
        <f>VLOOKUP(E:E,笔记匹配!A:N,14,FALSE)</f>
        <v>云麦筋膜枪pb2</v>
      </c>
      <c r="AF700" t="str">
        <f>VLOOKUP(E:E,笔记匹配!A:N,6,FALSE)</f>
        <v>小腿粗的姐妹信我！肌肉腿就要这样按！</v>
      </c>
    </row>
    <row r="701" spans="1:32">
      <c r="A701" s="18" t="s">
        <v>106</v>
      </c>
      <c r="B701" s="18" t="s">
        <v>1200</v>
      </c>
      <c r="C701" s="19">
        <v>19106863</v>
      </c>
      <c r="D701" s="18" t="s">
        <v>209</v>
      </c>
      <c r="E701" s="18" t="s">
        <v>201</v>
      </c>
      <c r="F701" s="18" t="s">
        <v>1202</v>
      </c>
      <c r="G701" s="19">
        <v>4084168</v>
      </c>
      <c r="H701" s="18" t="s">
        <v>1202</v>
      </c>
      <c r="I701" s="19">
        <v>3466674</v>
      </c>
      <c r="J701" s="18" t="s">
        <v>1015</v>
      </c>
      <c r="K701" s="19">
        <v>769.61</v>
      </c>
      <c r="L701" s="19">
        <v>60146</v>
      </c>
      <c r="M701" s="19">
        <v>1541</v>
      </c>
      <c r="N701" s="20">
        <v>0.0256</v>
      </c>
      <c r="O701" s="19">
        <v>0.5</v>
      </c>
      <c r="P701" s="19">
        <v>12.8</v>
      </c>
      <c r="Q701" s="19">
        <v>74</v>
      </c>
      <c r="R701" s="19">
        <v>2</v>
      </c>
      <c r="S701" s="19">
        <v>36</v>
      </c>
      <c r="T701" s="19">
        <v>0</v>
      </c>
      <c r="U701" s="19">
        <v>4</v>
      </c>
      <c r="V701" s="19">
        <v>116</v>
      </c>
      <c r="W701" s="19">
        <v>6.63</v>
      </c>
      <c r="X701" s="19">
        <v>2</v>
      </c>
      <c r="Y701" s="20">
        <v>0.0013</v>
      </c>
      <c r="Z701" s="19">
        <v>2</v>
      </c>
      <c r="AA701" s="19">
        <v>5</v>
      </c>
      <c r="AB701" t="str">
        <f>VLOOKUP(E:E,笔记匹配!A:N,3,FALSE)</f>
        <v>包子熟了</v>
      </c>
      <c r="AC701" t="str">
        <f>VLOOKUP(E:E,笔记匹配!A:N,2,FALSE)</f>
        <v>筋膜枪</v>
      </c>
      <c r="AD701" t="str">
        <f>VLOOKUP(E:E,笔记匹配!A:N,4,FALSE)</f>
        <v>云麦筋膜枪</v>
      </c>
      <c r="AE701" t="str">
        <f>VLOOKUP(E:E,笔记匹配!A:N,14,FALSE)</f>
        <v>云麦筋膜枪pb2</v>
      </c>
      <c r="AF701" t="str">
        <f>VLOOKUP(E:E,笔记匹配!A:N,6,FALSE)</f>
        <v>筋膜枪测评|健身小白如何挑选筋膜枪？</v>
      </c>
    </row>
    <row r="702" spans="1:32">
      <c r="A702" s="18" t="s">
        <v>106</v>
      </c>
      <c r="B702" s="18" t="s">
        <v>1206</v>
      </c>
      <c r="C702" s="19">
        <v>19210822</v>
      </c>
      <c r="D702" s="18" t="s">
        <v>196</v>
      </c>
      <c r="E702" s="18" t="s">
        <v>201</v>
      </c>
      <c r="F702" s="18" t="s">
        <v>1205</v>
      </c>
      <c r="G702" s="19">
        <v>4133905</v>
      </c>
      <c r="H702" s="18" t="s">
        <v>1205</v>
      </c>
      <c r="I702" s="19">
        <v>3516487</v>
      </c>
      <c r="J702" s="18" t="s">
        <v>1015</v>
      </c>
      <c r="K702" s="19">
        <v>1023.64</v>
      </c>
      <c r="L702" s="19">
        <v>18019</v>
      </c>
      <c r="M702" s="19">
        <v>746</v>
      </c>
      <c r="N702" s="20">
        <v>0.0414</v>
      </c>
      <c r="O702" s="19">
        <v>1.37</v>
      </c>
      <c r="P702" s="19">
        <v>56.81</v>
      </c>
      <c r="Q702" s="19">
        <v>7</v>
      </c>
      <c r="R702" s="19">
        <v>0</v>
      </c>
      <c r="S702" s="19">
        <v>0</v>
      </c>
      <c r="T702" s="19">
        <v>0</v>
      </c>
      <c r="U702" s="19">
        <v>1</v>
      </c>
      <c r="V702" s="19">
        <v>8</v>
      </c>
      <c r="W702" s="19">
        <v>127.96</v>
      </c>
      <c r="X702" s="19">
        <v>3</v>
      </c>
      <c r="Y702" s="20">
        <v>0.004</v>
      </c>
      <c r="Z702" s="19">
        <v>0</v>
      </c>
      <c r="AA702" s="19">
        <v>1</v>
      </c>
      <c r="AB702" t="str">
        <f>VLOOKUP(E:E,笔记匹配!A:N,3,FALSE)</f>
        <v>包子熟了</v>
      </c>
      <c r="AC702" t="str">
        <f>VLOOKUP(E:E,笔记匹配!A:N,2,FALSE)</f>
        <v>筋膜枪</v>
      </c>
      <c r="AD702" t="str">
        <f>VLOOKUP(E:E,笔记匹配!A:N,4,FALSE)</f>
        <v>云麦筋膜枪</v>
      </c>
      <c r="AE702" t="str">
        <f>VLOOKUP(E:E,笔记匹配!A:N,14,FALSE)</f>
        <v>云麦筋膜枪pb2</v>
      </c>
      <c r="AF702" t="str">
        <f>VLOOKUP(E:E,笔记匹配!A:N,6,FALSE)</f>
        <v>筋膜枪测评|健身小白如何挑选筋膜枪？</v>
      </c>
    </row>
    <row r="703" spans="1:32">
      <c r="A703" s="18" t="s">
        <v>106</v>
      </c>
      <c r="B703" s="18" t="s">
        <v>1207</v>
      </c>
      <c r="C703" s="19">
        <v>19261230</v>
      </c>
      <c r="D703" s="18" t="s">
        <v>209</v>
      </c>
      <c r="E703" s="18" t="s">
        <v>579</v>
      </c>
      <c r="F703" s="18" t="s">
        <v>1208</v>
      </c>
      <c r="G703" s="19">
        <v>4155782</v>
      </c>
      <c r="H703" s="18" t="s">
        <v>1208</v>
      </c>
      <c r="I703" s="19">
        <v>3538615</v>
      </c>
      <c r="J703" s="18" t="s">
        <v>1015</v>
      </c>
      <c r="K703" s="19">
        <v>0.3</v>
      </c>
      <c r="L703" s="19">
        <v>81</v>
      </c>
      <c r="M703" s="19">
        <v>2</v>
      </c>
      <c r="N703" s="20">
        <v>0.0247</v>
      </c>
      <c r="O703" s="19">
        <v>0.15</v>
      </c>
      <c r="P703" s="19">
        <v>3.7</v>
      </c>
      <c r="Q703" s="19">
        <v>0</v>
      </c>
      <c r="R703" s="19">
        <v>0</v>
      </c>
      <c r="S703" s="19">
        <v>0</v>
      </c>
      <c r="T703" s="19">
        <v>0</v>
      </c>
      <c r="U703" s="19">
        <v>0</v>
      </c>
      <c r="V703" s="19">
        <v>0</v>
      </c>
      <c r="W703" s="19">
        <v>0</v>
      </c>
      <c r="X703" s="19">
        <v>0</v>
      </c>
      <c r="Y703" s="20">
        <v>0</v>
      </c>
      <c r="Z703" s="19">
        <v>0</v>
      </c>
      <c r="AA703" s="19">
        <v>0</v>
      </c>
      <c r="AB703" t="str">
        <f>VLOOKUP(E:E,笔记匹配!A:N,3,FALSE)</f>
        <v>Lucas雨田</v>
      </c>
      <c r="AC703" t="str">
        <f>VLOOKUP(E:E,笔记匹配!A:N,2,FALSE)</f>
        <v>筋膜枪</v>
      </c>
      <c r="AD703" t="str">
        <f>VLOOKUP(E:E,笔记匹配!A:N,4,FALSE)</f>
        <v>云麦筋膜枪PB2</v>
      </c>
      <c r="AE703" t="str">
        <f>VLOOKUP(E:E,笔记匹配!A:N,14,FALSE)</f>
        <v>云麦筋膜枪pb2</v>
      </c>
      <c r="AF703" t="str">
        <f>VLOOKUP(E:E,笔记匹配!A:N,6,FALSE)</f>
        <v>2个游泳后的放松技巧⭐️自主拉伸、筋膜枪按摩</v>
      </c>
    </row>
    <row r="704" spans="1:32">
      <c r="A704" s="18" t="s">
        <v>106</v>
      </c>
      <c r="B704" s="18" t="s">
        <v>1209</v>
      </c>
      <c r="C704" s="19">
        <v>19316723</v>
      </c>
      <c r="D704" s="18" t="s">
        <v>196</v>
      </c>
      <c r="E704" s="18" t="s">
        <v>201</v>
      </c>
      <c r="F704" s="18" t="s">
        <v>1210</v>
      </c>
      <c r="G704" s="19">
        <v>4178883</v>
      </c>
      <c r="H704" s="18" t="s">
        <v>1211</v>
      </c>
      <c r="I704" s="19">
        <v>3561099</v>
      </c>
      <c r="J704" s="18" t="s">
        <v>1015</v>
      </c>
      <c r="K704" s="19">
        <v>1.68</v>
      </c>
      <c r="L704" s="19">
        <v>74</v>
      </c>
      <c r="M704" s="19">
        <v>4</v>
      </c>
      <c r="N704" s="20">
        <v>0.0541</v>
      </c>
      <c r="O704" s="19">
        <v>0.42</v>
      </c>
      <c r="P704" s="19">
        <v>22.7</v>
      </c>
      <c r="Q704" s="19">
        <v>0</v>
      </c>
      <c r="R704" s="19">
        <v>0</v>
      </c>
      <c r="S704" s="19">
        <v>0</v>
      </c>
      <c r="T704" s="19">
        <v>0</v>
      </c>
      <c r="U704" s="19">
        <v>0</v>
      </c>
      <c r="V704" s="19">
        <v>0</v>
      </c>
      <c r="W704" s="19">
        <v>0</v>
      </c>
      <c r="X704" s="19">
        <v>0</v>
      </c>
      <c r="Y704" s="20">
        <v>0</v>
      </c>
      <c r="Z704" s="19">
        <v>0</v>
      </c>
      <c r="AA704" s="19">
        <v>0</v>
      </c>
      <c r="AB704" t="str">
        <f>VLOOKUP(E:E,笔记匹配!A:N,3,FALSE)</f>
        <v>包子熟了</v>
      </c>
      <c r="AC704" t="str">
        <f>VLOOKUP(E:E,笔记匹配!A:N,2,FALSE)</f>
        <v>筋膜枪</v>
      </c>
      <c r="AD704" t="str">
        <f>VLOOKUP(E:E,笔记匹配!A:N,4,FALSE)</f>
        <v>云麦筋膜枪</v>
      </c>
      <c r="AE704" t="str">
        <f>VLOOKUP(E:E,笔记匹配!A:N,14,FALSE)</f>
        <v>云麦筋膜枪pb2</v>
      </c>
      <c r="AF704" t="str">
        <f>VLOOKUP(E:E,笔记匹配!A:N,6,FALSE)</f>
        <v>筋膜枪测评|健身小白如何挑选筋膜枪？</v>
      </c>
    </row>
    <row r="705" spans="1:32">
      <c r="A705" s="18" t="s">
        <v>106</v>
      </c>
      <c r="B705" s="18" t="s">
        <v>1212</v>
      </c>
      <c r="C705" s="19">
        <v>19316774</v>
      </c>
      <c r="D705" s="18" t="s">
        <v>196</v>
      </c>
      <c r="E705" s="18" t="s">
        <v>581</v>
      </c>
      <c r="F705" s="18" t="s">
        <v>1210</v>
      </c>
      <c r="G705" s="19">
        <v>4178883</v>
      </c>
      <c r="H705" s="18" t="s">
        <v>1211</v>
      </c>
      <c r="I705" s="19">
        <v>3561099</v>
      </c>
      <c r="J705" s="18" t="s">
        <v>1015</v>
      </c>
      <c r="K705" s="19">
        <v>525.68</v>
      </c>
      <c r="L705" s="19">
        <v>17916</v>
      </c>
      <c r="M705" s="19">
        <v>456</v>
      </c>
      <c r="N705" s="20">
        <v>0.0255</v>
      </c>
      <c r="O705" s="19">
        <v>1.15</v>
      </c>
      <c r="P705" s="19">
        <v>29.34</v>
      </c>
      <c r="Q705" s="19">
        <v>10</v>
      </c>
      <c r="R705" s="19">
        <v>0</v>
      </c>
      <c r="S705" s="19">
        <v>2</v>
      </c>
      <c r="T705" s="19">
        <v>0</v>
      </c>
      <c r="U705" s="19">
        <v>0</v>
      </c>
      <c r="V705" s="19">
        <v>12</v>
      </c>
      <c r="W705" s="19">
        <v>43.81</v>
      </c>
      <c r="X705" s="19">
        <v>2</v>
      </c>
      <c r="Y705" s="20">
        <v>0.0044</v>
      </c>
      <c r="Z705" s="19">
        <v>0</v>
      </c>
      <c r="AA705" s="19">
        <v>1</v>
      </c>
      <c r="AB705" t="str">
        <f>VLOOKUP(E:E,笔记匹配!A:N,3,FALSE)</f>
        <v>木子棋Kiki</v>
      </c>
      <c r="AC705" t="str">
        <f>VLOOKUP(E:E,笔记匹配!A:N,2,FALSE)</f>
        <v>筋膜枪</v>
      </c>
      <c r="AD705" t="str">
        <f>VLOOKUP(E:E,笔记匹配!A:N,4,FALSE)</f>
        <v>云麦筋膜枪PB2</v>
      </c>
      <c r="AE705" t="str">
        <f>VLOOKUP(E:E,笔记匹配!A:N,14,FALSE)</f>
        <v>云麦筋膜枪pb2</v>
      </c>
      <c r="AF705" t="str">
        <f>VLOOKUP(E:E,笔记匹配!A:N,6,FALSE)</f>
        <v>筋膜枪要怎么选❓3款不同类型筋膜枪测评‼️</v>
      </c>
    </row>
    <row r="706" spans="1:32">
      <c r="A706" s="18" t="s">
        <v>107</v>
      </c>
      <c r="B706" s="18" t="s">
        <v>1189</v>
      </c>
      <c r="C706" s="19">
        <v>19010467</v>
      </c>
      <c r="D706" s="18" t="s">
        <v>209</v>
      </c>
      <c r="E706" s="18" t="s">
        <v>300</v>
      </c>
      <c r="F706" s="18" t="s">
        <v>1191</v>
      </c>
      <c r="G706" s="19">
        <v>4039162</v>
      </c>
      <c r="H706" s="18" t="s">
        <v>1191</v>
      </c>
      <c r="I706" s="19">
        <v>3422446</v>
      </c>
      <c r="J706" s="18" t="s">
        <v>1015</v>
      </c>
      <c r="K706" s="19">
        <v>0</v>
      </c>
      <c r="L706" s="19">
        <v>0</v>
      </c>
      <c r="M706" s="19">
        <v>0</v>
      </c>
      <c r="N706" s="20">
        <v>0</v>
      </c>
      <c r="O706" s="19">
        <v>0</v>
      </c>
      <c r="P706" s="19">
        <v>0</v>
      </c>
      <c r="Q706" s="19">
        <v>0</v>
      </c>
      <c r="R706" s="19">
        <v>0</v>
      </c>
      <c r="S706" s="19">
        <v>0</v>
      </c>
      <c r="T706" s="19">
        <v>0</v>
      </c>
      <c r="U706" s="19">
        <v>0</v>
      </c>
      <c r="V706" s="19">
        <v>0</v>
      </c>
      <c r="W706" s="19">
        <v>0</v>
      </c>
      <c r="X706" s="19">
        <v>0</v>
      </c>
      <c r="Y706" s="20">
        <v>0</v>
      </c>
      <c r="Z706" s="19">
        <v>0</v>
      </c>
      <c r="AA706" s="19">
        <v>0</v>
      </c>
      <c r="AB706" t="str">
        <f>VLOOKUP(E:E,笔记匹配!A:N,3,FALSE)</f>
        <v>朱俊畅</v>
      </c>
      <c r="AC706" t="str">
        <f>VLOOKUP(E:E,笔记匹配!A:N,2,FALSE)</f>
        <v>筋膜枪</v>
      </c>
      <c r="AD706" t="str">
        <f>VLOOKUP(E:E,笔记匹配!A:N,4,FALSE)</f>
        <v>云麦筋膜枪PB2</v>
      </c>
      <c r="AE706" t="str">
        <f>VLOOKUP(E:E,笔记匹配!A:N,14,FALSE)</f>
        <v>云麦筋膜枪pb2</v>
      </c>
      <c r="AF706" t="str">
        <f>VLOOKUP(E:E,笔记匹配!A:N,6,FALSE)</f>
        <v>打球完容易肌肉酸痛，筋膜枪放松更有效！</v>
      </c>
    </row>
    <row r="707" spans="1:32">
      <c r="A707" s="18" t="s">
        <v>107</v>
      </c>
      <c r="B707" s="18" t="s">
        <v>1189</v>
      </c>
      <c r="C707" s="19">
        <v>19010569</v>
      </c>
      <c r="D707" s="18" t="s">
        <v>209</v>
      </c>
      <c r="E707" s="18" t="s">
        <v>400</v>
      </c>
      <c r="F707" s="18" t="s">
        <v>1192</v>
      </c>
      <c r="G707" s="19">
        <v>4039210</v>
      </c>
      <c r="H707" s="18" t="s">
        <v>1192</v>
      </c>
      <c r="I707" s="19">
        <v>3422478</v>
      </c>
      <c r="J707" s="18" t="s">
        <v>1015</v>
      </c>
      <c r="K707" s="19">
        <v>0</v>
      </c>
      <c r="L707" s="19">
        <v>0</v>
      </c>
      <c r="M707" s="19">
        <v>0</v>
      </c>
      <c r="N707" s="20">
        <v>0</v>
      </c>
      <c r="O707" s="19">
        <v>0</v>
      </c>
      <c r="P707" s="19">
        <v>0</v>
      </c>
      <c r="Q707" s="19">
        <v>0</v>
      </c>
      <c r="R707" s="19">
        <v>0</v>
      </c>
      <c r="S707" s="19">
        <v>0</v>
      </c>
      <c r="T707" s="19">
        <v>0</v>
      </c>
      <c r="U707" s="19">
        <v>0</v>
      </c>
      <c r="V707" s="19">
        <v>0</v>
      </c>
      <c r="W707" s="19">
        <v>0</v>
      </c>
      <c r="X707" s="19">
        <v>0</v>
      </c>
      <c r="Y707" s="20">
        <v>0</v>
      </c>
      <c r="Z707" s="19">
        <v>0</v>
      </c>
      <c r="AA707" s="19">
        <v>0</v>
      </c>
      <c r="AB707" t="str">
        <f>VLOOKUP(E:E,笔记匹配!A:N,3,FALSE)</f>
        <v>小雪教瑜伽</v>
      </c>
      <c r="AC707" t="str">
        <f>VLOOKUP(E:E,笔记匹配!A:N,2,FALSE)</f>
        <v>筋膜枪</v>
      </c>
      <c r="AD707" t="str">
        <f>VLOOKUP(E:E,笔记匹配!A:N,4,FALSE)</f>
        <v>云麦筋膜枪cc</v>
      </c>
      <c r="AE707" t="str">
        <f>VLOOKUP(E:E,笔记匹配!A:N,14,FALSE)</f>
        <v>云麦筋膜枪cc</v>
      </c>
      <c r="AF707" t="str">
        <f>VLOOKUP(E:E,笔记匹配!A:N,6,FALSE)</f>
        <v>瘦肌肉腿必备&amp;筋膜枪按摩跟练教程</v>
      </c>
    </row>
    <row r="708" spans="1:32">
      <c r="A708" s="18" t="s">
        <v>107</v>
      </c>
      <c r="B708" s="18" t="s">
        <v>1196</v>
      </c>
      <c r="C708" s="19">
        <v>19054497</v>
      </c>
      <c r="D708" s="18" t="s">
        <v>209</v>
      </c>
      <c r="E708" s="18" t="s">
        <v>452</v>
      </c>
      <c r="F708" s="18" t="s">
        <v>1198</v>
      </c>
      <c r="G708" s="19">
        <v>4059827</v>
      </c>
      <c r="H708" s="18" t="s">
        <v>1198</v>
      </c>
      <c r="I708" s="19">
        <v>3442591</v>
      </c>
      <c r="J708" s="18" t="s">
        <v>1015</v>
      </c>
      <c r="K708" s="19">
        <v>1016.77</v>
      </c>
      <c r="L708" s="19">
        <v>44620</v>
      </c>
      <c r="M708" s="19">
        <v>3996</v>
      </c>
      <c r="N708" s="20">
        <v>0.0896</v>
      </c>
      <c r="O708" s="19">
        <v>0.25</v>
      </c>
      <c r="P708" s="19">
        <v>22.79</v>
      </c>
      <c r="Q708" s="19">
        <v>237</v>
      </c>
      <c r="R708" s="19">
        <v>3</v>
      </c>
      <c r="S708" s="19">
        <v>69</v>
      </c>
      <c r="T708" s="19">
        <v>11</v>
      </c>
      <c r="U708" s="19">
        <v>6</v>
      </c>
      <c r="V708" s="19">
        <v>326</v>
      </c>
      <c r="W708" s="19">
        <v>3.12</v>
      </c>
      <c r="X708" s="19">
        <v>0</v>
      </c>
      <c r="Y708" s="20">
        <v>0</v>
      </c>
      <c r="Z708" s="19">
        <v>6</v>
      </c>
      <c r="AA708" s="19">
        <v>2</v>
      </c>
      <c r="AB708" t="str">
        <f>VLOOKUP(E:E,笔记匹配!A:N,3,FALSE)</f>
        <v>Bruce小厮</v>
      </c>
      <c r="AC708" t="str">
        <f>VLOOKUP(E:E,笔记匹配!A:N,2,FALSE)</f>
        <v>筋膜枪</v>
      </c>
      <c r="AD708" t="str">
        <f>VLOOKUP(E:E,笔记匹配!A:N,4,FALSE)</f>
        <v>云麦筋膜枪PB2</v>
      </c>
      <c r="AE708" t="str">
        <f>VLOOKUP(E:E,笔记匹配!A:N,14,FALSE)</f>
        <v>云麦筋膜枪pb2</v>
      </c>
      <c r="AF708" t="str">
        <f>VLOOKUP(E:E,笔记匹配!A:N,6,FALSE)</f>
        <v>女生练球后如何拉伸按摩，筋膜枪放松！！</v>
      </c>
    </row>
    <row r="709" spans="1:32">
      <c r="A709" s="18" t="s">
        <v>107</v>
      </c>
      <c r="B709" s="18" t="s">
        <v>1200</v>
      </c>
      <c r="C709" s="19">
        <v>19106863</v>
      </c>
      <c r="D709" s="18" t="s">
        <v>209</v>
      </c>
      <c r="E709" s="18" t="s">
        <v>201</v>
      </c>
      <c r="F709" s="18" t="s">
        <v>1202</v>
      </c>
      <c r="G709" s="19">
        <v>4084168</v>
      </c>
      <c r="H709" s="18" t="s">
        <v>1202</v>
      </c>
      <c r="I709" s="19">
        <v>3466674</v>
      </c>
      <c r="J709" s="18" t="s">
        <v>1015</v>
      </c>
      <c r="K709" s="19">
        <v>12.05</v>
      </c>
      <c r="L709" s="19">
        <v>672</v>
      </c>
      <c r="M709" s="19">
        <v>28</v>
      </c>
      <c r="N709" s="20">
        <v>0.0417</v>
      </c>
      <c r="O709" s="19">
        <v>0.43</v>
      </c>
      <c r="P709" s="19">
        <v>17.93</v>
      </c>
      <c r="Q709" s="19">
        <v>3</v>
      </c>
      <c r="R709" s="19">
        <v>1</v>
      </c>
      <c r="S709" s="19">
        <v>1</v>
      </c>
      <c r="T709" s="19">
        <v>0</v>
      </c>
      <c r="U709" s="19">
        <v>0</v>
      </c>
      <c r="V709" s="19">
        <v>5</v>
      </c>
      <c r="W709" s="19">
        <v>2.41</v>
      </c>
      <c r="X709" s="19">
        <v>0</v>
      </c>
      <c r="Y709" s="20">
        <v>0</v>
      </c>
      <c r="Z709" s="19">
        <v>0</v>
      </c>
      <c r="AA709" s="19">
        <v>0</v>
      </c>
      <c r="AB709" t="str">
        <f>VLOOKUP(E:E,笔记匹配!A:N,3,FALSE)</f>
        <v>包子熟了</v>
      </c>
      <c r="AC709" t="str">
        <f>VLOOKUP(E:E,笔记匹配!A:N,2,FALSE)</f>
        <v>筋膜枪</v>
      </c>
      <c r="AD709" t="str">
        <f>VLOOKUP(E:E,笔记匹配!A:N,4,FALSE)</f>
        <v>云麦筋膜枪</v>
      </c>
      <c r="AE709" t="str">
        <f>VLOOKUP(E:E,笔记匹配!A:N,14,FALSE)</f>
        <v>云麦筋膜枪pb2</v>
      </c>
      <c r="AF709" t="str">
        <f>VLOOKUP(E:E,笔记匹配!A:N,6,FALSE)</f>
        <v>筋膜枪测评|健身小白如何挑选筋膜枪？</v>
      </c>
    </row>
    <row r="710" spans="1:32">
      <c r="A710" s="18" t="s">
        <v>107</v>
      </c>
      <c r="B710" s="18" t="s">
        <v>1200</v>
      </c>
      <c r="C710" s="19">
        <v>19106999</v>
      </c>
      <c r="D710" s="18" t="s">
        <v>196</v>
      </c>
      <c r="E710" s="18" t="s">
        <v>205</v>
      </c>
      <c r="F710" s="18" t="s">
        <v>1203</v>
      </c>
      <c r="G710" s="19">
        <v>4084260</v>
      </c>
      <c r="H710" s="18" t="s">
        <v>1203</v>
      </c>
      <c r="I710" s="19">
        <v>3466751</v>
      </c>
      <c r="J710" s="18" t="s">
        <v>1015</v>
      </c>
      <c r="K710" s="19">
        <v>440.95</v>
      </c>
      <c r="L710" s="19">
        <v>17282</v>
      </c>
      <c r="M710" s="19">
        <v>917</v>
      </c>
      <c r="N710" s="20">
        <v>0.0531</v>
      </c>
      <c r="O710" s="19">
        <v>0.48</v>
      </c>
      <c r="P710" s="19">
        <v>25.51</v>
      </c>
      <c r="Q710" s="19">
        <v>23</v>
      </c>
      <c r="R710" s="19">
        <v>0</v>
      </c>
      <c r="S710" s="19">
        <v>18</v>
      </c>
      <c r="T710" s="19">
        <v>4</v>
      </c>
      <c r="U710" s="19">
        <v>3</v>
      </c>
      <c r="V710" s="19">
        <v>48</v>
      </c>
      <c r="W710" s="19">
        <v>9.19</v>
      </c>
      <c r="X710" s="19">
        <v>0</v>
      </c>
      <c r="Y710" s="20">
        <v>0</v>
      </c>
      <c r="Z710" s="19">
        <v>0</v>
      </c>
      <c r="AA710" s="19">
        <v>3</v>
      </c>
      <c r="AB710" t="str">
        <f>VLOOKUP(E:E,笔记匹配!A:N,3,FALSE)</f>
        <v>马可乐cora</v>
      </c>
      <c r="AC710" t="str">
        <f>VLOOKUP(E:E,笔记匹配!A:N,2,FALSE)</f>
        <v>筋膜枪</v>
      </c>
      <c r="AD710" t="str">
        <f>VLOOKUP(E:E,笔记匹配!A:N,4,FALSE)</f>
        <v>云麦筋膜枪PB2</v>
      </c>
      <c r="AE710" t="str">
        <f>VLOOKUP(E:E,笔记匹配!A:N,14,FALSE)</f>
        <v>云麦筋膜枪pb2</v>
      </c>
      <c r="AF710" t="str">
        <f>VLOOKUP(E:E,笔记匹配!A:N,6,FALSE)</f>
        <v>跳操的姐妹听我的用筋膜枪放松下肢真的有用</v>
      </c>
    </row>
    <row r="711" spans="1:32">
      <c r="A711" s="18" t="s">
        <v>107</v>
      </c>
      <c r="B711" s="18" t="s">
        <v>1206</v>
      </c>
      <c r="C711" s="19">
        <v>19210822</v>
      </c>
      <c r="D711" s="18" t="s">
        <v>196</v>
      </c>
      <c r="E711" s="18" t="s">
        <v>201</v>
      </c>
      <c r="F711" s="18" t="s">
        <v>1205</v>
      </c>
      <c r="G711" s="19">
        <v>4133905</v>
      </c>
      <c r="H711" s="18" t="s">
        <v>1205</v>
      </c>
      <c r="I711" s="19">
        <v>3516487</v>
      </c>
      <c r="J711" s="18" t="s">
        <v>1015</v>
      </c>
      <c r="K711" s="19">
        <v>0.59</v>
      </c>
      <c r="L711" s="19">
        <v>10</v>
      </c>
      <c r="M711" s="19">
        <v>1</v>
      </c>
      <c r="N711" s="20">
        <v>0.1</v>
      </c>
      <c r="O711" s="19">
        <v>0.59</v>
      </c>
      <c r="P711" s="19">
        <v>59</v>
      </c>
      <c r="Q711" s="19">
        <v>0</v>
      </c>
      <c r="R711" s="19">
        <v>0</v>
      </c>
      <c r="S711" s="19">
        <v>0</v>
      </c>
      <c r="T711" s="19">
        <v>0</v>
      </c>
      <c r="U711" s="19">
        <v>0</v>
      </c>
      <c r="V711" s="19">
        <v>0</v>
      </c>
      <c r="W711" s="19">
        <v>0</v>
      </c>
      <c r="X711" s="19">
        <v>0</v>
      </c>
      <c r="Y711" s="20">
        <v>0</v>
      </c>
      <c r="Z711" s="19">
        <v>0</v>
      </c>
      <c r="AA711" s="19">
        <v>0</v>
      </c>
      <c r="AB711" t="str">
        <f>VLOOKUP(E:E,笔记匹配!A:N,3,FALSE)</f>
        <v>包子熟了</v>
      </c>
      <c r="AC711" t="str">
        <f>VLOOKUP(E:E,笔记匹配!A:N,2,FALSE)</f>
        <v>筋膜枪</v>
      </c>
      <c r="AD711" t="str">
        <f>VLOOKUP(E:E,笔记匹配!A:N,4,FALSE)</f>
        <v>云麦筋膜枪</v>
      </c>
      <c r="AE711" t="str">
        <f>VLOOKUP(E:E,笔记匹配!A:N,14,FALSE)</f>
        <v>云麦筋膜枪pb2</v>
      </c>
      <c r="AF711" t="str">
        <f>VLOOKUP(E:E,笔记匹配!A:N,6,FALSE)</f>
        <v>筋膜枪测评|健身小白如何挑选筋膜枪？</v>
      </c>
    </row>
    <row r="712" spans="1:32">
      <c r="A712" s="18" t="s">
        <v>107</v>
      </c>
      <c r="B712" s="18" t="s">
        <v>1207</v>
      </c>
      <c r="C712" s="19">
        <v>19261230</v>
      </c>
      <c r="D712" s="18" t="s">
        <v>209</v>
      </c>
      <c r="E712" s="18" t="s">
        <v>579</v>
      </c>
      <c r="F712" s="18" t="s">
        <v>1208</v>
      </c>
      <c r="G712" s="19">
        <v>4155782</v>
      </c>
      <c r="H712" s="18" t="s">
        <v>1208</v>
      </c>
      <c r="I712" s="19">
        <v>3538615</v>
      </c>
      <c r="J712" s="18" t="s">
        <v>1015</v>
      </c>
      <c r="K712" s="19">
        <v>514.27</v>
      </c>
      <c r="L712" s="19">
        <v>36727</v>
      </c>
      <c r="M712" s="19">
        <v>3377</v>
      </c>
      <c r="N712" s="20">
        <v>0.0919</v>
      </c>
      <c r="O712" s="19">
        <v>0.15</v>
      </c>
      <c r="P712" s="19">
        <v>14</v>
      </c>
      <c r="Q712" s="19">
        <v>85</v>
      </c>
      <c r="R712" s="19">
        <v>2</v>
      </c>
      <c r="S712" s="19">
        <v>19</v>
      </c>
      <c r="T712" s="19">
        <v>15</v>
      </c>
      <c r="U712" s="19">
        <v>2</v>
      </c>
      <c r="V712" s="19">
        <v>123</v>
      </c>
      <c r="W712" s="19">
        <v>4.18</v>
      </c>
      <c r="X712" s="19">
        <v>0</v>
      </c>
      <c r="Y712" s="20">
        <v>0</v>
      </c>
      <c r="Z712" s="19">
        <v>16</v>
      </c>
      <c r="AA712" s="19">
        <v>2</v>
      </c>
      <c r="AB712" t="str">
        <f>VLOOKUP(E:E,笔记匹配!A:N,3,FALSE)</f>
        <v>Lucas雨田</v>
      </c>
      <c r="AC712" t="str">
        <f>VLOOKUP(E:E,笔记匹配!A:N,2,FALSE)</f>
        <v>筋膜枪</v>
      </c>
      <c r="AD712" t="str">
        <f>VLOOKUP(E:E,笔记匹配!A:N,4,FALSE)</f>
        <v>云麦筋膜枪PB2</v>
      </c>
      <c r="AE712" t="str">
        <f>VLOOKUP(E:E,笔记匹配!A:N,14,FALSE)</f>
        <v>云麦筋膜枪pb2</v>
      </c>
      <c r="AF712" t="str">
        <f>VLOOKUP(E:E,笔记匹配!A:N,6,FALSE)</f>
        <v>2个游泳后的放松技巧⭐️自主拉伸、筋膜枪按摩</v>
      </c>
    </row>
    <row r="713" spans="1:32">
      <c r="A713" s="18" t="s">
        <v>107</v>
      </c>
      <c r="B713" s="18" t="s">
        <v>1212</v>
      </c>
      <c r="C713" s="19">
        <v>19316774</v>
      </c>
      <c r="D713" s="18" t="s">
        <v>196</v>
      </c>
      <c r="E713" s="18" t="s">
        <v>581</v>
      </c>
      <c r="F713" s="18" t="s">
        <v>1210</v>
      </c>
      <c r="G713" s="19">
        <v>4178883</v>
      </c>
      <c r="H713" s="18" t="s">
        <v>1211</v>
      </c>
      <c r="I713" s="19">
        <v>3561099</v>
      </c>
      <c r="J713" s="18" t="s">
        <v>1015</v>
      </c>
      <c r="K713" s="19">
        <v>0</v>
      </c>
      <c r="L713" s="19">
        <v>12</v>
      </c>
      <c r="M713" s="19">
        <v>0</v>
      </c>
      <c r="N713" s="20">
        <v>0</v>
      </c>
      <c r="O713" s="19">
        <v>0</v>
      </c>
      <c r="P713" s="19">
        <v>0</v>
      </c>
      <c r="Q713" s="19">
        <v>0</v>
      </c>
      <c r="R713" s="19">
        <v>0</v>
      </c>
      <c r="S713" s="19">
        <v>0</v>
      </c>
      <c r="T713" s="19">
        <v>0</v>
      </c>
      <c r="U713" s="19">
        <v>0</v>
      </c>
      <c r="V713" s="19">
        <v>0</v>
      </c>
      <c r="W713" s="19">
        <v>0</v>
      </c>
      <c r="X713" s="19">
        <v>0</v>
      </c>
      <c r="Y713" s="20">
        <v>0</v>
      </c>
      <c r="Z713" s="19">
        <v>0</v>
      </c>
      <c r="AA713" s="19">
        <v>0</v>
      </c>
      <c r="AB713" t="str">
        <f>VLOOKUP(E:E,笔记匹配!A:N,3,FALSE)</f>
        <v>木子棋Kiki</v>
      </c>
      <c r="AC713" t="str">
        <f>VLOOKUP(E:E,笔记匹配!A:N,2,FALSE)</f>
        <v>筋膜枪</v>
      </c>
      <c r="AD713" t="str">
        <f>VLOOKUP(E:E,笔记匹配!A:N,4,FALSE)</f>
        <v>云麦筋膜枪PB2</v>
      </c>
      <c r="AE713" t="str">
        <f>VLOOKUP(E:E,笔记匹配!A:N,14,FALSE)</f>
        <v>云麦筋膜枪pb2</v>
      </c>
      <c r="AF713" t="str">
        <f>VLOOKUP(E:E,笔记匹配!A:N,6,FALSE)</f>
        <v>筋膜枪要怎么选❓3款不同类型筋膜枪测评‼️</v>
      </c>
    </row>
    <row r="714" spans="1:32">
      <c r="A714" s="18" t="s">
        <v>107</v>
      </c>
      <c r="B714" s="18" t="s">
        <v>1213</v>
      </c>
      <c r="C714" s="19">
        <v>19380003</v>
      </c>
      <c r="D714" s="18" t="s">
        <v>209</v>
      </c>
      <c r="E714" s="18" t="s">
        <v>577</v>
      </c>
      <c r="F714" s="18" t="s">
        <v>1214</v>
      </c>
      <c r="G714" s="19">
        <v>4206144</v>
      </c>
      <c r="H714" s="18" t="s">
        <v>1215</v>
      </c>
      <c r="I714" s="19">
        <v>3587795</v>
      </c>
      <c r="J714" s="18" t="s">
        <v>1015</v>
      </c>
      <c r="K714" s="19">
        <v>484.58</v>
      </c>
      <c r="L714" s="19">
        <v>105395</v>
      </c>
      <c r="M714" s="19">
        <v>2683</v>
      </c>
      <c r="N714" s="20">
        <v>0.0255</v>
      </c>
      <c r="O714" s="19">
        <v>0.18</v>
      </c>
      <c r="P714" s="19">
        <v>4.6</v>
      </c>
      <c r="Q714" s="19">
        <v>56</v>
      </c>
      <c r="R714" s="19">
        <v>3</v>
      </c>
      <c r="S714" s="19">
        <v>4</v>
      </c>
      <c r="T714" s="19">
        <v>2</v>
      </c>
      <c r="U714" s="19">
        <v>5</v>
      </c>
      <c r="V714" s="19">
        <v>70</v>
      </c>
      <c r="W714" s="19">
        <v>6.92</v>
      </c>
      <c r="X714" s="19">
        <v>0</v>
      </c>
      <c r="Y714" s="20">
        <v>0</v>
      </c>
      <c r="Z714" s="19">
        <v>1</v>
      </c>
      <c r="AA714" s="19">
        <v>5</v>
      </c>
      <c r="AB714" t="str">
        <f>VLOOKUP(E:E,笔记匹配!A:N,3,FALSE)</f>
        <v>阿三啊</v>
      </c>
      <c r="AC714" t="str">
        <f>VLOOKUP(E:E,笔记匹配!A:N,2,FALSE)</f>
        <v>筋膜枪</v>
      </c>
      <c r="AD714" t="str">
        <f>VLOOKUP(E:E,笔记匹配!A:N,4,FALSE)</f>
        <v>云麦筋膜枪pb2</v>
      </c>
      <c r="AE714" t="str">
        <f>VLOOKUP(E:E,笔记匹配!A:N,14,FALSE)</f>
        <v>云麦筋膜枪pb2</v>
      </c>
      <c r="AF714" t="str">
        <f>VLOOKUP(E:E,笔记匹配!A:N,6,FALSE)</f>
        <v>筋膜枪我的新装备|运动酷盖就该这样</v>
      </c>
    </row>
    <row r="715" spans="1:32">
      <c r="A715" s="18" t="s">
        <v>108</v>
      </c>
      <c r="B715" s="18" t="s">
        <v>1196</v>
      </c>
      <c r="C715" s="19">
        <v>19054497</v>
      </c>
      <c r="D715" s="18" t="s">
        <v>209</v>
      </c>
      <c r="E715" s="18" t="s">
        <v>452</v>
      </c>
      <c r="F715" s="18" t="s">
        <v>1198</v>
      </c>
      <c r="G715" s="19">
        <v>4059827</v>
      </c>
      <c r="H715" s="18" t="s">
        <v>1198</v>
      </c>
      <c r="I715" s="19">
        <v>3442591</v>
      </c>
      <c r="J715" s="18" t="s">
        <v>1015</v>
      </c>
      <c r="K715" s="19">
        <v>1005.93</v>
      </c>
      <c r="L715" s="19">
        <v>44771</v>
      </c>
      <c r="M715" s="19">
        <v>4248</v>
      </c>
      <c r="N715" s="20">
        <v>0.0949</v>
      </c>
      <c r="O715" s="19">
        <v>0.24</v>
      </c>
      <c r="P715" s="19">
        <v>22.47</v>
      </c>
      <c r="Q715" s="19">
        <v>161</v>
      </c>
      <c r="R715" s="19">
        <v>2</v>
      </c>
      <c r="S715" s="19">
        <v>63</v>
      </c>
      <c r="T715" s="19">
        <v>20</v>
      </c>
      <c r="U715" s="19">
        <v>5</v>
      </c>
      <c r="V715" s="19">
        <v>251</v>
      </c>
      <c r="W715" s="19">
        <v>4.01</v>
      </c>
      <c r="X715" s="19">
        <v>0</v>
      </c>
      <c r="Y715" s="20">
        <v>0</v>
      </c>
      <c r="Z715" s="19">
        <v>2</v>
      </c>
      <c r="AA715" s="19">
        <v>4</v>
      </c>
      <c r="AB715" t="str">
        <f>VLOOKUP(E:E,笔记匹配!A:N,3,FALSE)</f>
        <v>Bruce小厮</v>
      </c>
      <c r="AC715" t="str">
        <f>VLOOKUP(E:E,笔记匹配!A:N,2,FALSE)</f>
        <v>筋膜枪</v>
      </c>
      <c r="AD715" t="str">
        <f>VLOOKUP(E:E,笔记匹配!A:N,4,FALSE)</f>
        <v>云麦筋膜枪PB2</v>
      </c>
      <c r="AE715" t="str">
        <f>VLOOKUP(E:E,笔记匹配!A:N,14,FALSE)</f>
        <v>云麦筋膜枪pb2</v>
      </c>
      <c r="AF715" t="str">
        <f>VLOOKUP(E:E,笔记匹配!A:N,6,FALSE)</f>
        <v>女生练球后如何拉伸按摩，筋膜枪放松！！</v>
      </c>
    </row>
    <row r="716" spans="1:32">
      <c r="A716" s="18" t="s">
        <v>108</v>
      </c>
      <c r="B716" s="18" t="s">
        <v>1200</v>
      </c>
      <c r="C716" s="19">
        <v>19106863</v>
      </c>
      <c r="D716" s="18" t="s">
        <v>209</v>
      </c>
      <c r="E716" s="18" t="s">
        <v>201</v>
      </c>
      <c r="F716" s="18" t="s">
        <v>1202</v>
      </c>
      <c r="G716" s="19">
        <v>4084168</v>
      </c>
      <c r="H716" s="18" t="s">
        <v>1202</v>
      </c>
      <c r="I716" s="19">
        <v>3466674</v>
      </c>
      <c r="J716" s="18" t="s">
        <v>1015</v>
      </c>
      <c r="K716" s="19">
        <v>495.33</v>
      </c>
      <c r="L716" s="19">
        <v>72948</v>
      </c>
      <c r="M716" s="19">
        <v>1655</v>
      </c>
      <c r="N716" s="20">
        <v>0.0227</v>
      </c>
      <c r="O716" s="19">
        <v>0.3</v>
      </c>
      <c r="P716" s="19">
        <v>6.79</v>
      </c>
      <c r="Q716" s="19">
        <v>72</v>
      </c>
      <c r="R716" s="19">
        <v>1</v>
      </c>
      <c r="S716" s="19">
        <v>24</v>
      </c>
      <c r="T716" s="19">
        <v>0</v>
      </c>
      <c r="U716" s="19">
        <v>3</v>
      </c>
      <c r="V716" s="19">
        <v>100</v>
      </c>
      <c r="W716" s="19">
        <v>4.95</v>
      </c>
      <c r="X716" s="19">
        <v>11</v>
      </c>
      <c r="Y716" s="20">
        <v>0.0066</v>
      </c>
      <c r="Z716" s="19">
        <v>4</v>
      </c>
      <c r="AA716" s="19">
        <v>1</v>
      </c>
      <c r="AB716" t="str">
        <f>VLOOKUP(E:E,笔记匹配!A:N,3,FALSE)</f>
        <v>包子熟了</v>
      </c>
      <c r="AC716" t="str">
        <f>VLOOKUP(E:E,笔记匹配!A:N,2,FALSE)</f>
        <v>筋膜枪</v>
      </c>
      <c r="AD716" t="str">
        <f>VLOOKUP(E:E,笔记匹配!A:N,4,FALSE)</f>
        <v>云麦筋膜枪</v>
      </c>
      <c r="AE716" t="str">
        <f>VLOOKUP(E:E,笔记匹配!A:N,14,FALSE)</f>
        <v>云麦筋膜枪pb2</v>
      </c>
      <c r="AF716" t="str">
        <f>VLOOKUP(E:E,笔记匹配!A:N,6,FALSE)</f>
        <v>筋膜枪测评|健身小白如何挑选筋膜枪？</v>
      </c>
    </row>
    <row r="717" spans="1:32">
      <c r="A717" s="18" t="s">
        <v>108</v>
      </c>
      <c r="B717" s="18" t="s">
        <v>1200</v>
      </c>
      <c r="C717" s="19">
        <v>19106999</v>
      </c>
      <c r="D717" s="18" t="s">
        <v>196</v>
      </c>
      <c r="E717" s="18" t="s">
        <v>205</v>
      </c>
      <c r="F717" s="18" t="s">
        <v>1203</v>
      </c>
      <c r="G717" s="19">
        <v>4084260</v>
      </c>
      <c r="H717" s="18" t="s">
        <v>1203</v>
      </c>
      <c r="I717" s="19">
        <v>3466751</v>
      </c>
      <c r="J717" s="18" t="s">
        <v>1015</v>
      </c>
      <c r="K717" s="19">
        <v>0</v>
      </c>
      <c r="L717" s="19">
        <v>0</v>
      </c>
      <c r="M717" s="19">
        <v>0</v>
      </c>
      <c r="N717" s="20">
        <v>0</v>
      </c>
      <c r="O717" s="19">
        <v>0</v>
      </c>
      <c r="P717" s="19">
        <v>0</v>
      </c>
      <c r="Q717" s="19">
        <v>0</v>
      </c>
      <c r="R717" s="19">
        <v>0</v>
      </c>
      <c r="S717" s="19">
        <v>0</v>
      </c>
      <c r="T717" s="19">
        <v>0</v>
      </c>
      <c r="U717" s="19">
        <v>0</v>
      </c>
      <c r="V717" s="19">
        <v>0</v>
      </c>
      <c r="W717" s="19">
        <v>0</v>
      </c>
      <c r="X717" s="19">
        <v>0</v>
      </c>
      <c r="Y717" s="20">
        <v>0</v>
      </c>
      <c r="Z717" s="19">
        <v>0</v>
      </c>
      <c r="AA717" s="19">
        <v>0</v>
      </c>
      <c r="AB717" t="str">
        <f>VLOOKUP(E:E,笔记匹配!A:N,3,FALSE)</f>
        <v>马可乐cora</v>
      </c>
      <c r="AC717" t="str">
        <f>VLOOKUP(E:E,笔记匹配!A:N,2,FALSE)</f>
        <v>筋膜枪</v>
      </c>
      <c r="AD717" t="str">
        <f>VLOOKUP(E:E,笔记匹配!A:N,4,FALSE)</f>
        <v>云麦筋膜枪PB2</v>
      </c>
      <c r="AE717" t="str">
        <f>VLOOKUP(E:E,笔记匹配!A:N,14,FALSE)</f>
        <v>云麦筋膜枪pb2</v>
      </c>
      <c r="AF717" t="str">
        <f>VLOOKUP(E:E,笔记匹配!A:N,6,FALSE)</f>
        <v>跳操的姐妹听我的用筋膜枪放松下肢真的有用</v>
      </c>
    </row>
    <row r="718" spans="1:32">
      <c r="A718" s="18" t="s">
        <v>108</v>
      </c>
      <c r="B718" s="18" t="s">
        <v>1206</v>
      </c>
      <c r="C718" s="19">
        <v>19210822</v>
      </c>
      <c r="D718" s="18" t="s">
        <v>196</v>
      </c>
      <c r="E718" s="18" t="s">
        <v>201</v>
      </c>
      <c r="F718" s="18" t="s">
        <v>1205</v>
      </c>
      <c r="G718" s="19">
        <v>4133905</v>
      </c>
      <c r="H718" s="18" t="s">
        <v>1205</v>
      </c>
      <c r="I718" s="19">
        <v>3516487</v>
      </c>
      <c r="J718" s="18" t="s">
        <v>1015</v>
      </c>
      <c r="K718" s="19">
        <v>0</v>
      </c>
      <c r="L718" s="19">
        <v>0</v>
      </c>
      <c r="M718" s="19">
        <v>0</v>
      </c>
      <c r="N718" s="20">
        <v>0</v>
      </c>
      <c r="O718" s="19">
        <v>0</v>
      </c>
      <c r="P718" s="19">
        <v>0</v>
      </c>
      <c r="Q718" s="19">
        <v>0</v>
      </c>
      <c r="R718" s="19">
        <v>0</v>
      </c>
      <c r="S718" s="19">
        <v>0</v>
      </c>
      <c r="T718" s="19">
        <v>0</v>
      </c>
      <c r="U718" s="19">
        <v>0</v>
      </c>
      <c r="V718" s="19">
        <v>0</v>
      </c>
      <c r="W718" s="19">
        <v>0</v>
      </c>
      <c r="X718" s="19">
        <v>0</v>
      </c>
      <c r="Y718" s="20">
        <v>0</v>
      </c>
      <c r="Z718" s="19">
        <v>0</v>
      </c>
      <c r="AA718" s="19">
        <v>0</v>
      </c>
      <c r="AB718" t="str">
        <f>VLOOKUP(E:E,笔记匹配!A:N,3,FALSE)</f>
        <v>包子熟了</v>
      </c>
      <c r="AC718" t="str">
        <f>VLOOKUP(E:E,笔记匹配!A:N,2,FALSE)</f>
        <v>筋膜枪</v>
      </c>
      <c r="AD718" t="str">
        <f>VLOOKUP(E:E,笔记匹配!A:N,4,FALSE)</f>
        <v>云麦筋膜枪</v>
      </c>
      <c r="AE718" t="str">
        <f>VLOOKUP(E:E,笔记匹配!A:N,14,FALSE)</f>
        <v>云麦筋膜枪pb2</v>
      </c>
      <c r="AF718" t="str">
        <f>VLOOKUP(E:E,笔记匹配!A:N,6,FALSE)</f>
        <v>筋膜枪测评|健身小白如何挑选筋膜枪？</v>
      </c>
    </row>
    <row r="719" spans="1:32">
      <c r="A719" s="18" t="s">
        <v>108</v>
      </c>
      <c r="B719" s="18" t="s">
        <v>1207</v>
      </c>
      <c r="C719" s="19">
        <v>19261230</v>
      </c>
      <c r="D719" s="18" t="s">
        <v>209</v>
      </c>
      <c r="E719" s="18" t="s">
        <v>579</v>
      </c>
      <c r="F719" s="18" t="s">
        <v>1208</v>
      </c>
      <c r="G719" s="19">
        <v>4155782</v>
      </c>
      <c r="H719" s="18" t="s">
        <v>1208</v>
      </c>
      <c r="I719" s="19">
        <v>3538615</v>
      </c>
      <c r="J719" s="18" t="s">
        <v>1015</v>
      </c>
      <c r="K719" s="19">
        <v>512.72</v>
      </c>
      <c r="L719" s="19">
        <v>39077</v>
      </c>
      <c r="M719" s="19">
        <v>3425</v>
      </c>
      <c r="N719" s="20">
        <v>0.0876</v>
      </c>
      <c r="O719" s="19">
        <v>0.15</v>
      </c>
      <c r="P719" s="19">
        <v>13.12</v>
      </c>
      <c r="Q719" s="19">
        <v>82</v>
      </c>
      <c r="R719" s="19">
        <v>0</v>
      </c>
      <c r="S719" s="19">
        <v>14</v>
      </c>
      <c r="T719" s="19">
        <v>16</v>
      </c>
      <c r="U719" s="19">
        <v>1</v>
      </c>
      <c r="V719" s="19">
        <v>113</v>
      </c>
      <c r="W719" s="19">
        <v>4.54</v>
      </c>
      <c r="X719" s="19">
        <v>0</v>
      </c>
      <c r="Y719" s="20">
        <v>0</v>
      </c>
      <c r="Z719" s="19">
        <v>3</v>
      </c>
      <c r="AA719" s="19">
        <v>1</v>
      </c>
      <c r="AB719" t="str">
        <f>VLOOKUP(E:E,笔记匹配!A:N,3,FALSE)</f>
        <v>Lucas雨田</v>
      </c>
      <c r="AC719" t="str">
        <f>VLOOKUP(E:E,笔记匹配!A:N,2,FALSE)</f>
        <v>筋膜枪</v>
      </c>
      <c r="AD719" t="str">
        <f>VLOOKUP(E:E,笔记匹配!A:N,4,FALSE)</f>
        <v>云麦筋膜枪PB2</v>
      </c>
      <c r="AE719" t="str">
        <f>VLOOKUP(E:E,笔记匹配!A:N,14,FALSE)</f>
        <v>云麦筋膜枪pb2</v>
      </c>
      <c r="AF719" t="str">
        <f>VLOOKUP(E:E,笔记匹配!A:N,6,FALSE)</f>
        <v>2个游泳后的放松技巧⭐️自主拉伸、筋膜枪按摩</v>
      </c>
    </row>
    <row r="720" spans="1:32">
      <c r="A720" s="18" t="s">
        <v>108</v>
      </c>
      <c r="B720" s="18" t="s">
        <v>1213</v>
      </c>
      <c r="C720" s="19">
        <v>19380003</v>
      </c>
      <c r="D720" s="18" t="s">
        <v>209</v>
      </c>
      <c r="E720" s="18" t="s">
        <v>577</v>
      </c>
      <c r="F720" s="18" t="s">
        <v>1214</v>
      </c>
      <c r="G720" s="19">
        <v>4206144</v>
      </c>
      <c r="H720" s="18" t="s">
        <v>1215</v>
      </c>
      <c r="I720" s="19">
        <v>3587795</v>
      </c>
      <c r="J720" s="18" t="s">
        <v>1015</v>
      </c>
      <c r="K720" s="19">
        <v>13.77</v>
      </c>
      <c r="L720" s="19">
        <v>1599</v>
      </c>
      <c r="M720" s="19">
        <v>70</v>
      </c>
      <c r="N720" s="20">
        <v>0.0438</v>
      </c>
      <c r="O720" s="19">
        <v>0.2</v>
      </c>
      <c r="P720" s="19">
        <v>8.61</v>
      </c>
      <c r="Q720" s="19">
        <v>3</v>
      </c>
      <c r="R720" s="19">
        <v>0</v>
      </c>
      <c r="S720" s="19">
        <v>0</v>
      </c>
      <c r="T720" s="19">
        <v>0</v>
      </c>
      <c r="U720" s="19">
        <v>0</v>
      </c>
      <c r="V720" s="19">
        <v>3</v>
      </c>
      <c r="W720" s="19">
        <v>4.59</v>
      </c>
      <c r="X720" s="19">
        <v>0</v>
      </c>
      <c r="Y720" s="20">
        <v>0</v>
      </c>
      <c r="Z720" s="19">
        <v>0</v>
      </c>
      <c r="AA720" s="19">
        <v>0</v>
      </c>
      <c r="AB720" t="str">
        <f>VLOOKUP(E:E,笔记匹配!A:N,3,FALSE)</f>
        <v>阿三啊</v>
      </c>
      <c r="AC720" t="str">
        <f>VLOOKUP(E:E,笔记匹配!A:N,2,FALSE)</f>
        <v>筋膜枪</v>
      </c>
      <c r="AD720" t="str">
        <f>VLOOKUP(E:E,笔记匹配!A:N,4,FALSE)</f>
        <v>云麦筋膜枪pb2</v>
      </c>
      <c r="AE720" t="str">
        <f>VLOOKUP(E:E,笔记匹配!A:N,14,FALSE)</f>
        <v>云麦筋膜枪pb2</v>
      </c>
      <c r="AF720" t="str">
        <f>VLOOKUP(E:E,笔记匹配!A:N,6,FALSE)</f>
        <v>筋膜枪我的新装备|运动酷盖就该这样</v>
      </c>
    </row>
    <row r="721" spans="1:32">
      <c r="A721" s="18" t="s">
        <v>108</v>
      </c>
      <c r="B721" s="18" t="s">
        <v>1216</v>
      </c>
      <c r="C721" s="19">
        <v>19428780</v>
      </c>
      <c r="D721" s="18" t="s">
        <v>196</v>
      </c>
      <c r="E721" s="18" t="s">
        <v>525</v>
      </c>
      <c r="F721" s="18" t="s">
        <v>1217</v>
      </c>
      <c r="G721" s="19">
        <v>4228760</v>
      </c>
      <c r="H721" s="18" t="s">
        <v>1217</v>
      </c>
      <c r="I721" s="19">
        <v>3609684</v>
      </c>
      <c r="J721" s="18" t="s">
        <v>1015</v>
      </c>
      <c r="K721" s="19">
        <v>520.26</v>
      </c>
      <c r="L721" s="19">
        <v>13263</v>
      </c>
      <c r="M721" s="19">
        <v>438</v>
      </c>
      <c r="N721" s="20">
        <v>0.033</v>
      </c>
      <c r="O721" s="19">
        <v>1.19</v>
      </c>
      <c r="P721" s="19">
        <v>39.23</v>
      </c>
      <c r="Q721" s="19">
        <v>6</v>
      </c>
      <c r="R721" s="19">
        <v>0</v>
      </c>
      <c r="S721" s="19">
        <v>2</v>
      </c>
      <c r="T721" s="19">
        <v>1</v>
      </c>
      <c r="U721" s="19">
        <v>0</v>
      </c>
      <c r="V721" s="19">
        <v>9</v>
      </c>
      <c r="W721" s="19">
        <v>57.81</v>
      </c>
      <c r="X721" s="19">
        <v>1</v>
      </c>
      <c r="Y721" s="20">
        <v>0.0023</v>
      </c>
      <c r="Z721" s="19">
        <v>0</v>
      </c>
      <c r="AA721" s="19">
        <v>0</v>
      </c>
      <c r="AB721" t="str">
        <f>VLOOKUP(E:E,笔记匹配!A:N,3,FALSE)</f>
        <v>圆圆今天暴富了么</v>
      </c>
      <c r="AC721" t="str">
        <f>VLOOKUP(E:E,笔记匹配!A:N,2,FALSE)</f>
        <v>筋膜枪</v>
      </c>
      <c r="AD721" t="str">
        <f>VLOOKUP(E:E,笔记匹配!A:N,4,FALSE)</f>
        <v>云麦筋膜枪PB2</v>
      </c>
      <c r="AE721" t="str">
        <f>VLOOKUP(E:E,笔记匹配!A:N,14,FALSE)</f>
        <v>云麦筋膜枪pb2</v>
      </c>
      <c r="AF721" t="str">
        <f>VLOOKUP(E:E,笔记匹配!A:N,6,FALSE)</f>
        <v>云麦的筋膜枪我真的是服了….</v>
      </c>
    </row>
    <row r="722" spans="1:32">
      <c r="A722" s="18" t="s">
        <v>108</v>
      </c>
      <c r="B722" s="18" t="s">
        <v>1216</v>
      </c>
      <c r="C722" s="19">
        <v>19428860</v>
      </c>
      <c r="D722" s="18" t="s">
        <v>209</v>
      </c>
      <c r="E722" s="18" t="s">
        <v>573</v>
      </c>
      <c r="F722" s="18" t="s">
        <v>1218</v>
      </c>
      <c r="G722" s="19">
        <v>4228800</v>
      </c>
      <c r="H722" s="18" t="s">
        <v>1218</v>
      </c>
      <c r="I722" s="19">
        <v>3609716</v>
      </c>
      <c r="J722" s="18" t="s">
        <v>1015</v>
      </c>
      <c r="K722" s="19">
        <v>368.98</v>
      </c>
      <c r="L722" s="19">
        <v>57633</v>
      </c>
      <c r="M722" s="19">
        <v>1212</v>
      </c>
      <c r="N722" s="20">
        <v>0.021</v>
      </c>
      <c r="O722" s="19">
        <v>0.3</v>
      </c>
      <c r="P722" s="19">
        <v>6.4</v>
      </c>
      <c r="Q722" s="19">
        <v>55</v>
      </c>
      <c r="R722" s="19">
        <v>0</v>
      </c>
      <c r="S722" s="19">
        <v>3</v>
      </c>
      <c r="T722" s="19">
        <v>1</v>
      </c>
      <c r="U722" s="19">
        <v>0</v>
      </c>
      <c r="V722" s="19">
        <v>59</v>
      </c>
      <c r="W722" s="19">
        <v>6.25</v>
      </c>
      <c r="X722" s="19">
        <v>0</v>
      </c>
      <c r="Y722" s="20">
        <v>0</v>
      </c>
      <c r="Z722" s="19">
        <v>4</v>
      </c>
      <c r="AA722" s="19">
        <v>5</v>
      </c>
      <c r="AB722" t="str">
        <f>VLOOKUP(E:E,笔记匹配!A:N,3,FALSE)</f>
        <v>JJJJackson</v>
      </c>
      <c r="AC722" t="str">
        <f>VLOOKUP(E:E,笔记匹配!A:N,2,FALSE)</f>
        <v>筋膜枪</v>
      </c>
      <c r="AD722" t="str">
        <f>VLOOKUP(E:E,笔记匹配!A:N,4,FALSE)</f>
        <v>云麦筋膜枪PB2</v>
      </c>
      <c r="AE722" t="str">
        <f>VLOOKUP(E:E,笔记匹配!A:N,14,FALSE)</f>
        <v>云麦筋膜枪pb2</v>
      </c>
      <c r="AF722" t="str">
        <f>VLOOKUP(E:E,笔记匹配!A:N,6,FALSE)</f>
        <v>健身好物｜筋膜枪真的是放松神器！</v>
      </c>
    </row>
    <row r="723" spans="1:32">
      <c r="A723" s="18" t="s">
        <v>109</v>
      </c>
      <c r="B723" s="18" t="s">
        <v>1167</v>
      </c>
      <c r="C723" s="19">
        <v>18224197</v>
      </c>
      <c r="D723" s="18" t="s">
        <v>209</v>
      </c>
      <c r="E723" s="18" t="s">
        <v>300</v>
      </c>
      <c r="F723" s="18" t="s">
        <v>1168</v>
      </c>
      <c r="G723" s="19">
        <v>3665138</v>
      </c>
      <c r="H723" s="18" t="s">
        <v>1168</v>
      </c>
      <c r="I723" s="19">
        <v>3050231</v>
      </c>
      <c r="J723" s="18" t="s">
        <v>1015</v>
      </c>
      <c r="K723" s="19">
        <v>0</v>
      </c>
      <c r="L723" s="19">
        <v>0</v>
      </c>
      <c r="M723" s="19">
        <v>0</v>
      </c>
      <c r="N723" s="20">
        <v>0</v>
      </c>
      <c r="O723" s="19">
        <v>0</v>
      </c>
      <c r="P723" s="19">
        <v>0</v>
      </c>
      <c r="Q723" s="19">
        <v>0</v>
      </c>
      <c r="R723" s="19">
        <v>0</v>
      </c>
      <c r="S723" s="19">
        <v>0</v>
      </c>
      <c r="T723" s="19">
        <v>0</v>
      </c>
      <c r="U723" s="19">
        <v>0</v>
      </c>
      <c r="V723" s="19">
        <v>0</v>
      </c>
      <c r="W723" s="19">
        <v>0</v>
      </c>
      <c r="X723" s="19">
        <v>0</v>
      </c>
      <c r="Y723" s="20">
        <v>0</v>
      </c>
      <c r="Z723" s="19">
        <v>0</v>
      </c>
      <c r="AA723" s="19">
        <v>0</v>
      </c>
      <c r="AB723" t="str">
        <f>VLOOKUP(E:E,笔记匹配!A:N,3,FALSE)</f>
        <v>朱俊畅</v>
      </c>
      <c r="AC723" t="str">
        <f>VLOOKUP(E:E,笔记匹配!A:N,2,FALSE)</f>
        <v>筋膜枪</v>
      </c>
      <c r="AD723" t="str">
        <f>VLOOKUP(E:E,笔记匹配!A:N,4,FALSE)</f>
        <v>云麦筋膜枪PB2</v>
      </c>
      <c r="AE723" t="str">
        <f>VLOOKUP(E:E,笔记匹配!A:N,14,FALSE)</f>
        <v>云麦筋膜枪pb2</v>
      </c>
      <c r="AF723" t="str">
        <f>VLOOKUP(E:E,笔记匹配!A:N,6,FALSE)</f>
        <v>打球完容易肌肉酸痛，筋膜枪放松更有效！</v>
      </c>
    </row>
    <row r="724" spans="1:32">
      <c r="A724" s="18" t="s">
        <v>109</v>
      </c>
      <c r="B724" s="18" t="s">
        <v>1196</v>
      </c>
      <c r="C724" s="19">
        <v>19054497</v>
      </c>
      <c r="D724" s="18" t="s">
        <v>209</v>
      </c>
      <c r="E724" s="18" t="s">
        <v>452</v>
      </c>
      <c r="F724" s="18" t="s">
        <v>1198</v>
      </c>
      <c r="G724" s="19">
        <v>4059827</v>
      </c>
      <c r="H724" s="18" t="s">
        <v>1198</v>
      </c>
      <c r="I724" s="19">
        <v>3442591</v>
      </c>
      <c r="J724" s="18" t="s">
        <v>1015</v>
      </c>
      <c r="K724" s="19">
        <v>1010.19</v>
      </c>
      <c r="L724" s="19">
        <v>38410</v>
      </c>
      <c r="M724" s="19">
        <v>3887</v>
      </c>
      <c r="N724" s="20">
        <v>0.1012</v>
      </c>
      <c r="O724" s="19">
        <v>0.26</v>
      </c>
      <c r="P724" s="19">
        <v>26.3</v>
      </c>
      <c r="Q724" s="19">
        <v>174</v>
      </c>
      <c r="R724" s="19">
        <v>3</v>
      </c>
      <c r="S724" s="19">
        <v>57</v>
      </c>
      <c r="T724" s="19">
        <v>16</v>
      </c>
      <c r="U724" s="19">
        <v>0</v>
      </c>
      <c r="V724" s="19">
        <v>250</v>
      </c>
      <c r="W724" s="19">
        <v>4.04</v>
      </c>
      <c r="X724" s="19">
        <v>0</v>
      </c>
      <c r="Y724" s="20">
        <v>0</v>
      </c>
      <c r="Z724" s="19">
        <v>0</v>
      </c>
      <c r="AA724" s="19">
        <v>4</v>
      </c>
      <c r="AB724" t="str">
        <f>VLOOKUP(E:E,笔记匹配!A:N,3,FALSE)</f>
        <v>Bruce小厮</v>
      </c>
      <c r="AC724" t="str">
        <f>VLOOKUP(E:E,笔记匹配!A:N,2,FALSE)</f>
        <v>筋膜枪</v>
      </c>
      <c r="AD724" t="str">
        <f>VLOOKUP(E:E,笔记匹配!A:N,4,FALSE)</f>
        <v>云麦筋膜枪PB2</v>
      </c>
      <c r="AE724" t="str">
        <f>VLOOKUP(E:E,笔记匹配!A:N,14,FALSE)</f>
        <v>云麦筋膜枪pb2</v>
      </c>
      <c r="AF724" t="str">
        <f>VLOOKUP(E:E,笔记匹配!A:N,6,FALSE)</f>
        <v>女生练球后如何拉伸按摩，筋膜枪放松！！</v>
      </c>
    </row>
    <row r="725" spans="1:32">
      <c r="A725" s="18" t="s">
        <v>109</v>
      </c>
      <c r="B725" s="18" t="s">
        <v>1196</v>
      </c>
      <c r="C725" s="19">
        <v>19058466</v>
      </c>
      <c r="D725" s="18" t="s">
        <v>196</v>
      </c>
      <c r="E725" s="18" t="s">
        <v>296</v>
      </c>
      <c r="F725" s="18" t="s">
        <v>1199</v>
      </c>
      <c r="G725" s="19">
        <v>4061725</v>
      </c>
      <c r="H725" s="18" t="s">
        <v>1199</v>
      </c>
      <c r="I725" s="19">
        <v>3444458</v>
      </c>
      <c r="J725" s="18" t="s">
        <v>1015</v>
      </c>
      <c r="K725" s="19">
        <v>483.89</v>
      </c>
      <c r="L725" s="19">
        <v>20418</v>
      </c>
      <c r="M725" s="19">
        <v>1333</v>
      </c>
      <c r="N725" s="20">
        <v>0.0653</v>
      </c>
      <c r="O725" s="19">
        <v>0.36</v>
      </c>
      <c r="P725" s="19">
        <v>23.7</v>
      </c>
      <c r="Q725" s="19">
        <v>18</v>
      </c>
      <c r="R725" s="19">
        <v>1</v>
      </c>
      <c r="S725" s="19">
        <v>11</v>
      </c>
      <c r="T725" s="19">
        <v>1</v>
      </c>
      <c r="U725" s="19">
        <v>2</v>
      </c>
      <c r="V725" s="19">
        <v>33</v>
      </c>
      <c r="W725" s="19">
        <v>14.66</v>
      </c>
      <c r="X725" s="19">
        <v>34</v>
      </c>
      <c r="Y725" s="20">
        <v>0.0255</v>
      </c>
      <c r="Z725" s="19">
        <v>2</v>
      </c>
      <c r="AA725" s="19">
        <v>1</v>
      </c>
      <c r="AB725" t="str">
        <f>VLOOKUP(E:E,笔记匹配!A:N,3,FALSE)</f>
        <v>元气芥末酱</v>
      </c>
      <c r="AC725" t="str">
        <f>VLOOKUP(E:E,笔记匹配!A:N,2,FALSE)</f>
        <v>筋膜枪</v>
      </c>
      <c r="AD725" t="str">
        <f>VLOOKUP(E:E,笔记匹配!A:N,4,FALSE)</f>
        <v>云麦筋膜枪PB2</v>
      </c>
      <c r="AE725" t="str">
        <f>VLOOKUP(E:E,笔记匹配!A:N,14,FALSE)</f>
        <v>云麦筋膜枪pb2</v>
      </c>
      <c r="AF725" t="str">
        <f>VLOOKUP(E:E,笔记匹配!A:N,6,FALSE)</f>
        <v>小腿粗的姐妹信我！肌肉腿就要这样按！</v>
      </c>
    </row>
    <row r="726" spans="1:32">
      <c r="A726" s="18" t="s">
        <v>109</v>
      </c>
      <c r="B726" s="18" t="s">
        <v>1200</v>
      </c>
      <c r="C726" s="19">
        <v>19106863</v>
      </c>
      <c r="D726" s="18" t="s">
        <v>209</v>
      </c>
      <c r="E726" s="18" t="s">
        <v>201</v>
      </c>
      <c r="F726" s="18" t="s">
        <v>1202</v>
      </c>
      <c r="G726" s="19">
        <v>4084168</v>
      </c>
      <c r="H726" s="18" t="s">
        <v>1202</v>
      </c>
      <c r="I726" s="19">
        <v>3466674</v>
      </c>
      <c r="J726" s="18" t="s">
        <v>1015</v>
      </c>
      <c r="K726" s="19">
        <v>503.54</v>
      </c>
      <c r="L726" s="19">
        <v>38191</v>
      </c>
      <c r="M726" s="19">
        <v>1063</v>
      </c>
      <c r="N726" s="20">
        <v>0.0278</v>
      </c>
      <c r="O726" s="19">
        <v>0.47</v>
      </c>
      <c r="P726" s="19">
        <v>13.18</v>
      </c>
      <c r="Q726" s="19">
        <v>52</v>
      </c>
      <c r="R726" s="19">
        <v>0</v>
      </c>
      <c r="S726" s="19">
        <v>29</v>
      </c>
      <c r="T726" s="19">
        <v>0</v>
      </c>
      <c r="U726" s="19">
        <v>1</v>
      </c>
      <c r="V726" s="19">
        <v>82</v>
      </c>
      <c r="W726" s="19">
        <v>6.14</v>
      </c>
      <c r="X726" s="19">
        <v>7</v>
      </c>
      <c r="Y726" s="20">
        <v>0.0066</v>
      </c>
      <c r="Z726" s="19">
        <v>2</v>
      </c>
      <c r="AA726" s="19">
        <v>2</v>
      </c>
      <c r="AB726" t="str">
        <f>VLOOKUP(E:E,笔记匹配!A:N,3,FALSE)</f>
        <v>包子熟了</v>
      </c>
      <c r="AC726" t="str">
        <f>VLOOKUP(E:E,笔记匹配!A:N,2,FALSE)</f>
        <v>筋膜枪</v>
      </c>
      <c r="AD726" t="str">
        <f>VLOOKUP(E:E,笔记匹配!A:N,4,FALSE)</f>
        <v>云麦筋膜枪</v>
      </c>
      <c r="AE726" t="str">
        <f>VLOOKUP(E:E,笔记匹配!A:N,14,FALSE)</f>
        <v>云麦筋膜枪pb2</v>
      </c>
      <c r="AF726" t="str">
        <f>VLOOKUP(E:E,笔记匹配!A:N,6,FALSE)</f>
        <v>筋膜枪测评|健身小白如何挑选筋膜枪？</v>
      </c>
    </row>
    <row r="727" spans="1:32">
      <c r="A727" s="18" t="s">
        <v>109</v>
      </c>
      <c r="B727" s="18" t="s">
        <v>1207</v>
      </c>
      <c r="C727" s="19">
        <v>19261230</v>
      </c>
      <c r="D727" s="18" t="s">
        <v>209</v>
      </c>
      <c r="E727" s="18" t="s">
        <v>579</v>
      </c>
      <c r="F727" s="18" t="s">
        <v>1208</v>
      </c>
      <c r="G727" s="19">
        <v>4155782</v>
      </c>
      <c r="H727" s="18" t="s">
        <v>1208</v>
      </c>
      <c r="I727" s="19">
        <v>3538615</v>
      </c>
      <c r="J727" s="18" t="s">
        <v>1015</v>
      </c>
      <c r="K727" s="19">
        <v>1007.29</v>
      </c>
      <c r="L727" s="19">
        <v>82661</v>
      </c>
      <c r="M727" s="19">
        <v>7249</v>
      </c>
      <c r="N727" s="20">
        <v>0.0877</v>
      </c>
      <c r="O727" s="19">
        <v>0.14</v>
      </c>
      <c r="P727" s="19">
        <v>12.19</v>
      </c>
      <c r="Q727" s="19">
        <v>196</v>
      </c>
      <c r="R727" s="19">
        <v>6</v>
      </c>
      <c r="S727" s="19">
        <v>51</v>
      </c>
      <c r="T727" s="19">
        <v>35</v>
      </c>
      <c r="U727" s="19">
        <v>10</v>
      </c>
      <c r="V727" s="19">
        <v>298</v>
      </c>
      <c r="W727" s="19">
        <v>3.38</v>
      </c>
      <c r="X727" s="19">
        <v>0</v>
      </c>
      <c r="Y727" s="20">
        <v>0</v>
      </c>
      <c r="Z727" s="19">
        <v>2</v>
      </c>
      <c r="AA727" s="19">
        <v>6</v>
      </c>
      <c r="AB727" t="str">
        <f>VLOOKUP(E:E,笔记匹配!A:N,3,FALSE)</f>
        <v>Lucas雨田</v>
      </c>
      <c r="AC727" t="str">
        <f>VLOOKUP(E:E,笔记匹配!A:N,2,FALSE)</f>
        <v>筋膜枪</v>
      </c>
      <c r="AD727" t="str">
        <f>VLOOKUP(E:E,笔记匹配!A:N,4,FALSE)</f>
        <v>云麦筋膜枪PB2</v>
      </c>
      <c r="AE727" t="str">
        <f>VLOOKUP(E:E,笔记匹配!A:N,14,FALSE)</f>
        <v>云麦筋膜枪pb2</v>
      </c>
      <c r="AF727" t="str">
        <f>VLOOKUP(E:E,笔记匹配!A:N,6,FALSE)</f>
        <v>2个游泳后的放松技巧⭐️自主拉伸、筋膜枪按摩</v>
      </c>
    </row>
    <row r="728" spans="1:32">
      <c r="A728" s="18" t="s">
        <v>109</v>
      </c>
      <c r="B728" s="18" t="s">
        <v>1213</v>
      </c>
      <c r="C728" s="19">
        <v>19380003</v>
      </c>
      <c r="D728" s="18" t="s">
        <v>209</v>
      </c>
      <c r="E728" s="18" t="s">
        <v>577</v>
      </c>
      <c r="F728" s="18" t="s">
        <v>1214</v>
      </c>
      <c r="G728" s="19">
        <v>4206144</v>
      </c>
      <c r="H728" s="18" t="s">
        <v>1215</v>
      </c>
      <c r="I728" s="19">
        <v>3587795</v>
      </c>
      <c r="J728" s="18" t="s">
        <v>1015</v>
      </c>
      <c r="K728" s="19">
        <v>0</v>
      </c>
      <c r="L728" s="19">
        <v>0</v>
      </c>
      <c r="M728" s="19">
        <v>0</v>
      </c>
      <c r="N728" s="20">
        <v>0</v>
      </c>
      <c r="O728" s="19">
        <v>0</v>
      </c>
      <c r="P728" s="19">
        <v>0</v>
      </c>
      <c r="Q728" s="19">
        <v>0</v>
      </c>
      <c r="R728" s="19">
        <v>0</v>
      </c>
      <c r="S728" s="19">
        <v>0</v>
      </c>
      <c r="T728" s="19">
        <v>0</v>
      </c>
      <c r="U728" s="19">
        <v>0</v>
      </c>
      <c r="V728" s="19">
        <v>0</v>
      </c>
      <c r="W728" s="19">
        <v>0</v>
      </c>
      <c r="X728" s="19">
        <v>0</v>
      </c>
      <c r="Y728" s="20">
        <v>0</v>
      </c>
      <c r="Z728" s="19">
        <v>0</v>
      </c>
      <c r="AA728" s="19">
        <v>0</v>
      </c>
      <c r="AB728" t="str">
        <f>VLOOKUP(E:E,笔记匹配!A:N,3,FALSE)</f>
        <v>阿三啊</v>
      </c>
      <c r="AC728" t="str">
        <f>VLOOKUP(E:E,笔记匹配!A:N,2,FALSE)</f>
        <v>筋膜枪</v>
      </c>
      <c r="AD728" t="str">
        <f>VLOOKUP(E:E,笔记匹配!A:N,4,FALSE)</f>
        <v>云麦筋膜枪pb2</v>
      </c>
      <c r="AE728" t="str">
        <f>VLOOKUP(E:E,笔记匹配!A:N,14,FALSE)</f>
        <v>云麦筋膜枪pb2</v>
      </c>
      <c r="AF728" t="str">
        <f>VLOOKUP(E:E,笔记匹配!A:N,6,FALSE)</f>
        <v>筋膜枪我的新装备|运动酷盖就该这样</v>
      </c>
    </row>
    <row r="729" spans="1:32">
      <c r="A729" s="18" t="s">
        <v>109</v>
      </c>
      <c r="B729" s="18" t="s">
        <v>1216</v>
      </c>
      <c r="C729" s="19">
        <v>19428780</v>
      </c>
      <c r="D729" s="18" t="s">
        <v>196</v>
      </c>
      <c r="E729" s="18" t="s">
        <v>525</v>
      </c>
      <c r="F729" s="18" t="s">
        <v>1217</v>
      </c>
      <c r="G729" s="19">
        <v>4228760</v>
      </c>
      <c r="H729" s="18" t="s">
        <v>1217</v>
      </c>
      <c r="I729" s="19">
        <v>3609684</v>
      </c>
      <c r="J729" s="18" t="s">
        <v>1015</v>
      </c>
      <c r="K729" s="19">
        <v>1.51</v>
      </c>
      <c r="L729" s="19">
        <v>5</v>
      </c>
      <c r="M729" s="19">
        <v>1</v>
      </c>
      <c r="N729" s="20">
        <v>0.2</v>
      </c>
      <c r="O729" s="19">
        <v>1.51</v>
      </c>
      <c r="P729" s="19">
        <v>302</v>
      </c>
      <c r="Q729" s="19">
        <v>0</v>
      </c>
      <c r="R729" s="19">
        <v>0</v>
      </c>
      <c r="S729" s="19">
        <v>0</v>
      </c>
      <c r="T729" s="19">
        <v>0</v>
      </c>
      <c r="U729" s="19">
        <v>0</v>
      </c>
      <c r="V729" s="19">
        <v>0</v>
      </c>
      <c r="W729" s="19">
        <v>0</v>
      </c>
      <c r="X729" s="19">
        <v>0</v>
      </c>
      <c r="Y729" s="20">
        <v>0</v>
      </c>
      <c r="Z729" s="19">
        <v>0</v>
      </c>
      <c r="AA729" s="19">
        <v>0</v>
      </c>
      <c r="AB729" t="str">
        <f>VLOOKUP(E:E,笔记匹配!A:N,3,FALSE)</f>
        <v>圆圆今天暴富了么</v>
      </c>
      <c r="AC729" t="str">
        <f>VLOOKUP(E:E,笔记匹配!A:N,2,FALSE)</f>
        <v>筋膜枪</v>
      </c>
      <c r="AD729" t="str">
        <f>VLOOKUP(E:E,笔记匹配!A:N,4,FALSE)</f>
        <v>云麦筋膜枪PB2</v>
      </c>
      <c r="AE729" t="str">
        <f>VLOOKUP(E:E,笔记匹配!A:N,14,FALSE)</f>
        <v>云麦筋膜枪pb2</v>
      </c>
      <c r="AF729" t="str">
        <f>VLOOKUP(E:E,笔记匹配!A:N,6,FALSE)</f>
        <v>云麦的筋膜枪我真的是服了….</v>
      </c>
    </row>
    <row r="730" spans="1:32">
      <c r="A730" s="18" t="s">
        <v>109</v>
      </c>
      <c r="B730" s="18" t="s">
        <v>1216</v>
      </c>
      <c r="C730" s="19">
        <v>19428860</v>
      </c>
      <c r="D730" s="18" t="s">
        <v>209</v>
      </c>
      <c r="E730" s="18" t="s">
        <v>573</v>
      </c>
      <c r="F730" s="18" t="s">
        <v>1218</v>
      </c>
      <c r="G730" s="19">
        <v>4228800</v>
      </c>
      <c r="H730" s="18" t="s">
        <v>1218</v>
      </c>
      <c r="I730" s="19">
        <v>3609716</v>
      </c>
      <c r="J730" s="18" t="s">
        <v>1015</v>
      </c>
      <c r="K730" s="19">
        <v>505.67</v>
      </c>
      <c r="L730" s="19">
        <v>61722</v>
      </c>
      <c r="M730" s="19">
        <v>1899</v>
      </c>
      <c r="N730" s="20">
        <v>0.0308</v>
      </c>
      <c r="O730" s="19">
        <v>0.27</v>
      </c>
      <c r="P730" s="19">
        <v>8.19</v>
      </c>
      <c r="Q730" s="19">
        <v>95</v>
      </c>
      <c r="R730" s="19">
        <v>2</v>
      </c>
      <c r="S730" s="19">
        <v>8</v>
      </c>
      <c r="T730" s="19">
        <v>8</v>
      </c>
      <c r="U730" s="19">
        <v>3</v>
      </c>
      <c r="V730" s="19">
        <v>116</v>
      </c>
      <c r="W730" s="19">
        <v>4.36</v>
      </c>
      <c r="X730" s="19">
        <v>0</v>
      </c>
      <c r="Y730" s="20">
        <v>0</v>
      </c>
      <c r="Z730" s="19">
        <v>3</v>
      </c>
      <c r="AA730" s="19">
        <v>0</v>
      </c>
      <c r="AB730" t="str">
        <f>VLOOKUP(E:E,笔记匹配!A:N,3,FALSE)</f>
        <v>JJJJackson</v>
      </c>
      <c r="AC730" t="str">
        <f>VLOOKUP(E:E,笔记匹配!A:N,2,FALSE)</f>
        <v>筋膜枪</v>
      </c>
      <c r="AD730" t="str">
        <f>VLOOKUP(E:E,笔记匹配!A:N,4,FALSE)</f>
        <v>云麦筋膜枪PB2</v>
      </c>
      <c r="AE730" t="str">
        <f>VLOOKUP(E:E,笔记匹配!A:N,14,FALSE)</f>
        <v>云麦筋膜枪pb2</v>
      </c>
      <c r="AF730" t="str">
        <f>VLOOKUP(E:E,笔记匹配!A:N,6,FALSE)</f>
        <v>健身好物｜筋膜枪真的是放松神器！</v>
      </c>
    </row>
    <row r="731" spans="1:32">
      <c r="A731" s="18" t="s">
        <v>109</v>
      </c>
      <c r="B731" s="18" t="s">
        <v>1219</v>
      </c>
      <c r="C731" s="19">
        <v>19450181</v>
      </c>
      <c r="D731" s="18" t="s">
        <v>196</v>
      </c>
      <c r="E731" s="18" t="s">
        <v>296</v>
      </c>
      <c r="F731" s="18" t="s">
        <v>1220</v>
      </c>
      <c r="G731" s="19">
        <v>4239566</v>
      </c>
      <c r="H731" s="18" t="s">
        <v>1221</v>
      </c>
      <c r="I731" s="19">
        <v>3620137</v>
      </c>
      <c r="J731" s="18" t="s">
        <v>1015</v>
      </c>
      <c r="K731" s="19">
        <v>1.36</v>
      </c>
      <c r="L731" s="19">
        <v>63</v>
      </c>
      <c r="M731" s="19">
        <v>4</v>
      </c>
      <c r="N731" s="20">
        <v>0.0635</v>
      </c>
      <c r="O731" s="19">
        <v>0.34</v>
      </c>
      <c r="P731" s="19">
        <v>21.59</v>
      </c>
      <c r="Q731" s="19">
        <v>0</v>
      </c>
      <c r="R731" s="19">
        <v>0</v>
      </c>
      <c r="S731" s="19">
        <v>0</v>
      </c>
      <c r="T731" s="19">
        <v>0</v>
      </c>
      <c r="U731" s="19">
        <v>0</v>
      </c>
      <c r="V731" s="19">
        <v>0</v>
      </c>
      <c r="W731" s="19">
        <v>0</v>
      </c>
      <c r="X731" s="19">
        <v>0</v>
      </c>
      <c r="Y731" s="20">
        <v>0</v>
      </c>
      <c r="Z731" s="19">
        <v>0</v>
      </c>
      <c r="AA731" s="19">
        <v>0</v>
      </c>
      <c r="AB731" t="str">
        <f>VLOOKUP(E:E,笔记匹配!A:N,3,FALSE)</f>
        <v>元气芥末酱</v>
      </c>
      <c r="AC731" t="str">
        <f>VLOOKUP(E:E,笔记匹配!A:N,2,FALSE)</f>
        <v>筋膜枪</v>
      </c>
      <c r="AD731" t="str">
        <f>VLOOKUP(E:E,笔记匹配!A:N,4,FALSE)</f>
        <v>云麦筋膜枪PB2</v>
      </c>
      <c r="AE731" t="str">
        <f>VLOOKUP(E:E,笔记匹配!A:N,14,FALSE)</f>
        <v>云麦筋膜枪pb2</v>
      </c>
      <c r="AF731" t="str">
        <f>VLOOKUP(E:E,笔记匹配!A:N,6,FALSE)</f>
        <v>小腿粗的姐妹信我！肌肉腿就要这样按！</v>
      </c>
    </row>
    <row r="732" spans="1:32">
      <c r="A732" s="18" t="s">
        <v>109</v>
      </c>
      <c r="B732" s="18" t="s">
        <v>1222</v>
      </c>
      <c r="C732" s="19">
        <v>19450191</v>
      </c>
      <c r="D732" s="18" t="s">
        <v>196</v>
      </c>
      <c r="E732" s="18" t="s">
        <v>452</v>
      </c>
      <c r="F732" s="18" t="s">
        <v>1220</v>
      </c>
      <c r="G732" s="19">
        <v>4239566</v>
      </c>
      <c r="H732" s="18" t="s">
        <v>1221</v>
      </c>
      <c r="I732" s="19">
        <v>3620137</v>
      </c>
      <c r="J732" s="18" t="s">
        <v>1015</v>
      </c>
      <c r="K732" s="19">
        <v>439.66</v>
      </c>
      <c r="L732" s="19">
        <v>38095</v>
      </c>
      <c r="M732" s="19">
        <v>1194</v>
      </c>
      <c r="N732" s="20">
        <v>0.0313</v>
      </c>
      <c r="O732" s="19">
        <v>0.37</v>
      </c>
      <c r="P732" s="19">
        <v>11.54</v>
      </c>
      <c r="Q732" s="19">
        <v>15</v>
      </c>
      <c r="R732" s="19">
        <v>0</v>
      </c>
      <c r="S732" s="19">
        <v>8</v>
      </c>
      <c r="T732" s="19">
        <v>0</v>
      </c>
      <c r="U732" s="19">
        <v>2</v>
      </c>
      <c r="V732" s="19">
        <v>25</v>
      </c>
      <c r="W732" s="19">
        <v>17.59</v>
      </c>
      <c r="X732" s="19">
        <v>0</v>
      </c>
      <c r="Y732" s="20">
        <v>0</v>
      </c>
      <c r="Z732" s="19">
        <v>4</v>
      </c>
      <c r="AA732" s="19">
        <v>1</v>
      </c>
      <c r="AB732" t="str">
        <f>VLOOKUP(E:E,笔记匹配!A:N,3,FALSE)</f>
        <v>Bruce小厮</v>
      </c>
      <c r="AC732" t="str">
        <f>VLOOKUP(E:E,笔记匹配!A:N,2,FALSE)</f>
        <v>筋膜枪</v>
      </c>
      <c r="AD732" t="str">
        <f>VLOOKUP(E:E,笔记匹配!A:N,4,FALSE)</f>
        <v>云麦筋膜枪PB2</v>
      </c>
      <c r="AE732" t="str">
        <f>VLOOKUP(E:E,笔记匹配!A:N,14,FALSE)</f>
        <v>云麦筋膜枪pb2</v>
      </c>
      <c r="AF732" t="str">
        <f>VLOOKUP(E:E,笔记匹配!A:N,6,FALSE)</f>
        <v>女生练球后如何拉伸按摩，筋膜枪放松！！</v>
      </c>
    </row>
    <row r="733" spans="1:32">
      <c r="A733" s="18" t="s">
        <v>110</v>
      </c>
      <c r="B733" s="18" t="s">
        <v>1161</v>
      </c>
      <c r="C733" s="19">
        <v>18085273</v>
      </c>
      <c r="D733" s="18" t="s">
        <v>209</v>
      </c>
      <c r="E733" s="18" t="s">
        <v>296</v>
      </c>
      <c r="F733" s="18" t="s">
        <v>1162</v>
      </c>
      <c r="G733" s="19">
        <v>3600311</v>
      </c>
      <c r="H733" s="18" t="s">
        <v>1163</v>
      </c>
      <c r="I733" s="19">
        <v>2985865</v>
      </c>
      <c r="J733" s="18" t="s">
        <v>1015</v>
      </c>
      <c r="K733" s="19">
        <v>0</v>
      </c>
      <c r="L733" s="19">
        <v>0</v>
      </c>
      <c r="M733" s="19">
        <v>0</v>
      </c>
      <c r="N733" s="20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20">
        <v>0</v>
      </c>
      <c r="Z733" s="19">
        <v>0</v>
      </c>
      <c r="AA733" s="19">
        <v>0</v>
      </c>
      <c r="AB733" t="str">
        <f>VLOOKUP(E:E,笔记匹配!A:N,3,FALSE)</f>
        <v>元气芥末酱</v>
      </c>
      <c r="AC733" t="str">
        <f>VLOOKUP(E:E,笔记匹配!A:N,2,FALSE)</f>
        <v>筋膜枪</v>
      </c>
      <c r="AD733" t="str">
        <f>VLOOKUP(E:E,笔记匹配!A:N,4,FALSE)</f>
        <v>云麦筋膜枪PB2</v>
      </c>
      <c r="AE733" t="str">
        <f>VLOOKUP(E:E,笔记匹配!A:N,14,FALSE)</f>
        <v>云麦筋膜枪pb2</v>
      </c>
      <c r="AF733" t="str">
        <f>VLOOKUP(E:E,笔记匹配!A:N,6,FALSE)</f>
        <v>小腿粗的姐妹信我！肌肉腿就要这样按！</v>
      </c>
    </row>
    <row r="734" spans="1:32">
      <c r="A734" s="18" t="s">
        <v>110</v>
      </c>
      <c r="B734" s="18" t="s">
        <v>1164</v>
      </c>
      <c r="C734" s="19">
        <v>18170615</v>
      </c>
      <c r="D734" s="18" t="s">
        <v>209</v>
      </c>
      <c r="E734" s="18" t="s">
        <v>205</v>
      </c>
      <c r="F734" s="18" t="s">
        <v>1165</v>
      </c>
      <c r="G734" s="19">
        <v>3639848</v>
      </c>
      <c r="H734" s="18" t="s">
        <v>1166</v>
      </c>
      <c r="I734" s="19">
        <v>3024741</v>
      </c>
      <c r="J734" s="18" t="s">
        <v>1015</v>
      </c>
      <c r="K734" s="19">
        <v>0</v>
      </c>
      <c r="L734" s="19">
        <v>0</v>
      </c>
      <c r="M734" s="19">
        <v>0</v>
      </c>
      <c r="N734" s="20">
        <v>0</v>
      </c>
      <c r="O734" s="19">
        <v>0</v>
      </c>
      <c r="P734" s="19">
        <v>0</v>
      </c>
      <c r="Q734" s="19">
        <v>0</v>
      </c>
      <c r="R734" s="19">
        <v>0</v>
      </c>
      <c r="S734" s="19">
        <v>0</v>
      </c>
      <c r="T734" s="19">
        <v>0</v>
      </c>
      <c r="U734" s="19">
        <v>0</v>
      </c>
      <c r="V734" s="19">
        <v>0</v>
      </c>
      <c r="W734" s="19">
        <v>0</v>
      </c>
      <c r="X734" s="19">
        <v>0</v>
      </c>
      <c r="Y734" s="20">
        <v>0</v>
      </c>
      <c r="Z734" s="19">
        <v>0</v>
      </c>
      <c r="AA734" s="19">
        <v>0</v>
      </c>
      <c r="AB734" t="str">
        <f>VLOOKUP(E:E,笔记匹配!A:N,3,FALSE)</f>
        <v>马可乐cora</v>
      </c>
      <c r="AC734" t="str">
        <f>VLOOKUP(E:E,笔记匹配!A:N,2,FALSE)</f>
        <v>筋膜枪</v>
      </c>
      <c r="AD734" t="str">
        <f>VLOOKUP(E:E,笔记匹配!A:N,4,FALSE)</f>
        <v>云麦筋膜枪PB2</v>
      </c>
      <c r="AE734" t="str">
        <f>VLOOKUP(E:E,笔记匹配!A:N,14,FALSE)</f>
        <v>云麦筋膜枪pb2</v>
      </c>
      <c r="AF734" t="str">
        <f>VLOOKUP(E:E,笔记匹配!A:N,6,FALSE)</f>
        <v>跳操的姐妹听我的用筋膜枪放松下肢真的有用</v>
      </c>
    </row>
    <row r="735" spans="1:32">
      <c r="A735" s="18" t="s">
        <v>110</v>
      </c>
      <c r="B735" s="18" t="s">
        <v>1181</v>
      </c>
      <c r="C735" s="19">
        <v>18606961</v>
      </c>
      <c r="D735" s="18" t="s">
        <v>209</v>
      </c>
      <c r="E735" s="18" t="s">
        <v>289</v>
      </c>
      <c r="F735" s="18" t="s">
        <v>1183</v>
      </c>
      <c r="G735" s="19">
        <v>3851160</v>
      </c>
      <c r="H735" s="18" t="s">
        <v>1183</v>
      </c>
      <c r="I735" s="19">
        <v>3236289</v>
      </c>
      <c r="J735" s="18" t="s">
        <v>1015</v>
      </c>
      <c r="K735" s="19">
        <v>0</v>
      </c>
      <c r="L735" s="19">
        <v>0</v>
      </c>
      <c r="M735" s="19">
        <v>0</v>
      </c>
      <c r="N735" s="20">
        <v>0</v>
      </c>
      <c r="O735" s="19">
        <v>0</v>
      </c>
      <c r="P735" s="19">
        <v>0</v>
      </c>
      <c r="Q735" s="19">
        <v>0</v>
      </c>
      <c r="R735" s="19">
        <v>0</v>
      </c>
      <c r="S735" s="19">
        <v>0</v>
      </c>
      <c r="T735" s="19">
        <v>0</v>
      </c>
      <c r="U735" s="19">
        <v>0</v>
      </c>
      <c r="V735" s="19">
        <v>0</v>
      </c>
      <c r="W735" s="19">
        <v>0</v>
      </c>
      <c r="X735" s="19">
        <v>0</v>
      </c>
      <c r="Y735" s="20">
        <v>0</v>
      </c>
      <c r="Z735" s="19">
        <v>0</v>
      </c>
      <c r="AA735" s="19">
        <v>0</v>
      </c>
      <c r="AB735" t="str">
        <f>VLOOKUP(E:E,笔记匹配!A:N,3,FALSE)</f>
        <v>小蓝今天吃了没</v>
      </c>
      <c r="AC735" t="str">
        <f>VLOOKUP(E:E,笔记匹配!A:N,2,FALSE)</f>
        <v>筋膜枪</v>
      </c>
      <c r="AD735" t="str">
        <f>VLOOKUP(E:E,笔记匹配!A:N,4,FALSE)</f>
        <v>云麦 筋膜枪PB2</v>
      </c>
      <c r="AE735" t="str">
        <f>VLOOKUP(E:E,笔记匹配!A:N,14,FALSE)</f>
        <v>云麦筋膜枪pb2</v>
      </c>
      <c r="AF735" t="str">
        <f>VLOOKUP(E:E,笔记匹配!A:N,6,FALSE)</f>
        <v>筋膜枪正确用法！刘耕宏女孩永不认输</v>
      </c>
    </row>
    <row r="736" spans="1:32">
      <c r="A736" s="18" t="s">
        <v>110</v>
      </c>
      <c r="B736" s="18" t="s">
        <v>1189</v>
      </c>
      <c r="C736" s="19">
        <v>19010467</v>
      </c>
      <c r="D736" s="18" t="s">
        <v>209</v>
      </c>
      <c r="E736" s="18" t="s">
        <v>300</v>
      </c>
      <c r="F736" s="18" t="s">
        <v>1191</v>
      </c>
      <c r="G736" s="19">
        <v>4039162</v>
      </c>
      <c r="H736" s="18" t="s">
        <v>1191</v>
      </c>
      <c r="I736" s="19">
        <v>3422446</v>
      </c>
      <c r="J736" s="18" t="s">
        <v>1015</v>
      </c>
      <c r="K736" s="19">
        <v>510.47</v>
      </c>
      <c r="L736" s="19">
        <v>37929</v>
      </c>
      <c r="M736" s="19">
        <v>2606</v>
      </c>
      <c r="N736" s="20">
        <v>0.0687</v>
      </c>
      <c r="O736" s="19">
        <v>0.2</v>
      </c>
      <c r="P736" s="19">
        <v>13.46</v>
      </c>
      <c r="Q736" s="19">
        <v>61</v>
      </c>
      <c r="R736" s="19">
        <v>0</v>
      </c>
      <c r="S736" s="19">
        <v>11</v>
      </c>
      <c r="T736" s="19">
        <v>14</v>
      </c>
      <c r="U736" s="19">
        <v>2</v>
      </c>
      <c r="V736" s="19">
        <v>88</v>
      </c>
      <c r="W736" s="19">
        <v>5.8</v>
      </c>
      <c r="X736" s="19">
        <v>0</v>
      </c>
      <c r="Y736" s="20">
        <v>0</v>
      </c>
      <c r="Z736" s="19">
        <v>2</v>
      </c>
      <c r="AA736" s="19">
        <v>3</v>
      </c>
      <c r="AB736" t="str">
        <f>VLOOKUP(E:E,笔记匹配!A:N,3,FALSE)</f>
        <v>朱俊畅</v>
      </c>
      <c r="AC736" t="str">
        <f>VLOOKUP(E:E,笔记匹配!A:N,2,FALSE)</f>
        <v>筋膜枪</v>
      </c>
      <c r="AD736" t="str">
        <f>VLOOKUP(E:E,笔记匹配!A:N,4,FALSE)</f>
        <v>云麦筋膜枪PB2</v>
      </c>
      <c r="AE736" t="str">
        <f>VLOOKUP(E:E,笔记匹配!A:N,14,FALSE)</f>
        <v>云麦筋膜枪pb2</v>
      </c>
      <c r="AF736" t="str">
        <f>VLOOKUP(E:E,笔记匹配!A:N,6,FALSE)</f>
        <v>打球完容易肌肉酸痛，筋膜枪放松更有效！</v>
      </c>
    </row>
    <row r="737" spans="1:32">
      <c r="A737" s="18" t="s">
        <v>110</v>
      </c>
      <c r="B737" s="18" t="s">
        <v>1196</v>
      </c>
      <c r="C737" s="19">
        <v>19054497</v>
      </c>
      <c r="D737" s="18" t="s">
        <v>209</v>
      </c>
      <c r="E737" s="18" t="s">
        <v>452</v>
      </c>
      <c r="F737" s="18" t="s">
        <v>1198</v>
      </c>
      <c r="G737" s="19">
        <v>4059827</v>
      </c>
      <c r="H737" s="18" t="s">
        <v>1198</v>
      </c>
      <c r="I737" s="19">
        <v>3442591</v>
      </c>
      <c r="J737" s="18" t="s">
        <v>1015</v>
      </c>
      <c r="K737" s="19">
        <v>0</v>
      </c>
      <c r="L737" s="19">
        <v>0</v>
      </c>
      <c r="M737" s="19">
        <v>0</v>
      </c>
      <c r="N737" s="20">
        <v>0</v>
      </c>
      <c r="O737" s="19">
        <v>0</v>
      </c>
      <c r="P737" s="19">
        <v>0</v>
      </c>
      <c r="Q737" s="19">
        <v>0</v>
      </c>
      <c r="R737" s="19">
        <v>0</v>
      </c>
      <c r="S737" s="19">
        <v>0</v>
      </c>
      <c r="T737" s="19">
        <v>0</v>
      </c>
      <c r="U737" s="19">
        <v>0</v>
      </c>
      <c r="V737" s="19">
        <v>0</v>
      </c>
      <c r="W737" s="19">
        <v>0</v>
      </c>
      <c r="X737" s="19">
        <v>0</v>
      </c>
      <c r="Y737" s="20">
        <v>0</v>
      </c>
      <c r="Z737" s="19">
        <v>0</v>
      </c>
      <c r="AA737" s="19">
        <v>0</v>
      </c>
      <c r="AB737" t="str">
        <f>VLOOKUP(E:E,笔记匹配!A:N,3,FALSE)</f>
        <v>Bruce小厮</v>
      </c>
      <c r="AC737" t="str">
        <f>VLOOKUP(E:E,笔记匹配!A:N,2,FALSE)</f>
        <v>筋膜枪</v>
      </c>
      <c r="AD737" t="str">
        <f>VLOOKUP(E:E,笔记匹配!A:N,4,FALSE)</f>
        <v>云麦筋膜枪PB2</v>
      </c>
      <c r="AE737" t="str">
        <f>VLOOKUP(E:E,笔记匹配!A:N,14,FALSE)</f>
        <v>云麦筋膜枪pb2</v>
      </c>
      <c r="AF737" t="str">
        <f>VLOOKUP(E:E,笔记匹配!A:N,6,FALSE)</f>
        <v>女生练球后如何拉伸按摩，筋膜枪放松！！</v>
      </c>
    </row>
    <row r="738" spans="1:32">
      <c r="A738" s="18" t="s">
        <v>110</v>
      </c>
      <c r="B738" s="18" t="s">
        <v>1196</v>
      </c>
      <c r="C738" s="19">
        <v>19058466</v>
      </c>
      <c r="D738" s="18" t="s">
        <v>196</v>
      </c>
      <c r="E738" s="18" t="s">
        <v>296</v>
      </c>
      <c r="F738" s="18" t="s">
        <v>1199</v>
      </c>
      <c r="G738" s="19">
        <v>4061725</v>
      </c>
      <c r="H738" s="18" t="s">
        <v>1199</v>
      </c>
      <c r="I738" s="19">
        <v>3444458</v>
      </c>
      <c r="J738" s="18" t="s">
        <v>1015</v>
      </c>
      <c r="K738" s="19">
        <v>514.29</v>
      </c>
      <c r="L738" s="19">
        <v>32776</v>
      </c>
      <c r="M738" s="19">
        <v>1461</v>
      </c>
      <c r="N738" s="20">
        <v>0.0446</v>
      </c>
      <c r="O738" s="19">
        <v>0.35</v>
      </c>
      <c r="P738" s="19">
        <v>15.69</v>
      </c>
      <c r="Q738" s="19">
        <v>17</v>
      </c>
      <c r="R738" s="19">
        <v>0</v>
      </c>
      <c r="S738" s="19">
        <v>10</v>
      </c>
      <c r="T738" s="19">
        <v>0</v>
      </c>
      <c r="U738" s="19">
        <v>4</v>
      </c>
      <c r="V738" s="19">
        <v>31</v>
      </c>
      <c r="W738" s="19">
        <v>16.59</v>
      </c>
      <c r="X738" s="19">
        <v>19</v>
      </c>
      <c r="Y738" s="20">
        <v>0.013</v>
      </c>
      <c r="Z738" s="19">
        <v>2</v>
      </c>
      <c r="AA738" s="19">
        <v>2</v>
      </c>
      <c r="AB738" t="str">
        <f>VLOOKUP(E:E,笔记匹配!A:N,3,FALSE)</f>
        <v>元气芥末酱</v>
      </c>
      <c r="AC738" t="str">
        <f>VLOOKUP(E:E,笔记匹配!A:N,2,FALSE)</f>
        <v>筋膜枪</v>
      </c>
      <c r="AD738" t="str">
        <f>VLOOKUP(E:E,笔记匹配!A:N,4,FALSE)</f>
        <v>云麦筋膜枪PB2</v>
      </c>
      <c r="AE738" t="str">
        <f>VLOOKUP(E:E,笔记匹配!A:N,14,FALSE)</f>
        <v>云麦筋膜枪pb2</v>
      </c>
      <c r="AF738" t="str">
        <f>VLOOKUP(E:E,笔记匹配!A:N,6,FALSE)</f>
        <v>小腿粗的姐妹信我！肌肉腿就要这样按！</v>
      </c>
    </row>
    <row r="739" spans="1:32">
      <c r="A739" s="18" t="s">
        <v>110</v>
      </c>
      <c r="B739" s="18" t="s">
        <v>1200</v>
      </c>
      <c r="C739" s="19">
        <v>19106863</v>
      </c>
      <c r="D739" s="18" t="s">
        <v>209</v>
      </c>
      <c r="E739" s="18" t="s">
        <v>201</v>
      </c>
      <c r="F739" s="18" t="s">
        <v>1202</v>
      </c>
      <c r="G739" s="19">
        <v>4084168</v>
      </c>
      <c r="H739" s="18" t="s">
        <v>1202</v>
      </c>
      <c r="I739" s="19">
        <v>3466674</v>
      </c>
      <c r="J739" s="18" t="s">
        <v>1015</v>
      </c>
      <c r="K739" s="19">
        <v>0.1</v>
      </c>
      <c r="L739" s="19">
        <v>79</v>
      </c>
      <c r="M739" s="19">
        <v>1</v>
      </c>
      <c r="N739" s="20">
        <v>0.0127</v>
      </c>
      <c r="O739" s="19">
        <v>0.1</v>
      </c>
      <c r="P739" s="19">
        <v>1.27</v>
      </c>
      <c r="Q739" s="19">
        <v>0</v>
      </c>
      <c r="R739" s="19">
        <v>0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0</v>
      </c>
      <c r="Y739" s="20">
        <v>0</v>
      </c>
      <c r="Z739" s="19">
        <v>0</v>
      </c>
      <c r="AA739" s="19">
        <v>0</v>
      </c>
      <c r="AB739" t="str">
        <f>VLOOKUP(E:E,笔记匹配!A:N,3,FALSE)</f>
        <v>包子熟了</v>
      </c>
      <c r="AC739" t="str">
        <f>VLOOKUP(E:E,笔记匹配!A:N,2,FALSE)</f>
        <v>筋膜枪</v>
      </c>
      <c r="AD739" t="str">
        <f>VLOOKUP(E:E,笔记匹配!A:N,4,FALSE)</f>
        <v>云麦筋膜枪</v>
      </c>
      <c r="AE739" t="str">
        <f>VLOOKUP(E:E,笔记匹配!A:N,14,FALSE)</f>
        <v>云麦筋膜枪pb2</v>
      </c>
      <c r="AF739" t="str">
        <f>VLOOKUP(E:E,笔记匹配!A:N,6,FALSE)</f>
        <v>筋膜枪测评|健身小白如何挑选筋膜枪？</v>
      </c>
    </row>
    <row r="740" spans="1:32">
      <c r="A740" s="18" t="s">
        <v>110</v>
      </c>
      <c r="B740" s="18" t="s">
        <v>1207</v>
      </c>
      <c r="C740" s="19">
        <v>19261230</v>
      </c>
      <c r="D740" s="18" t="s">
        <v>209</v>
      </c>
      <c r="E740" s="18" t="s">
        <v>579</v>
      </c>
      <c r="F740" s="18" t="s">
        <v>1208</v>
      </c>
      <c r="G740" s="19">
        <v>4155782</v>
      </c>
      <c r="H740" s="18" t="s">
        <v>1208</v>
      </c>
      <c r="I740" s="19">
        <v>3538615</v>
      </c>
      <c r="J740" s="18" t="s">
        <v>1015</v>
      </c>
      <c r="K740" s="19">
        <v>1008.4</v>
      </c>
      <c r="L740" s="19">
        <v>79339</v>
      </c>
      <c r="M740" s="19">
        <v>6664</v>
      </c>
      <c r="N740" s="20">
        <v>0.084</v>
      </c>
      <c r="O740" s="19">
        <v>0.15</v>
      </c>
      <c r="P740" s="19">
        <v>12.71</v>
      </c>
      <c r="Q740" s="19">
        <v>183</v>
      </c>
      <c r="R740" s="19">
        <v>0</v>
      </c>
      <c r="S740" s="19">
        <v>39</v>
      </c>
      <c r="T740" s="19">
        <v>29</v>
      </c>
      <c r="U740" s="19">
        <v>1</v>
      </c>
      <c r="V740" s="19">
        <v>252</v>
      </c>
      <c r="W740" s="19">
        <v>4</v>
      </c>
      <c r="X740" s="19">
        <v>0</v>
      </c>
      <c r="Y740" s="20">
        <v>0</v>
      </c>
      <c r="Z740" s="19">
        <v>11</v>
      </c>
      <c r="AA740" s="19">
        <v>3</v>
      </c>
      <c r="AB740" t="str">
        <f>VLOOKUP(E:E,笔记匹配!A:N,3,FALSE)</f>
        <v>Lucas雨田</v>
      </c>
      <c r="AC740" t="str">
        <f>VLOOKUP(E:E,笔记匹配!A:N,2,FALSE)</f>
        <v>筋膜枪</v>
      </c>
      <c r="AD740" t="str">
        <f>VLOOKUP(E:E,笔记匹配!A:N,4,FALSE)</f>
        <v>云麦筋膜枪PB2</v>
      </c>
      <c r="AE740" t="str">
        <f>VLOOKUP(E:E,笔记匹配!A:N,14,FALSE)</f>
        <v>云麦筋膜枪pb2</v>
      </c>
      <c r="AF740" t="str">
        <f>VLOOKUP(E:E,笔记匹配!A:N,6,FALSE)</f>
        <v>2个游泳后的放松技巧⭐️自主拉伸、筋膜枪按摩</v>
      </c>
    </row>
    <row r="741" spans="1:32">
      <c r="A741" s="18" t="s">
        <v>110</v>
      </c>
      <c r="B741" s="18" t="s">
        <v>1216</v>
      </c>
      <c r="C741" s="19">
        <v>19428860</v>
      </c>
      <c r="D741" s="18" t="s">
        <v>209</v>
      </c>
      <c r="E741" s="18" t="s">
        <v>573</v>
      </c>
      <c r="F741" s="18" t="s">
        <v>1218</v>
      </c>
      <c r="G741" s="19">
        <v>4228800</v>
      </c>
      <c r="H741" s="18" t="s">
        <v>1218</v>
      </c>
      <c r="I741" s="19">
        <v>3609716</v>
      </c>
      <c r="J741" s="18" t="s">
        <v>1015</v>
      </c>
      <c r="K741" s="19">
        <v>504.71</v>
      </c>
      <c r="L741" s="19">
        <v>83200</v>
      </c>
      <c r="M741" s="19">
        <v>2502</v>
      </c>
      <c r="N741" s="20">
        <v>0.0301</v>
      </c>
      <c r="O741" s="19">
        <v>0.2</v>
      </c>
      <c r="P741" s="19">
        <v>6.07</v>
      </c>
      <c r="Q741" s="19">
        <v>52</v>
      </c>
      <c r="R741" s="19">
        <v>2</v>
      </c>
      <c r="S741" s="19">
        <v>5</v>
      </c>
      <c r="T741" s="19">
        <v>4</v>
      </c>
      <c r="U741" s="19">
        <v>1</v>
      </c>
      <c r="V741" s="19">
        <v>64</v>
      </c>
      <c r="W741" s="19">
        <v>7.89</v>
      </c>
      <c r="X741" s="19">
        <v>0</v>
      </c>
      <c r="Y741" s="20">
        <v>0</v>
      </c>
      <c r="Z741" s="19">
        <v>2</v>
      </c>
      <c r="AA741" s="19">
        <v>2</v>
      </c>
      <c r="AB741" t="str">
        <f>VLOOKUP(E:E,笔记匹配!A:N,3,FALSE)</f>
        <v>JJJJackson</v>
      </c>
      <c r="AC741" t="str">
        <f>VLOOKUP(E:E,笔记匹配!A:N,2,FALSE)</f>
        <v>筋膜枪</v>
      </c>
      <c r="AD741" t="str">
        <f>VLOOKUP(E:E,笔记匹配!A:N,4,FALSE)</f>
        <v>云麦筋膜枪PB2</v>
      </c>
      <c r="AE741" t="str">
        <f>VLOOKUP(E:E,笔记匹配!A:N,14,FALSE)</f>
        <v>云麦筋膜枪pb2</v>
      </c>
      <c r="AF741" t="str">
        <f>VLOOKUP(E:E,笔记匹配!A:N,6,FALSE)</f>
        <v>健身好物｜筋膜枪真的是放松神器！</v>
      </c>
    </row>
    <row r="742" spans="1:32">
      <c r="A742" s="18" t="s">
        <v>110</v>
      </c>
      <c r="B742" s="18" t="s">
        <v>1222</v>
      </c>
      <c r="C742" s="19">
        <v>19450191</v>
      </c>
      <c r="D742" s="18" t="s">
        <v>196</v>
      </c>
      <c r="E742" s="18" t="s">
        <v>452</v>
      </c>
      <c r="F742" s="18" t="s">
        <v>1220</v>
      </c>
      <c r="G742" s="19">
        <v>4239566</v>
      </c>
      <c r="H742" s="18" t="s">
        <v>1221</v>
      </c>
      <c r="I742" s="19">
        <v>3620137</v>
      </c>
      <c r="J742" s="18" t="s">
        <v>1015</v>
      </c>
      <c r="K742" s="19">
        <v>2.9</v>
      </c>
      <c r="L742" s="19">
        <v>149</v>
      </c>
      <c r="M742" s="19">
        <v>8</v>
      </c>
      <c r="N742" s="20">
        <v>0.0537</v>
      </c>
      <c r="O742" s="19">
        <v>0.36</v>
      </c>
      <c r="P742" s="19">
        <v>19.46</v>
      </c>
      <c r="Q742" s="19">
        <v>1</v>
      </c>
      <c r="R742" s="19">
        <v>0</v>
      </c>
      <c r="S742" s="19">
        <v>0</v>
      </c>
      <c r="T742" s="19">
        <v>0</v>
      </c>
      <c r="U742" s="19">
        <v>0</v>
      </c>
      <c r="V742" s="19">
        <v>1</v>
      </c>
      <c r="W742" s="19">
        <v>2.9</v>
      </c>
      <c r="X742" s="19">
        <v>0</v>
      </c>
      <c r="Y742" s="20">
        <v>0</v>
      </c>
      <c r="Z742" s="19">
        <v>0</v>
      </c>
      <c r="AA742" s="19">
        <v>0</v>
      </c>
      <c r="AB742" t="str">
        <f>VLOOKUP(E:E,笔记匹配!A:N,3,FALSE)</f>
        <v>Bruce小厮</v>
      </c>
      <c r="AC742" t="str">
        <f>VLOOKUP(E:E,笔记匹配!A:N,2,FALSE)</f>
        <v>筋膜枪</v>
      </c>
      <c r="AD742" t="str">
        <f>VLOOKUP(E:E,笔记匹配!A:N,4,FALSE)</f>
        <v>云麦筋膜枪PB2</v>
      </c>
      <c r="AE742" t="str">
        <f>VLOOKUP(E:E,笔记匹配!A:N,14,FALSE)</f>
        <v>云麦筋膜枪pb2</v>
      </c>
      <c r="AF742" t="str">
        <f>VLOOKUP(E:E,笔记匹配!A:N,6,FALSE)</f>
        <v>女生练球后如何拉伸按摩，筋膜枪放松！！</v>
      </c>
    </row>
    <row r="743" spans="1:32">
      <c r="A743" s="18" t="s">
        <v>111</v>
      </c>
      <c r="B743" s="18" t="s">
        <v>1164</v>
      </c>
      <c r="C743" s="19">
        <v>18170615</v>
      </c>
      <c r="D743" s="18" t="s">
        <v>209</v>
      </c>
      <c r="E743" s="18" t="s">
        <v>205</v>
      </c>
      <c r="F743" s="18" t="s">
        <v>1165</v>
      </c>
      <c r="G743" s="19">
        <v>3639848</v>
      </c>
      <c r="H743" s="18" t="s">
        <v>1166</v>
      </c>
      <c r="I743" s="19">
        <v>3024741</v>
      </c>
      <c r="J743" s="18" t="s">
        <v>1015</v>
      </c>
      <c r="K743" s="19">
        <v>0</v>
      </c>
      <c r="L743" s="19">
        <v>0</v>
      </c>
      <c r="M743" s="19">
        <v>0</v>
      </c>
      <c r="N743" s="20">
        <v>0</v>
      </c>
      <c r="O743" s="19">
        <v>0</v>
      </c>
      <c r="P743" s="19">
        <v>0</v>
      </c>
      <c r="Q743" s="19">
        <v>0</v>
      </c>
      <c r="R743" s="19">
        <v>0</v>
      </c>
      <c r="S743" s="19">
        <v>0</v>
      </c>
      <c r="T743" s="19">
        <v>0</v>
      </c>
      <c r="U743" s="19">
        <v>0</v>
      </c>
      <c r="V743" s="19">
        <v>0</v>
      </c>
      <c r="W743" s="19">
        <v>0</v>
      </c>
      <c r="X743" s="19">
        <v>0</v>
      </c>
      <c r="Y743" s="20">
        <v>0</v>
      </c>
      <c r="Z743" s="19">
        <v>0</v>
      </c>
      <c r="AA743" s="19">
        <v>0</v>
      </c>
      <c r="AB743" t="str">
        <f>VLOOKUP(E:E,笔记匹配!A:N,3,FALSE)</f>
        <v>马可乐cora</v>
      </c>
      <c r="AC743" t="str">
        <f>VLOOKUP(E:E,笔记匹配!A:N,2,FALSE)</f>
        <v>筋膜枪</v>
      </c>
      <c r="AD743" t="str">
        <f>VLOOKUP(E:E,笔记匹配!A:N,4,FALSE)</f>
        <v>云麦筋膜枪PB2</v>
      </c>
      <c r="AE743" t="str">
        <f>VLOOKUP(E:E,笔记匹配!A:N,14,FALSE)</f>
        <v>云麦筋膜枪pb2</v>
      </c>
      <c r="AF743" t="str">
        <f>VLOOKUP(E:E,笔记匹配!A:N,6,FALSE)</f>
        <v>跳操的姐妹听我的用筋膜枪放松下肢真的有用</v>
      </c>
    </row>
    <row r="744" spans="1:32">
      <c r="A744" s="18" t="s">
        <v>111</v>
      </c>
      <c r="B744" s="18" t="s">
        <v>1189</v>
      </c>
      <c r="C744" s="19">
        <v>19010467</v>
      </c>
      <c r="D744" s="18" t="s">
        <v>209</v>
      </c>
      <c r="E744" s="18" t="s">
        <v>300</v>
      </c>
      <c r="F744" s="18" t="s">
        <v>1191</v>
      </c>
      <c r="G744" s="19">
        <v>4039162</v>
      </c>
      <c r="H744" s="18" t="s">
        <v>1191</v>
      </c>
      <c r="I744" s="19">
        <v>3422446</v>
      </c>
      <c r="J744" s="18" t="s">
        <v>1015</v>
      </c>
      <c r="K744" s="19">
        <v>1007.79</v>
      </c>
      <c r="L744" s="19">
        <v>60804</v>
      </c>
      <c r="M744" s="19">
        <v>3021</v>
      </c>
      <c r="N744" s="20">
        <v>0.0497</v>
      </c>
      <c r="O744" s="19">
        <v>0.33</v>
      </c>
      <c r="P744" s="19">
        <v>16.57</v>
      </c>
      <c r="Q744" s="19">
        <v>88</v>
      </c>
      <c r="R744" s="19">
        <v>0</v>
      </c>
      <c r="S744" s="19">
        <v>25</v>
      </c>
      <c r="T744" s="19">
        <v>18</v>
      </c>
      <c r="U744" s="19">
        <v>3</v>
      </c>
      <c r="V744" s="19">
        <v>134</v>
      </c>
      <c r="W744" s="19">
        <v>7.52</v>
      </c>
      <c r="X744" s="19">
        <v>0</v>
      </c>
      <c r="Y744" s="20">
        <v>0</v>
      </c>
      <c r="Z744" s="19">
        <v>0</v>
      </c>
      <c r="AA744" s="19">
        <v>3</v>
      </c>
      <c r="AB744" t="str">
        <f>VLOOKUP(E:E,笔记匹配!A:N,3,FALSE)</f>
        <v>朱俊畅</v>
      </c>
      <c r="AC744" t="str">
        <f>VLOOKUP(E:E,笔记匹配!A:N,2,FALSE)</f>
        <v>筋膜枪</v>
      </c>
      <c r="AD744" t="str">
        <f>VLOOKUP(E:E,笔记匹配!A:N,4,FALSE)</f>
        <v>云麦筋膜枪PB2</v>
      </c>
      <c r="AE744" t="str">
        <f>VLOOKUP(E:E,笔记匹配!A:N,14,FALSE)</f>
        <v>云麦筋膜枪pb2</v>
      </c>
      <c r="AF744" t="str">
        <f>VLOOKUP(E:E,笔记匹配!A:N,6,FALSE)</f>
        <v>打球完容易肌肉酸痛，筋膜枪放松更有效！</v>
      </c>
    </row>
    <row r="745" spans="1:32">
      <c r="A745" s="18" t="s">
        <v>111</v>
      </c>
      <c r="B745" s="18" t="s">
        <v>1196</v>
      </c>
      <c r="C745" s="19">
        <v>19054497</v>
      </c>
      <c r="D745" s="18" t="s">
        <v>209</v>
      </c>
      <c r="E745" s="18" t="s">
        <v>452</v>
      </c>
      <c r="F745" s="18" t="s">
        <v>1198</v>
      </c>
      <c r="G745" s="19">
        <v>4059827</v>
      </c>
      <c r="H745" s="18" t="s">
        <v>1198</v>
      </c>
      <c r="I745" s="19">
        <v>3442591</v>
      </c>
      <c r="J745" s="18" t="s">
        <v>1015</v>
      </c>
      <c r="K745" s="19">
        <v>0</v>
      </c>
      <c r="L745" s="19">
        <v>0</v>
      </c>
      <c r="M745" s="19">
        <v>0</v>
      </c>
      <c r="N745" s="20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20">
        <v>0</v>
      </c>
      <c r="Z745" s="19">
        <v>0</v>
      </c>
      <c r="AA745" s="19">
        <v>0</v>
      </c>
      <c r="AB745" t="str">
        <f>VLOOKUP(E:E,笔记匹配!A:N,3,FALSE)</f>
        <v>Bruce小厮</v>
      </c>
      <c r="AC745" t="str">
        <f>VLOOKUP(E:E,笔记匹配!A:N,2,FALSE)</f>
        <v>筋膜枪</v>
      </c>
      <c r="AD745" t="str">
        <f>VLOOKUP(E:E,笔记匹配!A:N,4,FALSE)</f>
        <v>云麦筋膜枪PB2</v>
      </c>
      <c r="AE745" t="str">
        <f>VLOOKUP(E:E,笔记匹配!A:N,14,FALSE)</f>
        <v>云麦筋膜枪pb2</v>
      </c>
      <c r="AF745" t="str">
        <f>VLOOKUP(E:E,笔记匹配!A:N,6,FALSE)</f>
        <v>女生练球后如何拉伸按摩，筋膜枪放松！！</v>
      </c>
    </row>
    <row r="746" spans="1:32">
      <c r="A746" s="18" t="s">
        <v>111</v>
      </c>
      <c r="B746" s="18" t="s">
        <v>1196</v>
      </c>
      <c r="C746" s="19">
        <v>19058466</v>
      </c>
      <c r="D746" s="18" t="s">
        <v>196</v>
      </c>
      <c r="E746" s="18" t="s">
        <v>296</v>
      </c>
      <c r="F746" s="18" t="s">
        <v>1199</v>
      </c>
      <c r="G746" s="19">
        <v>4061725</v>
      </c>
      <c r="H746" s="18" t="s">
        <v>1199</v>
      </c>
      <c r="I746" s="19">
        <v>3444458</v>
      </c>
      <c r="J746" s="18" t="s">
        <v>1015</v>
      </c>
      <c r="K746" s="19">
        <v>508.2</v>
      </c>
      <c r="L746" s="19">
        <v>33860</v>
      </c>
      <c r="M746" s="19">
        <v>1597</v>
      </c>
      <c r="N746" s="20">
        <v>0.0472</v>
      </c>
      <c r="O746" s="19">
        <v>0.32</v>
      </c>
      <c r="P746" s="19">
        <v>15.01</v>
      </c>
      <c r="Q746" s="19">
        <v>21</v>
      </c>
      <c r="R746" s="19">
        <v>1</v>
      </c>
      <c r="S746" s="19">
        <v>7</v>
      </c>
      <c r="T746" s="19">
        <v>1</v>
      </c>
      <c r="U746" s="19">
        <v>1</v>
      </c>
      <c r="V746" s="19">
        <v>31</v>
      </c>
      <c r="W746" s="19">
        <v>16.39</v>
      </c>
      <c r="X746" s="19">
        <v>18</v>
      </c>
      <c r="Y746" s="20">
        <v>0.0113</v>
      </c>
      <c r="Z746" s="19">
        <v>5</v>
      </c>
      <c r="AA746" s="19">
        <v>1</v>
      </c>
      <c r="AB746" t="str">
        <f>VLOOKUP(E:E,笔记匹配!A:N,3,FALSE)</f>
        <v>元气芥末酱</v>
      </c>
      <c r="AC746" t="str">
        <f>VLOOKUP(E:E,笔记匹配!A:N,2,FALSE)</f>
        <v>筋膜枪</v>
      </c>
      <c r="AD746" t="str">
        <f>VLOOKUP(E:E,笔记匹配!A:N,4,FALSE)</f>
        <v>云麦筋膜枪PB2</v>
      </c>
      <c r="AE746" t="str">
        <f>VLOOKUP(E:E,笔记匹配!A:N,14,FALSE)</f>
        <v>云麦筋膜枪pb2</v>
      </c>
      <c r="AF746" t="str">
        <f>VLOOKUP(E:E,笔记匹配!A:N,6,FALSE)</f>
        <v>小腿粗的姐妹信我！肌肉腿就要这样按！</v>
      </c>
    </row>
    <row r="747" spans="1:32">
      <c r="A747" s="18" t="s">
        <v>111</v>
      </c>
      <c r="B747" s="18" t="s">
        <v>1207</v>
      </c>
      <c r="C747" s="19">
        <v>19261230</v>
      </c>
      <c r="D747" s="18" t="s">
        <v>209</v>
      </c>
      <c r="E747" s="18" t="s">
        <v>579</v>
      </c>
      <c r="F747" s="18" t="s">
        <v>1208</v>
      </c>
      <c r="G747" s="19">
        <v>4155782</v>
      </c>
      <c r="H747" s="18" t="s">
        <v>1208</v>
      </c>
      <c r="I747" s="19">
        <v>3538615</v>
      </c>
      <c r="J747" s="18" t="s">
        <v>1015</v>
      </c>
      <c r="K747" s="19">
        <v>499.73</v>
      </c>
      <c r="L747" s="19">
        <v>44920</v>
      </c>
      <c r="M747" s="19">
        <v>3491</v>
      </c>
      <c r="N747" s="20">
        <v>0.0777</v>
      </c>
      <c r="O747" s="19">
        <v>0.14</v>
      </c>
      <c r="P747" s="19">
        <v>11.12</v>
      </c>
      <c r="Q747" s="19">
        <v>88</v>
      </c>
      <c r="R747" s="19">
        <v>1</v>
      </c>
      <c r="S747" s="19">
        <v>18</v>
      </c>
      <c r="T747" s="19">
        <v>20</v>
      </c>
      <c r="U747" s="19">
        <v>0</v>
      </c>
      <c r="V747" s="19">
        <v>127</v>
      </c>
      <c r="W747" s="19">
        <v>3.93</v>
      </c>
      <c r="X747" s="19">
        <v>0</v>
      </c>
      <c r="Y747" s="20">
        <v>0</v>
      </c>
      <c r="Z747" s="19">
        <v>3</v>
      </c>
      <c r="AA747" s="19">
        <v>2</v>
      </c>
      <c r="AB747" t="str">
        <f>VLOOKUP(E:E,笔记匹配!A:N,3,FALSE)</f>
        <v>Lucas雨田</v>
      </c>
      <c r="AC747" t="str">
        <f>VLOOKUP(E:E,笔记匹配!A:N,2,FALSE)</f>
        <v>筋膜枪</v>
      </c>
      <c r="AD747" t="str">
        <f>VLOOKUP(E:E,笔记匹配!A:N,4,FALSE)</f>
        <v>云麦筋膜枪PB2</v>
      </c>
      <c r="AE747" t="str">
        <f>VLOOKUP(E:E,笔记匹配!A:N,14,FALSE)</f>
        <v>云麦筋膜枪pb2</v>
      </c>
      <c r="AF747" t="str">
        <f>VLOOKUP(E:E,笔记匹配!A:N,6,FALSE)</f>
        <v>2个游泳后的放松技巧⭐️自主拉伸、筋膜枪按摩</v>
      </c>
    </row>
    <row r="748" spans="1:32">
      <c r="A748" s="18" t="s">
        <v>111</v>
      </c>
      <c r="B748" s="18" t="s">
        <v>1213</v>
      </c>
      <c r="C748" s="19">
        <v>19380003</v>
      </c>
      <c r="D748" s="18" t="s">
        <v>209</v>
      </c>
      <c r="E748" s="18" t="s">
        <v>577</v>
      </c>
      <c r="F748" s="18" t="s">
        <v>1214</v>
      </c>
      <c r="G748" s="19">
        <v>4206144</v>
      </c>
      <c r="H748" s="18" t="s">
        <v>1215</v>
      </c>
      <c r="I748" s="19">
        <v>3587795</v>
      </c>
      <c r="J748" s="18" t="s">
        <v>1015</v>
      </c>
      <c r="K748" s="19">
        <v>0</v>
      </c>
      <c r="L748" s="19">
        <v>0</v>
      </c>
      <c r="M748" s="19">
        <v>0</v>
      </c>
      <c r="N748" s="20">
        <v>0</v>
      </c>
      <c r="O748" s="19">
        <v>0</v>
      </c>
      <c r="P748" s="19">
        <v>0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0</v>
      </c>
      <c r="W748" s="19">
        <v>0</v>
      </c>
      <c r="X748" s="19">
        <v>0</v>
      </c>
      <c r="Y748" s="20">
        <v>0</v>
      </c>
      <c r="Z748" s="19">
        <v>0</v>
      </c>
      <c r="AA748" s="19">
        <v>0</v>
      </c>
      <c r="AB748" t="str">
        <f>VLOOKUP(E:E,笔记匹配!A:N,3,FALSE)</f>
        <v>阿三啊</v>
      </c>
      <c r="AC748" t="str">
        <f>VLOOKUP(E:E,笔记匹配!A:N,2,FALSE)</f>
        <v>筋膜枪</v>
      </c>
      <c r="AD748" t="str">
        <f>VLOOKUP(E:E,笔记匹配!A:N,4,FALSE)</f>
        <v>云麦筋膜枪pb2</v>
      </c>
      <c r="AE748" t="str">
        <f>VLOOKUP(E:E,笔记匹配!A:N,14,FALSE)</f>
        <v>云麦筋膜枪pb2</v>
      </c>
      <c r="AF748" t="str">
        <f>VLOOKUP(E:E,笔记匹配!A:N,6,FALSE)</f>
        <v>筋膜枪我的新装备|运动酷盖就该这样</v>
      </c>
    </row>
    <row r="749" spans="1:32">
      <c r="A749" s="18" t="s">
        <v>111</v>
      </c>
      <c r="B749" s="18" t="s">
        <v>1216</v>
      </c>
      <c r="C749" s="19">
        <v>19428860</v>
      </c>
      <c r="D749" s="18" t="s">
        <v>209</v>
      </c>
      <c r="E749" s="18" t="s">
        <v>573</v>
      </c>
      <c r="F749" s="18" t="s">
        <v>1218</v>
      </c>
      <c r="G749" s="19">
        <v>4228800</v>
      </c>
      <c r="H749" s="18" t="s">
        <v>1218</v>
      </c>
      <c r="I749" s="19">
        <v>3609716</v>
      </c>
      <c r="J749" s="18" t="s">
        <v>1015</v>
      </c>
      <c r="K749" s="19">
        <v>504.35</v>
      </c>
      <c r="L749" s="19">
        <v>84098</v>
      </c>
      <c r="M749" s="19">
        <v>2652</v>
      </c>
      <c r="N749" s="20">
        <v>0.0315</v>
      </c>
      <c r="O749" s="19">
        <v>0.19</v>
      </c>
      <c r="P749" s="19">
        <v>6</v>
      </c>
      <c r="Q749" s="19">
        <v>52</v>
      </c>
      <c r="R749" s="19">
        <v>4</v>
      </c>
      <c r="S749" s="19">
        <v>6</v>
      </c>
      <c r="T749" s="19">
        <v>9</v>
      </c>
      <c r="U749" s="19">
        <v>0</v>
      </c>
      <c r="V749" s="19">
        <v>71</v>
      </c>
      <c r="W749" s="19">
        <v>7.1</v>
      </c>
      <c r="X749" s="19">
        <v>0</v>
      </c>
      <c r="Y749" s="20">
        <v>0</v>
      </c>
      <c r="Z749" s="19">
        <v>5</v>
      </c>
      <c r="AA749" s="19">
        <v>1</v>
      </c>
      <c r="AB749" t="str">
        <f>VLOOKUP(E:E,笔记匹配!A:N,3,FALSE)</f>
        <v>JJJJackson</v>
      </c>
      <c r="AC749" t="str">
        <f>VLOOKUP(E:E,笔记匹配!A:N,2,FALSE)</f>
        <v>筋膜枪</v>
      </c>
      <c r="AD749" t="str">
        <f>VLOOKUP(E:E,笔记匹配!A:N,4,FALSE)</f>
        <v>云麦筋膜枪PB2</v>
      </c>
      <c r="AE749" t="str">
        <f>VLOOKUP(E:E,笔记匹配!A:N,14,FALSE)</f>
        <v>云麦筋膜枪pb2</v>
      </c>
      <c r="AF749" t="str">
        <f>VLOOKUP(E:E,笔记匹配!A:N,6,FALSE)</f>
        <v>健身好物｜筋膜枪真的是放松神器！</v>
      </c>
    </row>
    <row r="750" spans="1:32">
      <c r="A750" s="18" t="s">
        <v>112</v>
      </c>
      <c r="B750" s="18" t="s">
        <v>1164</v>
      </c>
      <c r="C750" s="19">
        <v>18170615</v>
      </c>
      <c r="D750" s="18" t="s">
        <v>209</v>
      </c>
      <c r="E750" s="18" t="s">
        <v>205</v>
      </c>
      <c r="F750" s="18" t="s">
        <v>1165</v>
      </c>
      <c r="G750" s="19">
        <v>3639848</v>
      </c>
      <c r="H750" s="18" t="s">
        <v>1166</v>
      </c>
      <c r="I750" s="19">
        <v>3024741</v>
      </c>
      <c r="J750" s="18" t="s">
        <v>1015</v>
      </c>
      <c r="K750" s="19">
        <v>0</v>
      </c>
      <c r="L750" s="19">
        <v>0</v>
      </c>
      <c r="M750" s="19">
        <v>0</v>
      </c>
      <c r="N750" s="20">
        <v>0</v>
      </c>
      <c r="O750" s="19">
        <v>0</v>
      </c>
      <c r="P750" s="19">
        <v>0</v>
      </c>
      <c r="Q750" s="19">
        <v>0</v>
      </c>
      <c r="R750" s="19">
        <v>0</v>
      </c>
      <c r="S750" s="19">
        <v>0</v>
      </c>
      <c r="T750" s="19">
        <v>0</v>
      </c>
      <c r="U750" s="19">
        <v>0</v>
      </c>
      <c r="V750" s="19">
        <v>0</v>
      </c>
      <c r="W750" s="19">
        <v>0</v>
      </c>
      <c r="X750" s="19">
        <v>0</v>
      </c>
      <c r="Y750" s="20">
        <v>0</v>
      </c>
      <c r="Z750" s="19">
        <v>0</v>
      </c>
      <c r="AA750" s="19">
        <v>0</v>
      </c>
      <c r="AB750" t="str">
        <f>VLOOKUP(E:E,笔记匹配!A:N,3,FALSE)</f>
        <v>马可乐cora</v>
      </c>
      <c r="AC750" t="str">
        <f>VLOOKUP(E:E,笔记匹配!A:N,2,FALSE)</f>
        <v>筋膜枪</v>
      </c>
      <c r="AD750" t="str">
        <f>VLOOKUP(E:E,笔记匹配!A:N,4,FALSE)</f>
        <v>云麦筋膜枪PB2</v>
      </c>
      <c r="AE750" t="str">
        <f>VLOOKUP(E:E,笔记匹配!A:N,14,FALSE)</f>
        <v>云麦筋膜枪pb2</v>
      </c>
      <c r="AF750" t="str">
        <f>VLOOKUP(E:E,笔记匹配!A:N,6,FALSE)</f>
        <v>跳操的姐妹听我的用筋膜枪放松下肢真的有用</v>
      </c>
    </row>
    <row r="751" spans="1:32">
      <c r="A751" s="18" t="s">
        <v>112</v>
      </c>
      <c r="B751" s="18" t="s">
        <v>1181</v>
      </c>
      <c r="C751" s="19">
        <v>18606961</v>
      </c>
      <c r="D751" s="18" t="s">
        <v>209</v>
      </c>
      <c r="E751" s="18" t="s">
        <v>289</v>
      </c>
      <c r="F751" s="18" t="s">
        <v>1183</v>
      </c>
      <c r="G751" s="19">
        <v>3851160</v>
      </c>
      <c r="H751" s="18" t="s">
        <v>1183</v>
      </c>
      <c r="I751" s="19">
        <v>3236289</v>
      </c>
      <c r="J751" s="18" t="s">
        <v>1015</v>
      </c>
      <c r="K751" s="19">
        <v>0</v>
      </c>
      <c r="L751" s="19">
        <v>0</v>
      </c>
      <c r="M751" s="19">
        <v>0</v>
      </c>
      <c r="N751" s="20">
        <v>0</v>
      </c>
      <c r="O751" s="19">
        <v>0</v>
      </c>
      <c r="P751" s="19">
        <v>0</v>
      </c>
      <c r="Q751" s="19">
        <v>0</v>
      </c>
      <c r="R751" s="19">
        <v>0</v>
      </c>
      <c r="S751" s="19">
        <v>0</v>
      </c>
      <c r="T751" s="19">
        <v>0</v>
      </c>
      <c r="U751" s="19">
        <v>0</v>
      </c>
      <c r="V751" s="19">
        <v>0</v>
      </c>
      <c r="W751" s="19">
        <v>0</v>
      </c>
      <c r="X751" s="19">
        <v>0</v>
      </c>
      <c r="Y751" s="20">
        <v>0</v>
      </c>
      <c r="Z751" s="19">
        <v>0</v>
      </c>
      <c r="AA751" s="19">
        <v>0</v>
      </c>
      <c r="AB751" t="str">
        <f>VLOOKUP(E:E,笔记匹配!A:N,3,FALSE)</f>
        <v>小蓝今天吃了没</v>
      </c>
      <c r="AC751" t="str">
        <f>VLOOKUP(E:E,笔记匹配!A:N,2,FALSE)</f>
        <v>筋膜枪</v>
      </c>
      <c r="AD751" t="str">
        <f>VLOOKUP(E:E,笔记匹配!A:N,4,FALSE)</f>
        <v>云麦 筋膜枪PB2</v>
      </c>
      <c r="AE751" t="str">
        <f>VLOOKUP(E:E,笔记匹配!A:N,14,FALSE)</f>
        <v>云麦筋膜枪pb2</v>
      </c>
      <c r="AF751" t="str">
        <f>VLOOKUP(E:E,笔记匹配!A:N,6,FALSE)</f>
        <v>筋膜枪正确用法！刘耕宏女孩永不认输</v>
      </c>
    </row>
    <row r="752" spans="1:32">
      <c r="A752" s="18" t="s">
        <v>112</v>
      </c>
      <c r="B752" s="18" t="s">
        <v>1189</v>
      </c>
      <c r="C752" s="19">
        <v>19010467</v>
      </c>
      <c r="D752" s="18" t="s">
        <v>209</v>
      </c>
      <c r="E752" s="18" t="s">
        <v>300</v>
      </c>
      <c r="F752" s="18" t="s">
        <v>1191</v>
      </c>
      <c r="G752" s="19">
        <v>4039162</v>
      </c>
      <c r="H752" s="18" t="s">
        <v>1191</v>
      </c>
      <c r="I752" s="19">
        <v>3422446</v>
      </c>
      <c r="J752" s="18" t="s">
        <v>1015</v>
      </c>
      <c r="K752" s="19">
        <v>774.15</v>
      </c>
      <c r="L752" s="19">
        <v>62600</v>
      </c>
      <c r="M752" s="19">
        <v>2913</v>
      </c>
      <c r="N752" s="20">
        <v>0.0465</v>
      </c>
      <c r="O752" s="19">
        <v>0.27</v>
      </c>
      <c r="P752" s="19">
        <v>12.37</v>
      </c>
      <c r="Q752" s="19">
        <v>80</v>
      </c>
      <c r="R752" s="19">
        <v>3</v>
      </c>
      <c r="S752" s="19">
        <v>17</v>
      </c>
      <c r="T752" s="19">
        <v>10</v>
      </c>
      <c r="U752" s="19">
        <v>5</v>
      </c>
      <c r="V752" s="19">
        <v>115</v>
      </c>
      <c r="W752" s="19">
        <v>6.73</v>
      </c>
      <c r="X752" s="19">
        <v>0</v>
      </c>
      <c r="Y752" s="20">
        <v>0</v>
      </c>
      <c r="Z752" s="19">
        <v>0</v>
      </c>
      <c r="AA752" s="19">
        <v>1</v>
      </c>
      <c r="AB752" t="str">
        <f>VLOOKUP(E:E,笔记匹配!A:N,3,FALSE)</f>
        <v>朱俊畅</v>
      </c>
      <c r="AC752" t="str">
        <f>VLOOKUP(E:E,笔记匹配!A:N,2,FALSE)</f>
        <v>筋膜枪</v>
      </c>
      <c r="AD752" t="str">
        <f>VLOOKUP(E:E,笔记匹配!A:N,4,FALSE)</f>
        <v>云麦筋膜枪PB2</v>
      </c>
      <c r="AE752" t="str">
        <f>VLOOKUP(E:E,笔记匹配!A:N,14,FALSE)</f>
        <v>云麦筋膜枪pb2</v>
      </c>
      <c r="AF752" t="str">
        <f>VLOOKUP(E:E,笔记匹配!A:N,6,FALSE)</f>
        <v>打球完容易肌肉酸痛，筋膜枪放松更有效！</v>
      </c>
    </row>
    <row r="753" spans="1:32">
      <c r="A753" s="18" t="s">
        <v>112</v>
      </c>
      <c r="B753" s="18" t="s">
        <v>1196</v>
      </c>
      <c r="C753" s="19">
        <v>19054497</v>
      </c>
      <c r="D753" s="18" t="s">
        <v>209</v>
      </c>
      <c r="E753" s="18" t="s">
        <v>452</v>
      </c>
      <c r="F753" s="18" t="s">
        <v>1198</v>
      </c>
      <c r="G753" s="19">
        <v>4059827</v>
      </c>
      <c r="H753" s="18" t="s">
        <v>1198</v>
      </c>
      <c r="I753" s="19">
        <v>3442591</v>
      </c>
      <c r="J753" s="18" t="s">
        <v>1015</v>
      </c>
      <c r="K753" s="19">
        <v>503.26</v>
      </c>
      <c r="L753" s="19">
        <v>19260</v>
      </c>
      <c r="M753" s="19">
        <v>1958</v>
      </c>
      <c r="N753" s="20">
        <v>0.1017</v>
      </c>
      <c r="O753" s="19">
        <v>0.26</v>
      </c>
      <c r="P753" s="19">
        <v>26.13</v>
      </c>
      <c r="Q753" s="19">
        <v>99</v>
      </c>
      <c r="R753" s="19">
        <v>2</v>
      </c>
      <c r="S753" s="19">
        <v>34</v>
      </c>
      <c r="T753" s="19">
        <v>6</v>
      </c>
      <c r="U753" s="19">
        <v>1</v>
      </c>
      <c r="V753" s="19">
        <v>142</v>
      </c>
      <c r="W753" s="19">
        <v>3.54</v>
      </c>
      <c r="X753" s="19">
        <v>0</v>
      </c>
      <c r="Y753" s="20">
        <v>0</v>
      </c>
      <c r="Z753" s="19">
        <v>0</v>
      </c>
      <c r="AA753" s="19">
        <v>4</v>
      </c>
      <c r="AB753" t="str">
        <f>VLOOKUP(E:E,笔记匹配!A:N,3,FALSE)</f>
        <v>Bruce小厮</v>
      </c>
      <c r="AC753" t="str">
        <f>VLOOKUP(E:E,笔记匹配!A:N,2,FALSE)</f>
        <v>筋膜枪</v>
      </c>
      <c r="AD753" t="str">
        <f>VLOOKUP(E:E,笔记匹配!A:N,4,FALSE)</f>
        <v>云麦筋膜枪PB2</v>
      </c>
      <c r="AE753" t="str">
        <f>VLOOKUP(E:E,笔记匹配!A:N,14,FALSE)</f>
        <v>云麦筋膜枪pb2</v>
      </c>
      <c r="AF753" t="str">
        <f>VLOOKUP(E:E,笔记匹配!A:N,6,FALSE)</f>
        <v>女生练球后如何拉伸按摩，筋膜枪放松！！</v>
      </c>
    </row>
    <row r="754" spans="1:32">
      <c r="A754" s="18" t="s">
        <v>112</v>
      </c>
      <c r="B754" s="18" t="s">
        <v>1196</v>
      </c>
      <c r="C754" s="19">
        <v>19058466</v>
      </c>
      <c r="D754" s="18" t="s">
        <v>196</v>
      </c>
      <c r="E754" s="18" t="s">
        <v>296</v>
      </c>
      <c r="F754" s="18" t="s">
        <v>1199</v>
      </c>
      <c r="G754" s="19">
        <v>4061725</v>
      </c>
      <c r="H754" s="18" t="s">
        <v>1199</v>
      </c>
      <c r="I754" s="19">
        <v>3444458</v>
      </c>
      <c r="J754" s="18" t="s">
        <v>1015</v>
      </c>
      <c r="K754" s="19">
        <v>868.91</v>
      </c>
      <c r="L754" s="19">
        <v>64229</v>
      </c>
      <c r="M754" s="19">
        <v>2731</v>
      </c>
      <c r="N754" s="20">
        <v>0.0425</v>
      </c>
      <c r="O754" s="19">
        <v>0.32</v>
      </c>
      <c r="P754" s="19">
        <v>13.53</v>
      </c>
      <c r="Q754" s="19">
        <v>41</v>
      </c>
      <c r="R754" s="19">
        <v>0</v>
      </c>
      <c r="S754" s="19">
        <v>14</v>
      </c>
      <c r="T754" s="19">
        <v>0</v>
      </c>
      <c r="U754" s="19">
        <v>1</v>
      </c>
      <c r="V754" s="19">
        <v>56</v>
      </c>
      <c r="W754" s="19">
        <v>15.52</v>
      </c>
      <c r="X754" s="19">
        <v>32</v>
      </c>
      <c r="Y754" s="20">
        <v>0.0117</v>
      </c>
      <c r="Z754" s="19">
        <v>8</v>
      </c>
      <c r="AA754" s="19">
        <v>3</v>
      </c>
      <c r="AB754" t="str">
        <f>VLOOKUP(E:E,笔记匹配!A:N,3,FALSE)</f>
        <v>元气芥末酱</v>
      </c>
      <c r="AC754" t="str">
        <f>VLOOKUP(E:E,笔记匹配!A:N,2,FALSE)</f>
        <v>筋膜枪</v>
      </c>
      <c r="AD754" t="str">
        <f>VLOOKUP(E:E,笔记匹配!A:N,4,FALSE)</f>
        <v>云麦筋膜枪PB2</v>
      </c>
      <c r="AE754" t="str">
        <f>VLOOKUP(E:E,笔记匹配!A:N,14,FALSE)</f>
        <v>云麦筋膜枪pb2</v>
      </c>
      <c r="AF754" t="str">
        <f>VLOOKUP(E:E,笔记匹配!A:N,6,FALSE)</f>
        <v>小腿粗的姐妹信我！肌肉腿就要这样按！</v>
      </c>
    </row>
    <row r="755" spans="1:32">
      <c r="A755" s="18" t="s">
        <v>112</v>
      </c>
      <c r="B755" s="18" t="s">
        <v>1200</v>
      </c>
      <c r="C755" s="19">
        <v>19106999</v>
      </c>
      <c r="D755" s="18" t="s">
        <v>196</v>
      </c>
      <c r="E755" s="18" t="s">
        <v>205</v>
      </c>
      <c r="F755" s="18" t="s">
        <v>1203</v>
      </c>
      <c r="G755" s="19">
        <v>4084260</v>
      </c>
      <c r="H755" s="18" t="s">
        <v>1203</v>
      </c>
      <c r="I755" s="19">
        <v>3466751</v>
      </c>
      <c r="J755" s="18" t="s">
        <v>1015</v>
      </c>
      <c r="K755" s="19">
        <v>0</v>
      </c>
      <c r="L755" s="19">
        <v>0</v>
      </c>
      <c r="M755" s="19">
        <v>0</v>
      </c>
      <c r="N755" s="20">
        <v>0</v>
      </c>
      <c r="O755" s="19">
        <v>0</v>
      </c>
      <c r="P755" s="19">
        <v>0</v>
      </c>
      <c r="Q755" s="19">
        <v>0</v>
      </c>
      <c r="R755" s="19">
        <v>0</v>
      </c>
      <c r="S755" s="19">
        <v>0</v>
      </c>
      <c r="T755" s="19">
        <v>0</v>
      </c>
      <c r="U755" s="19">
        <v>0</v>
      </c>
      <c r="V755" s="19">
        <v>0</v>
      </c>
      <c r="W755" s="19">
        <v>0</v>
      </c>
      <c r="X755" s="19">
        <v>0</v>
      </c>
      <c r="Y755" s="20">
        <v>0</v>
      </c>
      <c r="Z755" s="19">
        <v>0</v>
      </c>
      <c r="AA755" s="19">
        <v>0</v>
      </c>
      <c r="AB755" t="str">
        <f>VLOOKUP(E:E,笔记匹配!A:N,3,FALSE)</f>
        <v>马可乐cora</v>
      </c>
      <c r="AC755" t="str">
        <f>VLOOKUP(E:E,笔记匹配!A:N,2,FALSE)</f>
        <v>筋膜枪</v>
      </c>
      <c r="AD755" t="str">
        <f>VLOOKUP(E:E,笔记匹配!A:N,4,FALSE)</f>
        <v>云麦筋膜枪PB2</v>
      </c>
      <c r="AE755" t="str">
        <f>VLOOKUP(E:E,笔记匹配!A:N,14,FALSE)</f>
        <v>云麦筋膜枪pb2</v>
      </c>
      <c r="AF755" t="str">
        <f>VLOOKUP(E:E,笔记匹配!A:N,6,FALSE)</f>
        <v>跳操的姐妹听我的用筋膜枪放松下肢真的有用</v>
      </c>
    </row>
    <row r="756" spans="1:32">
      <c r="A756" s="18" t="s">
        <v>112</v>
      </c>
      <c r="B756" s="18" t="s">
        <v>1207</v>
      </c>
      <c r="C756" s="19">
        <v>19261230</v>
      </c>
      <c r="D756" s="18" t="s">
        <v>209</v>
      </c>
      <c r="E756" s="18" t="s">
        <v>579</v>
      </c>
      <c r="F756" s="18" t="s">
        <v>1208</v>
      </c>
      <c r="G756" s="19">
        <v>4155782</v>
      </c>
      <c r="H756" s="18" t="s">
        <v>1208</v>
      </c>
      <c r="I756" s="19">
        <v>3538615</v>
      </c>
      <c r="J756" s="18" t="s">
        <v>1015</v>
      </c>
      <c r="K756" s="19">
        <v>511.41</v>
      </c>
      <c r="L756" s="19">
        <v>48305</v>
      </c>
      <c r="M756" s="19">
        <v>3530</v>
      </c>
      <c r="N756" s="20">
        <v>0.0731</v>
      </c>
      <c r="O756" s="19">
        <v>0.14</v>
      </c>
      <c r="P756" s="19">
        <v>10.59</v>
      </c>
      <c r="Q756" s="19">
        <v>69</v>
      </c>
      <c r="R756" s="19">
        <v>1</v>
      </c>
      <c r="S756" s="19">
        <v>19</v>
      </c>
      <c r="T756" s="19">
        <v>13</v>
      </c>
      <c r="U756" s="19">
        <v>3</v>
      </c>
      <c r="V756" s="19">
        <v>105</v>
      </c>
      <c r="W756" s="19">
        <v>4.87</v>
      </c>
      <c r="X756" s="19">
        <v>0</v>
      </c>
      <c r="Y756" s="20">
        <v>0</v>
      </c>
      <c r="Z756" s="19">
        <v>0</v>
      </c>
      <c r="AA756" s="19">
        <v>2</v>
      </c>
      <c r="AB756" t="str">
        <f>VLOOKUP(E:E,笔记匹配!A:N,3,FALSE)</f>
        <v>Lucas雨田</v>
      </c>
      <c r="AC756" t="str">
        <f>VLOOKUP(E:E,笔记匹配!A:N,2,FALSE)</f>
        <v>筋膜枪</v>
      </c>
      <c r="AD756" t="str">
        <f>VLOOKUP(E:E,笔记匹配!A:N,4,FALSE)</f>
        <v>云麦筋膜枪PB2</v>
      </c>
      <c r="AE756" t="str">
        <f>VLOOKUP(E:E,笔记匹配!A:N,14,FALSE)</f>
        <v>云麦筋膜枪pb2</v>
      </c>
      <c r="AF756" t="str">
        <f>VLOOKUP(E:E,笔记匹配!A:N,6,FALSE)</f>
        <v>2个游泳后的放松技巧⭐️自主拉伸、筋膜枪按摩</v>
      </c>
    </row>
    <row r="757" spans="1:32">
      <c r="A757" s="18" t="s">
        <v>112</v>
      </c>
      <c r="B757" s="18" t="s">
        <v>1213</v>
      </c>
      <c r="C757" s="19">
        <v>19380003</v>
      </c>
      <c r="D757" s="18" t="s">
        <v>209</v>
      </c>
      <c r="E757" s="18" t="s">
        <v>577</v>
      </c>
      <c r="F757" s="18" t="s">
        <v>1214</v>
      </c>
      <c r="G757" s="19">
        <v>4206144</v>
      </c>
      <c r="H757" s="18" t="s">
        <v>1215</v>
      </c>
      <c r="I757" s="19">
        <v>3587795</v>
      </c>
      <c r="J757" s="18" t="s">
        <v>1015</v>
      </c>
      <c r="K757" s="19">
        <v>0</v>
      </c>
      <c r="L757" s="19">
        <v>0</v>
      </c>
      <c r="M757" s="19">
        <v>0</v>
      </c>
      <c r="N757" s="20">
        <v>0</v>
      </c>
      <c r="O757" s="19">
        <v>0</v>
      </c>
      <c r="P757" s="19">
        <v>0</v>
      </c>
      <c r="Q757" s="19">
        <v>0</v>
      </c>
      <c r="R757" s="19">
        <v>0</v>
      </c>
      <c r="S757" s="19">
        <v>0</v>
      </c>
      <c r="T757" s="19">
        <v>0</v>
      </c>
      <c r="U757" s="19">
        <v>0</v>
      </c>
      <c r="V757" s="19">
        <v>0</v>
      </c>
      <c r="W757" s="19">
        <v>0</v>
      </c>
      <c r="X757" s="19">
        <v>0</v>
      </c>
      <c r="Y757" s="20">
        <v>0</v>
      </c>
      <c r="Z757" s="19">
        <v>0</v>
      </c>
      <c r="AA757" s="19">
        <v>0</v>
      </c>
      <c r="AB757" t="str">
        <f>VLOOKUP(E:E,笔记匹配!A:N,3,FALSE)</f>
        <v>阿三啊</v>
      </c>
      <c r="AC757" t="str">
        <f>VLOOKUP(E:E,笔记匹配!A:N,2,FALSE)</f>
        <v>筋膜枪</v>
      </c>
      <c r="AD757" t="str">
        <f>VLOOKUP(E:E,笔记匹配!A:N,4,FALSE)</f>
        <v>云麦筋膜枪pb2</v>
      </c>
      <c r="AE757" t="str">
        <f>VLOOKUP(E:E,笔记匹配!A:N,14,FALSE)</f>
        <v>云麦筋膜枪pb2</v>
      </c>
      <c r="AF757" t="str">
        <f>VLOOKUP(E:E,笔记匹配!A:N,6,FALSE)</f>
        <v>筋膜枪我的新装备|运动酷盖就该这样</v>
      </c>
    </row>
    <row r="758" spans="1:32">
      <c r="A758" s="18" t="s">
        <v>112</v>
      </c>
      <c r="B758" s="18" t="s">
        <v>1216</v>
      </c>
      <c r="C758" s="19">
        <v>19428860</v>
      </c>
      <c r="D758" s="18" t="s">
        <v>209</v>
      </c>
      <c r="E758" s="18" t="s">
        <v>573</v>
      </c>
      <c r="F758" s="18" t="s">
        <v>1218</v>
      </c>
      <c r="G758" s="19">
        <v>4228800</v>
      </c>
      <c r="H758" s="18" t="s">
        <v>1218</v>
      </c>
      <c r="I758" s="19">
        <v>3609716</v>
      </c>
      <c r="J758" s="18" t="s">
        <v>1015</v>
      </c>
      <c r="K758" s="19">
        <v>0</v>
      </c>
      <c r="L758" s="19">
        <v>0</v>
      </c>
      <c r="M758" s="19">
        <v>0</v>
      </c>
      <c r="N758" s="20">
        <v>0</v>
      </c>
      <c r="O758" s="19">
        <v>0</v>
      </c>
      <c r="P758" s="19">
        <v>0</v>
      </c>
      <c r="Q758" s="19">
        <v>0</v>
      </c>
      <c r="R758" s="19">
        <v>0</v>
      </c>
      <c r="S758" s="19">
        <v>0</v>
      </c>
      <c r="T758" s="19">
        <v>0</v>
      </c>
      <c r="U758" s="19">
        <v>0</v>
      </c>
      <c r="V758" s="19">
        <v>0</v>
      </c>
      <c r="W758" s="19">
        <v>0</v>
      </c>
      <c r="X758" s="19">
        <v>0</v>
      </c>
      <c r="Y758" s="20">
        <v>0</v>
      </c>
      <c r="Z758" s="19">
        <v>0</v>
      </c>
      <c r="AA758" s="19">
        <v>0</v>
      </c>
      <c r="AB758" t="str">
        <f>VLOOKUP(E:E,笔记匹配!A:N,3,FALSE)</f>
        <v>JJJJackson</v>
      </c>
      <c r="AC758" t="str">
        <f>VLOOKUP(E:E,笔记匹配!A:N,2,FALSE)</f>
        <v>筋膜枪</v>
      </c>
      <c r="AD758" t="str">
        <f>VLOOKUP(E:E,笔记匹配!A:N,4,FALSE)</f>
        <v>云麦筋膜枪PB2</v>
      </c>
      <c r="AE758" t="str">
        <f>VLOOKUP(E:E,笔记匹配!A:N,14,FALSE)</f>
        <v>云麦筋膜枪pb2</v>
      </c>
      <c r="AF758" t="str">
        <f>VLOOKUP(E:E,笔记匹配!A:N,6,FALSE)</f>
        <v>健身好物｜筋膜枪真的是放松神器！</v>
      </c>
    </row>
    <row r="759" spans="1:32">
      <c r="A759" s="18" t="s">
        <v>112</v>
      </c>
      <c r="B759" s="18" t="s">
        <v>1222</v>
      </c>
      <c r="C759" s="19">
        <v>19450191</v>
      </c>
      <c r="D759" s="18" t="s">
        <v>196</v>
      </c>
      <c r="E759" s="18" t="s">
        <v>452</v>
      </c>
      <c r="F759" s="18" t="s">
        <v>1220</v>
      </c>
      <c r="G759" s="19">
        <v>4239566</v>
      </c>
      <c r="H759" s="18" t="s">
        <v>1221</v>
      </c>
      <c r="I759" s="19">
        <v>3620137</v>
      </c>
      <c r="J759" s="18" t="s">
        <v>1015</v>
      </c>
      <c r="K759" s="19">
        <v>0</v>
      </c>
      <c r="L759" s="19">
        <v>19</v>
      </c>
      <c r="M759" s="19">
        <v>0</v>
      </c>
      <c r="N759" s="20">
        <v>0</v>
      </c>
      <c r="O759" s="19">
        <v>0</v>
      </c>
      <c r="P759" s="19">
        <v>0</v>
      </c>
      <c r="Q759" s="19">
        <v>0</v>
      </c>
      <c r="R759" s="19">
        <v>0</v>
      </c>
      <c r="S759" s="19">
        <v>0</v>
      </c>
      <c r="T759" s="19">
        <v>0</v>
      </c>
      <c r="U759" s="19">
        <v>0</v>
      </c>
      <c r="V759" s="19">
        <v>0</v>
      </c>
      <c r="W759" s="19">
        <v>0</v>
      </c>
      <c r="X759" s="19">
        <v>0</v>
      </c>
      <c r="Y759" s="20">
        <v>0</v>
      </c>
      <c r="Z759" s="19">
        <v>0</v>
      </c>
      <c r="AA759" s="19">
        <v>0</v>
      </c>
      <c r="AB759" t="str">
        <f>VLOOKUP(E:E,笔记匹配!A:N,3,FALSE)</f>
        <v>Bruce小厮</v>
      </c>
      <c r="AC759" t="str">
        <f>VLOOKUP(E:E,笔记匹配!A:N,2,FALSE)</f>
        <v>筋膜枪</v>
      </c>
      <c r="AD759" t="str">
        <f>VLOOKUP(E:E,笔记匹配!A:N,4,FALSE)</f>
        <v>云麦筋膜枪PB2</v>
      </c>
      <c r="AE759" t="str">
        <f>VLOOKUP(E:E,笔记匹配!A:N,14,FALSE)</f>
        <v>云麦筋膜枪pb2</v>
      </c>
      <c r="AF759" t="str">
        <f>VLOOKUP(E:E,笔记匹配!A:N,6,FALSE)</f>
        <v>女生练球后如何拉伸按摩，筋膜枪放松！！</v>
      </c>
    </row>
    <row r="760" spans="1:32">
      <c r="A760" s="18" t="s">
        <v>113</v>
      </c>
      <c r="B760" s="18" t="s">
        <v>1161</v>
      </c>
      <c r="C760" s="19">
        <v>18085273</v>
      </c>
      <c r="D760" s="18" t="s">
        <v>209</v>
      </c>
      <c r="E760" s="18" t="s">
        <v>296</v>
      </c>
      <c r="F760" s="18" t="s">
        <v>1162</v>
      </c>
      <c r="G760" s="19">
        <v>3600311</v>
      </c>
      <c r="H760" s="18" t="s">
        <v>1163</v>
      </c>
      <c r="I760" s="19">
        <v>2985865</v>
      </c>
      <c r="J760" s="18" t="s">
        <v>1015</v>
      </c>
      <c r="K760" s="19">
        <v>0</v>
      </c>
      <c r="L760" s="19">
        <v>0</v>
      </c>
      <c r="M760" s="19">
        <v>0</v>
      </c>
      <c r="N760" s="20">
        <v>0</v>
      </c>
      <c r="O760" s="19">
        <v>0</v>
      </c>
      <c r="P760" s="19">
        <v>0</v>
      </c>
      <c r="Q760" s="19">
        <v>0</v>
      </c>
      <c r="R760" s="19">
        <v>0</v>
      </c>
      <c r="S760" s="19">
        <v>0</v>
      </c>
      <c r="T760" s="19">
        <v>0</v>
      </c>
      <c r="U760" s="19">
        <v>0</v>
      </c>
      <c r="V760" s="19">
        <v>0</v>
      </c>
      <c r="W760" s="19">
        <v>0</v>
      </c>
      <c r="X760" s="19">
        <v>0</v>
      </c>
      <c r="Y760" s="20">
        <v>0</v>
      </c>
      <c r="Z760" s="19">
        <v>0</v>
      </c>
      <c r="AA760" s="19">
        <v>0</v>
      </c>
      <c r="AB760" t="str">
        <f>VLOOKUP(E:E,笔记匹配!A:N,3,FALSE)</f>
        <v>元气芥末酱</v>
      </c>
      <c r="AC760" t="str">
        <f>VLOOKUP(E:E,笔记匹配!A:N,2,FALSE)</f>
        <v>筋膜枪</v>
      </c>
      <c r="AD760" t="str">
        <f>VLOOKUP(E:E,笔记匹配!A:N,4,FALSE)</f>
        <v>云麦筋膜枪PB2</v>
      </c>
      <c r="AE760" t="str">
        <f>VLOOKUP(E:E,笔记匹配!A:N,14,FALSE)</f>
        <v>云麦筋膜枪pb2</v>
      </c>
      <c r="AF760" t="str">
        <f>VLOOKUP(E:E,笔记匹配!A:N,6,FALSE)</f>
        <v>小腿粗的姐妹信我！肌肉腿就要这样按！</v>
      </c>
    </row>
    <row r="761" spans="1:32">
      <c r="A761" s="18" t="s">
        <v>113</v>
      </c>
      <c r="B761" s="18" t="s">
        <v>1164</v>
      </c>
      <c r="C761" s="19">
        <v>18170615</v>
      </c>
      <c r="D761" s="18" t="s">
        <v>209</v>
      </c>
      <c r="E761" s="18" t="s">
        <v>205</v>
      </c>
      <c r="F761" s="18" t="s">
        <v>1165</v>
      </c>
      <c r="G761" s="19">
        <v>3639848</v>
      </c>
      <c r="H761" s="18" t="s">
        <v>1166</v>
      </c>
      <c r="I761" s="19">
        <v>3024741</v>
      </c>
      <c r="J761" s="18" t="s">
        <v>1015</v>
      </c>
      <c r="K761" s="19">
        <v>0</v>
      </c>
      <c r="L761" s="19">
        <v>0</v>
      </c>
      <c r="M761" s="19">
        <v>0</v>
      </c>
      <c r="N761" s="20">
        <v>0</v>
      </c>
      <c r="O761" s="19">
        <v>0</v>
      </c>
      <c r="P761" s="19">
        <v>0</v>
      </c>
      <c r="Q761" s="19">
        <v>0</v>
      </c>
      <c r="R761" s="19">
        <v>0</v>
      </c>
      <c r="S761" s="19">
        <v>0</v>
      </c>
      <c r="T761" s="19">
        <v>0</v>
      </c>
      <c r="U761" s="19">
        <v>0</v>
      </c>
      <c r="V761" s="19">
        <v>0</v>
      </c>
      <c r="W761" s="19">
        <v>0</v>
      </c>
      <c r="X761" s="19">
        <v>0</v>
      </c>
      <c r="Y761" s="20">
        <v>0</v>
      </c>
      <c r="Z761" s="19">
        <v>0</v>
      </c>
      <c r="AA761" s="19">
        <v>0</v>
      </c>
      <c r="AB761" t="str">
        <f>VLOOKUP(E:E,笔记匹配!A:N,3,FALSE)</f>
        <v>马可乐cora</v>
      </c>
      <c r="AC761" t="str">
        <f>VLOOKUP(E:E,笔记匹配!A:N,2,FALSE)</f>
        <v>筋膜枪</v>
      </c>
      <c r="AD761" t="str">
        <f>VLOOKUP(E:E,笔记匹配!A:N,4,FALSE)</f>
        <v>云麦筋膜枪PB2</v>
      </c>
      <c r="AE761" t="str">
        <f>VLOOKUP(E:E,笔记匹配!A:N,14,FALSE)</f>
        <v>云麦筋膜枪pb2</v>
      </c>
      <c r="AF761" t="str">
        <f>VLOOKUP(E:E,笔记匹配!A:N,6,FALSE)</f>
        <v>跳操的姐妹听我的用筋膜枪放松下肢真的有用</v>
      </c>
    </row>
    <row r="762" spans="1:32">
      <c r="A762" s="18" t="s">
        <v>113</v>
      </c>
      <c r="B762" s="18" t="s">
        <v>1181</v>
      </c>
      <c r="C762" s="19">
        <v>18606896</v>
      </c>
      <c r="D762" s="18" t="s">
        <v>209</v>
      </c>
      <c r="E762" s="18" t="s">
        <v>545</v>
      </c>
      <c r="F762" s="18" t="s">
        <v>1182</v>
      </c>
      <c r="G762" s="19">
        <v>3851140</v>
      </c>
      <c r="H762" s="18" t="s">
        <v>1182</v>
      </c>
      <c r="I762" s="19">
        <v>3236249</v>
      </c>
      <c r="J762" s="18" t="s">
        <v>1015</v>
      </c>
      <c r="K762" s="19">
        <v>0</v>
      </c>
      <c r="L762" s="19">
        <v>0</v>
      </c>
      <c r="M762" s="19">
        <v>0</v>
      </c>
      <c r="N762" s="20">
        <v>0</v>
      </c>
      <c r="O762" s="19">
        <v>0</v>
      </c>
      <c r="P762" s="19">
        <v>0</v>
      </c>
      <c r="Q762" s="19">
        <v>0</v>
      </c>
      <c r="R762" s="19">
        <v>0</v>
      </c>
      <c r="S762" s="19">
        <v>0</v>
      </c>
      <c r="T762" s="19">
        <v>0</v>
      </c>
      <c r="U762" s="19">
        <v>0</v>
      </c>
      <c r="V762" s="19">
        <v>0</v>
      </c>
      <c r="W762" s="19">
        <v>0</v>
      </c>
      <c r="X762" s="19">
        <v>0</v>
      </c>
      <c r="Y762" s="20">
        <v>0</v>
      </c>
      <c r="Z762" s="19">
        <v>0</v>
      </c>
      <c r="AA762" s="19">
        <v>0</v>
      </c>
      <c r="AB762" t="str">
        <f>VLOOKUP(E:E,笔记匹配!A:N,3,FALSE)</f>
        <v>雾霾少女i</v>
      </c>
      <c r="AC762" t="str">
        <f>VLOOKUP(E:E,笔记匹配!A:N,2,FALSE)</f>
        <v>筋膜枪</v>
      </c>
      <c r="AD762" t="str">
        <f>VLOOKUP(E:E,笔记匹配!A:N,4,FALSE)</f>
        <v>云麦筋膜枪pb2</v>
      </c>
      <c r="AE762" t="str">
        <f>VLOOKUP(E:E,笔记匹配!A:N,14,FALSE)</f>
        <v>云麦筋膜枪pb2</v>
      </c>
      <c r="AF762" t="str">
        <f>VLOOKUP(E:E,笔记匹配!A:N,6,FALSE)</f>
        <v>千万不要乱用！初学者必看筋膜枪正确用法</v>
      </c>
    </row>
    <row r="763" spans="1:32">
      <c r="A763" s="18" t="s">
        <v>113</v>
      </c>
      <c r="B763" s="18" t="s">
        <v>1189</v>
      </c>
      <c r="C763" s="19">
        <v>19010467</v>
      </c>
      <c r="D763" s="18" t="s">
        <v>209</v>
      </c>
      <c r="E763" s="18" t="s">
        <v>300</v>
      </c>
      <c r="F763" s="18" t="s">
        <v>1191</v>
      </c>
      <c r="G763" s="19">
        <v>4039162</v>
      </c>
      <c r="H763" s="18" t="s">
        <v>1191</v>
      </c>
      <c r="I763" s="19">
        <v>3422446</v>
      </c>
      <c r="J763" s="18" t="s">
        <v>1015</v>
      </c>
      <c r="K763" s="19">
        <v>16.75</v>
      </c>
      <c r="L763" s="19">
        <v>1247</v>
      </c>
      <c r="M763" s="19">
        <v>82</v>
      </c>
      <c r="N763" s="20">
        <v>0.0658</v>
      </c>
      <c r="O763" s="19">
        <v>0.2</v>
      </c>
      <c r="P763" s="19">
        <v>13.43</v>
      </c>
      <c r="Q763" s="19">
        <v>3</v>
      </c>
      <c r="R763" s="19">
        <v>0</v>
      </c>
      <c r="S763" s="19">
        <v>0</v>
      </c>
      <c r="T763" s="19">
        <v>0</v>
      </c>
      <c r="U763" s="19">
        <v>0</v>
      </c>
      <c r="V763" s="19">
        <v>3</v>
      </c>
      <c r="W763" s="19">
        <v>5.58</v>
      </c>
      <c r="X763" s="19">
        <v>0</v>
      </c>
      <c r="Y763" s="20">
        <v>0</v>
      </c>
      <c r="Z763" s="19">
        <v>0</v>
      </c>
      <c r="AA763" s="19">
        <v>0</v>
      </c>
      <c r="AB763" t="str">
        <f>VLOOKUP(E:E,笔记匹配!A:N,3,FALSE)</f>
        <v>朱俊畅</v>
      </c>
      <c r="AC763" t="str">
        <f>VLOOKUP(E:E,笔记匹配!A:N,2,FALSE)</f>
        <v>筋膜枪</v>
      </c>
      <c r="AD763" t="str">
        <f>VLOOKUP(E:E,笔记匹配!A:N,4,FALSE)</f>
        <v>云麦筋膜枪PB2</v>
      </c>
      <c r="AE763" t="str">
        <f>VLOOKUP(E:E,笔记匹配!A:N,14,FALSE)</f>
        <v>云麦筋膜枪pb2</v>
      </c>
      <c r="AF763" t="str">
        <f>VLOOKUP(E:E,笔记匹配!A:N,6,FALSE)</f>
        <v>打球完容易肌肉酸痛，筋膜枪放松更有效！</v>
      </c>
    </row>
    <row r="764" spans="1:32">
      <c r="A764" s="18" t="s">
        <v>113</v>
      </c>
      <c r="B764" s="18" t="s">
        <v>1196</v>
      </c>
      <c r="C764" s="19">
        <v>19054497</v>
      </c>
      <c r="D764" s="18" t="s">
        <v>209</v>
      </c>
      <c r="E764" s="18" t="s">
        <v>452</v>
      </c>
      <c r="F764" s="18" t="s">
        <v>1198</v>
      </c>
      <c r="G764" s="19">
        <v>4059827</v>
      </c>
      <c r="H764" s="18" t="s">
        <v>1198</v>
      </c>
      <c r="I764" s="19">
        <v>3442591</v>
      </c>
      <c r="J764" s="18" t="s">
        <v>1015</v>
      </c>
      <c r="K764" s="19">
        <v>503.03</v>
      </c>
      <c r="L764" s="19">
        <v>20115</v>
      </c>
      <c r="M764" s="19">
        <v>2180</v>
      </c>
      <c r="N764" s="20">
        <v>0.1084</v>
      </c>
      <c r="O764" s="19">
        <v>0.23</v>
      </c>
      <c r="P764" s="19">
        <v>25.01</v>
      </c>
      <c r="Q764" s="19">
        <v>64</v>
      </c>
      <c r="R764" s="19">
        <v>1</v>
      </c>
      <c r="S764" s="19">
        <v>28</v>
      </c>
      <c r="T764" s="19">
        <v>4</v>
      </c>
      <c r="U764" s="19">
        <v>3</v>
      </c>
      <c r="V764" s="19">
        <v>100</v>
      </c>
      <c r="W764" s="19">
        <v>5.03</v>
      </c>
      <c r="X764" s="19">
        <v>0</v>
      </c>
      <c r="Y764" s="20">
        <v>0</v>
      </c>
      <c r="Z764" s="19">
        <v>0</v>
      </c>
      <c r="AA764" s="19">
        <v>1</v>
      </c>
      <c r="AB764" t="str">
        <f>VLOOKUP(E:E,笔记匹配!A:N,3,FALSE)</f>
        <v>Bruce小厮</v>
      </c>
      <c r="AC764" t="str">
        <f>VLOOKUP(E:E,笔记匹配!A:N,2,FALSE)</f>
        <v>筋膜枪</v>
      </c>
      <c r="AD764" t="str">
        <f>VLOOKUP(E:E,笔记匹配!A:N,4,FALSE)</f>
        <v>云麦筋膜枪PB2</v>
      </c>
      <c r="AE764" t="str">
        <f>VLOOKUP(E:E,笔记匹配!A:N,14,FALSE)</f>
        <v>云麦筋膜枪pb2</v>
      </c>
      <c r="AF764" t="str">
        <f>VLOOKUP(E:E,笔记匹配!A:N,6,FALSE)</f>
        <v>女生练球后如何拉伸按摩，筋膜枪放松！！</v>
      </c>
    </row>
    <row r="765" spans="1:32">
      <c r="A765" s="18" t="s">
        <v>113</v>
      </c>
      <c r="B765" s="18" t="s">
        <v>1196</v>
      </c>
      <c r="C765" s="19">
        <v>19058466</v>
      </c>
      <c r="D765" s="18" t="s">
        <v>196</v>
      </c>
      <c r="E765" s="18" t="s">
        <v>296</v>
      </c>
      <c r="F765" s="18" t="s">
        <v>1199</v>
      </c>
      <c r="G765" s="19">
        <v>4061725</v>
      </c>
      <c r="H765" s="18" t="s">
        <v>1199</v>
      </c>
      <c r="I765" s="19">
        <v>3444458</v>
      </c>
      <c r="J765" s="18" t="s">
        <v>1015</v>
      </c>
      <c r="K765" s="19">
        <v>646.63</v>
      </c>
      <c r="L765" s="19">
        <v>49068</v>
      </c>
      <c r="M765" s="19">
        <v>2083</v>
      </c>
      <c r="N765" s="20">
        <v>0.0425</v>
      </c>
      <c r="O765" s="19">
        <v>0.31</v>
      </c>
      <c r="P765" s="19">
        <v>13.18</v>
      </c>
      <c r="Q765" s="19">
        <v>35</v>
      </c>
      <c r="R765" s="19">
        <v>1</v>
      </c>
      <c r="S765" s="19">
        <v>14</v>
      </c>
      <c r="T765" s="19">
        <v>0</v>
      </c>
      <c r="U765" s="19">
        <v>2</v>
      </c>
      <c r="V765" s="19">
        <v>52</v>
      </c>
      <c r="W765" s="19">
        <v>12.44</v>
      </c>
      <c r="X765" s="19">
        <v>28</v>
      </c>
      <c r="Y765" s="20">
        <v>0.0134</v>
      </c>
      <c r="Z765" s="19">
        <v>4</v>
      </c>
      <c r="AA765" s="19">
        <v>3</v>
      </c>
      <c r="AB765" t="str">
        <f>VLOOKUP(E:E,笔记匹配!A:N,3,FALSE)</f>
        <v>元气芥末酱</v>
      </c>
      <c r="AC765" t="str">
        <f>VLOOKUP(E:E,笔记匹配!A:N,2,FALSE)</f>
        <v>筋膜枪</v>
      </c>
      <c r="AD765" t="str">
        <f>VLOOKUP(E:E,笔记匹配!A:N,4,FALSE)</f>
        <v>云麦筋膜枪PB2</v>
      </c>
      <c r="AE765" t="str">
        <f>VLOOKUP(E:E,笔记匹配!A:N,14,FALSE)</f>
        <v>云麦筋膜枪pb2</v>
      </c>
      <c r="AF765" t="str">
        <f>VLOOKUP(E:E,笔记匹配!A:N,6,FALSE)</f>
        <v>小腿粗的姐妹信我！肌肉腿就要这样按！</v>
      </c>
    </row>
    <row r="766" spans="1:32">
      <c r="A766" s="18" t="s">
        <v>113</v>
      </c>
      <c r="B766" s="18" t="s">
        <v>1200</v>
      </c>
      <c r="C766" s="19">
        <v>19106863</v>
      </c>
      <c r="D766" s="18" t="s">
        <v>209</v>
      </c>
      <c r="E766" s="18" t="s">
        <v>201</v>
      </c>
      <c r="F766" s="18" t="s">
        <v>1202</v>
      </c>
      <c r="G766" s="19">
        <v>4084168</v>
      </c>
      <c r="H766" s="18" t="s">
        <v>1202</v>
      </c>
      <c r="I766" s="19">
        <v>3466674</v>
      </c>
      <c r="J766" s="18" t="s">
        <v>1015</v>
      </c>
      <c r="K766" s="19">
        <v>391.8</v>
      </c>
      <c r="L766" s="19">
        <v>44885</v>
      </c>
      <c r="M766" s="19">
        <v>1243</v>
      </c>
      <c r="N766" s="20">
        <v>0.0277</v>
      </c>
      <c r="O766" s="19">
        <v>0.32</v>
      </c>
      <c r="P766" s="19">
        <v>8.73</v>
      </c>
      <c r="Q766" s="19">
        <v>54</v>
      </c>
      <c r="R766" s="19">
        <v>1</v>
      </c>
      <c r="S766" s="19">
        <v>18</v>
      </c>
      <c r="T766" s="19">
        <v>0</v>
      </c>
      <c r="U766" s="19">
        <v>1</v>
      </c>
      <c r="V766" s="19">
        <v>74</v>
      </c>
      <c r="W766" s="19">
        <v>5.29</v>
      </c>
      <c r="X766" s="19">
        <v>8</v>
      </c>
      <c r="Y766" s="20">
        <v>0.0064</v>
      </c>
      <c r="Z766" s="19">
        <v>6</v>
      </c>
      <c r="AA766" s="19">
        <v>2</v>
      </c>
      <c r="AB766" t="str">
        <f>VLOOKUP(E:E,笔记匹配!A:N,3,FALSE)</f>
        <v>包子熟了</v>
      </c>
      <c r="AC766" t="str">
        <f>VLOOKUP(E:E,笔记匹配!A:N,2,FALSE)</f>
        <v>筋膜枪</v>
      </c>
      <c r="AD766" t="str">
        <f>VLOOKUP(E:E,笔记匹配!A:N,4,FALSE)</f>
        <v>云麦筋膜枪</v>
      </c>
      <c r="AE766" t="str">
        <f>VLOOKUP(E:E,笔记匹配!A:N,14,FALSE)</f>
        <v>云麦筋膜枪pb2</v>
      </c>
      <c r="AF766" t="str">
        <f>VLOOKUP(E:E,笔记匹配!A:N,6,FALSE)</f>
        <v>筋膜枪测评|健身小白如何挑选筋膜枪？</v>
      </c>
    </row>
    <row r="767" spans="1:32">
      <c r="A767" s="18" t="s">
        <v>113</v>
      </c>
      <c r="B767" s="18" t="s">
        <v>1207</v>
      </c>
      <c r="C767" s="19">
        <v>19261230</v>
      </c>
      <c r="D767" s="18" t="s">
        <v>209</v>
      </c>
      <c r="E767" s="18" t="s">
        <v>579</v>
      </c>
      <c r="F767" s="18" t="s">
        <v>1208</v>
      </c>
      <c r="G767" s="19">
        <v>4155782</v>
      </c>
      <c r="H767" s="18" t="s">
        <v>1208</v>
      </c>
      <c r="I767" s="19">
        <v>3538615</v>
      </c>
      <c r="J767" s="18" t="s">
        <v>1015</v>
      </c>
      <c r="K767" s="19">
        <v>502.72</v>
      </c>
      <c r="L767" s="19">
        <v>45683</v>
      </c>
      <c r="M767" s="19">
        <v>3540</v>
      </c>
      <c r="N767" s="20">
        <v>0.0775</v>
      </c>
      <c r="O767" s="19">
        <v>0.14</v>
      </c>
      <c r="P767" s="19">
        <v>11</v>
      </c>
      <c r="Q767" s="19">
        <v>62</v>
      </c>
      <c r="R767" s="19">
        <v>1</v>
      </c>
      <c r="S767" s="19">
        <v>16</v>
      </c>
      <c r="T767" s="19">
        <v>24</v>
      </c>
      <c r="U767" s="19">
        <v>1</v>
      </c>
      <c r="V767" s="19">
        <v>104</v>
      </c>
      <c r="W767" s="19">
        <v>4.83</v>
      </c>
      <c r="X767" s="19">
        <v>0</v>
      </c>
      <c r="Y767" s="20">
        <v>0</v>
      </c>
      <c r="Z767" s="19">
        <v>14</v>
      </c>
      <c r="AA767" s="19">
        <v>2</v>
      </c>
      <c r="AB767" t="str">
        <f>VLOOKUP(E:E,笔记匹配!A:N,3,FALSE)</f>
        <v>Lucas雨田</v>
      </c>
      <c r="AC767" t="str">
        <f>VLOOKUP(E:E,笔记匹配!A:N,2,FALSE)</f>
        <v>筋膜枪</v>
      </c>
      <c r="AD767" t="str">
        <f>VLOOKUP(E:E,笔记匹配!A:N,4,FALSE)</f>
        <v>云麦筋膜枪PB2</v>
      </c>
      <c r="AE767" t="str">
        <f>VLOOKUP(E:E,笔记匹配!A:N,14,FALSE)</f>
        <v>云麦筋膜枪pb2</v>
      </c>
      <c r="AF767" t="str">
        <f>VLOOKUP(E:E,笔记匹配!A:N,6,FALSE)</f>
        <v>2个游泳后的放松技巧⭐️自主拉伸、筋膜枪按摩</v>
      </c>
    </row>
    <row r="768" spans="1:32">
      <c r="A768" s="18" t="s">
        <v>113</v>
      </c>
      <c r="B768" s="18" t="s">
        <v>1212</v>
      </c>
      <c r="C768" s="19">
        <v>19316774</v>
      </c>
      <c r="D768" s="18" t="s">
        <v>196</v>
      </c>
      <c r="E768" s="18" t="s">
        <v>581</v>
      </c>
      <c r="F768" s="18" t="s">
        <v>1210</v>
      </c>
      <c r="G768" s="19">
        <v>4178883</v>
      </c>
      <c r="H768" s="18" t="s">
        <v>1211</v>
      </c>
      <c r="I768" s="19">
        <v>3561099</v>
      </c>
      <c r="J768" s="18" t="s">
        <v>1015</v>
      </c>
      <c r="K768" s="19">
        <v>262.11</v>
      </c>
      <c r="L768" s="19">
        <v>13096</v>
      </c>
      <c r="M768" s="19">
        <v>670</v>
      </c>
      <c r="N768" s="20">
        <v>0.0512</v>
      </c>
      <c r="O768" s="19">
        <v>0.39</v>
      </c>
      <c r="P768" s="19">
        <v>20.01</v>
      </c>
      <c r="Q768" s="19">
        <v>4</v>
      </c>
      <c r="R768" s="19">
        <v>0</v>
      </c>
      <c r="S768" s="19">
        <v>2</v>
      </c>
      <c r="T768" s="19">
        <v>0</v>
      </c>
      <c r="U768" s="19">
        <v>2</v>
      </c>
      <c r="V768" s="19">
        <v>8</v>
      </c>
      <c r="W768" s="19">
        <v>32.76</v>
      </c>
      <c r="X768" s="19">
        <v>2</v>
      </c>
      <c r="Y768" s="20">
        <v>0.003</v>
      </c>
      <c r="Z768" s="19">
        <v>0</v>
      </c>
      <c r="AA768" s="19">
        <v>3</v>
      </c>
      <c r="AB768" t="str">
        <f>VLOOKUP(E:E,笔记匹配!A:N,3,FALSE)</f>
        <v>木子棋Kiki</v>
      </c>
      <c r="AC768" t="str">
        <f>VLOOKUP(E:E,笔记匹配!A:N,2,FALSE)</f>
        <v>筋膜枪</v>
      </c>
      <c r="AD768" t="str">
        <f>VLOOKUP(E:E,笔记匹配!A:N,4,FALSE)</f>
        <v>云麦筋膜枪PB2</v>
      </c>
      <c r="AE768" t="str">
        <f>VLOOKUP(E:E,笔记匹配!A:N,14,FALSE)</f>
        <v>云麦筋膜枪pb2</v>
      </c>
      <c r="AF768" t="str">
        <f>VLOOKUP(E:E,笔记匹配!A:N,6,FALSE)</f>
        <v>筋膜枪要怎么选❓3款不同类型筋膜枪测评‼️</v>
      </c>
    </row>
    <row r="769" spans="1:32">
      <c r="A769" s="18" t="s">
        <v>113</v>
      </c>
      <c r="B769" s="18" t="s">
        <v>1216</v>
      </c>
      <c r="C769" s="19">
        <v>19428860</v>
      </c>
      <c r="D769" s="18" t="s">
        <v>209</v>
      </c>
      <c r="E769" s="18" t="s">
        <v>573</v>
      </c>
      <c r="F769" s="18" t="s">
        <v>1218</v>
      </c>
      <c r="G769" s="19">
        <v>4228800</v>
      </c>
      <c r="H769" s="18" t="s">
        <v>1218</v>
      </c>
      <c r="I769" s="19">
        <v>3609716</v>
      </c>
      <c r="J769" s="18" t="s">
        <v>1015</v>
      </c>
      <c r="K769" s="19">
        <v>0</v>
      </c>
      <c r="L769" s="19">
        <v>0</v>
      </c>
      <c r="M769" s="19">
        <v>0</v>
      </c>
      <c r="N769" s="20">
        <v>0</v>
      </c>
      <c r="O769" s="19">
        <v>0</v>
      </c>
      <c r="P769" s="19">
        <v>0</v>
      </c>
      <c r="Q769" s="19">
        <v>0</v>
      </c>
      <c r="R769" s="19">
        <v>0</v>
      </c>
      <c r="S769" s="19">
        <v>0</v>
      </c>
      <c r="T769" s="19">
        <v>0</v>
      </c>
      <c r="U769" s="19">
        <v>0</v>
      </c>
      <c r="V769" s="19">
        <v>0</v>
      </c>
      <c r="W769" s="19">
        <v>0</v>
      </c>
      <c r="X769" s="19">
        <v>0</v>
      </c>
      <c r="Y769" s="20">
        <v>0</v>
      </c>
      <c r="Z769" s="19">
        <v>0</v>
      </c>
      <c r="AA769" s="19">
        <v>0</v>
      </c>
      <c r="AB769" t="str">
        <f>VLOOKUP(E:E,笔记匹配!A:N,3,FALSE)</f>
        <v>JJJJackson</v>
      </c>
      <c r="AC769" t="str">
        <f>VLOOKUP(E:E,笔记匹配!A:N,2,FALSE)</f>
        <v>筋膜枪</v>
      </c>
      <c r="AD769" t="str">
        <f>VLOOKUP(E:E,笔记匹配!A:N,4,FALSE)</f>
        <v>云麦筋膜枪PB2</v>
      </c>
      <c r="AE769" t="str">
        <f>VLOOKUP(E:E,笔记匹配!A:N,14,FALSE)</f>
        <v>云麦筋膜枪pb2</v>
      </c>
      <c r="AF769" t="str">
        <f>VLOOKUP(E:E,笔记匹配!A:N,6,FALSE)</f>
        <v>健身好物｜筋膜枪真的是放松神器！</v>
      </c>
    </row>
    <row r="770" spans="1:32">
      <c r="A770" s="18" t="s">
        <v>113</v>
      </c>
      <c r="B770" s="18" t="s">
        <v>1223</v>
      </c>
      <c r="C770" s="19">
        <v>19607601</v>
      </c>
      <c r="D770" s="18" t="s">
        <v>209</v>
      </c>
      <c r="E770" s="18" t="s">
        <v>570</v>
      </c>
      <c r="F770" s="18" t="s">
        <v>834</v>
      </c>
      <c r="G770" s="19">
        <v>4314778</v>
      </c>
      <c r="H770" s="18" t="s">
        <v>1224</v>
      </c>
      <c r="I770" s="19">
        <v>3692242</v>
      </c>
      <c r="J770" s="18" t="s">
        <v>1015</v>
      </c>
      <c r="K770" s="19">
        <v>511.87</v>
      </c>
      <c r="L770" s="19">
        <v>80530</v>
      </c>
      <c r="M770" s="19">
        <v>3159</v>
      </c>
      <c r="N770" s="20">
        <v>0.0392</v>
      </c>
      <c r="O770" s="19">
        <v>0.16</v>
      </c>
      <c r="P770" s="19">
        <v>6.36</v>
      </c>
      <c r="Q770" s="19">
        <v>119</v>
      </c>
      <c r="R770" s="19">
        <v>6</v>
      </c>
      <c r="S770" s="19">
        <v>19</v>
      </c>
      <c r="T770" s="19">
        <v>11</v>
      </c>
      <c r="U770" s="19">
        <v>8</v>
      </c>
      <c r="V770" s="19">
        <v>163</v>
      </c>
      <c r="W770" s="19">
        <v>3.14</v>
      </c>
      <c r="X770" s="19">
        <v>0</v>
      </c>
      <c r="Y770" s="20">
        <v>0</v>
      </c>
      <c r="Z770" s="19">
        <v>10</v>
      </c>
      <c r="AA770" s="19">
        <v>2</v>
      </c>
      <c r="AB770" t="str">
        <f>VLOOKUP(E:E,笔记匹配!A:N,3,FALSE)</f>
        <v>国产收音机X</v>
      </c>
      <c r="AC770" t="str">
        <f>VLOOKUP(E:E,笔记匹配!A:N,2,FALSE)</f>
        <v>筋膜枪</v>
      </c>
      <c r="AD770" t="str">
        <f>VLOOKUP(E:E,笔记匹配!A:N,4,FALSE)</f>
        <v>云麦筋膜枪PB2</v>
      </c>
      <c r="AE770" t="str">
        <f>VLOOKUP(E:E,笔记匹配!A:N,14,FALSE)</f>
        <v>云麦筋膜枪pb2</v>
      </c>
      <c r="AF770" t="str">
        <f>VLOOKUP(E:E,笔记匹配!A:N,6,FALSE)</f>
        <v>别再怕爬山 / 徒步后放松教程</v>
      </c>
    </row>
    <row r="771" spans="1:32">
      <c r="A771" s="18" t="s">
        <v>113</v>
      </c>
      <c r="B771" s="18" t="s">
        <v>1223</v>
      </c>
      <c r="C771" s="19">
        <v>19607721</v>
      </c>
      <c r="D771" s="18" t="s">
        <v>209</v>
      </c>
      <c r="E771" s="18" t="s">
        <v>575</v>
      </c>
      <c r="F771" s="18" t="s">
        <v>837</v>
      </c>
      <c r="G771" s="19">
        <v>4314821</v>
      </c>
      <c r="H771" s="18" t="s">
        <v>1225</v>
      </c>
      <c r="I771" s="19">
        <v>3692290</v>
      </c>
      <c r="J771" s="18" t="s">
        <v>1015</v>
      </c>
      <c r="K771" s="19">
        <v>510.59</v>
      </c>
      <c r="L771" s="19">
        <v>77627</v>
      </c>
      <c r="M771" s="19">
        <v>3323</v>
      </c>
      <c r="N771" s="20">
        <v>0.0428</v>
      </c>
      <c r="O771" s="19">
        <v>0.15</v>
      </c>
      <c r="P771" s="19">
        <v>6.58</v>
      </c>
      <c r="Q771" s="19">
        <v>34</v>
      </c>
      <c r="R771" s="19">
        <v>0</v>
      </c>
      <c r="S771" s="19">
        <v>5</v>
      </c>
      <c r="T771" s="19">
        <v>9</v>
      </c>
      <c r="U771" s="19">
        <v>0</v>
      </c>
      <c r="V771" s="19">
        <v>48</v>
      </c>
      <c r="W771" s="19">
        <v>10.64</v>
      </c>
      <c r="X771" s="19">
        <v>0</v>
      </c>
      <c r="Y771" s="20">
        <v>0</v>
      </c>
      <c r="Z771" s="19">
        <v>0</v>
      </c>
      <c r="AA771" s="19">
        <v>0</v>
      </c>
      <c r="AB771" t="str">
        <f>VLOOKUP(E:E,笔记匹配!A:N,3,FALSE)</f>
        <v>跑酷莫承烽</v>
      </c>
      <c r="AC771" t="str">
        <f>VLOOKUP(E:E,笔记匹配!A:N,2,FALSE)</f>
        <v>筋膜枪</v>
      </c>
      <c r="AD771" t="str">
        <f>VLOOKUP(E:E,笔记匹配!A:N,4,FALSE)</f>
        <v>云麦筋膜枪pb2</v>
      </c>
      <c r="AE771" t="str">
        <f>VLOOKUP(E:E,笔记匹配!A:N,14,FALSE)</f>
        <v>云麦筋膜枪pb2</v>
      </c>
      <c r="AF771" t="str">
        <f>VLOOKUP(E:E,笔记匹配!A:N,6,FALSE)</f>
        <v>职业跑酷运动员|自用筋膜枪推荐</v>
      </c>
    </row>
    <row r="772" spans="1:32">
      <c r="A772" s="18" t="s">
        <v>114</v>
      </c>
      <c r="B772" s="18" t="s">
        <v>1164</v>
      </c>
      <c r="C772" s="19">
        <v>18170615</v>
      </c>
      <c r="D772" s="18" t="s">
        <v>209</v>
      </c>
      <c r="E772" s="18" t="s">
        <v>205</v>
      </c>
      <c r="F772" s="18" t="s">
        <v>1165</v>
      </c>
      <c r="G772" s="19">
        <v>3639848</v>
      </c>
      <c r="H772" s="18" t="s">
        <v>1166</v>
      </c>
      <c r="I772" s="19">
        <v>3024741</v>
      </c>
      <c r="J772" s="18" t="s">
        <v>1015</v>
      </c>
      <c r="K772" s="19">
        <v>0</v>
      </c>
      <c r="L772" s="19">
        <v>0</v>
      </c>
      <c r="M772" s="19">
        <v>0</v>
      </c>
      <c r="N772" s="20">
        <v>0</v>
      </c>
      <c r="O772" s="19">
        <v>0</v>
      </c>
      <c r="P772" s="19">
        <v>0</v>
      </c>
      <c r="Q772" s="19">
        <v>0</v>
      </c>
      <c r="R772" s="19">
        <v>0</v>
      </c>
      <c r="S772" s="19">
        <v>0</v>
      </c>
      <c r="T772" s="19">
        <v>0</v>
      </c>
      <c r="U772" s="19">
        <v>0</v>
      </c>
      <c r="V772" s="19">
        <v>0</v>
      </c>
      <c r="W772" s="19">
        <v>0</v>
      </c>
      <c r="X772" s="19">
        <v>0</v>
      </c>
      <c r="Y772" s="20">
        <v>0</v>
      </c>
      <c r="Z772" s="19">
        <v>0</v>
      </c>
      <c r="AA772" s="19">
        <v>0</v>
      </c>
      <c r="AB772" t="str">
        <f>VLOOKUP(E:E,笔记匹配!A:N,3,FALSE)</f>
        <v>马可乐cora</v>
      </c>
      <c r="AC772" t="str">
        <f>VLOOKUP(E:E,笔记匹配!A:N,2,FALSE)</f>
        <v>筋膜枪</v>
      </c>
      <c r="AD772" t="str">
        <f>VLOOKUP(E:E,笔记匹配!A:N,4,FALSE)</f>
        <v>云麦筋膜枪PB2</v>
      </c>
      <c r="AE772" t="str">
        <f>VLOOKUP(E:E,笔记匹配!A:N,14,FALSE)</f>
        <v>云麦筋膜枪pb2</v>
      </c>
      <c r="AF772" t="str">
        <f>VLOOKUP(E:E,笔记匹配!A:N,6,FALSE)</f>
        <v>跳操的姐妹听我的用筋膜枪放松下肢真的有用</v>
      </c>
    </row>
    <row r="773" spans="1:32">
      <c r="A773" s="18" t="s">
        <v>114</v>
      </c>
      <c r="B773" s="18" t="s">
        <v>1181</v>
      </c>
      <c r="C773" s="19">
        <v>18606961</v>
      </c>
      <c r="D773" s="18" t="s">
        <v>209</v>
      </c>
      <c r="E773" s="18" t="s">
        <v>289</v>
      </c>
      <c r="F773" s="18" t="s">
        <v>1183</v>
      </c>
      <c r="G773" s="19">
        <v>3851160</v>
      </c>
      <c r="H773" s="18" t="s">
        <v>1183</v>
      </c>
      <c r="I773" s="19">
        <v>3236289</v>
      </c>
      <c r="J773" s="18" t="s">
        <v>1015</v>
      </c>
      <c r="K773" s="19">
        <v>0</v>
      </c>
      <c r="L773" s="19">
        <v>0</v>
      </c>
      <c r="M773" s="19">
        <v>0</v>
      </c>
      <c r="N773" s="20">
        <v>0</v>
      </c>
      <c r="O773" s="19">
        <v>0</v>
      </c>
      <c r="P773" s="19">
        <v>0</v>
      </c>
      <c r="Q773" s="19">
        <v>0</v>
      </c>
      <c r="R773" s="19">
        <v>0</v>
      </c>
      <c r="S773" s="19">
        <v>0</v>
      </c>
      <c r="T773" s="19">
        <v>0</v>
      </c>
      <c r="U773" s="19">
        <v>0</v>
      </c>
      <c r="V773" s="19">
        <v>0</v>
      </c>
      <c r="W773" s="19">
        <v>0</v>
      </c>
      <c r="X773" s="19">
        <v>0</v>
      </c>
      <c r="Y773" s="20">
        <v>0</v>
      </c>
      <c r="Z773" s="19">
        <v>0</v>
      </c>
      <c r="AA773" s="19">
        <v>0</v>
      </c>
      <c r="AB773" t="str">
        <f>VLOOKUP(E:E,笔记匹配!A:N,3,FALSE)</f>
        <v>小蓝今天吃了没</v>
      </c>
      <c r="AC773" t="str">
        <f>VLOOKUP(E:E,笔记匹配!A:N,2,FALSE)</f>
        <v>筋膜枪</v>
      </c>
      <c r="AD773" t="str">
        <f>VLOOKUP(E:E,笔记匹配!A:N,4,FALSE)</f>
        <v>云麦 筋膜枪PB2</v>
      </c>
      <c r="AE773" t="str">
        <f>VLOOKUP(E:E,笔记匹配!A:N,14,FALSE)</f>
        <v>云麦筋膜枪pb2</v>
      </c>
      <c r="AF773" t="str">
        <f>VLOOKUP(E:E,笔记匹配!A:N,6,FALSE)</f>
        <v>筋膜枪正确用法！刘耕宏女孩永不认输</v>
      </c>
    </row>
    <row r="774" spans="1:32">
      <c r="A774" s="18" t="s">
        <v>114</v>
      </c>
      <c r="B774" s="18" t="s">
        <v>1189</v>
      </c>
      <c r="C774" s="19">
        <v>19010467</v>
      </c>
      <c r="D774" s="18" t="s">
        <v>209</v>
      </c>
      <c r="E774" s="18" t="s">
        <v>300</v>
      </c>
      <c r="F774" s="18" t="s">
        <v>1191</v>
      </c>
      <c r="G774" s="19">
        <v>4039162</v>
      </c>
      <c r="H774" s="18" t="s">
        <v>1191</v>
      </c>
      <c r="I774" s="19">
        <v>3422446</v>
      </c>
      <c r="J774" s="18" t="s">
        <v>1015</v>
      </c>
      <c r="K774" s="19">
        <v>0</v>
      </c>
      <c r="L774" s="19">
        <v>0</v>
      </c>
      <c r="M774" s="19">
        <v>0</v>
      </c>
      <c r="N774" s="20">
        <v>0</v>
      </c>
      <c r="O774" s="19">
        <v>0</v>
      </c>
      <c r="P774" s="19">
        <v>0</v>
      </c>
      <c r="Q774" s="19">
        <v>0</v>
      </c>
      <c r="R774" s="19">
        <v>0</v>
      </c>
      <c r="S774" s="19">
        <v>0</v>
      </c>
      <c r="T774" s="19">
        <v>0</v>
      </c>
      <c r="U774" s="19">
        <v>0</v>
      </c>
      <c r="V774" s="19">
        <v>0</v>
      </c>
      <c r="W774" s="19">
        <v>0</v>
      </c>
      <c r="X774" s="19">
        <v>0</v>
      </c>
      <c r="Y774" s="20">
        <v>0</v>
      </c>
      <c r="Z774" s="19">
        <v>0</v>
      </c>
      <c r="AA774" s="19">
        <v>0</v>
      </c>
      <c r="AB774" t="str">
        <f>VLOOKUP(E:E,笔记匹配!A:N,3,FALSE)</f>
        <v>朱俊畅</v>
      </c>
      <c r="AC774" t="str">
        <f>VLOOKUP(E:E,笔记匹配!A:N,2,FALSE)</f>
        <v>筋膜枪</v>
      </c>
      <c r="AD774" t="str">
        <f>VLOOKUP(E:E,笔记匹配!A:N,4,FALSE)</f>
        <v>云麦筋膜枪PB2</v>
      </c>
      <c r="AE774" t="str">
        <f>VLOOKUP(E:E,笔记匹配!A:N,14,FALSE)</f>
        <v>云麦筋膜枪pb2</v>
      </c>
      <c r="AF774" t="str">
        <f>VLOOKUP(E:E,笔记匹配!A:N,6,FALSE)</f>
        <v>打球完容易肌肉酸痛，筋膜枪放松更有效！</v>
      </c>
    </row>
    <row r="775" spans="1:32">
      <c r="A775" s="18" t="s">
        <v>114</v>
      </c>
      <c r="B775" s="18" t="s">
        <v>1196</v>
      </c>
      <c r="C775" s="19">
        <v>19054497</v>
      </c>
      <c r="D775" s="18" t="s">
        <v>209</v>
      </c>
      <c r="E775" s="18" t="s">
        <v>452</v>
      </c>
      <c r="F775" s="18" t="s">
        <v>1198</v>
      </c>
      <c r="G775" s="19">
        <v>4059827</v>
      </c>
      <c r="H775" s="18" t="s">
        <v>1198</v>
      </c>
      <c r="I775" s="19">
        <v>3442591</v>
      </c>
      <c r="J775" s="18" t="s">
        <v>1015</v>
      </c>
      <c r="K775" s="19">
        <v>507.42</v>
      </c>
      <c r="L775" s="19">
        <v>19970</v>
      </c>
      <c r="M775" s="19">
        <v>2120</v>
      </c>
      <c r="N775" s="20">
        <v>0.1062</v>
      </c>
      <c r="O775" s="19">
        <v>0.24</v>
      </c>
      <c r="P775" s="19">
        <v>25.41</v>
      </c>
      <c r="Q775" s="19">
        <v>80</v>
      </c>
      <c r="R775" s="19">
        <v>1</v>
      </c>
      <c r="S775" s="19">
        <v>22</v>
      </c>
      <c r="T775" s="19">
        <v>11</v>
      </c>
      <c r="U775" s="19">
        <v>1</v>
      </c>
      <c r="V775" s="19">
        <v>115</v>
      </c>
      <c r="W775" s="19">
        <v>4.41</v>
      </c>
      <c r="X775" s="19">
        <v>0</v>
      </c>
      <c r="Y775" s="20">
        <v>0</v>
      </c>
      <c r="Z775" s="19">
        <v>1</v>
      </c>
      <c r="AA775" s="19">
        <v>0</v>
      </c>
      <c r="AB775" t="str">
        <f>VLOOKUP(E:E,笔记匹配!A:N,3,FALSE)</f>
        <v>Bruce小厮</v>
      </c>
      <c r="AC775" t="str">
        <f>VLOOKUP(E:E,笔记匹配!A:N,2,FALSE)</f>
        <v>筋膜枪</v>
      </c>
      <c r="AD775" t="str">
        <f>VLOOKUP(E:E,笔记匹配!A:N,4,FALSE)</f>
        <v>云麦筋膜枪PB2</v>
      </c>
      <c r="AE775" t="str">
        <f>VLOOKUP(E:E,笔记匹配!A:N,14,FALSE)</f>
        <v>云麦筋膜枪pb2</v>
      </c>
      <c r="AF775" t="str">
        <f>VLOOKUP(E:E,笔记匹配!A:N,6,FALSE)</f>
        <v>女生练球后如何拉伸按摩，筋膜枪放松！！</v>
      </c>
    </row>
    <row r="776" spans="1:32">
      <c r="A776" s="18" t="s">
        <v>114</v>
      </c>
      <c r="B776" s="18" t="s">
        <v>1196</v>
      </c>
      <c r="C776" s="19">
        <v>19058466</v>
      </c>
      <c r="D776" s="18" t="s">
        <v>196</v>
      </c>
      <c r="E776" s="18" t="s">
        <v>296</v>
      </c>
      <c r="F776" s="18" t="s">
        <v>1199</v>
      </c>
      <c r="G776" s="19">
        <v>4061725</v>
      </c>
      <c r="H776" s="18" t="s">
        <v>1199</v>
      </c>
      <c r="I776" s="19">
        <v>3444458</v>
      </c>
      <c r="J776" s="18" t="s">
        <v>1015</v>
      </c>
      <c r="K776" s="19">
        <v>716.27</v>
      </c>
      <c r="L776" s="19">
        <v>46981</v>
      </c>
      <c r="M776" s="19">
        <v>2303</v>
      </c>
      <c r="N776" s="20">
        <v>0.049</v>
      </c>
      <c r="O776" s="19">
        <v>0.31</v>
      </c>
      <c r="P776" s="19">
        <v>15.25</v>
      </c>
      <c r="Q776" s="19">
        <v>31</v>
      </c>
      <c r="R776" s="19">
        <v>1</v>
      </c>
      <c r="S776" s="19">
        <v>13</v>
      </c>
      <c r="T776" s="19">
        <v>0</v>
      </c>
      <c r="U776" s="19">
        <v>0</v>
      </c>
      <c r="V776" s="19">
        <v>45</v>
      </c>
      <c r="W776" s="19">
        <v>15.92</v>
      </c>
      <c r="X776" s="19">
        <v>35</v>
      </c>
      <c r="Y776" s="20">
        <v>0.0152</v>
      </c>
      <c r="Z776" s="19">
        <v>7</v>
      </c>
      <c r="AA776" s="19">
        <v>1</v>
      </c>
      <c r="AB776" t="str">
        <f>VLOOKUP(E:E,笔记匹配!A:N,3,FALSE)</f>
        <v>元气芥末酱</v>
      </c>
      <c r="AC776" t="str">
        <f>VLOOKUP(E:E,笔记匹配!A:N,2,FALSE)</f>
        <v>筋膜枪</v>
      </c>
      <c r="AD776" t="str">
        <f>VLOOKUP(E:E,笔记匹配!A:N,4,FALSE)</f>
        <v>云麦筋膜枪PB2</v>
      </c>
      <c r="AE776" t="str">
        <f>VLOOKUP(E:E,笔记匹配!A:N,14,FALSE)</f>
        <v>云麦筋膜枪pb2</v>
      </c>
      <c r="AF776" t="str">
        <f>VLOOKUP(E:E,笔记匹配!A:N,6,FALSE)</f>
        <v>小腿粗的姐妹信我！肌肉腿就要这样按！</v>
      </c>
    </row>
    <row r="777" spans="1:32">
      <c r="A777" s="18" t="s">
        <v>114</v>
      </c>
      <c r="B777" s="18" t="s">
        <v>1200</v>
      </c>
      <c r="C777" s="19">
        <v>19106863</v>
      </c>
      <c r="D777" s="18" t="s">
        <v>209</v>
      </c>
      <c r="E777" s="18" t="s">
        <v>201</v>
      </c>
      <c r="F777" s="18" t="s">
        <v>1202</v>
      </c>
      <c r="G777" s="19">
        <v>4084168</v>
      </c>
      <c r="H777" s="18" t="s">
        <v>1202</v>
      </c>
      <c r="I777" s="19">
        <v>3466674</v>
      </c>
      <c r="J777" s="18" t="s">
        <v>1015</v>
      </c>
      <c r="K777" s="19">
        <v>673.38</v>
      </c>
      <c r="L777" s="19">
        <v>51725</v>
      </c>
      <c r="M777" s="19">
        <v>1401</v>
      </c>
      <c r="N777" s="20">
        <v>0.0271</v>
      </c>
      <c r="O777" s="19">
        <v>0.48</v>
      </c>
      <c r="P777" s="19">
        <v>13.02</v>
      </c>
      <c r="Q777" s="19">
        <v>81</v>
      </c>
      <c r="R777" s="19">
        <v>1</v>
      </c>
      <c r="S777" s="19">
        <v>31</v>
      </c>
      <c r="T777" s="19">
        <v>1</v>
      </c>
      <c r="U777" s="19">
        <v>0</v>
      </c>
      <c r="V777" s="19">
        <v>114</v>
      </c>
      <c r="W777" s="19">
        <v>5.91</v>
      </c>
      <c r="X777" s="19">
        <v>11</v>
      </c>
      <c r="Y777" s="20">
        <v>0.0079</v>
      </c>
      <c r="Z777" s="19">
        <v>10</v>
      </c>
      <c r="AA777" s="19">
        <v>5</v>
      </c>
      <c r="AB777" t="str">
        <f>VLOOKUP(E:E,笔记匹配!A:N,3,FALSE)</f>
        <v>包子熟了</v>
      </c>
      <c r="AC777" t="str">
        <f>VLOOKUP(E:E,笔记匹配!A:N,2,FALSE)</f>
        <v>筋膜枪</v>
      </c>
      <c r="AD777" t="str">
        <f>VLOOKUP(E:E,笔记匹配!A:N,4,FALSE)</f>
        <v>云麦筋膜枪</v>
      </c>
      <c r="AE777" t="str">
        <f>VLOOKUP(E:E,笔记匹配!A:N,14,FALSE)</f>
        <v>云麦筋膜枪pb2</v>
      </c>
      <c r="AF777" t="str">
        <f>VLOOKUP(E:E,笔记匹配!A:N,6,FALSE)</f>
        <v>筋膜枪测评|健身小白如何挑选筋膜枪？</v>
      </c>
    </row>
    <row r="778" spans="1:32">
      <c r="A778" s="18" t="s">
        <v>114</v>
      </c>
      <c r="B778" s="18" t="s">
        <v>1207</v>
      </c>
      <c r="C778" s="19">
        <v>19261230</v>
      </c>
      <c r="D778" s="18" t="s">
        <v>209</v>
      </c>
      <c r="E778" s="18" t="s">
        <v>579</v>
      </c>
      <c r="F778" s="18" t="s">
        <v>1208</v>
      </c>
      <c r="G778" s="19">
        <v>4155782</v>
      </c>
      <c r="H778" s="18" t="s">
        <v>1208</v>
      </c>
      <c r="I778" s="19">
        <v>3538615</v>
      </c>
      <c r="J778" s="18" t="s">
        <v>1015</v>
      </c>
      <c r="K778" s="19">
        <v>497.23</v>
      </c>
      <c r="L778" s="19">
        <v>38903</v>
      </c>
      <c r="M778" s="19">
        <v>3006</v>
      </c>
      <c r="N778" s="20">
        <v>0.0773</v>
      </c>
      <c r="O778" s="19">
        <v>0.17</v>
      </c>
      <c r="P778" s="19">
        <v>12.78</v>
      </c>
      <c r="Q778" s="19">
        <v>66</v>
      </c>
      <c r="R778" s="19">
        <v>0</v>
      </c>
      <c r="S778" s="19">
        <v>27</v>
      </c>
      <c r="T778" s="19">
        <v>27</v>
      </c>
      <c r="U778" s="19">
        <v>1</v>
      </c>
      <c r="V778" s="19">
        <v>121</v>
      </c>
      <c r="W778" s="19">
        <v>4.11</v>
      </c>
      <c r="X778" s="19">
        <v>0</v>
      </c>
      <c r="Y778" s="20">
        <v>0</v>
      </c>
      <c r="Z778" s="19">
        <v>2</v>
      </c>
      <c r="AA778" s="19">
        <v>3</v>
      </c>
      <c r="AB778" t="str">
        <f>VLOOKUP(E:E,笔记匹配!A:N,3,FALSE)</f>
        <v>Lucas雨田</v>
      </c>
      <c r="AC778" t="str">
        <f>VLOOKUP(E:E,笔记匹配!A:N,2,FALSE)</f>
        <v>筋膜枪</v>
      </c>
      <c r="AD778" t="str">
        <f>VLOOKUP(E:E,笔记匹配!A:N,4,FALSE)</f>
        <v>云麦筋膜枪PB2</v>
      </c>
      <c r="AE778" t="str">
        <f>VLOOKUP(E:E,笔记匹配!A:N,14,FALSE)</f>
        <v>云麦筋膜枪pb2</v>
      </c>
      <c r="AF778" t="str">
        <f>VLOOKUP(E:E,笔记匹配!A:N,6,FALSE)</f>
        <v>2个游泳后的放松技巧⭐️自主拉伸、筋膜枪按摩</v>
      </c>
    </row>
    <row r="779" spans="1:32">
      <c r="A779" s="18" t="s">
        <v>114</v>
      </c>
      <c r="B779" s="18" t="s">
        <v>1212</v>
      </c>
      <c r="C779" s="19">
        <v>19316774</v>
      </c>
      <c r="D779" s="18" t="s">
        <v>196</v>
      </c>
      <c r="E779" s="18" t="s">
        <v>581</v>
      </c>
      <c r="F779" s="18" t="s">
        <v>1210</v>
      </c>
      <c r="G779" s="19">
        <v>4178883</v>
      </c>
      <c r="H779" s="18" t="s">
        <v>1211</v>
      </c>
      <c r="I779" s="19">
        <v>3561099</v>
      </c>
      <c r="J779" s="18" t="s">
        <v>1015</v>
      </c>
      <c r="K779" s="19">
        <v>2.01</v>
      </c>
      <c r="L779" s="19">
        <v>54</v>
      </c>
      <c r="M779" s="19">
        <v>6</v>
      </c>
      <c r="N779" s="20">
        <v>0.1111</v>
      </c>
      <c r="O779" s="19">
        <v>0.34</v>
      </c>
      <c r="P779" s="19">
        <v>37.22</v>
      </c>
      <c r="Q779" s="19">
        <v>0</v>
      </c>
      <c r="R779" s="19">
        <v>0</v>
      </c>
      <c r="S779" s="19">
        <v>0</v>
      </c>
      <c r="T779" s="19">
        <v>0</v>
      </c>
      <c r="U779" s="19">
        <v>0</v>
      </c>
      <c r="V779" s="19">
        <v>0</v>
      </c>
      <c r="W779" s="19">
        <v>0</v>
      </c>
      <c r="X779" s="19">
        <v>0</v>
      </c>
      <c r="Y779" s="20">
        <v>0</v>
      </c>
      <c r="Z779" s="19">
        <v>0</v>
      </c>
      <c r="AA779" s="19">
        <v>0</v>
      </c>
      <c r="AB779" t="str">
        <f>VLOOKUP(E:E,笔记匹配!A:N,3,FALSE)</f>
        <v>木子棋Kiki</v>
      </c>
      <c r="AC779" t="str">
        <f>VLOOKUP(E:E,笔记匹配!A:N,2,FALSE)</f>
        <v>筋膜枪</v>
      </c>
      <c r="AD779" t="str">
        <f>VLOOKUP(E:E,笔记匹配!A:N,4,FALSE)</f>
        <v>云麦筋膜枪PB2</v>
      </c>
      <c r="AE779" t="str">
        <f>VLOOKUP(E:E,笔记匹配!A:N,14,FALSE)</f>
        <v>云麦筋膜枪pb2</v>
      </c>
      <c r="AF779" t="str">
        <f>VLOOKUP(E:E,笔记匹配!A:N,6,FALSE)</f>
        <v>筋膜枪要怎么选❓3款不同类型筋膜枪测评‼️</v>
      </c>
    </row>
    <row r="780" spans="1:32">
      <c r="A780" s="18" t="s">
        <v>114</v>
      </c>
      <c r="B780" s="18" t="s">
        <v>1216</v>
      </c>
      <c r="C780" s="19">
        <v>19428780</v>
      </c>
      <c r="D780" s="18" t="s">
        <v>196</v>
      </c>
      <c r="E780" s="18" t="s">
        <v>525</v>
      </c>
      <c r="F780" s="18" t="s">
        <v>1217</v>
      </c>
      <c r="G780" s="19">
        <v>4228760</v>
      </c>
      <c r="H780" s="18" t="s">
        <v>1217</v>
      </c>
      <c r="I780" s="19">
        <v>3609684</v>
      </c>
      <c r="J780" s="18" t="s">
        <v>1015</v>
      </c>
      <c r="K780" s="19">
        <v>0</v>
      </c>
      <c r="L780" s="19">
        <v>0</v>
      </c>
      <c r="M780" s="19">
        <v>0</v>
      </c>
      <c r="N780" s="20">
        <v>0</v>
      </c>
      <c r="O780" s="19">
        <v>0</v>
      </c>
      <c r="P780" s="19">
        <v>0</v>
      </c>
      <c r="Q780" s="19">
        <v>0</v>
      </c>
      <c r="R780" s="19">
        <v>0</v>
      </c>
      <c r="S780" s="19">
        <v>0</v>
      </c>
      <c r="T780" s="19">
        <v>0</v>
      </c>
      <c r="U780" s="19">
        <v>0</v>
      </c>
      <c r="V780" s="19">
        <v>0</v>
      </c>
      <c r="W780" s="19">
        <v>0</v>
      </c>
      <c r="X780" s="19">
        <v>0</v>
      </c>
      <c r="Y780" s="20">
        <v>0</v>
      </c>
      <c r="Z780" s="19">
        <v>0</v>
      </c>
      <c r="AA780" s="19">
        <v>0</v>
      </c>
      <c r="AB780" t="str">
        <f>VLOOKUP(E:E,笔记匹配!A:N,3,FALSE)</f>
        <v>圆圆今天暴富了么</v>
      </c>
      <c r="AC780" t="str">
        <f>VLOOKUP(E:E,笔记匹配!A:N,2,FALSE)</f>
        <v>筋膜枪</v>
      </c>
      <c r="AD780" t="str">
        <f>VLOOKUP(E:E,笔记匹配!A:N,4,FALSE)</f>
        <v>云麦筋膜枪PB2</v>
      </c>
      <c r="AE780" t="str">
        <f>VLOOKUP(E:E,笔记匹配!A:N,14,FALSE)</f>
        <v>云麦筋膜枪pb2</v>
      </c>
      <c r="AF780" t="str">
        <f>VLOOKUP(E:E,笔记匹配!A:N,6,FALSE)</f>
        <v>云麦的筋膜枪我真的是服了….</v>
      </c>
    </row>
    <row r="781" spans="1:32">
      <c r="A781" s="18" t="s">
        <v>114</v>
      </c>
      <c r="B781" s="18" t="s">
        <v>1223</v>
      </c>
      <c r="C781" s="19">
        <v>19607601</v>
      </c>
      <c r="D781" s="18" t="s">
        <v>209</v>
      </c>
      <c r="E781" s="18" t="s">
        <v>570</v>
      </c>
      <c r="F781" s="18" t="s">
        <v>834</v>
      </c>
      <c r="G781" s="19">
        <v>4314778</v>
      </c>
      <c r="H781" s="18" t="s">
        <v>1224</v>
      </c>
      <c r="I781" s="19">
        <v>3692242</v>
      </c>
      <c r="J781" s="18" t="s">
        <v>1015</v>
      </c>
      <c r="K781" s="19">
        <v>383.03</v>
      </c>
      <c r="L781" s="19">
        <v>31275</v>
      </c>
      <c r="M781" s="19">
        <v>1407</v>
      </c>
      <c r="N781" s="20">
        <v>0.045</v>
      </c>
      <c r="O781" s="19">
        <v>0.27</v>
      </c>
      <c r="P781" s="19">
        <v>12.25</v>
      </c>
      <c r="Q781" s="19">
        <v>64</v>
      </c>
      <c r="R781" s="19">
        <v>0</v>
      </c>
      <c r="S781" s="19">
        <v>8</v>
      </c>
      <c r="T781" s="19">
        <v>9</v>
      </c>
      <c r="U781" s="19">
        <v>7</v>
      </c>
      <c r="V781" s="19">
        <v>88</v>
      </c>
      <c r="W781" s="19">
        <v>4.35</v>
      </c>
      <c r="X781" s="19">
        <v>0</v>
      </c>
      <c r="Y781" s="20">
        <v>0</v>
      </c>
      <c r="Z781" s="19">
        <v>2</v>
      </c>
      <c r="AA781" s="19">
        <v>1</v>
      </c>
      <c r="AB781" t="str">
        <f>VLOOKUP(E:E,笔记匹配!A:N,3,FALSE)</f>
        <v>国产收音机X</v>
      </c>
      <c r="AC781" t="str">
        <f>VLOOKUP(E:E,笔记匹配!A:N,2,FALSE)</f>
        <v>筋膜枪</v>
      </c>
      <c r="AD781" t="str">
        <f>VLOOKUP(E:E,笔记匹配!A:N,4,FALSE)</f>
        <v>云麦筋膜枪PB2</v>
      </c>
      <c r="AE781" t="str">
        <f>VLOOKUP(E:E,笔记匹配!A:N,14,FALSE)</f>
        <v>云麦筋膜枪pb2</v>
      </c>
      <c r="AF781" t="str">
        <f>VLOOKUP(E:E,笔记匹配!A:N,6,FALSE)</f>
        <v>别再怕爬山 / 徒步后放松教程</v>
      </c>
    </row>
    <row r="782" spans="1:32">
      <c r="A782" s="18" t="s">
        <v>114</v>
      </c>
      <c r="B782" s="18" t="s">
        <v>1223</v>
      </c>
      <c r="C782" s="19">
        <v>19607721</v>
      </c>
      <c r="D782" s="18" t="s">
        <v>209</v>
      </c>
      <c r="E782" s="18" t="s">
        <v>575</v>
      </c>
      <c r="F782" s="18" t="s">
        <v>837</v>
      </c>
      <c r="G782" s="19">
        <v>4314821</v>
      </c>
      <c r="H782" s="18" t="s">
        <v>1225</v>
      </c>
      <c r="I782" s="19">
        <v>3692290</v>
      </c>
      <c r="J782" s="18" t="s">
        <v>1015</v>
      </c>
      <c r="K782" s="19">
        <v>0</v>
      </c>
      <c r="L782" s="19">
        <v>11</v>
      </c>
      <c r="M782" s="19">
        <v>0</v>
      </c>
      <c r="N782" s="20">
        <v>0</v>
      </c>
      <c r="O782" s="19">
        <v>0</v>
      </c>
      <c r="P782" s="19">
        <v>0</v>
      </c>
      <c r="Q782" s="19">
        <v>0</v>
      </c>
      <c r="R782" s="19">
        <v>0</v>
      </c>
      <c r="S782" s="19">
        <v>0</v>
      </c>
      <c r="T782" s="19">
        <v>0</v>
      </c>
      <c r="U782" s="19">
        <v>0</v>
      </c>
      <c r="V782" s="19">
        <v>0</v>
      </c>
      <c r="W782" s="19">
        <v>0</v>
      </c>
      <c r="X782" s="19">
        <v>0</v>
      </c>
      <c r="Y782" s="20">
        <v>0</v>
      </c>
      <c r="Z782" s="19">
        <v>0</v>
      </c>
      <c r="AA782" s="19">
        <v>0</v>
      </c>
      <c r="AB782" t="str">
        <f>VLOOKUP(E:E,笔记匹配!A:N,3,FALSE)</f>
        <v>跑酷莫承烽</v>
      </c>
      <c r="AC782" t="str">
        <f>VLOOKUP(E:E,笔记匹配!A:N,2,FALSE)</f>
        <v>筋膜枪</v>
      </c>
      <c r="AD782" t="str">
        <f>VLOOKUP(E:E,笔记匹配!A:N,4,FALSE)</f>
        <v>云麦筋膜枪pb2</v>
      </c>
      <c r="AE782" t="str">
        <f>VLOOKUP(E:E,笔记匹配!A:N,14,FALSE)</f>
        <v>云麦筋膜枪pb2</v>
      </c>
      <c r="AF782" t="str">
        <f>VLOOKUP(E:E,笔记匹配!A:N,6,FALSE)</f>
        <v>职业跑酷运动员|自用筋膜枪推荐</v>
      </c>
    </row>
    <row r="783" spans="1:32">
      <c r="A783" s="18" t="s">
        <v>115</v>
      </c>
      <c r="B783" s="18" t="s">
        <v>1181</v>
      </c>
      <c r="C783" s="19">
        <v>18606961</v>
      </c>
      <c r="D783" s="18" t="s">
        <v>209</v>
      </c>
      <c r="E783" s="18" t="s">
        <v>289</v>
      </c>
      <c r="F783" s="18" t="s">
        <v>1183</v>
      </c>
      <c r="G783" s="19">
        <v>3851160</v>
      </c>
      <c r="H783" s="18" t="s">
        <v>1183</v>
      </c>
      <c r="I783" s="19">
        <v>3236289</v>
      </c>
      <c r="J783" s="18" t="s">
        <v>1015</v>
      </c>
      <c r="K783" s="19">
        <v>0</v>
      </c>
      <c r="L783" s="19">
        <v>0</v>
      </c>
      <c r="M783" s="19">
        <v>0</v>
      </c>
      <c r="N783" s="20">
        <v>0</v>
      </c>
      <c r="O783" s="19">
        <v>0</v>
      </c>
      <c r="P783" s="19">
        <v>0</v>
      </c>
      <c r="Q783" s="19">
        <v>0</v>
      </c>
      <c r="R783" s="19">
        <v>0</v>
      </c>
      <c r="S783" s="19">
        <v>0</v>
      </c>
      <c r="T783" s="19">
        <v>0</v>
      </c>
      <c r="U783" s="19">
        <v>0</v>
      </c>
      <c r="V783" s="19">
        <v>0</v>
      </c>
      <c r="W783" s="19">
        <v>0</v>
      </c>
      <c r="X783" s="19">
        <v>0</v>
      </c>
      <c r="Y783" s="20">
        <v>0</v>
      </c>
      <c r="Z783" s="19">
        <v>0</v>
      </c>
      <c r="AA783" s="19">
        <v>0</v>
      </c>
      <c r="AB783" t="str">
        <f>VLOOKUP(E:E,笔记匹配!A:N,3,FALSE)</f>
        <v>小蓝今天吃了没</v>
      </c>
      <c r="AC783" t="str">
        <f>VLOOKUP(E:E,笔记匹配!A:N,2,FALSE)</f>
        <v>筋膜枪</v>
      </c>
      <c r="AD783" t="str">
        <f>VLOOKUP(E:E,笔记匹配!A:N,4,FALSE)</f>
        <v>云麦 筋膜枪PB2</v>
      </c>
      <c r="AE783" t="str">
        <f>VLOOKUP(E:E,笔记匹配!A:N,14,FALSE)</f>
        <v>云麦筋膜枪pb2</v>
      </c>
      <c r="AF783" t="str">
        <f>VLOOKUP(E:E,笔记匹配!A:N,6,FALSE)</f>
        <v>筋膜枪正确用法！刘耕宏女孩永不认输</v>
      </c>
    </row>
    <row r="784" spans="1:32">
      <c r="A784" s="18" t="s">
        <v>115</v>
      </c>
      <c r="B784" s="18" t="s">
        <v>1189</v>
      </c>
      <c r="C784" s="19">
        <v>19010467</v>
      </c>
      <c r="D784" s="18" t="s">
        <v>209</v>
      </c>
      <c r="E784" s="18" t="s">
        <v>300</v>
      </c>
      <c r="F784" s="18" t="s">
        <v>1191</v>
      </c>
      <c r="G784" s="19">
        <v>4039162</v>
      </c>
      <c r="H784" s="18" t="s">
        <v>1191</v>
      </c>
      <c r="I784" s="19">
        <v>3422446</v>
      </c>
      <c r="J784" s="18" t="s">
        <v>1015</v>
      </c>
      <c r="K784" s="19">
        <v>0</v>
      </c>
      <c r="L784" s="19">
        <v>0</v>
      </c>
      <c r="M784" s="19">
        <v>0</v>
      </c>
      <c r="N784" s="20">
        <v>0</v>
      </c>
      <c r="O784" s="19">
        <v>0</v>
      </c>
      <c r="P784" s="19">
        <v>0</v>
      </c>
      <c r="Q784" s="19">
        <v>0</v>
      </c>
      <c r="R784" s="19">
        <v>0</v>
      </c>
      <c r="S784" s="19">
        <v>0</v>
      </c>
      <c r="T784" s="19">
        <v>0</v>
      </c>
      <c r="U784" s="19">
        <v>0</v>
      </c>
      <c r="V784" s="19">
        <v>0</v>
      </c>
      <c r="W784" s="19">
        <v>0</v>
      </c>
      <c r="X784" s="19">
        <v>0</v>
      </c>
      <c r="Y784" s="20">
        <v>0</v>
      </c>
      <c r="Z784" s="19">
        <v>0</v>
      </c>
      <c r="AA784" s="19">
        <v>0</v>
      </c>
      <c r="AB784" t="str">
        <f>VLOOKUP(E:E,笔记匹配!A:N,3,FALSE)</f>
        <v>朱俊畅</v>
      </c>
      <c r="AC784" t="str">
        <f>VLOOKUP(E:E,笔记匹配!A:N,2,FALSE)</f>
        <v>筋膜枪</v>
      </c>
      <c r="AD784" t="str">
        <f>VLOOKUP(E:E,笔记匹配!A:N,4,FALSE)</f>
        <v>云麦筋膜枪PB2</v>
      </c>
      <c r="AE784" t="str">
        <f>VLOOKUP(E:E,笔记匹配!A:N,14,FALSE)</f>
        <v>云麦筋膜枪pb2</v>
      </c>
      <c r="AF784" t="str">
        <f>VLOOKUP(E:E,笔记匹配!A:N,6,FALSE)</f>
        <v>打球完容易肌肉酸痛，筋膜枪放松更有效！</v>
      </c>
    </row>
    <row r="785" spans="1:32">
      <c r="A785" s="18" t="s">
        <v>115</v>
      </c>
      <c r="B785" s="18" t="s">
        <v>1196</v>
      </c>
      <c r="C785" s="19">
        <v>19054497</v>
      </c>
      <c r="D785" s="18" t="s">
        <v>209</v>
      </c>
      <c r="E785" s="18" t="s">
        <v>452</v>
      </c>
      <c r="F785" s="18" t="s">
        <v>1198</v>
      </c>
      <c r="G785" s="19">
        <v>4059827</v>
      </c>
      <c r="H785" s="18" t="s">
        <v>1198</v>
      </c>
      <c r="I785" s="19">
        <v>3442591</v>
      </c>
      <c r="J785" s="18" t="s">
        <v>1015</v>
      </c>
      <c r="K785" s="19">
        <v>2.22</v>
      </c>
      <c r="L785" s="19">
        <v>134</v>
      </c>
      <c r="M785" s="19">
        <v>13</v>
      </c>
      <c r="N785" s="20">
        <v>0.097</v>
      </c>
      <c r="O785" s="19">
        <v>0.17</v>
      </c>
      <c r="P785" s="19">
        <v>16.57</v>
      </c>
      <c r="Q785" s="19">
        <v>1</v>
      </c>
      <c r="R785" s="19">
        <v>0</v>
      </c>
      <c r="S785" s="19">
        <v>0</v>
      </c>
      <c r="T785" s="19">
        <v>0</v>
      </c>
      <c r="U785" s="19">
        <v>0</v>
      </c>
      <c r="V785" s="19">
        <v>1</v>
      </c>
      <c r="W785" s="19">
        <v>2.22</v>
      </c>
      <c r="X785" s="19">
        <v>0</v>
      </c>
      <c r="Y785" s="20">
        <v>0</v>
      </c>
      <c r="Z785" s="19">
        <v>0</v>
      </c>
      <c r="AA785" s="19">
        <v>0</v>
      </c>
      <c r="AB785" t="str">
        <f>VLOOKUP(E:E,笔记匹配!A:N,3,FALSE)</f>
        <v>Bruce小厮</v>
      </c>
      <c r="AC785" t="str">
        <f>VLOOKUP(E:E,笔记匹配!A:N,2,FALSE)</f>
        <v>筋膜枪</v>
      </c>
      <c r="AD785" t="str">
        <f>VLOOKUP(E:E,笔记匹配!A:N,4,FALSE)</f>
        <v>云麦筋膜枪PB2</v>
      </c>
      <c r="AE785" t="str">
        <f>VLOOKUP(E:E,笔记匹配!A:N,14,FALSE)</f>
        <v>云麦筋膜枪pb2</v>
      </c>
      <c r="AF785" t="str">
        <f>VLOOKUP(E:E,笔记匹配!A:N,6,FALSE)</f>
        <v>女生练球后如何拉伸按摩，筋膜枪放松！！</v>
      </c>
    </row>
    <row r="786" spans="1:32">
      <c r="A786" s="18" t="s">
        <v>115</v>
      </c>
      <c r="B786" s="18" t="s">
        <v>1196</v>
      </c>
      <c r="C786" s="19">
        <v>19058466</v>
      </c>
      <c r="D786" s="18" t="s">
        <v>196</v>
      </c>
      <c r="E786" s="18" t="s">
        <v>296</v>
      </c>
      <c r="F786" s="18" t="s">
        <v>1199</v>
      </c>
      <c r="G786" s="19">
        <v>4061725</v>
      </c>
      <c r="H786" s="18" t="s">
        <v>1199</v>
      </c>
      <c r="I786" s="19">
        <v>3444458</v>
      </c>
      <c r="J786" s="18" t="s">
        <v>1015</v>
      </c>
      <c r="K786" s="19">
        <v>958.52</v>
      </c>
      <c r="L786" s="19">
        <v>67826</v>
      </c>
      <c r="M786" s="19">
        <v>3013</v>
      </c>
      <c r="N786" s="20">
        <v>0.0444</v>
      </c>
      <c r="O786" s="19">
        <v>0.32</v>
      </c>
      <c r="P786" s="19">
        <v>14.13</v>
      </c>
      <c r="Q786" s="19">
        <v>39</v>
      </c>
      <c r="R786" s="19">
        <v>2</v>
      </c>
      <c r="S786" s="19">
        <v>12</v>
      </c>
      <c r="T786" s="19">
        <v>3</v>
      </c>
      <c r="U786" s="19">
        <v>2</v>
      </c>
      <c r="V786" s="19">
        <v>58</v>
      </c>
      <c r="W786" s="19">
        <v>16.53</v>
      </c>
      <c r="X786" s="19">
        <v>39</v>
      </c>
      <c r="Y786" s="20">
        <v>0.0129</v>
      </c>
      <c r="Z786" s="19">
        <v>11</v>
      </c>
      <c r="AA786" s="19">
        <v>7</v>
      </c>
      <c r="AB786" t="str">
        <f>VLOOKUP(E:E,笔记匹配!A:N,3,FALSE)</f>
        <v>元气芥末酱</v>
      </c>
      <c r="AC786" t="str">
        <f>VLOOKUP(E:E,笔记匹配!A:N,2,FALSE)</f>
        <v>筋膜枪</v>
      </c>
      <c r="AD786" t="str">
        <f>VLOOKUP(E:E,笔记匹配!A:N,4,FALSE)</f>
        <v>云麦筋膜枪PB2</v>
      </c>
      <c r="AE786" t="str">
        <f>VLOOKUP(E:E,笔记匹配!A:N,14,FALSE)</f>
        <v>云麦筋膜枪pb2</v>
      </c>
      <c r="AF786" t="str">
        <f>VLOOKUP(E:E,笔记匹配!A:N,6,FALSE)</f>
        <v>小腿粗的姐妹信我！肌肉腿就要这样按！</v>
      </c>
    </row>
    <row r="787" spans="1:32">
      <c r="A787" s="18" t="s">
        <v>115</v>
      </c>
      <c r="B787" s="18" t="s">
        <v>1200</v>
      </c>
      <c r="C787" s="19">
        <v>19106863</v>
      </c>
      <c r="D787" s="18" t="s">
        <v>209</v>
      </c>
      <c r="E787" s="18" t="s">
        <v>201</v>
      </c>
      <c r="F787" s="18" t="s">
        <v>1202</v>
      </c>
      <c r="G787" s="19">
        <v>4084168</v>
      </c>
      <c r="H787" s="18" t="s">
        <v>1202</v>
      </c>
      <c r="I787" s="19">
        <v>3466674</v>
      </c>
      <c r="J787" s="18" t="s">
        <v>1015</v>
      </c>
      <c r="K787" s="19">
        <v>477.48</v>
      </c>
      <c r="L787" s="19">
        <v>39373</v>
      </c>
      <c r="M787" s="19">
        <v>1129</v>
      </c>
      <c r="N787" s="20">
        <v>0.0287</v>
      </c>
      <c r="O787" s="19">
        <v>0.42</v>
      </c>
      <c r="P787" s="19">
        <v>12.13</v>
      </c>
      <c r="Q787" s="19">
        <v>49</v>
      </c>
      <c r="R787" s="19">
        <v>2</v>
      </c>
      <c r="S787" s="19">
        <v>14</v>
      </c>
      <c r="T787" s="19">
        <v>0</v>
      </c>
      <c r="U787" s="19">
        <v>3</v>
      </c>
      <c r="V787" s="19">
        <v>68</v>
      </c>
      <c r="W787" s="19">
        <v>7.02</v>
      </c>
      <c r="X787" s="19">
        <v>7</v>
      </c>
      <c r="Y787" s="20">
        <v>0.0062</v>
      </c>
      <c r="Z787" s="19">
        <v>1</v>
      </c>
      <c r="AA787" s="19">
        <v>6</v>
      </c>
      <c r="AB787" t="str">
        <f>VLOOKUP(E:E,笔记匹配!A:N,3,FALSE)</f>
        <v>包子熟了</v>
      </c>
      <c r="AC787" t="str">
        <f>VLOOKUP(E:E,笔记匹配!A:N,2,FALSE)</f>
        <v>筋膜枪</v>
      </c>
      <c r="AD787" t="str">
        <f>VLOOKUP(E:E,笔记匹配!A:N,4,FALSE)</f>
        <v>云麦筋膜枪</v>
      </c>
      <c r="AE787" t="str">
        <f>VLOOKUP(E:E,笔记匹配!A:N,14,FALSE)</f>
        <v>云麦筋膜枪pb2</v>
      </c>
      <c r="AF787" t="str">
        <f>VLOOKUP(E:E,笔记匹配!A:N,6,FALSE)</f>
        <v>筋膜枪测评|健身小白如何挑选筋膜枪？</v>
      </c>
    </row>
    <row r="788" spans="1:32">
      <c r="A788" s="18" t="s">
        <v>115</v>
      </c>
      <c r="B788" s="18" t="s">
        <v>1207</v>
      </c>
      <c r="C788" s="19">
        <v>19261230</v>
      </c>
      <c r="D788" s="18" t="s">
        <v>209</v>
      </c>
      <c r="E788" s="18" t="s">
        <v>579</v>
      </c>
      <c r="F788" s="18" t="s">
        <v>1208</v>
      </c>
      <c r="G788" s="19">
        <v>4155782</v>
      </c>
      <c r="H788" s="18" t="s">
        <v>1208</v>
      </c>
      <c r="I788" s="19">
        <v>3538615</v>
      </c>
      <c r="J788" s="18" t="s">
        <v>1015</v>
      </c>
      <c r="K788" s="19">
        <v>5.45</v>
      </c>
      <c r="L788" s="19">
        <v>559</v>
      </c>
      <c r="M788" s="19">
        <v>45</v>
      </c>
      <c r="N788" s="20">
        <v>0.0805</v>
      </c>
      <c r="O788" s="19">
        <v>0.12</v>
      </c>
      <c r="P788" s="19">
        <v>9.75</v>
      </c>
      <c r="Q788" s="19">
        <v>0</v>
      </c>
      <c r="R788" s="19">
        <v>0</v>
      </c>
      <c r="S788" s="19">
        <v>0</v>
      </c>
      <c r="T788" s="19">
        <v>0</v>
      </c>
      <c r="U788" s="19">
        <v>0</v>
      </c>
      <c r="V788" s="19">
        <v>0</v>
      </c>
      <c r="W788" s="19">
        <v>0</v>
      </c>
      <c r="X788" s="19">
        <v>0</v>
      </c>
      <c r="Y788" s="20">
        <v>0</v>
      </c>
      <c r="Z788" s="19">
        <v>0</v>
      </c>
      <c r="AA788" s="19">
        <v>0</v>
      </c>
      <c r="AB788" t="str">
        <f>VLOOKUP(E:E,笔记匹配!A:N,3,FALSE)</f>
        <v>Lucas雨田</v>
      </c>
      <c r="AC788" t="str">
        <f>VLOOKUP(E:E,笔记匹配!A:N,2,FALSE)</f>
        <v>筋膜枪</v>
      </c>
      <c r="AD788" t="str">
        <f>VLOOKUP(E:E,笔记匹配!A:N,4,FALSE)</f>
        <v>云麦筋膜枪PB2</v>
      </c>
      <c r="AE788" t="str">
        <f>VLOOKUP(E:E,笔记匹配!A:N,14,FALSE)</f>
        <v>云麦筋膜枪pb2</v>
      </c>
      <c r="AF788" t="str">
        <f>VLOOKUP(E:E,笔记匹配!A:N,6,FALSE)</f>
        <v>2个游泳后的放松技巧⭐️自主拉伸、筋膜枪按摩</v>
      </c>
    </row>
    <row r="789" spans="1:32">
      <c r="A789" s="18" t="s">
        <v>115</v>
      </c>
      <c r="B789" s="18" t="s">
        <v>1223</v>
      </c>
      <c r="C789" s="19">
        <v>19607601</v>
      </c>
      <c r="D789" s="18" t="s">
        <v>209</v>
      </c>
      <c r="E789" s="18" t="s">
        <v>570</v>
      </c>
      <c r="F789" s="18" t="s">
        <v>834</v>
      </c>
      <c r="G789" s="19">
        <v>4314778</v>
      </c>
      <c r="H789" s="18" t="s">
        <v>1224</v>
      </c>
      <c r="I789" s="19">
        <v>3692242</v>
      </c>
      <c r="J789" s="18" t="s">
        <v>1015</v>
      </c>
      <c r="K789" s="19">
        <v>325.3</v>
      </c>
      <c r="L789" s="19">
        <v>20634</v>
      </c>
      <c r="M789" s="19">
        <v>881</v>
      </c>
      <c r="N789" s="20">
        <v>0.0427</v>
      </c>
      <c r="O789" s="19">
        <v>0.37</v>
      </c>
      <c r="P789" s="19">
        <v>15.77</v>
      </c>
      <c r="Q789" s="19">
        <v>75</v>
      </c>
      <c r="R789" s="19">
        <v>3</v>
      </c>
      <c r="S789" s="19">
        <v>12</v>
      </c>
      <c r="T789" s="19">
        <v>11</v>
      </c>
      <c r="U789" s="19">
        <v>3</v>
      </c>
      <c r="V789" s="19">
        <v>104</v>
      </c>
      <c r="W789" s="19">
        <v>3.13</v>
      </c>
      <c r="X789" s="19">
        <v>0</v>
      </c>
      <c r="Y789" s="20">
        <v>0</v>
      </c>
      <c r="Z789" s="19">
        <v>5</v>
      </c>
      <c r="AA789" s="19">
        <v>0</v>
      </c>
      <c r="AB789" t="str">
        <f>VLOOKUP(E:E,笔记匹配!A:N,3,FALSE)</f>
        <v>国产收音机X</v>
      </c>
      <c r="AC789" t="str">
        <f>VLOOKUP(E:E,笔记匹配!A:N,2,FALSE)</f>
        <v>筋膜枪</v>
      </c>
      <c r="AD789" t="str">
        <f>VLOOKUP(E:E,笔记匹配!A:N,4,FALSE)</f>
        <v>云麦筋膜枪PB2</v>
      </c>
      <c r="AE789" t="str">
        <f>VLOOKUP(E:E,笔记匹配!A:N,14,FALSE)</f>
        <v>云麦筋膜枪pb2</v>
      </c>
      <c r="AF789" t="str">
        <f>VLOOKUP(E:E,笔记匹配!A:N,6,FALSE)</f>
        <v>别再怕爬山 / 徒步后放松教程</v>
      </c>
    </row>
    <row r="790" spans="1:32">
      <c r="A790" s="18" t="s">
        <v>115</v>
      </c>
      <c r="B790" s="18" t="s">
        <v>1223</v>
      </c>
      <c r="C790" s="19">
        <v>19607721</v>
      </c>
      <c r="D790" s="18" t="s">
        <v>209</v>
      </c>
      <c r="E790" s="18" t="s">
        <v>575</v>
      </c>
      <c r="F790" s="18" t="s">
        <v>837</v>
      </c>
      <c r="G790" s="19">
        <v>4314821</v>
      </c>
      <c r="H790" s="18" t="s">
        <v>1225</v>
      </c>
      <c r="I790" s="19">
        <v>3692290</v>
      </c>
      <c r="J790" s="18" t="s">
        <v>1015</v>
      </c>
      <c r="K790" s="19">
        <v>0</v>
      </c>
      <c r="L790" s="19">
        <v>0</v>
      </c>
      <c r="M790" s="19">
        <v>0</v>
      </c>
      <c r="N790" s="20">
        <v>0</v>
      </c>
      <c r="O790" s="19">
        <v>0</v>
      </c>
      <c r="P790" s="19">
        <v>0</v>
      </c>
      <c r="Q790" s="19">
        <v>0</v>
      </c>
      <c r="R790" s="19">
        <v>0</v>
      </c>
      <c r="S790" s="19">
        <v>0</v>
      </c>
      <c r="T790" s="19">
        <v>0</v>
      </c>
      <c r="U790" s="19">
        <v>0</v>
      </c>
      <c r="V790" s="19">
        <v>0</v>
      </c>
      <c r="W790" s="19">
        <v>0</v>
      </c>
      <c r="X790" s="19">
        <v>0</v>
      </c>
      <c r="Y790" s="20">
        <v>0</v>
      </c>
      <c r="Z790" s="19">
        <v>0</v>
      </c>
      <c r="AA790" s="19">
        <v>0</v>
      </c>
      <c r="AB790" t="str">
        <f>VLOOKUP(E:E,笔记匹配!A:N,3,FALSE)</f>
        <v>跑酷莫承烽</v>
      </c>
      <c r="AC790" t="str">
        <f>VLOOKUP(E:E,笔记匹配!A:N,2,FALSE)</f>
        <v>筋膜枪</v>
      </c>
      <c r="AD790" t="str">
        <f>VLOOKUP(E:E,笔记匹配!A:N,4,FALSE)</f>
        <v>云麦筋膜枪pb2</v>
      </c>
      <c r="AE790" t="str">
        <f>VLOOKUP(E:E,笔记匹配!A:N,14,FALSE)</f>
        <v>云麦筋膜枪pb2</v>
      </c>
      <c r="AF790" t="str">
        <f>VLOOKUP(E:E,笔记匹配!A:N,6,FALSE)</f>
        <v>职业跑酷运动员|自用筋膜枪推荐</v>
      </c>
    </row>
    <row r="791" spans="1:32">
      <c r="A791" s="18" t="s">
        <v>115</v>
      </c>
      <c r="B791" s="18" t="s">
        <v>1226</v>
      </c>
      <c r="C791" s="19">
        <v>19713110</v>
      </c>
      <c r="D791" s="18" t="s">
        <v>209</v>
      </c>
      <c r="E791" s="18" t="s">
        <v>568</v>
      </c>
      <c r="F791" s="18" t="s">
        <v>1227</v>
      </c>
      <c r="G791" s="19">
        <v>4365075</v>
      </c>
      <c r="H791" s="18" t="s">
        <v>1228</v>
      </c>
      <c r="I791" s="19">
        <v>3739182</v>
      </c>
      <c r="J791" s="18" t="s">
        <v>1015</v>
      </c>
      <c r="K791" s="19">
        <v>429.79</v>
      </c>
      <c r="L791" s="19">
        <v>34341</v>
      </c>
      <c r="M791" s="19">
        <v>1609</v>
      </c>
      <c r="N791" s="20">
        <v>0.0469</v>
      </c>
      <c r="O791" s="19">
        <v>0.27</v>
      </c>
      <c r="P791" s="19">
        <v>12.52</v>
      </c>
      <c r="Q791" s="19">
        <v>46</v>
      </c>
      <c r="R791" s="19">
        <v>1</v>
      </c>
      <c r="S791" s="19">
        <v>9</v>
      </c>
      <c r="T791" s="19">
        <v>2</v>
      </c>
      <c r="U791" s="19">
        <v>4</v>
      </c>
      <c r="V791" s="19">
        <v>62</v>
      </c>
      <c r="W791" s="19">
        <v>6.93</v>
      </c>
      <c r="X791" s="19">
        <v>0</v>
      </c>
      <c r="Y791" s="20">
        <v>0</v>
      </c>
      <c r="Z791" s="19">
        <v>0</v>
      </c>
      <c r="AA791" s="19">
        <v>0</v>
      </c>
      <c r="AB791" t="str">
        <f>VLOOKUP(E:E,笔记匹配!A:N,3,FALSE)</f>
        <v>小刘爱游泳</v>
      </c>
      <c r="AC791" t="str">
        <f>VLOOKUP(E:E,笔记匹配!A:N,2,FALSE)</f>
        <v>筋膜枪</v>
      </c>
      <c r="AD791" t="str">
        <f>VLOOKUP(E:E,笔记匹配!A:N,4,FALSE)</f>
        <v>云麦筋膜枪pb2</v>
      </c>
      <c r="AE791" t="str">
        <f>VLOOKUP(E:E,笔记匹配!A:N,14,FALSE)</f>
        <v>云麦筋膜枪pb2</v>
      </c>
      <c r="AF791" t="str">
        <f>VLOOKUP(E:E,笔记匹配!A:N,6,FALSE)</f>
        <v>游泳后全身酸痛怎么办？拉伸&amp;筋膜枪按摩</v>
      </c>
    </row>
    <row r="792" spans="1:32">
      <c r="A792" s="18" t="s">
        <v>116</v>
      </c>
      <c r="B792" s="18" t="s">
        <v>1184</v>
      </c>
      <c r="C792" s="19">
        <v>18646457</v>
      </c>
      <c r="D792" s="18" t="s">
        <v>209</v>
      </c>
      <c r="E792" s="18" t="s">
        <v>395</v>
      </c>
      <c r="F792" s="18" t="s">
        <v>1186</v>
      </c>
      <c r="G792" s="19">
        <v>3870563</v>
      </c>
      <c r="H792" s="18" t="s">
        <v>1186</v>
      </c>
      <c r="I792" s="19">
        <v>3255634</v>
      </c>
      <c r="J792" s="18" t="s">
        <v>1015</v>
      </c>
      <c r="K792" s="19">
        <v>0</v>
      </c>
      <c r="L792" s="19">
        <v>0</v>
      </c>
      <c r="M792" s="19">
        <v>0</v>
      </c>
      <c r="N792" s="20">
        <v>0</v>
      </c>
      <c r="O792" s="19">
        <v>0</v>
      </c>
      <c r="P792" s="19">
        <v>0</v>
      </c>
      <c r="Q792" s="19">
        <v>0</v>
      </c>
      <c r="R792" s="19">
        <v>0</v>
      </c>
      <c r="S792" s="19">
        <v>0</v>
      </c>
      <c r="T792" s="19">
        <v>0</v>
      </c>
      <c r="U792" s="19">
        <v>0</v>
      </c>
      <c r="V792" s="19">
        <v>0</v>
      </c>
      <c r="W792" s="19">
        <v>0</v>
      </c>
      <c r="X792" s="19">
        <v>0</v>
      </c>
      <c r="Y792" s="20">
        <v>0</v>
      </c>
      <c r="Z792" s="19">
        <v>0</v>
      </c>
      <c r="AA792" s="19">
        <v>0</v>
      </c>
      <c r="AB792" t="str">
        <f>VLOOKUP(E:E,笔记匹配!A:N,3,FALSE)</f>
        <v>月亮起床了</v>
      </c>
      <c r="AC792" t="str">
        <f>VLOOKUP(E:E,笔记匹配!A:N,2,FALSE)</f>
        <v>筋膜枪</v>
      </c>
      <c r="AD792" t="str">
        <f>VLOOKUP(E:E,笔记匹配!A:N,4,FALSE)</f>
        <v>云麦筋膜枪pb2</v>
      </c>
      <c r="AE792" t="str">
        <f>VLOOKUP(E:E,笔记匹配!A:N,14,FALSE)</f>
        <v>云麦筋膜枪pb2</v>
      </c>
      <c r="AF792" t="str">
        <f>VLOOKUP(E:E,笔记匹配!A:N,6,FALSE)</f>
        <v>超强瘦🦵绝招，记得用筋膜枪放松</v>
      </c>
    </row>
    <row r="793" spans="1:32">
      <c r="A793" s="18" t="s">
        <v>116</v>
      </c>
      <c r="B793" s="18" t="s">
        <v>1189</v>
      </c>
      <c r="C793" s="19">
        <v>19010467</v>
      </c>
      <c r="D793" s="18" t="s">
        <v>209</v>
      </c>
      <c r="E793" s="18" t="s">
        <v>300</v>
      </c>
      <c r="F793" s="18" t="s">
        <v>1191</v>
      </c>
      <c r="G793" s="19">
        <v>4039162</v>
      </c>
      <c r="H793" s="18" t="s">
        <v>1191</v>
      </c>
      <c r="I793" s="19">
        <v>3422446</v>
      </c>
      <c r="J793" s="18" t="s">
        <v>1015</v>
      </c>
      <c r="K793" s="19">
        <v>12.47</v>
      </c>
      <c r="L793" s="19">
        <v>928</v>
      </c>
      <c r="M793" s="19">
        <v>44</v>
      </c>
      <c r="N793" s="20">
        <v>0.0474</v>
      </c>
      <c r="O793" s="19">
        <v>0.28</v>
      </c>
      <c r="P793" s="19">
        <v>13.44</v>
      </c>
      <c r="Q793" s="19">
        <v>1</v>
      </c>
      <c r="R793" s="19">
        <v>0</v>
      </c>
      <c r="S793" s="19">
        <v>0</v>
      </c>
      <c r="T793" s="19">
        <v>0</v>
      </c>
      <c r="U793" s="19">
        <v>0</v>
      </c>
      <c r="V793" s="19">
        <v>1</v>
      </c>
      <c r="W793" s="19">
        <v>12.47</v>
      </c>
      <c r="X793" s="19">
        <v>0</v>
      </c>
      <c r="Y793" s="20">
        <v>0</v>
      </c>
      <c r="Z793" s="19">
        <v>0</v>
      </c>
      <c r="AA793" s="19">
        <v>0</v>
      </c>
      <c r="AB793" t="str">
        <f>VLOOKUP(E:E,笔记匹配!A:N,3,FALSE)</f>
        <v>朱俊畅</v>
      </c>
      <c r="AC793" t="str">
        <f>VLOOKUP(E:E,笔记匹配!A:N,2,FALSE)</f>
        <v>筋膜枪</v>
      </c>
      <c r="AD793" t="str">
        <f>VLOOKUP(E:E,笔记匹配!A:N,4,FALSE)</f>
        <v>云麦筋膜枪PB2</v>
      </c>
      <c r="AE793" t="str">
        <f>VLOOKUP(E:E,笔记匹配!A:N,14,FALSE)</f>
        <v>云麦筋膜枪pb2</v>
      </c>
      <c r="AF793" t="str">
        <f>VLOOKUP(E:E,笔记匹配!A:N,6,FALSE)</f>
        <v>打球完容易肌肉酸痛，筋膜枪放松更有效！</v>
      </c>
    </row>
    <row r="794" spans="1:32">
      <c r="A794" s="18" t="s">
        <v>116</v>
      </c>
      <c r="B794" s="18" t="s">
        <v>1196</v>
      </c>
      <c r="C794" s="19">
        <v>19054497</v>
      </c>
      <c r="D794" s="18" t="s">
        <v>209</v>
      </c>
      <c r="E794" s="18" t="s">
        <v>452</v>
      </c>
      <c r="F794" s="18" t="s">
        <v>1198</v>
      </c>
      <c r="G794" s="19">
        <v>4059827</v>
      </c>
      <c r="H794" s="18" t="s">
        <v>1198</v>
      </c>
      <c r="I794" s="19">
        <v>3442591</v>
      </c>
      <c r="J794" s="18" t="s">
        <v>1015</v>
      </c>
      <c r="K794" s="19">
        <v>0</v>
      </c>
      <c r="L794" s="19">
        <v>0</v>
      </c>
      <c r="M794" s="19">
        <v>0</v>
      </c>
      <c r="N794" s="20">
        <v>0</v>
      </c>
      <c r="O794" s="19">
        <v>0</v>
      </c>
      <c r="P794" s="19">
        <v>0</v>
      </c>
      <c r="Q794" s="19">
        <v>0</v>
      </c>
      <c r="R794" s="19">
        <v>0</v>
      </c>
      <c r="S794" s="19">
        <v>0</v>
      </c>
      <c r="T794" s="19">
        <v>0</v>
      </c>
      <c r="U794" s="19">
        <v>0</v>
      </c>
      <c r="V794" s="19">
        <v>0</v>
      </c>
      <c r="W794" s="19">
        <v>0</v>
      </c>
      <c r="X794" s="19">
        <v>0</v>
      </c>
      <c r="Y794" s="20">
        <v>0</v>
      </c>
      <c r="Z794" s="19">
        <v>0</v>
      </c>
      <c r="AA794" s="19">
        <v>0</v>
      </c>
      <c r="AB794" t="str">
        <f>VLOOKUP(E:E,笔记匹配!A:N,3,FALSE)</f>
        <v>Bruce小厮</v>
      </c>
      <c r="AC794" t="str">
        <f>VLOOKUP(E:E,笔记匹配!A:N,2,FALSE)</f>
        <v>筋膜枪</v>
      </c>
      <c r="AD794" t="str">
        <f>VLOOKUP(E:E,笔记匹配!A:N,4,FALSE)</f>
        <v>云麦筋膜枪PB2</v>
      </c>
      <c r="AE794" t="str">
        <f>VLOOKUP(E:E,笔记匹配!A:N,14,FALSE)</f>
        <v>云麦筋膜枪pb2</v>
      </c>
      <c r="AF794" t="str">
        <f>VLOOKUP(E:E,笔记匹配!A:N,6,FALSE)</f>
        <v>女生练球后如何拉伸按摩，筋膜枪放松！！</v>
      </c>
    </row>
    <row r="795" spans="1:32">
      <c r="A795" s="18" t="s">
        <v>116</v>
      </c>
      <c r="B795" s="18" t="s">
        <v>1196</v>
      </c>
      <c r="C795" s="19">
        <v>19058466</v>
      </c>
      <c r="D795" s="18" t="s">
        <v>196</v>
      </c>
      <c r="E795" s="18" t="s">
        <v>296</v>
      </c>
      <c r="F795" s="18" t="s">
        <v>1199</v>
      </c>
      <c r="G795" s="19">
        <v>4061725</v>
      </c>
      <c r="H795" s="18" t="s">
        <v>1199</v>
      </c>
      <c r="I795" s="19">
        <v>3444458</v>
      </c>
      <c r="J795" s="18" t="s">
        <v>1015</v>
      </c>
      <c r="K795" s="19">
        <v>7.2</v>
      </c>
      <c r="L795" s="19">
        <v>419</v>
      </c>
      <c r="M795" s="19">
        <v>23</v>
      </c>
      <c r="N795" s="20">
        <v>0.0549</v>
      </c>
      <c r="O795" s="19">
        <v>0.31</v>
      </c>
      <c r="P795" s="19">
        <v>17.18</v>
      </c>
      <c r="Q795" s="19">
        <v>0</v>
      </c>
      <c r="R795" s="19">
        <v>0</v>
      </c>
      <c r="S795" s="19">
        <v>0</v>
      </c>
      <c r="T795" s="19">
        <v>0</v>
      </c>
      <c r="U795" s="19">
        <v>0</v>
      </c>
      <c r="V795" s="19">
        <v>0</v>
      </c>
      <c r="W795" s="19">
        <v>0</v>
      </c>
      <c r="X795" s="19">
        <v>0</v>
      </c>
      <c r="Y795" s="20">
        <v>0</v>
      </c>
      <c r="Z795" s="19">
        <v>0</v>
      </c>
      <c r="AA795" s="19">
        <v>0</v>
      </c>
      <c r="AB795" t="str">
        <f>VLOOKUP(E:E,笔记匹配!A:N,3,FALSE)</f>
        <v>元气芥末酱</v>
      </c>
      <c r="AC795" t="str">
        <f>VLOOKUP(E:E,笔记匹配!A:N,2,FALSE)</f>
        <v>筋膜枪</v>
      </c>
      <c r="AD795" t="str">
        <f>VLOOKUP(E:E,笔记匹配!A:N,4,FALSE)</f>
        <v>云麦筋膜枪PB2</v>
      </c>
      <c r="AE795" t="str">
        <f>VLOOKUP(E:E,笔记匹配!A:N,14,FALSE)</f>
        <v>云麦筋膜枪pb2</v>
      </c>
      <c r="AF795" t="str">
        <f>VLOOKUP(E:E,笔记匹配!A:N,6,FALSE)</f>
        <v>小腿粗的姐妹信我！肌肉腿就要这样按！</v>
      </c>
    </row>
    <row r="796" spans="1:32">
      <c r="A796" s="18" t="s">
        <v>116</v>
      </c>
      <c r="B796" s="18" t="s">
        <v>1200</v>
      </c>
      <c r="C796" s="19">
        <v>19106863</v>
      </c>
      <c r="D796" s="18" t="s">
        <v>209</v>
      </c>
      <c r="E796" s="18" t="s">
        <v>201</v>
      </c>
      <c r="F796" s="18" t="s">
        <v>1202</v>
      </c>
      <c r="G796" s="19">
        <v>4084168</v>
      </c>
      <c r="H796" s="18" t="s">
        <v>1202</v>
      </c>
      <c r="I796" s="19">
        <v>3466674</v>
      </c>
      <c r="J796" s="18" t="s">
        <v>1015</v>
      </c>
      <c r="K796" s="19">
        <v>4.59</v>
      </c>
      <c r="L796" s="19">
        <v>579</v>
      </c>
      <c r="M796" s="19">
        <v>20</v>
      </c>
      <c r="N796" s="20">
        <v>0.0345</v>
      </c>
      <c r="O796" s="19">
        <v>0.23</v>
      </c>
      <c r="P796" s="19">
        <v>7.93</v>
      </c>
      <c r="Q796" s="19">
        <v>0</v>
      </c>
      <c r="R796" s="19">
        <v>0</v>
      </c>
      <c r="S796" s="19">
        <v>0</v>
      </c>
      <c r="T796" s="19">
        <v>0</v>
      </c>
      <c r="U796" s="19">
        <v>0</v>
      </c>
      <c r="V796" s="19">
        <v>0</v>
      </c>
      <c r="W796" s="19">
        <v>0</v>
      </c>
      <c r="X796" s="19">
        <v>0</v>
      </c>
      <c r="Y796" s="20">
        <v>0</v>
      </c>
      <c r="Z796" s="19">
        <v>0</v>
      </c>
      <c r="AA796" s="19">
        <v>0</v>
      </c>
      <c r="AB796" t="str">
        <f>VLOOKUP(E:E,笔记匹配!A:N,3,FALSE)</f>
        <v>包子熟了</v>
      </c>
      <c r="AC796" t="str">
        <f>VLOOKUP(E:E,笔记匹配!A:N,2,FALSE)</f>
        <v>筋膜枪</v>
      </c>
      <c r="AD796" t="str">
        <f>VLOOKUP(E:E,笔记匹配!A:N,4,FALSE)</f>
        <v>云麦筋膜枪</v>
      </c>
      <c r="AE796" t="str">
        <f>VLOOKUP(E:E,笔记匹配!A:N,14,FALSE)</f>
        <v>云麦筋膜枪pb2</v>
      </c>
      <c r="AF796" t="str">
        <f>VLOOKUP(E:E,笔记匹配!A:N,6,FALSE)</f>
        <v>筋膜枪测评|健身小白如何挑选筋膜枪？</v>
      </c>
    </row>
    <row r="797" spans="1:32">
      <c r="A797" s="18" t="s">
        <v>116</v>
      </c>
      <c r="B797" s="18" t="s">
        <v>1207</v>
      </c>
      <c r="C797" s="19">
        <v>19261230</v>
      </c>
      <c r="D797" s="18" t="s">
        <v>209</v>
      </c>
      <c r="E797" s="18" t="s">
        <v>579</v>
      </c>
      <c r="F797" s="18" t="s">
        <v>1208</v>
      </c>
      <c r="G797" s="19">
        <v>4155782</v>
      </c>
      <c r="H797" s="18" t="s">
        <v>1208</v>
      </c>
      <c r="I797" s="19">
        <v>3538615</v>
      </c>
      <c r="J797" s="18" t="s">
        <v>1015</v>
      </c>
      <c r="K797" s="19">
        <v>0</v>
      </c>
      <c r="L797" s="19">
        <v>0</v>
      </c>
      <c r="M797" s="19">
        <v>0</v>
      </c>
      <c r="N797" s="20">
        <v>0</v>
      </c>
      <c r="O797" s="19">
        <v>0</v>
      </c>
      <c r="P797" s="19">
        <v>0</v>
      </c>
      <c r="Q797" s="19">
        <v>0</v>
      </c>
      <c r="R797" s="19">
        <v>0</v>
      </c>
      <c r="S797" s="19">
        <v>0</v>
      </c>
      <c r="T797" s="19">
        <v>0</v>
      </c>
      <c r="U797" s="19">
        <v>0</v>
      </c>
      <c r="V797" s="19">
        <v>0</v>
      </c>
      <c r="W797" s="19">
        <v>0</v>
      </c>
      <c r="X797" s="19">
        <v>0</v>
      </c>
      <c r="Y797" s="20">
        <v>0</v>
      </c>
      <c r="Z797" s="19">
        <v>0</v>
      </c>
      <c r="AA797" s="19">
        <v>0</v>
      </c>
      <c r="AB797" t="str">
        <f>VLOOKUP(E:E,笔记匹配!A:N,3,FALSE)</f>
        <v>Lucas雨田</v>
      </c>
      <c r="AC797" t="str">
        <f>VLOOKUP(E:E,笔记匹配!A:N,2,FALSE)</f>
        <v>筋膜枪</v>
      </c>
      <c r="AD797" t="str">
        <f>VLOOKUP(E:E,笔记匹配!A:N,4,FALSE)</f>
        <v>云麦筋膜枪PB2</v>
      </c>
      <c r="AE797" t="str">
        <f>VLOOKUP(E:E,笔记匹配!A:N,14,FALSE)</f>
        <v>云麦筋膜枪pb2</v>
      </c>
      <c r="AF797" t="str">
        <f>VLOOKUP(E:E,笔记匹配!A:N,6,FALSE)</f>
        <v>2个游泳后的放松技巧⭐️自主拉伸、筋膜枪按摩</v>
      </c>
    </row>
    <row r="798" spans="1:32">
      <c r="A798" s="18" t="s">
        <v>116</v>
      </c>
      <c r="B798" s="18" t="s">
        <v>1212</v>
      </c>
      <c r="C798" s="19">
        <v>19316774</v>
      </c>
      <c r="D798" s="18" t="s">
        <v>196</v>
      </c>
      <c r="E798" s="18" t="s">
        <v>581</v>
      </c>
      <c r="F798" s="18" t="s">
        <v>1210</v>
      </c>
      <c r="G798" s="19">
        <v>4178883</v>
      </c>
      <c r="H798" s="18" t="s">
        <v>1211</v>
      </c>
      <c r="I798" s="19">
        <v>3561099</v>
      </c>
      <c r="J798" s="18" t="s">
        <v>1015</v>
      </c>
      <c r="K798" s="19">
        <v>0</v>
      </c>
      <c r="L798" s="19">
        <v>0</v>
      </c>
      <c r="M798" s="19">
        <v>0</v>
      </c>
      <c r="N798" s="20">
        <v>0</v>
      </c>
      <c r="O798" s="19">
        <v>0</v>
      </c>
      <c r="P798" s="19">
        <v>0</v>
      </c>
      <c r="Q798" s="19">
        <v>0</v>
      </c>
      <c r="R798" s="19">
        <v>0</v>
      </c>
      <c r="S798" s="19">
        <v>0</v>
      </c>
      <c r="T798" s="19">
        <v>0</v>
      </c>
      <c r="U798" s="19">
        <v>0</v>
      </c>
      <c r="V798" s="19">
        <v>0</v>
      </c>
      <c r="W798" s="19">
        <v>0</v>
      </c>
      <c r="X798" s="19">
        <v>0</v>
      </c>
      <c r="Y798" s="20">
        <v>0</v>
      </c>
      <c r="Z798" s="19">
        <v>0</v>
      </c>
      <c r="AA798" s="19">
        <v>0</v>
      </c>
      <c r="AB798" t="str">
        <f>VLOOKUP(E:E,笔记匹配!A:N,3,FALSE)</f>
        <v>木子棋Kiki</v>
      </c>
      <c r="AC798" t="str">
        <f>VLOOKUP(E:E,笔记匹配!A:N,2,FALSE)</f>
        <v>筋膜枪</v>
      </c>
      <c r="AD798" t="str">
        <f>VLOOKUP(E:E,笔记匹配!A:N,4,FALSE)</f>
        <v>云麦筋膜枪PB2</v>
      </c>
      <c r="AE798" t="str">
        <f>VLOOKUP(E:E,笔记匹配!A:N,14,FALSE)</f>
        <v>云麦筋膜枪pb2</v>
      </c>
      <c r="AF798" t="str">
        <f>VLOOKUP(E:E,笔记匹配!A:N,6,FALSE)</f>
        <v>筋膜枪要怎么选❓3款不同类型筋膜枪测评‼️</v>
      </c>
    </row>
    <row r="799" spans="1:32">
      <c r="A799" s="18" t="s">
        <v>116</v>
      </c>
      <c r="B799" s="18" t="s">
        <v>1216</v>
      </c>
      <c r="C799" s="19">
        <v>19428860</v>
      </c>
      <c r="D799" s="18" t="s">
        <v>209</v>
      </c>
      <c r="E799" s="18" t="s">
        <v>573</v>
      </c>
      <c r="F799" s="18" t="s">
        <v>1218</v>
      </c>
      <c r="G799" s="19">
        <v>4228800</v>
      </c>
      <c r="H799" s="18" t="s">
        <v>1218</v>
      </c>
      <c r="I799" s="19">
        <v>3609716</v>
      </c>
      <c r="J799" s="18" t="s">
        <v>1015</v>
      </c>
      <c r="K799" s="19">
        <v>0</v>
      </c>
      <c r="L799" s="19">
        <v>0</v>
      </c>
      <c r="M799" s="19">
        <v>0</v>
      </c>
      <c r="N799" s="20">
        <v>0</v>
      </c>
      <c r="O799" s="19">
        <v>0</v>
      </c>
      <c r="P799" s="19">
        <v>0</v>
      </c>
      <c r="Q799" s="19">
        <v>0</v>
      </c>
      <c r="R799" s="19">
        <v>0</v>
      </c>
      <c r="S799" s="19">
        <v>0</v>
      </c>
      <c r="T799" s="19">
        <v>0</v>
      </c>
      <c r="U799" s="19">
        <v>0</v>
      </c>
      <c r="V799" s="19">
        <v>0</v>
      </c>
      <c r="W799" s="19">
        <v>0</v>
      </c>
      <c r="X799" s="19">
        <v>0</v>
      </c>
      <c r="Y799" s="20">
        <v>0</v>
      </c>
      <c r="Z799" s="19">
        <v>0</v>
      </c>
      <c r="AA799" s="19">
        <v>0</v>
      </c>
      <c r="AB799" t="str">
        <f>VLOOKUP(E:E,笔记匹配!A:N,3,FALSE)</f>
        <v>JJJJackson</v>
      </c>
      <c r="AC799" t="str">
        <f>VLOOKUP(E:E,笔记匹配!A:N,2,FALSE)</f>
        <v>筋膜枪</v>
      </c>
      <c r="AD799" t="str">
        <f>VLOOKUP(E:E,笔记匹配!A:N,4,FALSE)</f>
        <v>云麦筋膜枪PB2</v>
      </c>
      <c r="AE799" t="str">
        <f>VLOOKUP(E:E,笔记匹配!A:N,14,FALSE)</f>
        <v>云麦筋膜枪pb2</v>
      </c>
      <c r="AF799" t="str">
        <f>VLOOKUP(E:E,笔记匹配!A:N,6,FALSE)</f>
        <v>健身好物｜筋膜枪真的是放松神器！</v>
      </c>
    </row>
    <row r="800" spans="1:32">
      <c r="A800" s="18" t="s">
        <v>116</v>
      </c>
      <c r="B800" s="18" t="s">
        <v>1223</v>
      </c>
      <c r="C800" s="19">
        <v>19607601</v>
      </c>
      <c r="D800" s="18" t="s">
        <v>209</v>
      </c>
      <c r="E800" s="18" t="s">
        <v>570</v>
      </c>
      <c r="F800" s="18" t="s">
        <v>834</v>
      </c>
      <c r="G800" s="19">
        <v>4314778</v>
      </c>
      <c r="H800" s="18" t="s">
        <v>1224</v>
      </c>
      <c r="I800" s="19">
        <v>3692242</v>
      </c>
      <c r="J800" s="18" t="s">
        <v>1015</v>
      </c>
      <c r="K800" s="19">
        <v>11.98</v>
      </c>
      <c r="L800" s="19">
        <v>483</v>
      </c>
      <c r="M800" s="19">
        <v>37</v>
      </c>
      <c r="N800" s="20">
        <v>0.0766</v>
      </c>
      <c r="O800" s="19">
        <v>0.32</v>
      </c>
      <c r="P800" s="19">
        <v>24.8</v>
      </c>
      <c r="Q800" s="19">
        <v>3</v>
      </c>
      <c r="R800" s="19">
        <v>0</v>
      </c>
      <c r="S800" s="19">
        <v>1</v>
      </c>
      <c r="T800" s="19">
        <v>0</v>
      </c>
      <c r="U800" s="19">
        <v>0</v>
      </c>
      <c r="V800" s="19">
        <v>4</v>
      </c>
      <c r="W800" s="19">
        <v>3</v>
      </c>
      <c r="X800" s="19">
        <v>0</v>
      </c>
      <c r="Y800" s="20">
        <v>0</v>
      </c>
      <c r="Z800" s="19">
        <v>0</v>
      </c>
      <c r="AA800" s="19">
        <v>0</v>
      </c>
      <c r="AB800" t="str">
        <f>VLOOKUP(E:E,笔记匹配!A:N,3,FALSE)</f>
        <v>国产收音机X</v>
      </c>
      <c r="AC800" t="str">
        <f>VLOOKUP(E:E,笔记匹配!A:N,2,FALSE)</f>
        <v>筋膜枪</v>
      </c>
      <c r="AD800" t="str">
        <f>VLOOKUP(E:E,笔记匹配!A:N,4,FALSE)</f>
        <v>云麦筋膜枪PB2</v>
      </c>
      <c r="AE800" t="str">
        <f>VLOOKUP(E:E,笔记匹配!A:N,14,FALSE)</f>
        <v>云麦筋膜枪pb2</v>
      </c>
      <c r="AF800" t="str">
        <f>VLOOKUP(E:E,笔记匹配!A:N,6,FALSE)</f>
        <v>别再怕爬山 / 徒步后放松教程</v>
      </c>
    </row>
    <row r="801" spans="1:32">
      <c r="A801" s="18" t="s">
        <v>116</v>
      </c>
      <c r="B801" s="18" t="s">
        <v>1223</v>
      </c>
      <c r="C801" s="19">
        <v>19607721</v>
      </c>
      <c r="D801" s="18" t="s">
        <v>209</v>
      </c>
      <c r="E801" s="18" t="s">
        <v>575</v>
      </c>
      <c r="F801" s="18" t="s">
        <v>837</v>
      </c>
      <c r="G801" s="19">
        <v>4314821</v>
      </c>
      <c r="H801" s="18" t="s">
        <v>1225</v>
      </c>
      <c r="I801" s="19">
        <v>3692290</v>
      </c>
      <c r="J801" s="18" t="s">
        <v>1015</v>
      </c>
      <c r="K801" s="19">
        <v>0</v>
      </c>
      <c r="L801" s="19">
        <v>0</v>
      </c>
      <c r="M801" s="19">
        <v>0</v>
      </c>
      <c r="N801" s="20">
        <v>0</v>
      </c>
      <c r="O801" s="19">
        <v>0</v>
      </c>
      <c r="P801" s="19">
        <v>0</v>
      </c>
      <c r="Q801" s="19">
        <v>0</v>
      </c>
      <c r="R801" s="19">
        <v>0</v>
      </c>
      <c r="S801" s="19">
        <v>0</v>
      </c>
      <c r="T801" s="19">
        <v>0</v>
      </c>
      <c r="U801" s="19">
        <v>0</v>
      </c>
      <c r="V801" s="19">
        <v>0</v>
      </c>
      <c r="W801" s="19">
        <v>0</v>
      </c>
      <c r="X801" s="19">
        <v>0</v>
      </c>
      <c r="Y801" s="20">
        <v>0</v>
      </c>
      <c r="Z801" s="19">
        <v>0</v>
      </c>
      <c r="AA801" s="19">
        <v>0</v>
      </c>
      <c r="AB801" t="str">
        <f>VLOOKUP(E:E,笔记匹配!A:N,3,FALSE)</f>
        <v>跑酷莫承烽</v>
      </c>
      <c r="AC801" t="str">
        <f>VLOOKUP(E:E,笔记匹配!A:N,2,FALSE)</f>
        <v>筋膜枪</v>
      </c>
      <c r="AD801" t="str">
        <f>VLOOKUP(E:E,笔记匹配!A:N,4,FALSE)</f>
        <v>云麦筋膜枪pb2</v>
      </c>
      <c r="AE801" t="str">
        <f>VLOOKUP(E:E,笔记匹配!A:N,14,FALSE)</f>
        <v>云麦筋膜枪pb2</v>
      </c>
      <c r="AF801" t="str">
        <f>VLOOKUP(E:E,笔记匹配!A:N,6,FALSE)</f>
        <v>职业跑酷运动员|自用筋膜枪推荐</v>
      </c>
    </row>
    <row r="802" spans="1:32">
      <c r="A802" s="18" t="s">
        <v>116</v>
      </c>
      <c r="B802" s="18" t="s">
        <v>1226</v>
      </c>
      <c r="C802" s="19">
        <v>19713110</v>
      </c>
      <c r="D802" s="18" t="s">
        <v>209</v>
      </c>
      <c r="E802" s="18" t="s">
        <v>568</v>
      </c>
      <c r="F802" s="18" t="s">
        <v>1227</v>
      </c>
      <c r="G802" s="19">
        <v>4365075</v>
      </c>
      <c r="H802" s="18" t="s">
        <v>1228</v>
      </c>
      <c r="I802" s="19">
        <v>3739182</v>
      </c>
      <c r="J802" s="18" t="s">
        <v>1015</v>
      </c>
      <c r="K802" s="19">
        <v>11.78</v>
      </c>
      <c r="L802" s="19">
        <v>938</v>
      </c>
      <c r="M802" s="19">
        <v>59</v>
      </c>
      <c r="N802" s="20">
        <v>0.0629</v>
      </c>
      <c r="O802" s="19">
        <v>0.2</v>
      </c>
      <c r="P802" s="19">
        <v>12.56</v>
      </c>
      <c r="Q802" s="19">
        <v>1</v>
      </c>
      <c r="R802" s="19">
        <v>0</v>
      </c>
      <c r="S802" s="19">
        <v>0</v>
      </c>
      <c r="T802" s="19">
        <v>0</v>
      </c>
      <c r="U802" s="19">
        <v>0</v>
      </c>
      <c r="V802" s="19">
        <v>1</v>
      </c>
      <c r="W802" s="19">
        <v>11.78</v>
      </c>
      <c r="X802" s="19">
        <v>0</v>
      </c>
      <c r="Y802" s="20">
        <v>0</v>
      </c>
      <c r="Z802" s="19">
        <v>0</v>
      </c>
      <c r="AA802" s="19">
        <v>0</v>
      </c>
      <c r="AB802" t="str">
        <f>VLOOKUP(E:E,笔记匹配!A:N,3,FALSE)</f>
        <v>小刘爱游泳</v>
      </c>
      <c r="AC802" t="str">
        <f>VLOOKUP(E:E,笔记匹配!A:N,2,FALSE)</f>
        <v>筋膜枪</v>
      </c>
      <c r="AD802" t="str">
        <f>VLOOKUP(E:E,笔记匹配!A:N,4,FALSE)</f>
        <v>云麦筋膜枪pb2</v>
      </c>
      <c r="AE802" t="str">
        <f>VLOOKUP(E:E,笔记匹配!A:N,14,FALSE)</f>
        <v>云麦筋膜枪pb2</v>
      </c>
      <c r="AF802" t="str">
        <f>VLOOKUP(E:E,笔记匹配!A:N,6,FALSE)</f>
        <v>游泳后全身酸痛怎么办？拉伸&amp;筋膜枪按摩</v>
      </c>
    </row>
    <row r="803" spans="1:32">
      <c r="A803" s="18" t="s">
        <v>116</v>
      </c>
      <c r="B803" s="18" t="s">
        <v>1229</v>
      </c>
      <c r="C803" s="19">
        <v>19752470</v>
      </c>
      <c r="D803" s="18" t="s">
        <v>209</v>
      </c>
      <c r="E803" s="18" t="s">
        <v>300</v>
      </c>
      <c r="F803" s="18" t="s">
        <v>1230</v>
      </c>
      <c r="G803" s="19">
        <v>4384092</v>
      </c>
      <c r="H803" s="18" t="s">
        <v>1230</v>
      </c>
      <c r="I803" s="19">
        <v>3756475</v>
      </c>
      <c r="J803" s="18" t="s">
        <v>1015</v>
      </c>
      <c r="K803" s="19">
        <v>1713.99</v>
      </c>
      <c r="L803" s="19">
        <v>105162</v>
      </c>
      <c r="M803" s="19">
        <v>5076</v>
      </c>
      <c r="N803" s="20">
        <v>0.0483</v>
      </c>
      <c r="O803" s="19">
        <v>0.34</v>
      </c>
      <c r="P803" s="19">
        <v>16.3</v>
      </c>
      <c r="Q803" s="19">
        <v>150</v>
      </c>
      <c r="R803" s="19">
        <v>0</v>
      </c>
      <c r="S803" s="19">
        <v>30</v>
      </c>
      <c r="T803" s="19">
        <v>38</v>
      </c>
      <c r="U803" s="19">
        <v>4</v>
      </c>
      <c r="V803" s="19">
        <v>222</v>
      </c>
      <c r="W803" s="19">
        <v>7.72</v>
      </c>
      <c r="X803" s="19">
        <v>0</v>
      </c>
      <c r="Y803" s="20">
        <v>0</v>
      </c>
      <c r="Z803" s="19">
        <v>2</v>
      </c>
      <c r="AA803" s="19">
        <v>3</v>
      </c>
      <c r="AB803" t="str">
        <f>VLOOKUP(E:E,笔记匹配!A:N,3,FALSE)</f>
        <v>朱俊畅</v>
      </c>
      <c r="AC803" t="str">
        <f>VLOOKUP(E:E,笔记匹配!A:N,2,FALSE)</f>
        <v>筋膜枪</v>
      </c>
      <c r="AD803" t="str">
        <f>VLOOKUP(E:E,笔记匹配!A:N,4,FALSE)</f>
        <v>云麦筋膜枪PB2</v>
      </c>
      <c r="AE803" t="str">
        <f>VLOOKUP(E:E,笔记匹配!A:N,14,FALSE)</f>
        <v>云麦筋膜枪pb2</v>
      </c>
      <c r="AF803" t="str">
        <f>VLOOKUP(E:E,笔记匹配!A:N,6,FALSE)</f>
        <v>打球完容易肌肉酸痛，筋膜枪放松更有效！</v>
      </c>
    </row>
    <row r="804" spans="1:32">
      <c r="A804" s="18" t="s">
        <v>117</v>
      </c>
      <c r="B804" s="18" t="s">
        <v>1164</v>
      </c>
      <c r="C804" s="19">
        <v>18170615</v>
      </c>
      <c r="D804" s="18" t="s">
        <v>209</v>
      </c>
      <c r="E804" s="18" t="s">
        <v>205</v>
      </c>
      <c r="F804" s="18" t="s">
        <v>1165</v>
      </c>
      <c r="G804" s="19">
        <v>3639848</v>
      </c>
      <c r="H804" s="18" t="s">
        <v>1166</v>
      </c>
      <c r="I804" s="19">
        <v>3024741</v>
      </c>
      <c r="J804" s="18" t="s">
        <v>1015</v>
      </c>
      <c r="K804" s="19">
        <v>0</v>
      </c>
      <c r="L804" s="19">
        <v>0</v>
      </c>
      <c r="M804" s="19">
        <v>0</v>
      </c>
      <c r="N804" s="20">
        <v>0</v>
      </c>
      <c r="O804" s="19">
        <v>0</v>
      </c>
      <c r="P804" s="19">
        <v>0</v>
      </c>
      <c r="Q804" s="19">
        <v>0</v>
      </c>
      <c r="R804" s="19">
        <v>0</v>
      </c>
      <c r="S804" s="19">
        <v>0</v>
      </c>
      <c r="T804" s="19">
        <v>0</v>
      </c>
      <c r="U804" s="19">
        <v>0</v>
      </c>
      <c r="V804" s="19">
        <v>0</v>
      </c>
      <c r="W804" s="19">
        <v>0</v>
      </c>
      <c r="X804" s="19">
        <v>0</v>
      </c>
      <c r="Y804" s="20">
        <v>0</v>
      </c>
      <c r="Z804" s="19">
        <v>0</v>
      </c>
      <c r="AA804" s="19">
        <v>0</v>
      </c>
      <c r="AB804" t="str">
        <f>VLOOKUP(E:E,笔记匹配!A:N,3,FALSE)</f>
        <v>马可乐cora</v>
      </c>
      <c r="AC804" t="str">
        <f>VLOOKUP(E:E,笔记匹配!A:N,2,FALSE)</f>
        <v>筋膜枪</v>
      </c>
      <c r="AD804" t="str">
        <f>VLOOKUP(E:E,笔记匹配!A:N,4,FALSE)</f>
        <v>云麦筋膜枪PB2</v>
      </c>
      <c r="AE804" t="str">
        <f>VLOOKUP(E:E,笔记匹配!A:N,14,FALSE)</f>
        <v>云麦筋膜枪pb2</v>
      </c>
      <c r="AF804" t="str">
        <f>VLOOKUP(E:E,笔记匹配!A:N,6,FALSE)</f>
        <v>跳操的姐妹听我的用筋膜枪放松下肢真的有用</v>
      </c>
    </row>
    <row r="805" spans="1:32">
      <c r="A805" s="18" t="s">
        <v>117</v>
      </c>
      <c r="B805" s="18" t="s">
        <v>1189</v>
      </c>
      <c r="C805" s="19">
        <v>19010467</v>
      </c>
      <c r="D805" s="18" t="s">
        <v>209</v>
      </c>
      <c r="E805" s="18" t="s">
        <v>300</v>
      </c>
      <c r="F805" s="18" t="s">
        <v>1191</v>
      </c>
      <c r="G805" s="19">
        <v>4039162</v>
      </c>
      <c r="H805" s="18" t="s">
        <v>1191</v>
      </c>
      <c r="I805" s="19">
        <v>3422446</v>
      </c>
      <c r="J805" s="18" t="s">
        <v>1015</v>
      </c>
      <c r="K805" s="19">
        <v>3.41</v>
      </c>
      <c r="L805" s="19">
        <v>115</v>
      </c>
      <c r="M805" s="19">
        <v>8</v>
      </c>
      <c r="N805" s="20">
        <v>0.0696</v>
      </c>
      <c r="O805" s="19">
        <v>0.43</v>
      </c>
      <c r="P805" s="19">
        <v>29.65</v>
      </c>
      <c r="Q805" s="19">
        <v>0</v>
      </c>
      <c r="R805" s="19">
        <v>0</v>
      </c>
      <c r="S805" s="19">
        <v>0</v>
      </c>
      <c r="T805" s="19">
        <v>0</v>
      </c>
      <c r="U805" s="19">
        <v>0</v>
      </c>
      <c r="V805" s="19">
        <v>0</v>
      </c>
      <c r="W805" s="19">
        <v>0</v>
      </c>
      <c r="X805" s="19">
        <v>0</v>
      </c>
      <c r="Y805" s="20">
        <v>0</v>
      </c>
      <c r="Z805" s="19">
        <v>0</v>
      </c>
      <c r="AA805" s="19">
        <v>0</v>
      </c>
      <c r="AB805" t="str">
        <f>VLOOKUP(E:E,笔记匹配!A:N,3,FALSE)</f>
        <v>朱俊畅</v>
      </c>
      <c r="AC805" t="str">
        <f>VLOOKUP(E:E,笔记匹配!A:N,2,FALSE)</f>
        <v>筋膜枪</v>
      </c>
      <c r="AD805" t="str">
        <f>VLOOKUP(E:E,笔记匹配!A:N,4,FALSE)</f>
        <v>云麦筋膜枪PB2</v>
      </c>
      <c r="AE805" t="str">
        <f>VLOOKUP(E:E,笔记匹配!A:N,14,FALSE)</f>
        <v>云麦筋膜枪pb2</v>
      </c>
      <c r="AF805" t="str">
        <f>VLOOKUP(E:E,笔记匹配!A:N,6,FALSE)</f>
        <v>打球完容易肌肉酸痛，筋膜枪放松更有效！</v>
      </c>
    </row>
    <row r="806" spans="1:32">
      <c r="A806" s="18" t="s">
        <v>117</v>
      </c>
      <c r="B806" s="18" t="s">
        <v>1196</v>
      </c>
      <c r="C806" s="19">
        <v>19054497</v>
      </c>
      <c r="D806" s="18" t="s">
        <v>209</v>
      </c>
      <c r="E806" s="18" t="s">
        <v>452</v>
      </c>
      <c r="F806" s="18" t="s">
        <v>1198</v>
      </c>
      <c r="G806" s="19">
        <v>4059827</v>
      </c>
      <c r="H806" s="18" t="s">
        <v>1198</v>
      </c>
      <c r="I806" s="19">
        <v>3442591</v>
      </c>
      <c r="J806" s="18" t="s">
        <v>1015</v>
      </c>
      <c r="K806" s="19">
        <v>0</v>
      </c>
      <c r="L806" s="19">
        <v>0</v>
      </c>
      <c r="M806" s="19">
        <v>0</v>
      </c>
      <c r="N806" s="20">
        <v>0</v>
      </c>
      <c r="O806" s="19">
        <v>0</v>
      </c>
      <c r="P806" s="19">
        <v>0</v>
      </c>
      <c r="Q806" s="19">
        <v>0</v>
      </c>
      <c r="R806" s="19">
        <v>0</v>
      </c>
      <c r="S806" s="19">
        <v>0</v>
      </c>
      <c r="T806" s="19">
        <v>0</v>
      </c>
      <c r="U806" s="19">
        <v>0</v>
      </c>
      <c r="V806" s="19">
        <v>0</v>
      </c>
      <c r="W806" s="19">
        <v>0</v>
      </c>
      <c r="X806" s="19">
        <v>0</v>
      </c>
      <c r="Y806" s="20">
        <v>0</v>
      </c>
      <c r="Z806" s="19">
        <v>0</v>
      </c>
      <c r="AA806" s="19">
        <v>0</v>
      </c>
      <c r="AB806" t="str">
        <f>VLOOKUP(E:E,笔记匹配!A:N,3,FALSE)</f>
        <v>Bruce小厮</v>
      </c>
      <c r="AC806" t="str">
        <f>VLOOKUP(E:E,笔记匹配!A:N,2,FALSE)</f>
        <v>筋膜枪</v>
      </c>
      <c r="AD806" t="str">
        <f>VLOOKUP(E:E,笔记匹配!A:N,4,FALSE)</f>
        <v>云麦筋膜枪PB2</v>
      </c>
      <c r="AE806" t="str">
        <f>VLOOKUP(E:E,笔记匹配!A:N,14,FALSE)</f>
        <v>云麦筋膜枪pb2</v>
      </c>
      <c r="AF806" t="str">
        <f>VLOOKUP(E:E,笔记匹配!A:N,6,FALSE)</f>
        <v>女生练球后如何拉伸按摩，筋膜枪放松！！</v>
      </c>
    </row>
    <row r="807" spans="1:32">
      <c r="A807" s="18" t="s">
        <v>117</v>
      </c>
      <c r="B807" s="18" t="s">
        <v>1196</v>
      </c>
      <c r="C807" s="19">
        <v>19058466</v>
      </c>
      <c r="D807" s="18" t="s">
        <v>196</v>
      </c>
      <c r="E807" s="18" t="s">
        <v>296</v>
      </c>
      <c r="F807" s="18" t="s">
        <v>1199</v>
      </c>
      <c r="G807" s="19">
        <v>4061725</v>
      </c>
      <c r="H807" s="18" t="s">
        <v>1199</v>
      </c>
      <c r="I807" s="19">
        <v>3444458</v>
      </c>
      <c r="J807" s="18" t="s">
        <v>1015</v>
      </c>
      <c r="K807" s="19">
        <v>622.91</v>
      </c>
      <c r="L807" s="19">
        <v>36994</v>
      </c>
      <c r="M807" s="19">
        <v>2074</v>
      </c>
      <c r="N807" s="20">
        <v>0.0561</v>
      </c>
      <c r="O807" s="19">
        <v>0.3</v>
      </c>
      <c r="P807" s="19">
        <v>16.84</v>
      </c>
      <c r="Q807" s="19">
        <v>22</v>
      </c>
      <c r="R807" s="19">
        <v>0</v>
      </c>
      <c r="S807" s="19">
        <v>7</v>
      </c>
      <c r="T807" s="19">
        <v>1</v>
      </c>
      <c r="U807" s="19">
        <v>1</v>
      </c>
      <c r="V807" s="19">
        <v>31</v>
      </c>
      <c r="W807" s="19">
        <v>20.09</v>
      </c>
      <c r="X807" s="19">
        <v>38</v>
      </c>
      <c r="Y807" s="20">
        <v>0.0183</v>
      </c>
      <c r="Z807" s="19">
        <v>3</v>
      </c>
      <c r="AA807" s="19">
        <v>4</v>
      </c>
      <c r="AB807" t="str">
        <f>VLOOKUP(E:E,笔记匹配!A:N,3,FALSE)</f>
        <v>元气芥末酱</v>
      </c>
      <c r="AC807" t="str">
        <f>VLOOKUP(E:E,笔记匹配!A:N,2,FALSE)</f>
        <v>筋膜枪</v>
      </c>
      <c r="AD807" t="str">
        <f>VLOOKUP(E:E,笔记匹配!A:N,4,FALSE)</f>
        <v>云麦筋膜枪PB2</v>
      </c>
      <c r="AE807" t="str">
        <f>VLOOKUP(E:E,笔记匹配!A:N,14,FALSE)</f>
        <v>云麦筋膜枪pb2</v>
      </c>
      <c r="AF807" t="str">
        <f>VLOOKUP(E:E,笔记匹配!A:N,6,FALSE)</f>
        <v>小腿粗的姐妹信我！肌肉腿就要这样按！</v>
      </c>
    </row>
    <row r="808" spans="1:32">
      <c r="A808" s="18" t="s">
        <v>117</v>
      </c>
      <c r="B808" s="18" t="s">
        <v>1200</v>
      </c>
      <c r="C808" s="19">
        <v>19106863</v>
      </c>
      <c r="D808" s="18" t="s">
        <v>209</v>
      </c>
      <c r="E808" s="18" t="s">
        <v>201</v>
      </c>
      <c r="F808" s="18" t="s">
        <v>1202</v>
      </c>
      <c r="G808" s="19">
        <v>4084168</v>
      </c>
      <c r="H808" s="18" t="s">
        <v>1202</v>
      </c>
      <c r="I808" s="19">
        <v>3466674</v>
      </c>
      <c r="J808" s="18" t="s">
        <v>1015</v>
      </c>
      <c r="K808" s="19">
        <v>1007.71</v>
      </c>
      <c r="L808" s="19">
        <v>124983</v>
      </c>
      <c r="M808" s="19">
        <v>3694</v>
      </c>
      <c r="N808" s="20">
        <v>0.0296</v>
      </c>
      <c r="O808" s="19">
        <v>0.27</v>
      </c>
      <c r="P808" s="19">
        <v>8.06</v>
      </c>
      <c r="Q808" s="19">
        <v>76</v>
      </c>
      <c r="R808" s="19">
        <v>0</v>
      </c>
      <c r="S808" s="19">
        <v>30</v>
      </c>
      <c r="T808" s="19">
        <v>0</v>
      </c>
      <c r="U808" s="19">
        <v>3</v>
      </c>
      <c r="V808" s="19">
        <v>109</v>
      </c>
      <c r="W808" s="19">
        <v>9.25</v>
      </c>
      <c r="X808" s="19">
        <v>16</v>
      </c>
      <c r="Y808" s="20">
        <v>0.0043</v>
      </c>
      <c r="Z808" s="19">
        <v>8</v>
      </c>
      <c r="AA808" s="19">
        <v>4</v>
      </c>
      <c r="AB808" t="str">
        <f>VLOOKUP(E:E,笔记匹配!A:N,3,FALSE)</f>
        <v>包子熟了</v>
      </c>
      <c r="AC808" t="str">
        <f>VLOOKUP(E:E,笔记匹配!A:N,2,FALSE)</f>
        <v>筋膜枪</v>
      </c>
      <c r="AD808" t="str">
        <f>VLOOKUP(E:E,笔记匹配!A:N,4,FALSE)</f>
        <v>云麦筋膜枪</v>
      </c>
      <c r="AE808" t="str">
        <f>VLOOKUP(E:E,笔记匹配!A:N,14,FALSE)</f>
        <v>云麦筋膜枪pb2</v>
      </c>
      <c r="AF808" t="str">
        <f>VLOOKUP(E:E,笔记匹配!A:N,6,FALSE)</f>
        <v>筋膜枪测评|健身小白如何挑选筋膜枪？</v>
      </c>
    </row>
    <row r="809" spans="1:32">
      <c r="A809" s="18" t="s">
        <v>117</v>
      </c>
      <c r="B809" s="18" t="s">
        <v>1207</v>
      </c>
      <c r="C809" s="19">
        <v>19261230</v>
      </c>
      <c r="D809" s="18" t="s">
        <v>209</v>
      </c>
      <c r="E809" s="18" t="s">
        <v>579</v>
      </c>
      <c r="F809" s="18" t="s">
        <v>1208</v>
      </c>
      <c r="G809" s="19">
        <v>4155782</v>
      </c>
      <c r="H809" s="18" t="s">
        <v>1208</v>
      </c>
      <c r="I809" s="19">
        <v>3538615</v>
      </c>
      <c r="J809" s="18" t="s">
        <v>1015</v>
      </c>
      <c r="K809" s="19">
        <v>0</v>
      </c>
      <c r="L809" s="19">
        <v>0</v>
      </c>
      <c r="M809" s="19">
        <v>0</v>
      </c>
      <c r="N809" s="20">
        <v>0</v>
      </c>
      <c r="O809" s="19">
        <v>0</v>
      </c>
      <c r="P809" s="19">
        <v>0</v>
      </c>
      <c r="Q809" s="19">
        <v>0</v>
      </c>
      <c r="R809" s="19">
        <v>0</v>
      </c>
      <c r="S809" s="19">
        <v>0</v>
      </c>
      <c r="T809" s="19">
        <v>0</v>
      </c>
      <c r="U809" s="19">
        <v>0</v>
      </c>
      <c r="V809" s="19">
        <v>0</v>
      </c>
      <c r="W809" s="19">
        <v>0</v>
      </c>
      <c r="X809" s="19">
        <v>0</v>
      </c>
      <c r="Y809" s="20">
        <v>0</v>
      </c>
      <c r="Z809" s="19">
        <v>0</v>
      </c>
      <c r="AA809" s="19">
        <v>0</v>
      </c>
      <c r="AB809" t="str">
        <f>VLOOKUP(E:E,笔记匹配!A:N,3,FALSE)</f>
        <v>Lucas雨田</v>
      </c>
      <c r="AC809" t="str">
        <f>VLOOKUP(E:E,笔记匹配!A:N,2,FALSE)</f>
        <v>筋膜枪</v>
      </c>
      <c r="AD809" t="str">
        <f>VLOOKUP(E:E,笔记匹配!A:N,4,FALSE)</f>
        <v>云麦筋膜枪PB2</v>
      </c>
      <c r="AE809" t="str">
        <f>VLOOKUP(E:E,笔记匹配!A:N,14,FALSE)</f>
        <v>云麦筋膜枪pb2</v>
      </c>
      <c r="AF809" t="str">
        <f>VLOOKUP(E:E,笔记匹配!A:N,6,FALSE)</f>
        <v>2个游泳后的放松技巧⭐️自主拉伸、筋膜枪按摩</v>
      </c>
    </row>
    <row r="810" spans="1:32">
      <c r="A810" s="18" t="s">
        <v>117</v>
      </c>
      <c r="B810" s="18" t="s">
        <v>1216</v>
      </c>
      <c r="C810" s="19">
        <v>19428860</v>
      </c>
      <c r="D810" s="18" t="s">
        <v>209</v>
      </c>
      <c r="E810" s="18" t="s">
        <v>573</v>
      </c>
      <c r="F810" s="18" t="s">
        <v>1218</v>
      </c>
      <c r="G810" s="19">
        <v>4228800</v>
      </c>
      <c r="H810" s="18" t="s">
        <v>1218</v>
      </c>
      <c r="I810" s="19">
        <v>3609716</v>
      </c>
      <c r="J810" s="18" t="s">
        <v>1015</v>
      </c>
      <c r="K810" s="19">
        <v>0</v>
      </c>
      <c r="L810" s="19">
        <v>0</v>
      </c>
      <c r="M810" s="19">
        <v>0</v>
      </c>
      <c r="N810" s="20">
        <v>0</v>
      </c>
      <c r="O810" s="19">
        <v>0</v>
      </c>
      <c r="P810" s="19">
        <v>0</v>
      </c>
      <c r="Q810" s="19">
        <v>0</v>
      </c>
      <c r="R810" s="19">
        <v>0</v>
      </c>
      <c r="S810" s="19">
        <v>0</v>
      </c>
      <c r="T810" s="19">
        <v>0</v>
      </c>
      <c r="U810" s="19">
        <v>0</v>
      </c>
      <c r="V810" s="19">
        <v>0</v>
      </c>
      <c r="W810" s="19">
        <v>0</v>
      </c>
      <c r="X810" s="19">
        <v>0</v>
      </c>
      <c r="Y810" s="20">
        <v>0</v>
      </c>
      <c r="Z810" s="19">
        <v>0</v>
      </c>
      <c r="AA810" s="19">
        <v>0</v>
      </c>
      <c r="AB810" t="str">
        <f>VLOOKUP(E:E,笔记匹配!A:N,3,FALSE)</f>
        <v>JJJJackson</v>
      </c>
      <c r="AC810" t="str">
        <f>VLOOKUP(E:E,笔记匹配!A:N,2,FALSE)</f>
        <v>筋膜枪</v>
      </c>
      <c r="AD810" t="str">
        <f>VLOOKUP(E:E,笔记匹配!A:N,4,FALSE)</f>
        <v>云麦筋膜枪PB2</v>
      </c>
      <c r="AE810" t="str">
        <f>VLOOKUP(E:E,笔记匹配!A:N,14,FALSE)</f>
        <v>云麦筋膜枪pb2</v>
      </c>
      <c r="AF810" t="str">
        <f>VLOOKUP(E:E,笔记匹配!A:N,6,FALSE)</f>
        <v>健身好物｜筋膜枪真的是放松神器！</v>
      </c>
    </row>
    <row r="811" spans="1:32">
      <c r="A811" s="18" t="s">
        <v>117</v>
      </c>
      <c r="B811" s="18" t="s">
        <v>1223</v>
      </c>
      <c r="C811" s="19">
        <v>19607601</v>
      </c>
      <c r="D811" s="18" t="s">
        <v>209</v>
      </c>
      <c r="E811" s="18" t="s">
        <v>570</v>
      </c>
      <c r="F811" s="18" t="s">
        <v>834</v>
      </c>
      <c r="G811" s="19">
        <v>4314778</v>
      </c>
      <c r="H811" s="18" t="s">
        <v>1224</v>
      </c>
      <c r="I811" s="19">
        <v>3692242</v>
      </c>
      <c r="J811" s="18" t="s">
        <v>1015</v>
      </c>
      <c r="K811" s="19">
        <v>356.52</v>
      </c>
      <c r="L811" s="19">
        <v>18383</v>
      </c>
      <c r="M811" s="19">
        <v>1027</v>
      </c>
      <c r="N811" s="20">
        <v>0.0559</v>
      </c>
      <c r="O811" s="19">
        <v>0.35</v>
      </c>
      <c r="P811" s="19">
        <v>19.39</v>
      </c>
      <c r="Q811" s="19">
        <v>81</v>
      </c>
      <c r="R811" s="19">
        <v>3</v>
      </c>
      <c r="S811" s="19">
        <v>10</v>
      </c>
      <c r="T811" s="19">
        <v>14</v>
      </c>
      <c r="U811" s="19">
        <v>5</v>
      </c>
      <c r="V811" s="19">
        <v>113</v>
      </c>
      <c r="W811" s="19">
        <v>3.16</v>
      </c>
      <c r="X811" s="19">
        <v>0</v>
      </c>
      <c r="Y811" s="20">
        <v>0</v>
      </c>
      <c r="Z811" s="19">
        <v>0</v>
      </c>
      <c r="AA811" s="19">
        <v>0</v>
      </c>
      <c r="AB811" t="str">
        <f>VLOOKUP(E:E,笔记匹配!A:N,3,FALSE)</f>
        <v>国产收音机X</v>
      </c>
      <c r="AC811" t="str">
        <f>VLOOKUP(E:E,笔记匹配!A:N,2,FALSE)</f>
        <v>筋膜枪</v>
      </c>
      <c r="AD811" t="str">
        <f>VLOOKUP(E:E,笔记匹配!A:N,4,FALSE)</f>
        <v>云麦筋膜枪PB2</v>
      </c>
      <c r="AE811" t="str">
        <f>VLOOKUP(E:E,笔记匹配!A:N,14,FALSE)</f>
        <v>云麦筋膜枪pb2</v>
      </c>
      <c r="AF811" t="str">
        <f>VLOOKUP(E:E,笔记匹配!A:N,6,FALSE)</f>
        <v>别再怕爬山 / 徒步后放松教程</v>
      </c>
    </row>
    <row r="812" spans="1:32">
      <c r="A812" s="18" t="s">
        <v>117</v>
      </c>
      <c r="B812" s="18" t="s">
        <v>1223</v>
      </c>
      <c r="C812" s="19">
        <v>19607721</v>
      </c>
      <c r="D812" s="18" t="s">
        <v>209</v>
      </c>
      <c r="E812" s="18" t="s">
        <v>575</v>
      </c>
      <c r="F812" s="18" t="s">
        <v>837</v>
      </c>
      <c r="G812" s="19">
        <v>4314821</v>
      </c>
      <c r="H812" s="18" t="s">
        <v>1225</v>
      </c>
      <c r="I812" s="19">
        <v>3692290</v>
      </c>
      <c r="J812" s="18" t="s">
        <v>1015</v>
      </c>
      <c r="K812" s="19">
        <v>0</v>
      </c>
      <c r="L812" s="19">
        <v>0</v>
      </c>
      <c r="M812" s="19">
        <v>0</v>
      </c>
      <c r="N812" s="20">
        <v>0</v>
      </c>
      <c r="O812" s="19">
        <v>0</v>
      </c>
      <c r="P812" s="19">
        <v>0</v>
      </c>
      <c r="Q812" s="19">
        <v>0</v>
      </c>
      <c r="R812" s="19">
        <v>0</v>
      </c>
      <c r="S812" s="19">
        <v>0</v>
      </c>
      <c r="T812" s="19">
        <v>0</v>
      </c>
      <c r="U812" s="19">
        <v>0</v>
      </c>
      <c r="V812" s="19">
        <v>0</v>
      </c>
      <c r="W812" s="19">
        <v>0</v>
      </c>
      <c r="X812" s="19">
        <v>0</v>
      </c>
      <c r="Y812" s="20">
        <v>0</v>
      </c>
      <c r="Z812" s="19">
        <v>0</v>
      </c>
      <c r="AA812" s="19">
        <v>0</v>
      </c>
      <c r="AB812" t="str">
        <f>VLOOKUP(E:E,笔记匹配!A:N,3,FALSE)</f>
        <v>跑酷莫承烽</v>
      </c>
      <c r="AC812" t="str">
        <f>VLOOKUP(E:E,笔记匹配!A:N,2,FALSE)</f>
        <v>筋膜枪</v>
      </c>
      <c r="AD812" t="str">
        <f>VLOOKUP(E:E,笔记匹配!A:N,4,FALSE)</f>
        <v>云麦筋膜枪pb2</v>
      </c>
      <c r="AE812" t="str">
        <f>VLOOKUP(E:E,笔记匹配!A:N,14,FALSE)</f>
        <v>云麦筋膜枪pb2</v>
      </c>
      <c r="AF812" t="str">
        <f>VLOOKUP(E:E,笔记匹配!A:N,6,FALSE)</f>
        <v>职业跑酷运动员|自用筋膜枪推荐</v>
      </c>
    </row>
    <row r="813" spans="1:32">
      <c r="A813" s="18" t="s">
        <v>117</v>
      </c>
      <c r="B813" s="18" t="s">
        <v>1226</v>
      </c>
      <c r="C813" s="19">
        <v>19713077</v>
      </c>
      <c r="D813" s="18" t="s">
        <v>209</v>
      </c>
      <c r="E813" s="18" t="s">
        <v>317</v>
      </c>
      <c r="F813" s="18" t="s">
        <v>1231</v>
      </c>
      <c r="G813" s="19">
        <v>4365044</v>
      </c>
      <c r="H813" s="18" t="s">
        <v>1232</v>
      </c>
      <c r="I813" s="19">
        <v>3739155</v>
      </c>
      <c r="J813" s="18" t="s">
        <v>1015</v>
      </c>
      <c r="K813" s="19">
        <v>409.94</v>
      </c>
      <c r="L813" s="19">
        <v>24310</v>
      </c>
      <c r="M813" s="19">
        <v>1106</v>
      </c>
      <c r="N813" s="20">
        <v>0.0455</v>
      </c>
      <c r="O813" s="19">
        <v>0.37</v>
      </c>
      <c r="P813" s="19">
        <v>16.86</v>
      </c>
      <c r="Q813" s="19">
        <v>76</v>
      </c>
      <c r="R813" s="19">
        <v>2</v>
      </c>
      <c r="S813" s="19">
        <v>28</v>
      </c>
      <c r="T813" s="19">
        <v>0</v>
      </c>
      <c r="U813" s="19">
        <v>3</v>
      </c>
      <c r="V813" s="19">
        <v>109</v>
      </c>
      <c r="W813" s="19">
        <v>3.76</v>
      </c>
      <c r="X813" s="19">
        <v>0</v>
      </c>
      <c r="Y813" s="20">
        <v>0</v>
      </c>
      <c r="Z813" s="19">
        <v>8</v>
      </c>
      <c r="AA813" s="19">
        <v>2</v>
      </c>
      <c r="AB813" t="str">
        <f>VLOOKUP(E:E,笔记匹配!A:N,3,FALSE)</f>
        <v>小乔您了</v>
      </c>
      <c r="AC813" t="str">
        <f>VLOOKUP(E:E,笔记匹配!A:N,2,FALSE)</f>
        <v>筋膜枪</v>
      </c>
      <c r="AD813" t="str">
        <f>VLOOKUP(E:E,笔记匹配!A:N,4,FALSE)</f>
        <v>云麦筋膜枪pb2</v>
      </c>
      <c r="AE813" t="str">
        <f>VLOOKUP(E:E,笔记匹配!A:N,14,FALSE)</f>
        <v>云麦筋膜枪pb2</v>
      </c>
      <c r="AF813" t="str">
        <f>VLOOKUP(E:E,笔记匹配!A:N,6,FALSE)</f>
        <v>🆘哭了！筋膜枪细【脂包肌】小腿被我悟明白了！</v>
      </c>
    </row>
    <row r="814" spans="1:32">
      <c r="A814" s="18" t="s">
        <v>117</v>
      </c>
      <c r="B814" s="18" t="s">
        <v>1226</v>
      </c>
      <c r="C814" s="19">
        <v>19713110</v>
      </c>
      <c r="D814" s="18" t="s">
        <v>209</v>
      </c>
      <c r="E814" s="18" t="s">
        <v>568</v>
      </c>
      <c r="F814" s="18" t="s">
        <v>1227</v>
      </c>
      <c r="G814" s="19">
        <v>4365075</v>
      </c>
      <c r="H814" s="18" t="s">
        <v>1228</v>
      </c>
      <c r="I814" s="19">
        <v>3739182</v>
      </c>
      <c r="J814" s="18" t="s">
        <v>1015</v>
      </c>
      <c r="K814" s="19">
        <v>0</v>
      </c>
      <c r="L814" s="19">
        <v>0</v>
      </c>
      <c r="M814" s="19">
        <v>0</v>
      </c>
      <c r="N814" s="20">
        <v>0</v>
      </c>
      <c r="O814" s="19">
        <v>0</v>
      </c>
      <c r="P814" s="19">
        <v>0</v>
      </c>
      <c r="Q814" s="19">
        <v>0</v>
      </c>
      <c r="R814" s="19">
        <v>0</v>
      </c>
      <c r="S814" s="19">
        <v>0</v>
      </c>
      <c r="T814" s="19">
        <v>0</v>
      </c>
      <c r="U814" s="19">
        <v>0</v>
      </c>
      <c r="V814" s="19">
        <v>0</v>
      </c>
      <c r="W814" s="19">
        <v>0</v>
      </c>
      <c r="X814" s="19">
        <v>0</v>
      </c>
      <c r="Y814" s="20">
        <v>0</v>
      </c>
      <c r="Z814" s="19">
        <v>0</v>
      </c>
      <c r="AA814" s="19">
        <v>0</v>
      </c>
      <c r="AB814" t="str">
        <f>VLOOKUP(E:E,笔记匹配!A:N,3,FALSE)</f>
        <v>小刘爱游泳</v>
      </c>
      <c r="AC814" t="str">
        <f>VLOOKUP(E:E,笔记匹配!A:N,2,FALSE)</f>
        <v>筋膜枪</v>
      </c>
      <c r="AD814" t="str">
        <f>VLOOKUP(E:E,笔记匹配!A:N,4,FALSE)</f>
        <v>云麦筋膜枪pb2</v>
      </c>
      <c r="AE814" t="str">
        <f>VLOOKUP(E:E,笔记匹配!A:N,14,FALSE)</f>
        <v>云麦筋膜枪pb2</v>
      </c>
      <c r="AF814" t="str">
        <f>VLOOKUP(E:E,笔记匹配!A:N,6,FALSE)</f>
        <v>游泳后全身酸痛怎么办？拉伸&amp;筋膜枪按摩</v>
      </c>
    </row>
    <row r="815" spans="1:32">
      <c r="A815" s="18" t="s">
        <v>117</v>
      </c>
      <c r="B815" s="18" t="s">
        <v>1229</v>
      </c>
      <c r="C815" s="19">
        <v>19752470</v>
      </c>
      <c r="D815" s="18" t="s">
        <v>209</v>
      </c>
      <c r="E815" s="18" t="s">
        <v>300</v>
      </c>
      <c r="F815" s="18" t="s">
        <v>1230</v>
      </c>
      <c r="G815" s="19">
        <v>4384092</v>
      </c>
      <c r="H815" s="18" t="s">
        <v>1230</v>
      </c>
      <c r="I815" s="19">
        <v>3756475</v>
      </c>
      <c r="J815" s="18" t="s">
        <v>1015</v>
      </c>
      <c r="K815" s="19">
        <v>41.1</v>
      </c>
      <c r="L815" s="19">
        <v>2723</v>
      </c>
      <c r="M815" s="19">
        <v>167</v>
      </c>
      <c r="N815" s="20">
        <v>0.0613</v>
      </c>
      <c r="O815" s="19">
        <v>0.25</v>
      </c>
      <c r="P815" s="19">
        <v>15.09</v>
      </c>
      <c r="Q815" s="19">
        <v>2</v>
      </c>
      <c r="R815" s="19">
        <v>0</v>
      </c>
      <c r="S815" s="19">
        <v>2</v>
      </c>
      <c r="T815" s="19">
        <v>2</v>
      </c>
      <c r="U815" s="19">
        <v>0</v>
      </c>
      <c r="V815" s="19">
        <v>6</v>
      </c>
      <c r="W815" s="19">
        <v>6.85</v>
      </c>
      <c r="X815" s="19">
        <v>0</v>
      </c>
      <c r="Y815" s="20">
        <v>0</v>
      </c>
      <c r="Z815" s="19">
        <v>0</v>
      </c>
      <c r="AA815" s="19">
        <v>0</v>
      </c>
      <c r="AB815" t="str">
        <f>VLOOKUP(E:E,笔记匹配!A:N,3,FALSE)</f>
        <v>朱俊畅</v>
      </c>
      <c r="AC815" t="str">
        <f>VLOOKUP(E:E,笔记匹配!A:N,2,FALSE)</f>
        <v>筋膜枪</v>
      </c>
      <c r="AD815" t="str">
        <f>VLOOKUP(E:E,笔记匹配!A:N,4,FALSE)</f>
        <v>云麦筋膜枪PB2</v>
      </c>
      <c r="AE815" t="str">
        <f>VLOOKUP(E:E,笔记匹配!A:N,14,FALSE)</f>
        <v>云麦筋膜枪pb2</v>
      </c>
      <c r="AF815" t="str">
        <f>VLOOKUP(E:E,笔记匹配!A:N,6,FALSE)</f>
        <v>打球完容易肌肉酸痛，筋膜枪放松更有效！</v>
      </c>
    </row>
    <row r="816" spans="1:32">
      <c r="A816" s="18" t="s">
        <v>118</v>
      </c>
      <c r="B816" s="18" t="s">
        <v>1164</v>
      </c>
      <c r="C816" s="19">
        <v>18170615</v>
      </c>
      <c r="D816" s="18" t="s">
        <v>209</v>
      </c>
      <c r="E816" s="18" t="s">
        <v>205</v>
      </c>
      <c r="F816" s="18" t="s">
        <v>1165</v>
      </c>
      <c r="G816" s="19">
        <v>3639848</v>
      </c>
      <c r="H816" s="18" t="s">
        <v>1166</v>
      </c>
      <c r="I816" s="19">
        <v>3024741</v>
      </c>
      <c r="J816" s="18" t="s">
        <v>1015</v>
      </c>
      <c r="K816" s="19">
        <v>0</v>
      </c>
      <c r="L816" s="19">
        <v>0</v>
      </c>
      <c r="M816" s="19">
        <v>0</v>
      </c>
      <c r="N816" s="20">
        <v>0</v>
      </c>
      <c r="O816" s="19">
        <v>0</v>
      </c>
      <c r="P816" s="19">
        <v>0</v>
      </c>
      <c r="Q816" s="19">
        <v>0</v>
      </c>
      <c r="R816" s="19">
        <v>0</v>
      </c>
      <c r="S816" s="19">
        <v>0</v>
      </c>
      <c r="T816" s="19">
        <v>0</v>
      </c>
      <c r="U816" s="19">
        <v>0</v>
      </c>
      <c r="V816" s="19">
        <v>0</v>
      </c>
      <c r="W816" s="19">
        <v>0</v>
      </c>
      <c r="X816" s="19">
        <v>0</v>
      </c>
      <c r="Y816" s="20">
        <v>0</v>
      </c>
      <c r="Z816" s="19">
        <v>0</v>
      </c>
      <c r="AA816" s="19">
        <v>0</v>
      </c>
      <c r="AB816" t="str">
        <f>VLOOKUP(E:E,笔记匹配!A:N,3,FALSE)</f>
        <v>马可乐cora</v>
      </c>
      <c r="AC816" t="str">
        <f>VLOOKUP(E:E,笔记匹配!A:N,2,FALSE)</f>
        <v>筋膜枪</v>
      </c>
      <c r="AD816" t="str">
        <f>VLOOKUP(E:E,笔记匹配!A:N,4,FALSE)</f>
        <v>云麦筋膜枪PB2</v>
      </c>
      <c r="AE816" t="str">
        <f>VLOOKUP(E:E,笔记匹配!A:N,14,FALSE)</f>
        <v>云麦筋膜枪pb2</v>
      </c>
      <c r="AF816" t="str">
        <f>VLOOKUP(E:E,笔记匹配!A:N,6,FALSE)</f>
        <v>跳操的姐妹听我的用筋膜枪放松下肢真的有用</v>
      </c>
    </row>
    <row r="817" spans="1:32">
      <c r="A817" s="18" t="s">
        <v>118</v>
      </c>
      <c r="B817" s="18" t="s">
        <v>1181</v>
      </c>
      <c r="C817" s="19">
        <v>18606961</v>
      </c>
      <c r="D817" s="18" t="s">
        <v>209</v>
      </c>
      <c r="E817" s="18" t="s">
        <v>289</v>
      </c>
      <c r="F817" s="18" t="s">
        <v>1183</v>
      </c>
      <c r="G817" s="19">
        <v>3851160</v>
      </c>
      <c r="H817" s="18" t="s">
        <v>1183</v>
      </c>
      <c r="I817" s="19">
        <v>3236289</v>
      </c>
      <c r="J817" s="18" t="s">
        <v>1015</v>
      </c>
      <c r="K817" s="19">
        <v>0</v>
      </c>
      <c r="L817" s="19">
        <v>0</v>
      </c>
      <c r="M817" s="19">
        <v>0</v>
      </c>
      <c r="N817" s="20">
        <v>0</v>
      </c>
      <c r="O817" s="19">
        <v>0</v>
      </c>
      <c r="P817" s="19">
        <v>0</v>
      </c>
      <c r="Q817" s="19">
        <v>0</v>
      </c>
      <c r="R817" s="19">
        <v>0</v>
      </c>
      <c r="S817" s="19">
        <v>0</v>
      </c>
      <c r="T817" s="19">
        <v>0</v>
      </c>
      <c r="U817" s="19">
        <v>0</v>
      </c>
      <c r="V817" s="19">
        <v>0</v>
      </c>
      <c r="W817" s="19">
        <v>0</v>
      </c>
      <c r="X817" s="19">
        <v>0</v>
      </c>
      <c r="Y817" s="20">
        <v>0</v>
      </c>
      <c r="Z817" s="19">
        <v>0</v>
      </c>
      <c r="AA817" s="19">
        <v>0</v>
      </c>
      <c r="AB817" t="str">
        <f>VLOOKUP(E:E,笔记匹配!A:N,3,FALSE)</f>
        <v>小蓝今天吃了没</v>
      </c>
      <c r="AC817" t="str">
        <f>VLOOKUP(E:E,笔记匹配!A:N,2,FALSE)</f>
        <v>筋膜枪</v>
      </c>
      <c r="AD817" t="str">
        <f>VLOOKUP(E:E,笔记匹配!A:N,4,FALSE)</f>
        <v>云麦 筋膜枪PB2</v>
      </c>
      <c r="AE817" t="str">
        <f>VLOOKUP(E:E,笔记匹配!A:N,14,FALSE)</f>
        <v>云麦筋膜枪pb2</v>
      </c>
      <c r="AF817" t="str">
        <f>VLOOKUP(E:E,笔记匹配!A:N,6,FALSE)</f>
        <v>筋膜枪正确用法！刘耕宏女孩永不认输</v>
      </c>
    </row>
    <row r="818" spans="1:32">
      <c r="A818" s="18" t="s">
        <v>118</v>
      </c>
      <c r="B818" s="18" t="s">
        <v>1196</v>
      </c>
      <c r="C818" s="19">
        <v>19054497</v>
      </c>
      <c r="D818" s="18" t="s">
        <v>209</v>
      </c>
      <c r="E818" s="18" t="s">
        <v>452</v>
      </c>
      <c r="F818" s="18" t="s">
        <v>1198</v>
      </c>
      <c r="G818" s="19">
        <v>4059827</v>
      </c>
      <c r="H818" s="18" t="s">
        <v>1198</v>
      </c>
      <c r="I818" s="19">
        <v>3442591</v>
      </c>
      <c r="J818" s="18" t="s">
        <v>1015</v>
      </c>
      <c r="K818" s="19">
        <v>0</v>
      </c>
      <c r="L818" s="19">
        <v>0</v>
      </c>
      <c r="M818" s="19">
        <v>0</v>
      </c>
      <c r="N818" s="20">
        <v>0</v>
      </c>
      <c r="O818" s="19">
        <v>0</v>
      </c>
      <c r="P818" s="19">
        <v>0</v>
      </c>
      <c r="Q818" s="19">
        <v>0</v>
      </c>
      <c r="R818" s="19">
        <v>0</v>
      </c>
      <c r="S818" s="19">
        <v>0</v>
      </c>
      <c r="T818" s="19">
        <v>0</v>
      </c>
      <c r="U818" s="19">
        <v>0</v>
      </c>
      <c r="V818" s="19">
        <v>0</v>
      </c>
      <c r="W818" s="19">
        <v>0</v>
      </c>
      <c r="X818" s="19">
        <v>0</v>
      </c>
      <c r="Y818" s="20">
        <v>0</v>
      </c>
      <c r="Z818" s="19">
        <v>0</v>
      </c>
      <c r="AA818" s="19">
        <v>0</v>
      </c>
      <c r="AB818" t="str">
        <f>VLOOKUP(E:E,笔记匹配!A:N,3,FALSE)</f>
        <v>Bruce小厮</v>
      </c>
      <c r="AC818" t="str">
        <f>VLOOKUP(E:E,笔记匹配!A:N,2,FALSE)</f>
        <v>筋膜枪</v>
      </c>
      <c r="AD818" t="str">
        <f>VLOOKUP(E:E,笔记匹配!A:N,4,FALSE)</f>
        <v>云麦筋膜枪PB2</v>
      </c>
      <c r="AE818" t="str">
        <f>VLOOKUP(E:E,笔记匹配!A:N,14,FALSE)</f>
        <v>云麦筋膜枪pb2</v>
      </c>
      <c r="AF818" t="str">
        <f>VLOOKUP(E:E,笔记匹配!A:N,6,FALSE)</f>
        <v>女生练球后如何拉伸按摩，筋膜枪放松！！</v>
      </c>
    </row>
    <row r="819" spans="1:32">
      <c r="A819" s="18" t="s">
        <v>118</v>
      </c>
      <c r="B819" s="18" t="s">
        <v>1196</v>
      </c>
      <c r="C819" s="19">
        <v>19058466</v>
      </c>
      <c r="D819" s="18" t="s">
        <v>196</v>
      </c>
      <c r="E819" s="18" t="s">
        <v>296</v>
      </c>
      <c r="F819" s="18" t="s">
        <v>1199</v>
      </c>
      <c r="G819" s="19">
        <v>4061725</v>
      </c>
      <c r="H819" s="18" t="s">
        <v>1199</v>
      </c>
      <c r="I819" s="19">
        <v>3444458</v>
      </c>
      <c r="J819" s="18" t="s">
        <v>1015</v>
      </c>
      <c r="K819" s="19">
        <v>515.16</v>
      </c>
      <c r="L819" s="19">
        <v>40768</v>
      </c>
      <c r="M819" s="19">
        <v>1654</v>
      </c>
      <c r="N819" s="20">
        <v>0.0406</v>
      </c>
      <c r="O819" s="19">
        <v>0.31</v>
      </c>
      <c r="P819" s="19">
        <v>12.64</v>
      </c>
      <c r="Q819" s="19">
        <v>19</v>
      </c>
      <c r="R819" s="19">
        <v>0</v>
      </c>
      <c r="S819" s="19">
        <v>10</v>
      </c>
      <c r="T819" s="19">
        <v>0</v>
      </c>
      <c r="U819" s="19">
        <v>0</v>
      </c>
      <c r="V819" s="19">
        <v>29</v>
      </c>
      <c r="W819" s="19">
        <v>17.76</v>
      </c>
      <c r="X819" s="19">
        <v>23</v>
      </c>
      <c r="Y819" s="20">
        <v>0.0139</v>
      </c>
      <c r="Z819" s="19">
        <v>4</v>
      </c>
      <c r="AA819" s="19">
        <v>5</v>
      </c>
      <c r="AB819" t="str">
        <f>VLOOKUP(E:E,笔记匹配!A:N,3,FALSE)</f>
        <v>元气芥末酱</v>
      </c>
      <c r="AC819" t="str">
        <f>VLOOKUP(E:E,笔记匹配!A:N,2,FALSE)</f>
        <v>筋膜枪</v>
      </c>
      <c r="AD819" t="str">
        <f>VLOOKUP(E:E,笔记匹配!A:N,4,FALSE)</f>
        <v>云麦筋膜枪PB2</v>
      </c>
      <c r="AE819" t="str">
        <f>VLOOKUP(E:E,笔记匹配!A:N,14,FALSE)</f>
        <v>云麦筋膜枪pb2</v>
      </c>
      <c r="AF819" t="str">
        <f>VLOOKUP(E:E,笔记匹配!A:N,6,FALSE)</f>
        <v>小腿粗的姐妹信我！肌肉腿就要这样按！</v>
      </c>
    </row>
    <row r="820" spans="1:32">
      <c r="A820" s="18" t="s">
        <v>118</v>
      </c>
      <c r="B820" s="18" t="s">
        <v>1200</v>
      </c>
      <c r="C820" s="19">
        <v>19106863</v>
      </c>
      <c r="D820" s="18" t="s">
        <v>209</v>
      </c>
      <c r="E820" s="18" t="s">
        <v>201</v>
      </c>
      <c r="F820" s="18" t="s">
        <v>1202</v>
      </c>
      <c r="G820" s="19">
        <v>4084168</v>
      </c>
      <c r="H820" s="18" t="s">
        <v>1202</v>
      </c>
      <c r="I820" s="19">
        <v>3466674</v>
      </c>
      <c r="J820" s="18" t="s">
        <v>1015</v>
      </c>
      <c r="K820" s="19">
        <v>810.38</v>
      </c>
      <c r="L820" s="19">
        <v>78470</v>
      </c>
      <c r="M820" s="19">
        <v>1969</v>
      </c>
      <c r="N820" s="20">
        <v>0.0251</v>
      </c>
      <c r="O820" s="19">
        <v>0.41</v>
      </c>
      <c r="P820" s="19">
        <v>10.33</v>
      </c>
      <c r="Q820" s="19">
        <v>67</v>
      </c>
      <c r="R820" s="19">
        <v>0</v>
      </c>
      <c r="S820" s="19">
        <v>29</v>
      </c>
      <c r="T820" s="19">
        <v>1</v>
      </c>
      <c r="U820" s="19">
        <v>4</v>
      </c>
      <c r="V820" s="19">
        <v>101</v>
      </c>
      <c r="W820" s="19">
        <v>8.02</v>
      </c>
      <c r="X820" s="19">
        <v>10</v>
      </c>
      <c r="Y820" s="20">
        <v>0.0051</v>
      </c>
      <c r="Z820" s="19">
        <v>3</v>
      </c>
      <c r="AA820" s="19">
        <v>7</v>
      </c>
      <c r="AB820" t="str">
        <f>VLOOKUP(E:E,笔记匹配!A:N,3,FALSE)</f>
        <v>包子熟了</v>
      </c>
      <c r="AC820" t="str">
        <f>VLOOKUP(E:E,笔记匹配!A:N,2,FALSE)</f>
        <v>筋膜枪</v>
      </c>
      <c r="AD820" t="str">
        <f>VLOOKUP(E:E,笔记匹配!A:N,4,FALSE)</f>
        <v>云麦筋膜枪</v>
      </c>
      <c r="AE820" t="str">
        <f>VLOOKUP(E:E,笔记匹配!A:N,14,FALSE)</f>
        <v>云麦筋膜枪pb2</v>
      </c>
      <c r="AF820" t="str">
        <f>VLOOKUP(E:E,笔记匹配!A:N,6,FALSE)</f>
        <v>筋膜枪测评|健身小白如何挑选筋膜枪？</v>
      </c>
    </row>
    <row r="821" spans="1:32">
      <c r="A821" s="18" t="s">
        <v>118</v>
      </c>
      <c r="B821" s="18" t="s">
        <v>1207</v>
      </c>
      <c r="C821" s="19">
        <v>19261230</v>
      </c>
      <c r="D821" s="18" t="s">
        <v>209</v>
      </c>
      <c r="E821" s="18" t="s">
        <v>579</v>
      </c>
      <c r="F821" s="18" t="s">
        <v>1208</v>
      </c>
      <c r="G821" s="19">
        <v>4155782</v>
      </c>
      <c r="H821" s="18" t="s">
        <v>1208</v>
      </c>
      <c r="I821" s="19">
        <v>3538615</v>
      </c>
      <c r="J821" s="18" t="s">
        <v>1015</v>
      </c>
      <c r="K821" s="19">
        <v>0</v>
      </c>
      <c r="L821" s="19">
        <v>0</v>
      </c>
      <c r="M821" s="19">
        <v>0</v>
      </c>
      <c r="N821" s="20">
        <v>0</v>
      </c>
      <c r="O821" s="19">
        <v>0</v>
      </c>
      <c r="P821" s="19">
        <v>0</v>
      </c>
      <c r="Q821" s="19">
        <v>0</v>
      </c>
      <c r="R821" s="19">
        <v>0</v>
      </c>
      <c r="S821" s="19">
        <v>0</v>
      </c>
      <c r="T821" s="19">
        <v>0</v>
      </c>
      <c r="U821" s="19">
        <v>0</v>
      </c>
      <c r="V821" s="19">
        <v>0</v>
      </c>
      <c r="W821" s="19">
        <v>0</v>
      </c>
      <c r="X821" s="19">
        <v>0</v>
      </c>
      <c r="Y821" s="20">
        <v>0</v>
      </c>
      <c r="Z821" s="19">
        <v>0</v>
      </c>
      <c r="AA821" s="19">
        <v>0</v>
      </c>
      <c r="AB821" t="str">
        <f>VLOOKUP(E:E,笔记匹配!A:N,3,FALSE)</f>
        <v>Lucas雨田</v>
      </c>
      <c r="AC821" t="str">
        <f>VLOOKUP(E:E,笔记匹配!A:N,2,FALSE)</f>
        <v>筋膜枪</v>
      </c>
      <c r="AD821" t="str">
        <f>VLOOKUP(E:E,笔记匹配!A:N,4,FALSE)</f>
        <v>云麦筋膜枪PB2</v>
      </c>
      <c r="AE821" t="str">
        <f>VLOOKUP(E:E,笔记匹配!A:N,14,FALSE)</f>
        <v>云麦筋膜枪pb2</v>
      </c>
      <c r="AF821" t="str">
        <f>VLOOKUP(E:E,笔记匹配!A:N,6,FALSE)</f>
        <v>2个游泳后的放松技巧⭐️自主拉伸、筋膜枪按摩</v>
      </c>
    </row>
    <row r="822" spans="1:32">
      <c r="A822" s="18" t="s">
        <v>118</v>
      </c>
      <c r="B822" s="18" t="s">
        <v>1223</v>
      </c>
      <c r="C822" s="19">
        <v>19607601</v>
      </c>
      <c r="D822" s="18" t="s">
        <v>209</v>
      </c>
      <c r="E822" s="18" t="s">
        <v>570</v>
      </c>
      <c r="F822" s="18" t="s">
        <v>834</v>
      </c>
      <c r="G822" s="19">
        <v>4314778</v>
      </c>
      <c r="H822" s="18" t="s">
        <v>1224</v>
      </c>
      <c r="I822" s="19">
        <v>3692242</v>
      </c>
      <c r="J822" s="18" t="s">
        <v>1015</v>
      </c>
      <c r="K822" s="19">
        <v>395.4</v>
      </c>
      <c r="L822" s="19">
        <v>30947</v>
      </c>
      <c r="M822" s="19">
        <v>1315</v>
      </c>
      <c r="N822" s="20">
        <v>0.0425</v>
      </c>
      <c r="O822" s="19">
        <v>0.3</v>
      </c>
      <c r="P822" s="19">
        <v>12.78</v>
      </c>
      <c r="Q822" s="19">
        <v>87</v>
      </c>
      <c r="R822" s="19">
        <v>6</v>
      </c>
      <c r="S822" s="19">
        <v>19</v>
      </c>
      <c r="T822" s="19">
        <v>11</v>
      </c>
      <c r="U822" s="19">
        <v>15</v>
      </c>
      <c r="V822" s="19">
        <v>138</v>
      </c>
      <c r="W822" s="19">
        <v>2.87</v>
      </c>
      <c r="X822" s="19">
        <v>0</v>
      </c>
      <c r="Y822" s="20">
        <v>0</v>
      </c>
      <c r="Z822" s="19">
        <v>0</v>
      </c>
      <c r="AA822" s="19">
        <v>0</v>
      </c>
      <c r="AB822" t="str">
        <f>VLOOKUP(E:E,笔记匹配!A:N,3,FALSE)</f>
        <v>国产收音机X</v>
      </c>
      <c r="AC822" t="str">
        <f>VLOOKUP(E:E,笔记匹配!A:N,2,FALSE)</f>
        <v>筋膜枪</v>
      </c>
      <c r="AD822" t="str">
        <f>VLOOKUP(E:E,笔记匹配!A:N,4,FALSE)</f>
        <v>云麦筋膜枪PB2</v>
      </c>
      <c r="AE822" t="str">
        <f>VLOOKUP(E:E,笔记匹配!A:N,14,FALSE)</f>
        <v>云麦筋膜枪pb2</v>
      </c>
      <c r="AF822" t="str">
        <f>VLOOKUP(E:E,笔记匹配!A:N,6,FALSE)</f>
        <v>别再怕爬山 / 徒步后放松教程</v>
      </c>
    </row>
    <row r="823" spans="1:32">
      <c r="A823" s="18" t="s">
        <v>118</v>
      </c>
      <c r="B823" s="18" t="s">
        <v>1226</v>
      </c>
      <c r="C823" s="19">
        <v>19713077</v>
      </c>
      <c r="D823" s="18" t="s">
        <v>209</v>
      </c>
      <c r="E823" s="18" t="s">
        <v>317</v>
      </c>
      <c r="F823" s="18" t="s">
        <v>1231</v>
      </c>
      <c r="G823" s="19">
        <v>4365044</v>
      </c>
      <c r="H823" s="18" t="s">
        <v>1232</v>
      </c>
      <c r="I823" s="19">
        <v>3739155</v>
      </c>
      <c r="J823" s="18" t="s">
        <v>1015</v>
      </c>
      <c r="K823" s="19">
        <v>1441.34</v>
      </c>
      <c r="L823" s="19">
        <v>84514</v>
      </c>
      <c r="M823" s="19">
        <v>2801</v>
      </c>
      <c r="N823" s="20">
        <v>0.0331</v>
      </c>
      <c r="O823" s="19">
        <v>0.51</v>
      </c>
      <c r="P823" s="19">
        <v>17.05</v>
      </c>
      <c r="Q823" s="19">
        <v>202</v>
      </c>
      <c r="R823" s="19">
        <v>4</v>
      </c>
      <c r="S823" s="19">
        <v>88</v>
      </c>
      <c r="T823" s="19">
        <v>0</v>
      </c>
      <c r="U823" s="19">
        <v>5</v>
      </c>
      <c r="V823" s="19">
        <v>299</v>
      </c>
      <c r="W823" s="19">
        <v>4.82</v>
      </c>
      <c r="X823" s="19">
        <v>0</v>
      </c>
      <c r="Y823" s="20">
        <v>0</v>
      </c>
      <c r="Z823" s="19">
        <v>30</v>
      </c>
      <c r="AA823" s="19">
        <v>7</v>
      </c>
      <c r="AB823" t="str">
        <f>VLOOKUP(E:E,笔记匹配!A:N,3,FALSE)</f>
        <v>小乔您了</v>
      </c>
      <c r="AC823" t="str">
        <f>VLOOKUP(E:E,笔记匹配!A:N,2,FALSE)</f>
        <v>筋膜枪</v>
      </c>
      <c r="AD823" t="str">
        <f>VLOOKUP(E:E,笔记匹配!A:N,4,FALSE)</f>
        <v>云麦筋膜枪pb2</v>
      </c>
      <c r="AE823" t="str">
        <f>VLOOKUP(E:E,笔记匹配!A:N,14,FALSE)</f>
        <v>云麦筋膜枪pb2</v>
      </c>
      <c r="AF823" t="str">
        <f>VLOOKUP(E:E,笔记匹配!A:N,6,FALSE)</f>
        <v>🆘哭了！筋膜枪细【脂包肌】小腿被我悟明白了！</v>
      </c>
    </row>
    <row r="824" spans="1:32">
      <c r="A824" s="18" t="s">
        <v>118</v>
      </c>
      <c r="B824" s="18" t="s">
        <v>1226</v>
      </c>
      <c r="C824" s="19">
        <v>19713110</v>
      </c>
      <c r="D824" s="18" t="s">
        <v>209</v>
      </c>
      <c r="E824" s="18" t="s">
        <v>568</v>
      </c>
      <c r="F824" s="18" t="s">
        <v>1227</v>
      </c>
      <c r="G824" s="19">
        <v>4365075</v>
      </c>
      <c r="H824" s="18" t="s">
        <v>1228</v>
      </c>
      <c r="I824" s="19">
        <v>3739182</v>
      </c>
      <c r="J824" s="18" t="s">
        <v>1015</v>
      </c>
      <c r="K824" s="19">
        <v>0</v>
      </c>
      <c r="L824" s="19">
        <v>0</v>
      </c>
      <c r="M824" s="19">
        <v>0</v>
      </c>
      <c r="N824" s="20">
        <v>0</v>
      </c>
      <c r="O824" s="19">
        <v>0</v>
      </c>
      <c r="P824" s="19">
        <v>0</v>
      </c>
      <c r="Q824" s="19">
        <v>0</v>
      </c>
      <c r="R824" s="19">
        <v>0</v>
      </c>
      <c r="S824" s="19">
        <v>0</v>
      </c>
      <c r="T824" s="19">
        <v>0</v>
      </c>
      <c r="U824" s="19">
        <v>0</v>
      </c>
      <c r="V824" s="19">
        <v>0</v>
      </c>
      <c r="W824" s="19">
        <v>0</v>
      </c>
      <c r="X824" s="19">
        <v>0</v>
      </c>
      <c r="Y824" s="20">
        <v>0</v>
      </c>
      <c r="Z824" s="19">
        <v>0</v>
      </c>
      <c r="AA824" s="19">
        <v>0</v>
      </c>
      <c r="AB824" t="str">
        <f>VLOOKUP(E:E,笔记匹配!A:N,3,FALSE)</f>
        <v>小刘爱游泳</v>
      </c>
      <c r="AC824" t="str">
        <f>VLOOKUP(E:E,笔记匹配!A:N,2,FALSE)</f>
        <v>筋膜枪</v>
      </c>
      <c r="AD824" t="str">
        <f>VLOOKUP(E:E,笔记匹配!A:N,4,FALSE)</f>
        <v>云麦筋膜枪pb2</v>
      </c>
      <c r="AE824" t="str">
        <f>VLOOKUP(E:E,笔记匹配!A:N,14,FALSE)</f>
        <v>云麦筋膜枪pb2</v>
      </c>
      <c r="AF824" t="str">
        <f>VLOOKUP(E:E,笔记匹配!A:N,6,FALSE)</f>
        <v>游泳后全身酸痛怎么办？拉伸&amp;筋膜枪按摩</v>
      </c>
    </row>
    <row r="825" spans="1:32">
      <c r="A825" s="18" t="s">
        <v>118</v>
      </c>
      <c r="B825" s="18" t="s">
        <v>1229</v>
      </c>
      <c r="C825" s="19">
        <v>19752470</v>
      </c>
      <c r="D825" s="18" t="s">
        <v>209</v>
      </c>
      <c r="E825" s="18" t="s">
        <v>300</v>
      </c>
      <c r="F825" s="18" t="s">
        <v>1230</v>
      </c>
      <c r="G825" s="19">
        <v>4384092</v>
      </c>
      <c r="H825" s="18" t="s">
        <v>1230</v>
      </c>
      <c r="I825" s="19">
        <v>3756475</v>
      </c>
      <c r="J825" s="18" t="s">
        <v>1015</v>
      </c>
      <c r="K825" s="19">
        <v>0</v>
      </c>
      <c r="L825" s="19">
        <v>0</v>
      </c>
      <c r="M825" s="19">
        <v>0</v>
      </c>
      <c r="N825" s="20">
        <v>0</v>
      </c>
      <c r="O825" s="19">
        <v>0</v>
      </c>
      <c r="P825" s="19">
        <v>0</v>
      </c>
      <c r="Q825" s="19">
        <v>0</v>
      </c>
      <c r="R825" s="19">
        <v>0</v>
      </c>
      <c r="S825" s="19">
        <v>0</v>
      </c>
      <c r="T825" s="19">
        <v>0</v>
      </c>
      <c r="U825" s="19">
        <v>0</v>
      </c>
      <c r="V825" s="19">
        <v>0</v>
      </c>
      <c r="W825" s="19">
        <v>0</v>
      </c>
      <c r="X825" s="19">
        <v>0</v>
      </c>
      <c r="Y825" s="20">
        <v>0</v>
      </c>
      <c r="Z825" s="19">
        <v>0</v>
      </c>
      <c r="AA825" s="19">
        <v>0</v>
      </c>
      <c r="AB825" t="str">
        <f>VLOOKUP(E:E,笔记匹配!A:N,3,FALSE)</f>
        <v>朱俊畅</v>
      </c>
      <c r="AC825" t="str">
        <f>VLOOKUP(E:E,笔记匹配!A:N,2,FALSE)</f>
        <v>筋膜枪</v>
      </c>
      <c r="AD825" t="str">
        <f>VLOOKUP(E:E,笔记匹配!A:N,4,FALSE)</f>
        <v>云麦筋膜枪PB2</v>
      </c>
      <c r="AE825" t="str">
        <f>VLOOKUP(E:E,笔记匹配!A:N,14,FALSE)</f>
        <v>云麦筋膜枪pb2</v>
      </c>
      <c r="AF825" t="str">
        <f>VLOOKUP(E:E,笔记匹配!A:N,6,FALSE)</f>
        <v>打球完容易肌肉酸痛，筋膜枪放松更有效！</v>
      </c>
    </row>
    <row r="826" spans="1:32">
      <c r="A826" s="18" t="s">
        <v>118</v>
      </c>
      <c r="B826" s="18" t="s">
        <v>1233</v>
      </c>
      <c r="C826" s="19">
        <v>19834935</v>
      </c>
      <c r="D826" s="18" t="s">
        <v>209</v>
      </c>
      <c r="E826" s="18" t="s">
        <v>274</v>
      </c>
      <c r="F826" s="18" t="s">
        <v>1234</v>
      </c>
      <c r="G826" s="19">
        <v>4425179</v>
      </c>
      <c r="H826" s="18" t="s">
        <v>1234</v>
      </c>
      <c r="I826" s="19">
        <v>3793911</v>
      </c>
      <c r="J826" s="18" t="s">
        <v>1015</v>
      </c>
      <c r="K826" s="19">
        <v>826.88</v>
      </c>
      <c r="L826" s="19">
        <v>182928</v>
      </c>
      <c r="M826" s="19">
        <v>2855</v>
      </c>
      <c r="N826" s="20">
        <v>0.0156</v>
      </c>
      <c r="O826" s="19">
        <v>0.29</v>
      </c>
      <c r="P826" s="19">
        <v>4.52</v>
      </c>
      <c r="Q826" s="19">
        <v>67</v>
      </c>
      <c r="R826" s="19">
        <v>0</v>
      </c>
      <c r="S826" s="19">
        <v>37</v>
      </c>
      <c r="T826" s="19">
        <v>1</v>
      </c>
      <c r="U826" s="19">
        <v>6</v>
      </c>
      <c r="V826" s="19">
        <v>111</v>
      </c>
      <c r="W826" s="19">
        <v>7.45</v>
      </c>
      <c r="X826" s="19">
        <v>0</v>
      </c>
      <c r="Y826" s="20">
        <v>0</v>
      </c>
      <c r="Z826" s="19">
        <v>10</v>
      </c>
      <c r="AA826" s="19">
        <v>5</v>
      </c>
      <c r="AB826" t="str">
        <f>VLOOKUP(E:E,笔记匹配!A:N,3,FALSE)</f>
        <v>西米是个小可爱</v>
      </c>
      <c r="AC826" t="str">
        <f>VLOOKUP(E:E,笔记匹配!A:N,2,FALSE)</f>
        <v>筋膜枪</v>
      </c>
      <c r="AD826" t="str">
        <f>VLOOKUP(E:E,笔记匹配!A:N,4,FALSE)</f>
        <v>云麦筋膜枪PB2</v>
      </c>
      <c r="AE826" t="str">
        <f>VLOOKUP(E:E,笔记匹配!A:N,14,FALSE)</f>
        <v>云麦筋膜枪pb2</v>
      </c>
      <c r="AF826" t="str">
        <f>VLOOKUP(E:E,笔记匹配!A:N,6,FALSE)</f>
        <v>筋膜枪千万不能乱用！正确肩颈使用方法</v>
      </c>
    </row>
    <row r="827" spans="1:32">
      <c r="A827" s="18" t="s">
        <v>118</v>
      </c>
      <c r="B827" s="18" t="s">
        <v>1233</v>
      </c>
      <c r="C827" s="19">
        <v>19834982</v>
      </c>
      <c r="D827" s="18" t="s">
        <v>209</v>
      </c>
      <c r="E827" s="18" t="s">
        <v>565</v>
      </c>
      <c r="F827" s="18" t="s">
        <v>1235</v>
      </c>
      <c r="G827" s="19">
        <v>4425218</v>
      </c>
      <c r="H827" s="18" t="s">
        <v>1235</v>
      </c>
      <c r="I827" s="19">
        <v>3793941</v>
      </c>
      <c r="J827" s="18" t="s">
        <v>1015</v>
      </c>
      <c r="K827" s="19">
        <v>511.24</v>
      </c>
      <c r="L827" s="19">
        <v>76857</v>
      </c>
      <c r="M827" s="19">
        <v>3160</v>
      </c>
      <c r="N827" s="20">
        <v>0.0411</v>
      </c>
      <c r="O827" s="19">
        <v>0.16</v>
      </c>
      <c r="P827" s="19">
        <v>6.65</v>
      </c>
      <c r="Q827" s="19">
        <v>21</v>
      </c>
      <c r="R827" s="19">
        <v>1</v>
      </c>
      <c r="S827" s="19">
        <v>1</v>
      </c>
      <c r="T827" s="19">
        <v>1</v>
      </c>
      <c r="U827" s="19">
        <v>4</v>
      </c>
      <c r="V827" s="19">
        <v>28</v>
      </c>
      <c r="W827" s="19">
        <v>18.26</v>
      </c>
      <c r="X827" s="19">
        <v>0</v>
      </c>
      <c r="Y827" s="20">
        <v>0</v>
      </c>
      <c r="Z827" s="19">
        <v>11</v>
      </c>
      <c r="AA827" s="19">
        <v>24</v>
      </c>
      <c r="AB827" t="str">
        <f>VLOOKUP(E:E,笔记匹配!A:N,3,FALSE)</f>
        <v>林然Tolyn</v>
      </c>
      <c r="AC827" t="str">
        <f>VLOOKUP(E:E,笔记匹配!A:N,2,FALSE)</f>
        <v>筋膜枪</v>
      </c>
      <c r="AD827" t="str">
        <f>VLOOKUP(E:E,笔记匹配!A:N,4,FALSE)</f>
        <v>云麦筋膜枪</v>
      </c>
      <c r="AE827" t="str">
        <f>VLOOKUP(E:E,笔记匹配!A:N,14,FALSE)</f>
        <v>云麦筋膜枪pb2</v>
      </c>
      <c r="AF827" t="str">
        <f>VLOOKUP(E:E,笔记匹配!A:N,6,FALSE)</f>
        <v>分享一下我健身后肌肉放松方法&amp;自用筋膜枪</v>
      </c>
    </row>
    <row r="828" spans="1:32">
      <c r="A828" s="18" t="s">
        <v>119</v>
      </c>
      <c r="B828" s="18" t="s">
        <v>1196</v>
      </c>
      <c r="C828" s="19">
        <v>19054497</v>
      </c>
      <c r="D828" s="18" t="s">
        <v>209</v>
      </c>
      <c r="E828" s="18" t="s">
        <v>452</v>
      </c>
      <c r="F828" s="18" t="s">
        <v>1198</v>
      </c>
      <c r="G828" s="19">
        <v>4059827</v>
      </c>
      <c r="H828" s="18" t="s">
        <v>1198</v>
      </c>
      <c r="I828" s="19">
        <v>3442591</v>
      </c>
      <c r="J828" s="18" t="s">
        <v>1015</v>
      </c>
      <c r="K828" s="19">
        <v>0</v>
      </c>
      <c r="L828" s="19">
        <v>0</v>
      </c>
      <c r="M828" s="19">
        <v>0</v>
      </c>
      <c r="N828" s="20">
        <v>0</v>
      </c>
      <c r="O828" s="19">
        <v>0</v>
      </c>
      <c r="P828" s="19">
        <v>0</v>
      </c>
      <c r="Q828" s="19">
        <v>0</v>
      </c>
      <c r="R828" s="19">
        <v>0</v>
      </c>
      <c r="S828" s="19">
        <v>0</v>
      </c>
      <c r="T828" s="19">
        <v>0</v>
      </c>
      <c r="U828" s="19">
        <v>0</v>
      </c>
      <c r="V828" s="19">
        <v>0</v>
      </c>
      <c r="W828" s="19">
        <v>0</v>
      </c>
      <c r="X828" s="19">
        <v>0</v>
      </c>
      <c r="Y828" s="20">
        <v>0</v>
      </c>
      <c r="Z828" s="19">
        <v>0</v>
      </c>
      <c r="AA828" s="19">
        <v>0</v>
      </c>
      <c r="AB828" t="str">
        <f>VLOOKUP(E:E,笔记匹配!A:N,3,FALSE)</f>
        <v>Bruce小厮</v>
      </c>
      <c r="AC828" t="str">
        <f>VLOOKUP(E:E,笔记匹配!A:N,2,FALSE)</f>
        <v>筋膜枪</v>
      </c>
      <c r="AD828" t="str">
        <f>VLOOKUP(E:E,笔记匹配!A:N,4,FALSE)</f>
        <v>云麦筋膜枪PB2</v>
      </c>
      <c r="AE828" t="str">
        <f>VLOOKUP(E:E,笔记匹配!A:N,14,FALSE)</f>
        <v>云麦筋膜枪pb2</v>
      </c>
      <c r="AF828" t="str">
        <f>VLOOKUP(E:E,笔记匹配!A:N,6,FALSE)</f>
        <v>女生练球后如何拉伸按摩，筋膜枪放松！！</v>
      </c>
    </row>
    <row r="829" spans="1:32">
      <c r="A829" s="18" t="s">
        <v>119</v>
      </c>
      <c r="B829" s="18" t="s">
        <v>1196</v>
      </c>
      <c r="C829" s="19">
        <v>19058466</v>
      </c>
      <c r="D829" s="18" t="s">
        <v>196</v>
      </c>
      <c r="E829" s="18" t="s">
        <v>296</v>
      </c>
      <c r="F829" s="18" t="s">
        <v>1199</v>
      </c>
      <c r="G829" s="19">
        <v>4061725</v>
      </c>
      <c r="H829" s="18" t="s">
        <v>1199</v>
      </c>
      <c r="I829" s="19">
        <v>3444458</v>
      </c>
      <c r="J829" s="18" t="s">
        <v>1015</v>
      </c>
      <c r="K829" s="19">
        <v>1014.13</v>
      </c>
      <c r="L829" s="19">
        <v>67490</v>
      </c>
      <c r="M829" s="19">
        <v>3144</v>
      </c>
      <c r="N829" s="20">
        <v>0.0466</v>
      </c>
      <c r="O829" s="19">
        <v>0.32</v>
      </c>
      <c r="P829" s="19">
        <v>15.03</v>
      </c>
      <c r="Q829" s="19">
        <v>57</v>
      </c>
      <c r="R829" s="19">
        <v>2</v>
      </c>
      <c r="S829" s="19">
        <v>17</v>
      </c>
      <c r="T829" s="19">
        <v>2</v>
      </c>
      <c r="U829" s="19">
        <v>3</v>
      </c>
      <c r="V829" s="19">
        <v>81</v>
      </c>
      <c r="W829" s="19">
        <v>12.52</v>
      </c>
      <c r="X829" s="19">
        <v>38</v>
      </c>
      <c r="Y829" s="20">
        <v>0.0121</v>
      </c>
      <c r="Z829" s="19">
        <v>8</v>
      </c>
      <c r="AA829" s="19">
        <v>0</v>
      </c>
      <c r="AB829" t="str">
        <f>VLOOKUP(E:E,笔记匹配!A:N,3,FALSE)</f>
        <v>元气芥末酱</v>
      </c>
      <c r="AC829" t="str">
        <f>VLOOKUP(E:E,笔记匹配!A:N,2,FALSE)</f>
        <v>筋膜枪</v>
      </c>
      <c r="AD829" t="str">
        <f>VLOOKUP(E:E,笔记匹配!A:N,4,FALSE)</f>
        <v>云麦筋膜枪PB2</v>
      </c>
      <c r="AE829" t="str">
        <f>VLOOKUP(E:E,笔记匹配!A:N,14,FALSE)</f>
        <v>云麦筋膜枪pb2</v>
      </c>
      <c r="AF829" t="str">
        <f>VLOOKUP(E:E,笔记匹配!A:N,6,FALSE)</f>
        <v>小腿粗的姐妹信我！肌肉腿就要这样按！</v>
      </c>
    </row>
    <row r="830" spans="1:32">
      <c r="A830" s="18" t="s">
        <v>119</v>
      </c>
      <c r="B830" s="18" t="s">
        <v>1200</v>
      </c>
      <c r="C830" s="19">
        <v>19106863</v>
      </c>
      <c r="D830" s="18" t="s">
        <v>209</v>
      </c>
      <c r="E830" s="18" t="s">
        <v>201</v>
      </c>
      <c r="F830" s="18" t="s">
        <v>1202</v>
      </c>
      <c r="G830" s="19">
        <v>4084168</v>
      </c>
      <c r="H830" s="18" t="s">
        <v>1202</v>
      </c>
      <c r="I830" s="19">
        <v>3466674</v>
      </c>
      <c r="J830" s="18" t="s">
        <v>1015</v>
      </c>
      <c r="K830" s="19">
        <v>13.84</v>
      </c>
      <c r="L830" s="19">
        <v>1165</v>
      </c>
      <c r="M830" s="19">
        <v>53</v>
      </c>
      <c r="N830" s="20">
        <v>0.0455</v>
      </c>
      <c r="O830" s="19">
        <v>0.26</v>
      </c>
      <c r="P830" s="19">
        <v>11.88</v>
      </c>
      <c r="Q830" s="19">
        <v>1</v>
      </c>
      <c r="R830" s="19">
        <v>0</v>
      </c>
      <c r="S830" s="19">
        <v>0</v>
      </c>
      <c r="T830" s="19">
        <v>0</v>
      </c>
      <c r="U830" s="19">
        <v>0</v>
      </c>
      <c r="V830" s="19">
        <v>1</v>
      </c>
      <c r="W830" s="19">
        <v>13.84</v>
      </c>
      <c r="X830" s="19">
        <v>0</v>
      </c>
      <c r="Y830" s="20">
        <v>0</v>
      </c>
      <c r="Z830" s="19">
        <v>0</v>
      </c>
      <c r="AA830" s="19">
        <v>0</v>
      </c>
      <c r="AB830" t="str">
        <f>VLOOKUP(E:E,笔记匹配!A:N,3,FALSE)</f>
        <v>包子熟了</v>
      </c>
      <c r="AC830" t="str">
        <f>VLOOKUP(E:E,笔记匹配!A:N,2,FALSE)</f>
        <v>筋膜枪</v>
      </c>
      <c r="AD830" t="str">
        <f>VLOOKUP(E:E,笔记匹配!A:N,4,FALSE)</f>
        <v>云麦筋膜枪</v>
      </c>
      <c r="AE830" t="str">
        <f>VLOOKUP(E:E,笔记匹配!A:N,14,FALSE)</f>
        <v>云麦筋膜枪pb2</v>
      </c>
      <c r="AF830" t="str">
        <f>VLOOKUP(E:E,笔记匹配!A:N,6,FALSE)</f>
        <v>筋膜枪测评|健身小白如何挑选筋膜枪？</v>
      </c>
    </row>
    <row r="831" spans="1:32">
      <c r="A831" s="18" t="s">
        <v>119</v>
      </c>
      <c r="B831" s="18" t="s">
        <v>1223</v>
      </c>
      <c r="C831" s="19">
        <v>19607601</v>
      </c>
      <c r="D831" s="18" t="s">
        <v>209</v>
      </c>
      <c r="E831" s="18" t="s">
        <v>570</v>
      </c>
      <c r="F831" s="18" t="s">
        <v>834</v>
      </c>
      <c r="G831" s="19">
        <v>4314778</v>
      </c>
      <c r="H831" s="18" t="s">
        <v>1224</v>
      </c>
      <c r="I831" s="19">
        <v>3692242</v>
      </c>
      <c r="J831" s="18" t="s">
        <v>1015</v>
      </c>
      <c r="K831" s="19">
        <v>804.96</v>
      </c>
      <c r="L831" s="19">
        <v>57812</v>
      </c>
      <c r="M831" s="19">
        <v>2179</v>
      </c>
      <c r="N831" s="20">
        <v>0.0377</v>
      </c>
      <c r="O831" s="19">
        <v>0.37</v>
      </c>
      <c r="P831" s="19">
        <v>13.92</v>
      </c>
      <c r="Q831" s="19">
        <v>88</v>
      </c>
      <c r="R831" s="19">
        <v>3</v>
      </c>
      <c r="S831" s="19">
        <v>23</v>
      </c>
      <c r="T831" s="19">
        <v>9</v>
      </c>
      <c r="U831" s="19">
        <v>15</v>
      </c>
      <c r="V831" s="19">
        <v>138</v>
      </c>
      <c r="W831" s="19">
        <v>5.83</v>
      </c>
      <c r="X831" s="19">
        <v>0</v>
      </c>
      <c r="Y831" s="20">
        <v>0</v>
      </c>
      <c r="Z831" s="19">
        <v>1</v>
      </c>
      <c r="AA831" s="19">
        <v>0</v>
      </c>
      <c r="AB831" t="str">
        <f>VLOOKUP(E:E,笔记匹配!A:N,3,FALSE)</f>
        <v>国产收音机X</v>
      </c>
      <c r="AC831" t="str">
        <f>VLOOKUP(E:E,笔记匹配!A:N,2,FALSE)</f>
        <v>筋膜枪</v>
      </c>
      <c r="AD831" t="str">
        <f>VLOOKUP(E:E,笔记匹配!A:N,4,FALSE)</f>
        <v>云麦筋膜枪PB2</v>
      </c>
      <c r="AE831" t="str">
        <f>VLOOKUP(E:E,笔记匹配!A:N,14,FALSE)</f>
        <v>云麦筋膜枪pb2</v>
      </c>
      <c r="AF831" t="str">
        <f>VLOOKUP(E:E,笔记匹配!A:N,6,FALSE)</f>
        <v>别再怕爬山 / 徒步后放松教程</v>
      </c>
    </row>
    <row r="832" spans="1:32">
      <c r="A832" s="18" t="s">
        <v>119</v>
      </c>
      <c r="B832" s="18" t="s">
        <v>1226</v>
      </c>
      <c r="C832" s="19">
        <v>19713077</v>
      </c>
      <c r="D832" s="18" t="s">
        <v>209</v>
      </c>
      <c r="E832" s="18" t="s">
        <v>317</v>
      </c>
      <c r="F832" s="18" t="s">
        <v>1231</v>
      </c>
      <c r="G832" s="19">
        <v>4365044</v>
      </c>
      <c r="H832" s="18" t="s">
        <v>1232</v>
      </c>
      <c r="I832" s="19">
        <v>3739155</v>
      </c>
      <c r="J832" s="18" t="s">
        <v>1015</v>
      </c>
      <c r="K832" s="19">
        <v>453.17</v>
      </c>
      <c r="L832" s="19">
        <v>18590</v>
      </c>
      <c r="M832" s="19">
        <v>749</v>
      </c>
      <c r="N832" s="20">
        <v>0.0403</v>
      </c>
      <c r="O832" s="19">
        <v>0.61</v>
      </c>
      <c r="P832" s="19">
        <v>24.38</v>
      </c>
      <c r="Q832" s="19">
        <v>61</v>
      </c>
      <c r="R832" s="19">
        <v>0</v>
      </c>
      <c r="S832" s="19">
        <v>39</v>
      </c>
      <c r="T832" s="19">
        <v>0</v>
      </c>
      <c r="U832" s="19">
        <v>2</v>
      </c>
      <c r="V832" s="19">
        <v>102</v>
      </c>
      <c r="W832" s="19">
        <v>4.44</v>
      </c>
      <c r="X832" s="19">
        <v>0</v>
      </c>
      <c r="Y832" s="20">
        <v>0</v>
      </c>
      <c r="Z832" s="19">
        <v>0</v>
      </c>
      <c r="AA832" s="19">
        <v>0</v>
      </c>
      <c r="AB832" t="str">
        <f>VLOOKUP(E:E,笔记匹配!A:N,3,FALSE)</f>
        <v>小乔您了</v>
      </c>
      <c r="AC832" t="str">
        <f>VLOOKUP(E:E,笔记匹配!A:N,2,FALSE)</f>
        <v>筋膜枪</v>
      </c>
      <c r="AD832" t="str">
        <f>VLOOKUP(E:E,笔记匹配!A:N,4,FALSE)</f>
        <v>云麦筋膜枪pb2</v>
      </c>
      <c r="AE832" t="str">
        <f>VLOOKUP(E:E,笔记匹配!A:N,14,FALSE)</f>
        <v>云麦筋膜枪pb2</v>
      </c>
      <c r="AF832" t="str">
        <f>VLOOKUP(E:E,笔记匹配!A:N,6,FALSE)</f>
        <v>🆘哭了！筋膜枪细【脂包肌】小腿被我悟明白了！</v>
      </c>
    </row>
    <row r="833" spans="1:32">
      <c r="A833" s="18" t="s">
        <v>119</v>
      </c>
      <c r="B833" s="18" t="s">
        <v>1229</v>
      </c>
      <c r="C833" s="19">
        <v>19752470</v>
      </c>
      <c r="D833" s="18" t="s">
        <v>209</v>
      </c>
      <c r="E833" s="18" t="s">
        <v>300</v>
      </c>
      <c r="F833" s="18" t="s">
        <v>1230</v>
      </c>
      <c r="G833" s="19">
        <v>4384092</v>
      </c>
      <c r="H833" s="18" t="s">
        <v>1230</v>
      </c>
      <c r="I833" s="19">
        <v>3756475</v>
      </c>
      <c r="J833" s="18" t="s">
        <v>1015</v>
      </c>
      <c r="K833" s="19">
        <v>0</v>
      </c>
      <c r="L833" s="19">
        <v>0</v>
      </c>
      <c r="M833" s="19">
        <v>0</v>
      </c>
      <c r="N833" s="20">
        <v>0</v>
      </c>
      <c r="O833" s="19">
        <v>0</v>
      </c>
      <c r="P833" s="19">
        <v>0</v>
      </c>
      <c r="Q833" s="19">
        <v>0</v>
      </c>
      <c r="R833" s="19">
        <v>0</v>
      </c>
      <c r="S833" s="19">
        <v>0</v>
      </c>
      <c r="T833" s="19">
        <v>0</v>
      </c>
      <c r="U833" s="19">
        <v>0</v>
      </c>
      <c r="V833" s="19">
        <v>0</v>
      </c>
      <c r="W833" s="19">
        <v>0</v>
      </c>
      <c r="X833" s="19">
        <v>0</v>
      </c>
      <c r="Y833" s="20">
        <v>0</v>
      </c>
      <c r="Z833" s="19">
        <v>0</v>
      </c>
      <c r="AA833" s="19">
        <v>0</v>
      </c>
      <c r="AB833" t="str">
        <f>VLOOKUP(E:E,笔记匹配!A:N,3,FALSE)</f>
        <v>朱俊畅</v>
      </c>
      <c r="AC833" t="str">
        <f>VLOOKUP(E:E,笔记匹配!A:N,2,FALSE)</f>
        <v>筋膜枪</v>
      </c>
      <c r="AD833" t="str">
        <f>VLOOKUP(E:E,笔记匹配!A:N,4,FALSE)</f>
        <v>云麦筋膜枪PB2</v>
      </c>
      <c r="AE833" t="str">
        <f>VLOOKUP(E:E,笔记匹配!A:N,14,FALSE)</f>
        <v>云麦筋膜枪pb2</v>
      </c>
      <c r="AF833" t="str">
        <f>VLOOKUP(E:E,笔记匹配!A:N,6,FALSE)</f>
        <v>打球完容易肌肉酸痛，筋膜枪放松更有效！</v>
      </c>
    </row>
    <row r="834" spans="1:32">
      <c r="A834" s="18" t="s">
        <v>119</v>
      </c>
      <c r="B834" s="18" t="s">
        <v>1233</v>
      </c>
      <c r="C834" s="19">
        <v>19834935</v>
      </c>
      <c r="D834" s="18" t="s">
        <v>209</v>
      </c>
      <c r="E834" s="18" t="s">
        <v>274</v>
      </c>
      <c r="F834" s="18" t="s">
        <v>1234</v>
      </c>
      <c r="G834" s="19">
        <v>4425179</v>
      </c>
      <c r="H834" s="18" t="s">
        <v>1234</v>
      </c>
      <c r="I834" s="19">
        <v>3793911</v>
      </c>
      <c r="J834" s="18" t="s">
        <v>1015</v>
      </c>
      <c r="K834" s="19">
        <v>18.17</v>
      </c>
      <c r="L834" s="19">
        <v>3636</v>
      </c>
      <c r="M834" s="19">
        <v>81</v>
      </c>
      <c r="N834" s="20">
        <v>0.0223</v>
      </c>
      <c r="O834" s="19">
        <v>0.22</v>
      </c>
      <c r="P834" s="19">
        <v>5</v>
      </c>
      <c r="Q834" s="19">
        <v>3</v>
      </c>
      <c r="R834" s="19">
        <v>1</v>
      </c>
      <c r="S834" s="19">
        <v>0</v>
      </c>
      <c r="T834" s="19">
        <v>0</v>
      </c>
      <c r="U834" s="19">
        <v>0</v>
      </c>
      <c r="V834" s="19">
        <v>4</v>
      </c>
      <c r="W834" s="19">
        <v>4.54</v>
      </c>
      <c r="X834" s="19">
        <v>0</v>
      </c>
      <c r="Y834" s="20">
        <v>0</v>
      </c>
      <c r="Z834" s="19">
        <v>0</v>
      </c>
      <c r="AA834" s="19">
        <v>0</v>
      </c>
      <c r="AB834" t="str">
        <f>VLOOKUP(E:E,笔记匹配!A:N,3,FALSE)</f>
        <v>西米是个小可爱</v>
      </c>
      <c r="AC834" t="str">
        <f>VLOOKUP(E:E,笔记匹配!A:N,2,FALSE)</f>
        <v>筋膜枪</v>
      </c>
      <c r="AD834" t="str">
        <f>VLOOKUP(E:E,笔记匹配!A:N,4,FALSE)</f>
        <v>云麦筋膜枪PB2</v>
      </c>
      <c r="AE834" t="str">
        <f>VLOOKUP(E:E,笔记匹配!A:N,14,FALSE)</f>
        <v>云麦筋膜枪pb2</v>
      </c>
      <c r="AF834" t="str">
        <f>VLOOKUP(E:E,笔记匹配!A:N,6,FALSE)</f>
        <v>筋膜枪千万不能乱用！正确肩颈使用方法</v>
      </c>
    </row>
    <row r="835" spans="1:32">
      <c r="A835" s="18" t="s">
        <v>119</v>
      </c>
      <c r="B835" s="18" t="s">
        <v>1233</v>
      </c>
      <c r="C835" s="19">
        <v>19834982</v>
      </c>
      <c r="D835" s="18" t="s">
        <v>209</v>
      </c>
      <c r="E835" s="18" t="s">
        <v>565</v>
      </c>
      <c r="F835" s="18" t="s">
        <v>1235</v>
      </c>
      <c r="G835" s="19">
        <v>4425218</v>
      </c>
      <c r="H835" s="18" t="s">
        <v>1235</v>
      </c>
      <c r="I835" s="19">
        <v>3793941</v>
      </c>
      <c r="J835" s="18" t="s">
        <v>1015</v>
      </c>
      <c r="K835" s="19">
        <v>521.38</v>
      </c>
      <c r="L835" s="19">
        <v>76572</v>
      </c>
      <c r="M835" s="19">
        <v>3740</v>
      </c>
      <c r="N835" s="20">
        <v>0.0488</v>
      </c>
      <c r="O835" s="19">
        <v>0.14</v>
      </c>
      <c r="P835" s="19">
        <v>6.81</v>
      </c>
      <c r="Q835" s="19">
        <v>49</v>
      </c>
      <c r="R835" s="19">
        <v>2</v>
      </c>
      <c r="S835" s="19">
        <v>6</v>
      </c>
      <c r="T835" s="19">
        <v>9</v>
      </c>
      <c r="U835" s="19">
        <v>4</v>
      </c>
      <c r="V835" s="19">
        <v>70</v>
      </c>
      <c r="W835" s="19">
        <v>7.45</v>
      </c>
      <c r="X835" s="19">
        <v>0</v>
      </c>
      <c r="Y835" s="20">
        <v>0</v>
      </c>
      <c r="Z835" s="19">
        <v>4</v>
      </c>
      <c r="AA835" s="19">
        <v>25</v>
      </c>
      <c r="AB835" t="str">
        <f>VLOOKUP(E:E,笔记匹配!A:N,3,FALSE)</f>
        <v>林然Tolyn</v>
      </c>
      <c r="AC835" t="str">
        <f>VLOOKUP(E:E,笔记匹配!A:N,2,FALSE)</f>
        <v>筋膜枪</v>
      </c>
      <c r="AD835" t="str">
        <f>VLOOKUP(E:E,笔记匹配!A:N,4,FALSE)</f>
        <v>云麦筋膜枪</v>
      </c>
      <c r="AE835" t="str">
        <f>VLOOKUP(E:E,笔记匹配!A:N,14,FALSE)</f>
        <v>云麦筋膜枪pb2</v>
      </c>
      <c r="AF835" t="str">
        <f>VLOOKUP(E:E,笔记匹配!A:N,6,FALSE)</f>
        <v>分享一下我健身后肌肉放松方法&amp;自用筋膜枪</v>
      </c>
    </row>
    <row r="836" spans="1:32">
      <c r="A836" s="18" t="s">
        <v>120</v>
      </c>
      <c r="B836" s="18" t="s">
        <v>1184</v>
      </c>
      <c r="C836" s="19">
        <v>18646457</v>
      </c>
      <c r="D836" s="18" t="s">
        <v>209</v>
      </c>
      <c r="E836" s="18" t="s">
        <v>395</v>
      </c>
      <c r="F836" s="18" t="s">
        <v>1186</v>
      </c>
      <c r="G836" s="19">
        <v>3870563</v>
      </c>
      <c r="H836" s="18" t="s">
        <v>1186</v>
      </c>
      <c r="I836" s="19">
        <v>3255634</v>
      </c>
      <c r="J836" s="18" t="s">
        <v>1015</v>
      </c>
      <c r="K836" s="19">
        <v>0</v>
      </c>
      <c r="L836" s="19">
        <v>0</v>
      </c>
      <c r="M836" s="19">
        <v>0</v>
      </c>
      <c r="N836" s="20">
        <v>0</v>
      </c>
      <c r="O836" s="19">
        <v>0</v>
      </c>
      <c r="P836" s="19">
        <v>0</v>
      </c>
      <c r="Q836" s="19">
        <v>0</v>
      </c>
      <c r="R836" s="19">
        <v>0</v>
      </c>
      <c r="S836" s="19">
        <v>0</v>
      </c>
      <c r="T836" s="19">
        <v>0</v>
      </c>
      <c r="U836" s="19">
        <v>0</v>
      </c>
      <c r="V836" s="19">
        <v>0</v>
      </c>
      <c r="W836" s="19">
        <v>0</v>
      </c>
      <c r="X836" s="19">
        <v>0</v>
      </c>
      <c r="Y836" s="20">
        <v>0</v>
      </c>
      <c r="Z836" s="19">
        <v>0</v>
      </c>
      <c r="AA836" s="19">
        <v>0</v>
      </c>
      <c r="AB836" t="str">
        <f>VLOOKUP(E:E,笔记匹配!A:N,3,FALSE)</f>
        <v>月亮起床了</v>
      </c>
      <c r="AC836" t="str">
        <f>VLOOKUP(E:E,笔记匹配!A:N,2,FALSE)</f>
        <v>筋膜枪</v>
      </c>
      <c r="AD836" t="str">
        <f>VLOOKUP(E:E,笔记匹配!A:N,4,FALSE)</f>
        <v>云麦筋膜枪pb2</v>
      </c>
      <c r="AE836" t="str">
        <f>VLOOKUP(E:E,笔记匹配!A:N,14,FALSE)</f>
        <v>云麦筋膜枪pb2</v>
      </c>
      <c r="AF836" t="str">
        <f>VLOOKUP(E:E,笔记匹配!A:N,6,FALSE)</f>
        <v>超强瘦🦵绝招，记得用筋膜枪放松</v>
      </c>
    </row>
    <row r="837" spans="1:32">
      <c r="A837" s="18" t="s">
        <v>120</v>
      </c>
      <c r="B837" s="18" t="s">
        <v>1189</v>
      </c>
      <c r="C837" s="19">
        <v>19010467</v>
      </c>
      <c r="D837" s="18" t="s">
        <v>209</v>
      </c>
      <c r="E837" s="18" t="s">
        <v>300</v>
      </c>
      <c r="F837" s="18" t="s">
        <v>1191</v>
      </c>
      <c r="G837" s="19">
        <v>4039162</v>
      </c>
      <c r="H837" s="18" t="s">
        <v>1191</v>
      </c>
      <c r="I837" s="19">
        <v>3422446</v>
      </c>
      <c r="J837" s="18" t="s">
        <v>1015</v>
      </c>
      <c r="K837" s="19">
        <v>0</v>
      </c>
      <c r="L837" s="19">
        <v>0</v>
      </c>
      <c r="M837" s="19">
        <v>0</v>
      </c>
      <c r="N837" s="20">
        <v>0</v>
      </c>
      <c r="O837" s="19">
        <v>0</v>
      </c>
      <c r="P837" s="19">
        <v>0</v>
      </c>
      <c r="Q837" s="19">
        <v>0</v>
      </c>
      <c r="R837" s="19">
        <v>0</v>
      </c>
      <c r="S837" s="19">
        <v>0</v>
      </c>
      <c r="T837" s="19">
        <v>0</v>
      </c>
      <c r="U837" s="19">
        <v>0</v>
      </c>
      <c r="V837" s="19">
        <v>0</v>
      </c>
      <c r="W837" s="19">
        <v>0</v>
      </c>
      <c r="X837" s="19">
        <v>0</v>
      </c>
      <c r="Y837" s="20">
        <v>0</v>
      </c>
      <c r="Z837" s="19">
        <v>0</v>
      </c>
      <c r="AA837" s="19">
        <v>0</v>
      </c>
      <c r="AB837" t="str">
        <f>VLOOKUP(E:E,笔记匹配!A:N,3,FALSE)</f>
        <v>朱俊畅</v>
      </c>
      <c r="AC837" t="str">
        <f>VLOOKUP(E:E,笔记匹配!A:N,2,FALSE)</f>
        <v>筋膜枪</v>
      </c>
      <c r="AD837" t="str">
        <f>VLOOKUP(E:E,笔记匹配!A:N,4,FALSE)</f>
        <v>云麦筋膜枪PB2</v>
      </c>
      <c r="AE837" t="str">
        <f>VLOOKUP(E:E,笔记匹配!A:N,14,FALSE)</f>
        <v>云麦筋膜枪pb2</v>
      </c>
      <c r="AF837" t="str">
        <f>VLOOKUP(E:E,笔记匹配!A:N,6,FALSE)</f>
        <v>打球完容易肌肉酸痛，筋膜枪放松更有效！</v>
      </c>
    </row>
    <row r="838" spans="1:32">
      <c r="A838" s="18" t="s">
        <v>120</v>
      </c>
      <c r="B838" s="18" t="s">
        <v>1196</v>
      </c>
      <c r="C838" s="19">
        <v>19058466</v>
      </c>
      <c r="D838" s="18" t="s">
        <v>196</v>
      </c>
      <c r="E838" s="18" t="s">
        <v>296</v>
      </c>
      <c r="F838" s="18" t="s">
        <v>1199</v>
      </c>
      <c r="G838" s="19">
        <v>4061725</v>
      </c>
      <c r="H838" s="18" t="s">
        <v>1199</v>
      </c>
      <c r="I838" s="19">
        <v>3444458</v>
      </c>
      <c r="J838" s="18" t="s">
        <v>1015</v>
      </c>
      <c r="K838" s="19">
        <v>880.73</v>
      </c>
      <c r="L838" s="19">
        <v>58966</v>
      </c>
      <c r="M838" s="19">
        <v>2745</v>
      </c>
      <c r="N838" s="20">
        <v>0.0466</v>
      </c>
      <c r="O838" s="19">
        <v>0.32</v>
      </c>
      <c r="P838" s="19">
        <v>14.94</v>
      </c>
      <c r="Q838" s="19">
        <v>42</v>
      </c>
      <c r="R838" s="19">
        <v>0</v>
      </c>
      <c r="S838" s="19">
        <v>10</v>
      </c>
      <c r="T838" s="19">
        <v>1</v>
      </c>
      <c r="U838" s="19">
        <v>2</v>
      </c>
      <c r="V838" s="19">
        <v>55</v>
      </c>
      <c r="W838" s="19">
        <v>16.01</v>
      </c>
      <c r="X838" s="19">
        <v>36</v>
      </c>
      <c r="Y838" s="20">
        <v>0.0131</v>
      </c>
      <c r="Z838" s="19">
        <v>3</v>
      </c>
      <c r="AA838" s="19">
        <v>2</v>
      </c>
      <c r="AB838" t="str">
        <f>VLOOKUP(E:E,笔记匹配!A:N,3,FALSE)</f>
        <v>元气芥末酱</v>
      </c>
      <c r="AC838" t="str">
        <f>VLOOKUP(E:E,笔记匹配!A:N,2,FALSE)</f>
        <v>筋膜枪</v>
      </c>
      <c r="AD838" t="str">
        <f>VLOOKUP(E:E,笔记匹配!A:N,4,FALSE)</f>
        <v>云麦筋膜枪PB2</v>
      </c>
      <c r="AE838" t="str">
        <f>VLOOKUP(E:E,笔记匹配!A:N,14,FALSE)</f>
        <v>云麦筋膜枪pb2</v>
      </c>
      <c r="AF838" t="str">
        <f>VLOOKUP(E:E,笔记匹配!A:N,6,FALSE)</f>
        <v>小腿粗的姐妹信我！肌肉腿就要这样按！</v>
      </c>
    </row>
    <row r="839" spans="1:32">
      <c r="A839" s="18" t="s">
        <v>120</v>
      </c>
      <c r="B839" s="18" t="s">
        <v>1200</v>
      </c>
      <c r="C839" s="19">
        <v>19106863</v>
      </c>
      <c r="D839" s="18" t="s">
        <v>209</v>
      </c>
      <c r="E839" s="18" t="s">
        <v>201</v>
      </c>
      <c r="F839" s="18" t="s">
        <v>1202</v>
      </c>
      <c r="G839" s="19">
        <v>4084168</v>
      </c>
      <c r="H839" s="18" t="s">
        <v>1202</v>
      </c>
      <c r="I839" s="19">
        <v>3466674</v>
      </c>
      <c r="J839" s="18" t="s">
        <v>1015</v>
      </c>
      <c r="K839" s="19">
        <v>0</v>
      </c>
      <c r="L839" s="19">
        <v>0</v>
      </c>
      <c r="M839" s="19">
        <v>0</v>
      </c>
      <c r="N839" s="20">
        <v>0</v>
      </c>
      <c r="O839" s="19">
        <v>0</v>
      </c>
      <c r="P839" s="19">
        <v>0</v>
      </c>
      <c r="Q839" s="19">
        <v>0</v>
      </c>
      <c r="R839" s="19">
        <v>0</v>
      </c>
      <c r="S839" s="19">
        <v>0</v>
      </c>
      <c r="T839" s="19">
        <v>0</v>
      </c>
      <c r="U839" s="19">
        <v>0</v>
      </c>
      <c r="V839" s="19">
        <v>0</v>
      </c>
      <c r="W839" s="19">
        <v>0</v>
      </c>
      <c r="X839" s="19">
        <v>0</v>
      </c>
      <c r="Y839" s="20">
        <v>0</v>
      </c>
      <c r="Z839" s="19">
        <v>0</v>
      </c>
      <c r="AA839" s="19">
        <v>0</v>
      </c>
      <c r="AB839" t="str">
        <f>VLOOKUP(E:E,笔记匹配!A:N,3,FALSE)</f>
        <v>包子熟了</v>
      </c>
      <c r="AC839" t="str">
        <f>VLOOKUP(E:E,笔记匹配!A:N,2,FALSE)</f>
        <v>筋膜枪</v>
      </c>
      <c r="AD839" t="str">
        <f>VLOOKUP(E:E,笔记匹配!A:N,4,FALSE)</f>
        <v>云麦筋膜枪</v>
      </c>
      <c r="AE839" t="str">
        <f>VLOOKUP(E:E,笔记匹配!A:N,14,FALSE)</f>
        <v>云麦筋膜枪pb2</v>
      </c>
      <c r="AF839" t="str">
        <f>VLOOKUP(E:E,笔记匹配!A:N,6,FALSE)</f>
        <v>筋膜枪测评|健身小白如何挑选筋膜枪？</v>
      </c>
    </row>
    <row r="840" spans="1:32">
      <c r="A840" s="18" t="s">
        <v>120</v>
      </c>
      <c r="B840" s="18" t="s">
        <v>1207</v>
      </c>
      <c r="C840" s="19">
        <v>19261230</v>
      </c>
      <c r="D840" s="18" t="s">
        <v>209</v>
      </c>
      <c r="E840" s="18" t="s">
        <v>579</v>
      </c>
      <c r="F840" s="18" t="s">
        <v>1208</v>
      </c>
      <c r="G840" s="19">
        <v>4155782</v>
      </c>
      <c r="H840" s="18" t="s">
        <v>1208</v>
      </c>
      <c r="I840" s="19">
        <v>3538615</v>
      </c>
      <c r="J840" s="18" t="s">
        <v>1015</v>
      </c>
      <c r="K840" s="19">
        <v>0</v>
      </c>
      <c r="L840" s="19">
        <v>0</v>
      </c>
      <c r="M840" s="19">
        <v>0</v>
      </c>
      <c r="N840" s="20">
        <v>0</v>
      </c>
      <c r="O840" s="19">
        <v>0</v>
      </c>
      <c r="P840" s="19">
        <v>0</v>
      </c>
      <c r="Q840" s="19">
        <v>0</v>
      </c>
      <c r="R840" s="19">
        <v>0</v>
      </c>
      <c r="S840" s="19">
        <v>0</v>
      </c>
      <c r="T840" s="19">
        <v>0</v>
      </c>
      <c r="U840" s="19">
        <v>0</v>
      </c>
      <c r="V840" s="19">
        <v>0</v>
      </c>
      <c r="W840" s="19">
        <v>0</v>
      </c>
      <c r="X840" s="19">
        <v>0</v>
      </c>
      <c r="Y840" s="20">
        <v>0</v>
      </c>
      <c r="Z840" s="19">
        <v>0</v>
      </c>
      <c r="AA840" s="19">
        <v>0</v>
      </c>
      <c r="AB840" t="str">
        <f>VLOOKUP(E:E,笔记匹配!A:N,3,FALSE)</f>
        <v>Lucas雨田</v>
      </c>
      <c r="AC840" t="str">
        <f>VLOOKUP(E:E,笔记匹配!A:N,2,FALSE)</f>
        <v>筋膜枪</v>
      </c>
      <c r="AD840" t="str">
        <f>VLOOKUP(E:E,笔记匹配!A:N,4,FALSE)</f>
        <v>云麦筋膜枪PB2</v>
      </c>
      <c r="AE840" t="str">
        <f>VLOOKUP(E:E,笔记匹配!A:N,14,FALSE)</f>
        <v>云麦筋膜枪pb2</v>
      </c>
      <c r="AF840" t="str">
        <f>VLOOKUP(E:E,笔记匹配!A:N,6,FALSE)</f>
        <v>2个游泳后的放松技巧⭐️自主拉伸、筋膜枪按摩</v>
      </c>
    </row>
    <row r="841" spans="1:32">
      <c r="A841" s="18" t="s">
        <v>120</v>
      </c>
      <c r="B841" s="18" t="s">
        <v>1223</v>
      </c>
      <c r="C841" s="19">
        <v>19607601</v>
      </c>
      <c r="D841" s="18" t="s">
        <v>209</v>
      </c>
      <c r="E841" s="18" t="s">
        <v>570</v>
      </c>
      <c r="F841" s="18" t="s">
        <v>834</v>
      </c>
      <c r="G841" s="19">
        <v>4314778</v>
      </c>
      <c r="H841" s="18" t="s">
        <v>1224</v>
      </c>
      <c r="I841" s="19">
        <v>3692242</v>
      </c>
      <c r="J841" s="18" t="s">
        <v>1015</v>
      </c>
      <c r="K841" s="19">
        <v>398.12</v>
      </c>
      <c r="L841" s="19">
        <v>20199</v>
      </c>
      <c r="M841" s="19">
        <v>993</v>
      </c>
      <c r="N841" s="20">
        <v>0.0492</v>
      </c>
      <c r="O841" s="19">
        <v>0.4</v>
      </c>
      <c r="P841" s="19">
        <v>19.71</v>
      </c>
      <c r="Q841" s="19">
        <v>57</v>
      </c>
      <c r="R841" s="19">
        <v>2</v>
      </c>
      <c r="S841" s="19">
        <v>12</v>
      </c>
      <c r="T841" s="19">
        <v>9</v>
      </c>
      <c r="U841" s="19">
        <v>2</v>
      </c>
      <c r="V841" s="19">
        <v>82</v>
      </c>
      <c r="W841" s="19">
        <v>4.86</v>
      </c>
      <c r="X841" s="19">
        <v>0</v>
      </c>
      <c r="Y841" s="20">
        <v>0</v>
      </c>
      <c r="Z841" s="19">
        <v>0</v>
      </c>
      <c r="AA841" s="19">
        <v>0</v>
      </c>
      <c r="AB841" t="str">
        <f>VLOOKUP(E:E,笔记匹配!A:N,3,FALSE)</f>
        <v>国产收音机X</v>
      </c>
      <c r="AC841" t="str">
        <f>VLOOKUP(E:E,笔记匹配!A:N,2,FALSE)</f>
        <v>筋膜枪</v>
      </c>
      <c r="AD841" t="str">
        <f>VLOOKUP(E:E,笔记匹配!A:N,4,FALSE)</f>
        <v>云麦筋膜枪PB2</v>
      </c>
      <c r="AE841" t="str">
        <f>VLOOKUP(E:E,笔记匹配!A:N,14,FALSE)</f>
        <v>云麦筋膜枪pb2</v>
      </c>
      <c r="AF841" t="str">
        <f>VLOOKUP(E:E,笔记匹配!A:N,6,FALSE)</f>
        <v>别再怕爬山 / 徒步后放松教程</v>
      </c>
    </row>
    <row r="842" spans="1:32">
      <c r="A842" s="18" t="s">
        <v>120</v>
      </c>
      <c r="B842" s="18" t="s">
        <v>1226</v>
      </c>
      <c r="C842" s="19">
        <v>19713077</v>
      </c>
      <c r="D842" s="18" t="s">
        <v>209</v>
      </c>
      <c r="E842" s="18" t="s">
        <v>317</v>
      </c>
      <c r="F842" s="18" t="s">
        <v>1231</v>
      </c>
      <c r="G842" s="19">
        <v>4365044</v>
      </c>
      <c r="H842" s="18" t="s">
        <v>1232</v>
      </c>
      <c r="I842" s="19">
        <v>3739155</v>
      </c>
      <c r="J842" s="18" t="s">
        <v>1015</v>
      </c>
      <c r="K842" s="19">
        <v>310.16</v>
      </c>
      <c r="L842" s="19">
        <v>12853</v>
      </c>
      <c r="M842" s="19">
        <v>604</v>
      </c>
      <c r="N842" s="20">
        <v>0.047</v>
      </c>
      <c r="O842" s="19">
        <v>0.51</v>
      </c>
      <c r="P842" s="19">
        <v>24.13</v>
      </c>
      <c r="Q842" s="19">
        <v>78</v>
      </c>
      <c r="R842" s="19">
        <v>1</v>
      </c>
      <c r="S842" s="19">
        <v>22</v>
      </c>
      <c r="T842" s="19">
        <v>0</v>
      </c>
      <c r="U842" s="19">
        <v>2</v>
      </c>
      <c r="V842" s="19">
        <v>103</v>
      </c>
      <c r="W842" s="19">
        <v>3.01</v>
      </c>
      <c r="X842" s="19">
        <v>0</v>
      </c>
      <c r="Y842" s="20">
        <v>0</v>
      </c>
      <c r="Z842" s="19">
        <v>5</v>
      </c>
      <c r="AA842" s="19">
        <v>4</v>
      </c>
      <c r="AB842" t="str">
        <f>VLOOKUP(E:E,笔记匹配!A:N,3,FALSE)</f>
        <v>小乔您了</v>
      </c>
      <c r="AC842" t="str">
        <f>VLOOKUP(E:E,笔记匹配!A:N,2,FALSE)</f>
        <v>筋膜枪</v>
      </c>
      <c r="AD842" t="str">
        <f>VLOOKUP(E:E,笔记匹配!A:N,4,FALSE)</f>
        <v>云麦筋膜枪pb2</v>
      </c>
      <c r="AE842" t="str">
        <f>VLOOKUP(E:E,笔记匹配!A:N,14,FALSE)</f>
        <v>云麦筋膜枪pb2</v>
      </c>
      <c r="AF842" t="str">
        <f>VLOOKUP(E:E,笔记匹配!A:N,6,FALSE)</f>
        <v>🆘哭了！筋膜枪细【脂包肌】小腿被我悟明白了！</v>
      </c>
    </row>
    <row r="843" spans="1:32">
      <c r="A843" s="18" t="s">
        <v>120</v>
      </c>
      <c r="B843" s="18" t="s">
        <v>1229</v>
      </c>
      <c r="C843" s="19">
        <v>19752470</v>
      </c>
      <c r="D843" s="18" t="s">
        <v>209</v>
      </c>
      <c r="E843" s="18" t="s">
        <v>300</v>
      </c>
      <c r="F843" s="18" t="s">
        <v>1230</v>
      </c>
      <c r="G843" s="19">
        <v>4384092</v>
      </c>
      <c r="H843" s="18" t="s">
        <v>1230</v>
      </c>
      <c r="I843" s="19">
        <v>3756475</v>
      </c>
      <c r="J843" s="18" t="s">
        <v>1015</v>
      </c>
      <c r="K843" s="19">
        <v>0</v>
      </c>
      <c r="L843" s="19">
        <v>0</v>
      </c>
      <c r="M843" s="19">
        <v>0</v>
      </c>
      <c r="N843" s="20">
        <v>0</v>
      </c>
      <c r="O843" s="19">
        <v>0</v>
      </c>
      <c r="P843" s="19">
        <v>0</v>
      </c>
      <c r="Q843" s="19">
        <v>0</v>
      </c>
      <c r="R843" s="19">
        <v>0</v>
      </c>
      <c r="S843" s="19">
        <v>0</v>
      </c>
      <c r="T843" s="19">
        <v>0</v>
      </c>
      <c r="U843" s="19">
        <v>0</v>
      </c>
      <c r="V843" s="19">
        <v>0</v>
      </c>
      <c r="W843" s="19">
        <v>0</v>
      </c>
      <c r="X843" s="19">
        <v>0</v>
      </c>
      <c r="Y843" s="20">
        <v>0</v>
      </c>
      <c r="Z843" s="19">
        <v>0</v>
      </c>
      <c r="AA843" s="19">
        <v>0</v>
      </c>
      <c r="AB843" t="str">
        <f>VLOOKUP(E:E,笔记匹配!A:N,3,FALSE)</f>
        <v>朱俊畅</v>
      </c>
      <c r="AC843" t="str">
        <f>VLOOKUP(E:E,笔记匹配!A:N,2,FALSE)</f>
        <v>筋膜枪</v>
      </c>
      <c r="AD843" t="str">
        <f>VLOOKUP(E:E,笔记匹配!A:N,4,FALSE)</f>
        <v>云麦筋膜枪PB2</v>
      </c>
      <c r="AE843" t="str">
        <f>VLOOKUP(E:E,笔记匹配!A:N,14,FALSE)</f>
        <v>云麦筋膜枪pb2</v>
      </c>
      <c r="AF843" t="str">
        <f>VLOOKUP(E:E,笔记匹配!A:N,6,FALSE)</f>
        <v>打球完容易肌肉酸痛，筋膜枪放松更有效！</v>
      </c>
    </row>
    <row r="844" spans="1:32">
      <c r="A844" s="18" t="s">
        <v>120</v>
      </c>
      <c r="B844" s="18" t="s">
        <v>1233</v>
      </c>
      <c r="C844" s="19">
        <v>19834935</v>
      </c>
      <c r="D844" s="18" t="s">
        <v>209</v>
      </c>
      <c r="E844" s="18" t="s">
        <v>274</v>
      </c>
      <c r="F844" s="18" t="s">
        <v>1234</v>
      </c>
      <c r="G844" s="19">
        <v>4425179</v>
      </c>
      <c r="H844" s="18" t="s">
        <v>1234</v>
      </c>
      <c r="I844" s="19">
        <v>3793911</v>
      </c>
      <c r="J844" s="18" t="s">
        <v>1015</v>
      </c>
      <c r="K844" s="19">
        <v>472.53</v>
      </c>
      <c r="L844" s="19">
        <v>33805</v>
      </c>
      <c r="M844" s="19">
        <v>1634</v>
      </c>
      <c r="N844" s="20">
        <v>0.0483</v>
      </c>
      <c r="O844" s="19">
        <v>0.29</v>
      </c>
      <c r="P844" s="19">
        <v>13.98</v>
      </c>
      <c r="Q844" s="19">
        <v>23</v>
      </c>
      <c r="R844" s="19">
        <v>1</v>
      </c>
      <c r="S844" s="19">
        <v>16</v>
      </c>
      <c r="T844" s="19">
        <v>3</v>
      </c>
      <c r="U844" s="19">
        <v>6</v>
      </c>
      <c r="V844" s="19">
        <v>49</v>
      </c>
      <c r="W844" s="19">
        <v>9.64</v>
      </c>
      <c r="X844" s="19">
        <v>0</v>
      </c>
      <c r="Y844" s="20">
        <v>0</v>
      </c>
      <c r="Z844" s="19">
        <v>10</v>
      </c>
      <c r="AA844" s="19">
        <v>2</v>
      </c>
      <c r="AB844" t="str">
        <f>VLOOKUP(E:E,笔记匹配!A:N,3,FALSE)</f>
        <v>西米是个小可爱</v>
      </c>
      <c r="AC844" t="str">
        <f>VLOOKUP(E:E,笔记匹配!A:N,2,FALSE)</f>
        <v>筋膜枪</v>
      </c>
      <c r="AD844" t="str">
        <f>VLOOKUP(E:E,笔记匹配!A:N,4,FALSE)</f>
        <v>云麦筋膜枪PB2</v>
      </c>
      <c r="AE844" t="str">
        <f>VLOOKUP(E:E,笔记匹配!A:N,14,FALSE)</f>
        <v>云麦筋膜枪pb2</v>
      </c>
      <c r="AF844" t="str">
        <f>VLOOKUP(E:E,笔记匹配!A:N,6,FALSE)</f>
        <v>筋膜枪千万不能乱用！正确肩颈使用方法</v>
      </c>
    </row>
    <row r="845" spans="1:32">
      <c r="A845" s="18" t="s">
        <v>120</v>
      </c>
      <c r="B845" s="18" t="s">
        <v>1233</v>
      </c>
      <c r="C845" s="19">
        <v>19834982</v>
      </c>
      <c r="D845" s="18" t="s">
        <v>209</v>
      </c>
      <c r="E845" s="18" t="s">
        <v>565</v>
      </c>
      <c r="F845" s="18" t="s">
        <v>1235</v>
      </c>
      <c r="G845" s="19">
        <v>4425218</v>
      </c>
      <c r="H845" s="18" t="s">
        <v>1235</v>
      </c>
      <c r="I845" s="19">
        <v>3793941</v>
      </c>
      <c r="J845" s="18" t="s">
        <v>1015</v>
      </c>
      <c r="K845" s="19">
        <v>0</v>
      </c>
      <c r="L845" s="19">
        <v>0</v>
      </c>
      <c r="M845" s="19">
        <v>0</v>
      </c>
      <c r="N845" s="20">
        <v>0</v>
      </c>
      <c r="O845" s="19">
        <v>0</v>
      </c>
      <c r="P845" s="19">
        <v>0</v>
      </c>
      <c r="Q845" s="19">
        <v>0</v>
      </c>
      <c r="R845" s="19">
        <v>0</v>
      </c>
      <c r="S845" s="19">
        <v>0</v>
      </c>
      <c r="T845" s="19">
        <v>0</v>
      </c>
      <c r="U845" s="19">
        <v>0</v>
      </c>
      <c r="V845" s="19">
        <v>0</v>
      </c>
      <c r="W845" s="19">
        <v>0</v>
      </c>
      <c r="X845" s="19">
        <v>0</v>
      </c>
      <c r="Y845" s="20">
        <v>0</v>
      </c>
      <c r="Z845" s="19">
        <v>0</v>
      </c>
      <c r="AA845" s="19">
        <v>0</v>
      </c>
      <c r="AB845" t="str">
        <f>VLOOKUP(E:E,笔记匹配!A:N,3,FALSE)</f>
        <v>林然Tolyn</v>
      </c>
      <c r="AC845" t="str">
        <f>VLOOKUP(E:E,笔记匹配!A:N,2,FALSE)</f>
        <v>筋膜枪</v>
      </c>
      <c r="AD845" t="str">
        <f>VLOOKUP(E:E,笔记匹配!A:N,4,FALSE)</f>
        <v>云麦筋膜枪</v>
      </c>
      <c r="AE845" t="str">
        <f>VLOOKUP(E:E,笔记匹配!A:N,14,FALSE)</f>
        <v>云麦筋膜枪pb2</v>
      </c>
      <c r="AF845" t="str">
        <f>VLOOKUP(E:E,笔记匹配!A:N,6,FALSE)</f>
        <v>分享一下我健身后肌肉放松方法&amp;自用筋膜枪</v>
      </c>
    </row>
    <row r="846" spans="1:32">
      <c r="A846" s="18" t="s">
        <v>121</v>
      </c>
      <c r="B846" s="18" t="s">
        <v>1181</v>
      </c>
      <c r="C846" s="19">
        <v>18606961</v>
      </c>
      <c r="D846" s="18" t="s">
        <v>209</v>
      </c>
      <c r="E846" s="18" t="s">
        <v>289</v>
      </c>
      <c r="F846" s="18" t="s">
        <v>1183</v>
      </c>
      <c r="G846" s="19">
        <v>3851160</v>
      </c>
      <c r="H846" s="18" t="s">
        <v>1183</v>
      </c>
      <c r="I846" s="19">
        <v>3236289</v>
      </c>
      <c r="J846" s="18" t="s">
        <v>1015</v>
      </c>
      <c r="K846" s="19">
        <v>0</v>
      </c>
      <c r="L846" s="19">
        <v>0</v>
      </c>
      <c r="M846" s="19">
        <v>0</v>
      </c>
      <c r="N846" s="20">
        <v>0</v>
      </c>
      <c r="O846" s="19">
        <v>0</v>
      </c>
      <c r="P846" s="19">
        <v>0</v>
      </c>
      <c r="Q846" s="19">
        <v>0</v>
      </c>
      <c r="R846" s="19">
        <v>0</v>
      </c>
      <c r="S846" s="19">
        <v>0</v>
      </c>
      <c r="T846" s="19">
        <v>0</v>
      </c>
      <c r="U846" s="19">
        <v>0</v>
      </c>
      <c r="V846" s="19">
        <v>0</v>
      </c>
      <c r="W846" s="19">
        <v>0</v>
      </c>
      <c r="X846" s="19">
        <v>0</v>
      </c>
      <c r="Y846" s="20">
        <v>0</v>
      </c>
      <c r="Z846" s="19">
        <v>0</v>
      </c>
      <c r="AA846" s="19">
        <v>0</v>
      </c>
      <c r="AB846" t="str">
        <f>VLOOKUP(E:E,笔记匹配!A:N,3,FALSE)</f>
        <v>小蓝今天吃了没</v>
      </c>
      <c r="AC846" t="str">
        <f>VLOOKUP(E:E,笔记匹配!A:N,2,FALSE)</f>
        <v>筋膜枪</v>
      </c>
      <c r="AD846" t="str">
        <f>VLOOKUP(E:E,笔记匹配!A:N,4,FALSE)</f>
        <v>云麦 筋膜枪PB2</v>
      </c>
      <c r="AE846" t="str">
        <f>VLOOKUP(E:E,笔记匹配!A:N,14,FALSE)</f>
        <v>云麦筋膜枪pb2</v>
      </c>
      <c r="AF846" t="str">
        <f>VLOOKUP(E:E,笔记匹配!A:N,6,FALSE)</f>
        <v>筋膜枪正确用法！刘耕宏女孩永不认输</v>
      </c>
    </row>
    <row r="847" spans="1:32">
      <c r="A847" s="18" t="s">
        <v>121</v>
      </c>
      <c r="B847" s="18" t="s">
        <v>1196</v>
      </c>
      <c r="C847" s="19">
        <v>19054497</v>
      </c>
      <c r="D847" s="18" t="s">
        <v>209</v>
      </c>
      <c r="E847" s="18" t="s">
        <v>452</v>
      </c>
      <c r="F847" s="18" t="s">
        <v>1198</v>
      </c>
      <c r="G847" s="19">
        <v>4059827</v>
      </c>
      <c r="H847" s="18" t="s">
        <v>1198</v>
      </c>
      <c r="I847" s="19">
        <v>3442591</v>
      </c>
      <c r="J847" s="18" t="s">
        <v>1015</v>
      </c>
      <c r="K847" s="19">
        <v>0</v>
      </c>
      <c r="L847" s="19">
        <v>0</v>
      </c>
      <c r="M847" s="19">
        <v>0</v>
      </c>
      <c r="N847" s="20">
        <v>0</v>
      </c>
      <c r="O847" s="19">
        <v>0</v>
      </c>
      <c r="P847" s="19">
        <v>0</v>
      </c>
      <c r="Q847" s="19">
        <v>0</v>
      </c>
      <c r="R847" s="19">
        <v>0</v>
      </c>
      <c r="S847" s="19">
        <v>0</v>
      </c>
      <c r="T847" s="19">
        <v>0</v>
      </c>
      <c r="U847" s="19">
        <v>0</v>
      </c>
      <c r="V847" s="19">
        <v>0</v>
      </c>
      <c r="W847" s="19">
        <v>0</v>
      </c>
      <c r="X847" s="19">
        <v>0</v>
      </c>
      <c r="Y847" s="20">
        <v>0</v>
      </c>
      <c r="Z847" s="19">
        <v>0</v>
      </c>
      <c r="AA847" s="19">
        <v>0</v>
      </c>
      <c r="AB847" t="str">
        <f>VLOOKUP(E:E,笔记匹配!A:N,3,FALSE)</f>
        <v>Bruce小厮</v>
      </c>
      <c r="AC847" t="str">
        <f>VLOOKUP(E:E,笔记匹配!A:N,2,FALSE)</f>
        <v>筋膜枪</v>
      </c>
      <c r="AD847" t="str">
        <f>VLOOKUP(E:E,笔记匹配!A:N,4,FALSE)</f>
        <v>云麦筋膜枪PB2</v>
      </c>
      <c r="AE847" t="str">
        <f>VLOOKUP(E:E,笔记匹配!A:N,14,FALSE)</f>
        <v>云麦筋膜枪pb2</v>
      </c>
      <c r="AF847" t="str">
        <f>VLOOKUP(E:E,笔记匹配!A:N,6,FALSE)</f>
        <v>女生练球后如何拉伸按摩，筋膜枪放松！！</v>
      </c>
    </row>
    <row r="848" spans="1:32">
      <c r="A848" s="18" t="s">
        <v>121</v>
      </c>
      <c r="B848" s="18" t="s">
        <v>1196</v>
      </c>
      <c r="C848" s="19">
        <v>19058466</v>
      </c>
      <c r="D848" s="18" t="s">
        <v>196</v>
      </c>
      <c r="E848" s="18" t="s">
        <v>296</v>
      </c>
      <c r="F848" s="18" t="s">
        <v>1199</v>
      </c>
      <c r="G848" s="19">
        <v>4061725</v>
      </c>
      <c r="H848" s="18" t="s">
        <v>1199</v>
      </c>
      <c r="I848" s="19">
        <v>3444458</v>
      </c>
      <c r="J848" s="18" t="s">
        <v>1015</v>
      </c>
      <c r="K848" s="19">
        <v>1008.88</v>
      </c>
      <c r="L848" s="19">
        <v>66229</v>
      </c>
      <c r="M848" s="19">
        <v>3165</v>
      </c>
      <c r="N848" s="20">
        <v>0.0478</v>
      </c>
      <c r="O848" s="19">
        <v>0.32</v>
      </c>
      <c r="P848" s="19">
        <v>15.23</v>
      </c>
      <c r="Q848" s="19">
        <v>38</v>
      </c>
      <c r="R848" s="19">
        <v>1</v>
      </c>
      <c r="S848" s="19">
        <v>15</v>
      </c>
      <c r="T848" s="19">
        <v>0</v>
      </c>
      <c r="U848" s="19">
        <v>3</v>
      </c>
      <c r="V848" s="19">
        <v>57</v>
      </c>
      <c r="W848" s="19">
        <v>17.7</v>
      </c>
      <c r="X848" s="19">
        <v>45</v>
      </c>
      <c r="Y848" s="20">
        <v>0.0142</v>
      </c>
      <c r="Z848" s="19">
        <v>10</v>
      </c>
      <c r="AA848" s="19">
        <v>3</v>
      </c>
      <c r="AB848" t="str">
        <f>VLOOKUP(E:E,笔记匹配!A:N,3,FALSE)</f>
        <v>元气芥末酱</v>
      </c>
      <c r="AC848" t="str">
        <f>VLOOKUP(E:E,笔记匹配!A:N,2,FALSE)</f>
        <v>筋膜枪</v>
      </c>
      <c r="AD848" t="str">
        <f>VLOOKUP(E:E,笔记匹配!A:N,4,FALSE)</f>
        <v>云麦筋膜枪PB2</v>
      </c>
      <c r="AE848" t="str">
        <f>VLOOKUP(E:E,笔记匹配!A:N,14,FALSE)</f>
        <v>云麦筋膜枪pb2</v>
      </c>
      <c r="AF848" t="str">
        <f>VLOOKUP(E:E,笔记匹配!A:N,6,FALSE)</f>
        <v>小腿粗的姐妹信我！肌肉腿就要这样按！</v>
      </c>
    </row>
    <row r="849" spans="1:32">
      <c r="A849" s="18" t="s">
        <v>121</v>
      </c>
      <c r="B849" s="18" t="s">
        <v>1200</v>
      </c>
      <c r="C849" s="19">
        <v>19106863</v>
      </c>
      <c r="D849" s="18" t="s">
        <v>209</v>
      </c>
      <c r="E849" s="18" t="s">
        <v>201</v>
      </c>
      <c r="F849" s="18" t="s">
        <v>1202</v>
      </c>
      <c r="G849" s="19">
        <v>4084168</v>
      </c>
      <c r="H849" s="18" t="s">
        <v>1202</v>
      </c>
      <c r="I849" s="19">
        <v>3466674</v>
      </c>
      <c r="J849" s="18" t="s">
        <v>1015</v>
      </c>
      <c r="K849" s="19">
        <v>0</v>
      </c>
      <c r="L849" s="19">
        <v>0</v>
      </c>
      <c r="M849" s="19">
        <v>0</v>
      </c>
      <c r="N849" s="20">
        <v>0</v>
      </c>
      <c r="O849" s="19">
        <v>0</v>
      </c>
      <c r="P849" s="19">
        <v>0</v>
      </c>
      <c r="Q849" s="19">
        <v>0</v>
      </c>
      <c r="R849" s="19">
        <v>0</v>
      </c>
      <c r="S849" s="19">
        <v>0</v>
      </c>
      <c r="T849" s="19">
        <v>0</v>
      </c>
      <c r="U849" s="19">
        <v>0</v>
      </c>
      <c r="V849" s="19">
        <v>0</v>
      </c>
      <c r="W849" s="19">
        <v>0</v>
      </c>
      <c r="X849" s="19">
        <v>0</v>
      </c>
      <c r="Y849" s="20">
        <v>0</v>
      </c>
      <c r="Z849" s="19">
        <v>0</v>
      </c>
      <c r="AA849" s="19">
        <v>0</v>
      </c>
      <c r="AB849" t="str">
        <f>VLOOKUP(E:E,笔记匹配!A:N,3,FALSE)</f>
        <v>包子熟了</v>
      </c>
      <c r="AC849" t="str">
        <f>VLOOKUP(E:E,笔记匹配!A:N,2,FALSE)</f>
        <v>筋膜枪</v>
      </c>
      <c r="AD849" t="str">
        <f>VLOOKUP(E:E,笔记匹配!A:N,4,FALSE)</f>
        <v>云麦筋膜枪</v>
      </c>
      <c r="AE849" t="str">
        <f>VLOOKUP(E:E,笔记匹配!A:N,14,FALSE)</f>
        <v>云麦筋膜枪pb2</v>
      </c>
      <c r="AF849" t="str">
        <f>VLOOKUP(E:E,笔记匹配!A:N,6,FALSE)</f>
        <v>筋膜枪测评|健身小白如何挑选筋膜枪？</v>
      </c>
    </row>
    <row r="850" spans="1:32">
      <c r="A850" s="18" t="s">
        <v>121</v>
      </c>
      <c r="B850" s="18" t="s">
        <v>1223</v>
      </c>
      <c r="C850" s="19">
        <v>19607601</v>
      </c>
      <c r="D850" s="18" t="s">
        <v>209</v>
      </c>
      <c r="E850" s="18" t="s">
        <v>570</v>
      </c>
      <c r="F850" s="18" t="s">
        <v>834</v>
      </c>
      <c r="G850" s="19">
        <v>4314778</v>
      </c>
      <c r="H850" s="18" t="s">
        <v>1224</v>
      </c>
      <c r="I850" s="19">
        <v>3692242</v>
      </c>
      <c r="J850" s="18" t="s">
        <v>1015</v>
      </c>
      <c r="K850" s="19">
        <v>414</v>
      </c>
      <c r="L850" s="19">
        <v>25833</v>
      </c>
      <c r="M850" s="19">
        <v>1131</v>
      </c>
      <c r="N850" s="20">
        <v>0.0438</v>
      </c>
      <c r="O850" s="19">
        <v>0.37</v>
      </c>
      <c r="P850" s="19">
        <v>16.03</v>
      </c>
      <c r="Q850" s="19">
        <v>66</v>
      </c>
      <c r="R850" s="19">
        <v>3</v>
      </c>
      <c r="S850" s="19">
        <v>17</v>
      </c>
      <c r="T850" s="19">
        <v>10</v>
      </c>
      <c r="U850" s="19">
        <v>5</v>
      </c>
      <c r="V850" s="19">
        <v>101</v>
      </c>
      <c r="W850" s="19">
        <v>4.1</v>
      </c>
      <c r="X850" s="19">
        <v>0</v>
      </c>
      <c r="Y850" s="20">
        <v>0</v>
      </c>
      <c r="Z850" s="19">
        <v>0</v>
      </c>
      <c r="AA850" s="19">
        <v>1</v>
      </c>
      <c r="AB850" t="str">
        <f>VLOOKUP(E:E,笔记匹配!A:N,3,FALSE)</f>
        <v>国产收音机X</v>
      </c>
      <c r="AC850" t="str">
        <f>VLOOKUP(E:E,笔记匹配!A:N,2,FALSE)</f>
        <v>筋膜枪</v>
      </c>
      <c r="AD850" t="str">
        <f>VLOOKUP(E:E,笔记匹配!A:N,4,FALSE)</f>
        <v>云麦筋膜枪PB2</v>
      </c>
      <c r="AE850" t="str">
        <f>VLOOKUP(E:E,笔记匹配!A:N,14,FALSE)</f>
        <v>云麦筋膜枪pb2</v>
      </c>
      <c r="AF850" t="str">
        <f>VLOOKUP(E:E,笔记匹配!A:N,6,FALSE)</f>
        <v>别再怕爬山 / 徒步后放松教程</v>
      </c>
    </row>
    <row r="851" spans="1:32">
      <c r="A851" s="18" t="s">
        <v>121</v>
      </c>
      <c r="B851" s="18" t="s">
        <v>1226</v>
      </c>
      <c r="C851" s="19">
        <v>19713077</v>
      </c>
      <c r="D851" s="18" t="s">
        <v>209</v>
      </c>
      <c r="E851" s="18" t="s">
        <v>317</v>
      </c>
      <c r="F851" s="18" t="s">
        <v>1231</v>
      </c>
      <c r="G851" s="19">
        <v>4365044</v>
      </c>
      <c r="H851" s="18" t="s">
        <v>1232</v>
      </c>
      <c r="I851" s="19">
        <v>3739155</v>
      </c>
      <c r="J851" s="18" t="s">
        <v>1015</v>
      </c>
      <c r="K851" s="19">
        <v>291.78</v>
      </c>
      <c r="L851" s="19">
        <v>11784</v>
      </c>
      <c r="M851" s="19">
        <v>553</v>
      </c>
      <c r="N851" s="20">
        <v>0.0469</v>
      </c>
      <c r="O851" s="19">
        <v>0.53</v>
      </c>
      <c r="P851" s="19">
        <v>24.76</v>
      </c>
      <c r="Q851" s="19">
        <v>78</v>
      </c>
      <c r="R851" s="19">
        <v>0</v>
      </c>
      <c r="S851" s="19">
        <v>22</v>
      </c>
      <c r="T851" s="19">
        <v>0</v>
      </c>
      <c r="U851" s="19">
        <v>2</v>
      </c>
      <c r="V851" s="19">
        <v>102</v>
      </c>
      <c r="W851" s="19">
        <v>2.86</v>
      </c>
      <c r="X851" s="19">
        <v>0</v>
      </c>
      <c r="Y851" s="20">
        <v>0</v>
      </c>
      <c r="Z851" s="19">
        <v>8</v>
      </c>
      <c r="AA851" s="19">
        <v>4</v>
      </c>
      <c r="AB851" t="str">
        <f>VLOOKUP(E:E,笔记匹配!A:N,3,FALSE)</f>
        <v>小乔您了</v>
      </c>
      <c r="AC851" t="str">
        <f>VLOOKUP(E:E,笔记匹配!A:N,2,FALSE)</f>
        <v>筋膜枪</v>
      </c>
      <c r="AD851" t="str">
        <f>VLOOKUP(E:E,笔记匹配!A:N,4,FALSE)</f>
        <v>云麦筋膜枪pb2</v>
      </c>
      <c r="AE851" t="str">
        <f>VLOOKUP(E:E,笔记匹配!A:N,14,FALSE)</f>
        <v>云麦筋膜枪pb2</v>
      </c>
      <c r="AF851" t="str">
        <f>VLOOKUP(E:E,笔记匹配!A:N,6,FALSE)</f>
        <v>🆘哭了！筋膜枪细【脂包肌】小腿被我悟明白了！</v>
      </c>
    </row>
    <row r="852" spans="1:32">
      <c r="A852" s="18" t="s">
        <v>121</v>
      </c>
      <c r="B852" s="18" t="s">
        <v>1229</v>
      </c>
      <c r="C852" s="19">
        <v>19752470</v>
      </c>
      <c r="D852" s="18" t="s">
        <v>209</v>
      </c>
      <c r="E852" s="18" t="s">
        <v>300</v>
      </c>
      <c r="F852" s="18" t="s">
        <v>1230</v>
      </c>
      <c r="G852" s="19">
        <v>4384092</v>
      </c>
      <c r="H852" s="18" t="s">
        <v>1230</v>
      </c>
      <c r="I852" s="19">
        <v>3756475</v>
      </c>
      <c r="J852" s="18" t="s">
        <v>1015</v>
      </c>
      <c r="K852" s="19">
        <v>0</v>
      </c>
      <c r="L852" s="19">
        <v>0</v>
      </c>
      <c r="M852" s="19">
        <v>0</v>
      </c>
      <c r="N852" s="20">
        <v>0</v>
      </c>
      <c r="O852" s="19">
        <v>0</v>
      </c>
      <c r="P852" s="19">
        <v>0</v>
      </c>
      <c r="Q852" s="19">
        <v>0</v>
      </c>
      <c r="R852" s="19">
        <v>0</v>
      </c>
      <c r="S852" s="19">
        <v>0</v>
      </c>
      <c r="T852" s="19">
        <v>0</v>
      </c>
      <c r="U852" s="19">
        <v>0</v>
      </c>
      <c r="V852" s="19">
        <v>0</v>
      </c>
      <c r="W852" s="19">
        <v>0</v>
      </c>
      <c r="X852" s="19">
        <v>0</v>
      </c>
      <c r="Y852" s="20">
        <v>0</v>
      </c>
      <c r="Z852" s="19">
        <v>0</v>
      </c>
      <c r="AA852" s="19">
        <v>0</v>
      </c>
      <c r="AB852" t="str">
        <f>VLOOKUP(E:E,笔记匹配!A:N,3,FALSE)</f>
        <v>朱俊畅</v>
      </c>
      <c r="AC852" t="str">
        <f>VLOOKUP(E:E,笔记匹配!A:N,2,FALSE)</f>
        <v>筋膜枪</v>
      </c>
      <c r="AD852" t="str">
        <f>VLOOKUP(E:E,笔记匹配!A:N,4,FALSE)</f>
        <v>云麦筋膜枪PB2</v>
      </c>
      <c r="AE852" t="str">
        <f>VLOOKUP(E:E,笔记匹配!A:N,14,FALSE)</f>
        <v>云麦筋膜枪pb2</v>
      </c>
      <c r="AF852" t="str">
        <f>VLOOKUP(E:E,笔记匹配!A:N,6,FALSE)</f>
        <v>打球完容易肌肉酸痛，筋膜枪放松更有效！</v>
      </c>
    </row>
    <row r="853" spans="1:32">
      <c r="A853" s="18" t="s">
        <v>121</v>
      </c>
      <c r="B853" s="18" t="s">
        <v>1233</v>
      </c>
      <c r="C853" s="19">
        <v>19834935</v>
      </c>
      <c r="D853" s="18" t="s">
        <v>209</v>
      </c>
      <c r="E853" s="18" t="s">
        <v>274</v>
      </c>
      <c r="F853" s="18" t="s">
        <v>1234</v>
      </c>
      <c r="G853" s="19">
        <v>4425179</v>
      </c>
      <c r="H853" s="18" t="s">
        <v>1234</v>
      </c>
      <c r="I853" s="19">
        <v>3793911</v>
      </c>
      <c r="J853" s="18" t="s">
        <v>1015</v>
      </c>
      <c r="K853" s="19">
        <v>390.35</v>
      </c>
      <c r="L853" s="19">
        <v>12743</v>
      </c>
      <c r="M853" s="19">
        <v>683</v>
      </c>
      <c r="N853" s="20">
        <v>0.0536</v>
      </c>
      <c r="O853" s="19">
        <v>0.57</v>
      </c>
      <c r="P853" s="19">
        <v>30.63</v>
      </c>
      <c r="Q853" s="19">
        <v>34</v>
      </c>
      <c r="R853" s="19">
        <v>0</v>
      </c>
      <c r="S853" s="19">
        <v>28</v>
      </c>
      <c r="T853" s="19">
        <v>0</v>
      </c>
      <c r="U853" s="19">
        <v>12</v>
      </c>
      <c r="V853" s="19">
        <v>74</v>
      </c>
      <c r="W853" s="19">
        <v>5.28</v>
      </c>
      <c r="X853" s="19">
        <v>0</v>
      </c>
      <c r="Y853" s="20">
        <v>0</v>
      </c>
      <c r="Z853" s="19">
        <v>0</v>
      </c>
      <c r="AA853" s="19">
        <v>3</v>
      </c>
      <c r="AB853" t="str">
        <f>VLOOKUP(E:E,笔记匹配!A:N,3,FALSE)</f>
        <v>西米是个小可爱</v>
      </c>
      <c r="AC853" t="str">
        <f>VLOOKUP(E:E,笔记匹配!A:N,2,FALSE)</f>
        <v>筋膜枪</v>
      </c>
      <c r="AD853" t="str">
        <f>VLOOKUP(E:E,笔记匹配!A:N,4,FALSE)</f>
        <v>云麦筋膜枪PB2</v>
      </c>
      <c r="AE853" t="str">
        <f>VLOOKUP(E:E,笔记匹配!A:N,14,FALSE)</f>
        <v>云麦筋膜枪pb2</v>
      </c>
      <c r="AF853" t="str">
        <f>VLOOKUP(E:E,笔记匹配!A:N,6,FALSE)</f>
        <v>筋膜枪千万不能乱用！正确肩颈使用方法</v>
      </c>
    </row>
    <row r="854" spans="1:32">
      <c r="A854" s="18" t="s">
        <v>121</v>
      </c>
      <c r="B854" s="18" t="s">
        <v>1233</v>
      </c>
      <c r="C854" s="19">
        <v>19834982</v>
      </c>
      <c r="D854" s="18" t="s">
        <v>209</v>
      </c>
      <c r="E854" s="18" t="s">
        <v>565</v>
      </c>
      <c r="F854" s="18" t="s">
        <v>1235</v>
      </c>
      <c r="G854" s="19">
        <v>4425218</v>
      </c>
      <c r="H854" s="18" t="s">
        <v>1235</v>
      </c>
      <c r="I854" s="19">
        <v>3793941</v>
      </c>
      <c r="J854" s="18" t="s">
        <v>1015</v>
      </c>
      <c r="K854" s="19">
        <v>0</v>
      </c>
      <c r="L854" s="19">
        <v>0</v>
      </c>
      <c r="M854" s="19">
        <v>0</v>
      </c>
      <c r="N854" s="20">
        <v>0</v>
      </c>
      <c r="O854" s="19">
        <v>0</v>
      </c>
      <c r="P854" s="19">
        <v>0</v>
      </c>
      <c r="Q854" s="19">
        <v>0</v>
      </c>
      <c r="R854" s="19">
        <v>0</v>
      </c>
      <c r="S854" s="19">
        <v>0</v>
      </c>
      <c r="T854" s="19">
        <v>0</v>
      </c>
      <c r="U854" s="19">
        <v>0</v>
      </c>
      <c r="V854" s="19">
        <v>0</v>
      </c>
      <c r="W854" s="19">
        <v>0</v>
      </c>
      <c r="X854" s="19">
        <v>0</v>
      </c>
      <c r="Y854" s="20">
        <v>0</v>
      </c>
      <c r="Z854" s="19">
        <v>0</v>
      </c>
      <c r="AA854" s="19">
        <v>0</v>
      </c>
      <c r="AB854" t="str">
        <f>VLOOKUP(E:E,笔记匹配!A:N,3,FALSE)</f>
        <v>林然Tolyn</v>
      </c>
      <c r="AC854" t="str">
        <f>VLOOKUP(E:E,笔记匹配!A:N,2,FALSE)</f>
        <v>筋膜枪</v>
      </c>
      <c r="AD854" t="str">
        <f>VLOOKUP(E:E,笔记匹配!A:N,4,FALSE)</f>
        <v>云麦筋膜枪</v>
      </c>
      <c r="AE854" t="str">
        <f>VLOOKUP(E:E,笔记匹配!A:N,14,FALSE)</f>
        <v>云麦筋膜枪pb2</v>
      </c>
      <c r="AF854" t="str">
        <f>VLOOKUP(E:E,笔记匹配!A:N,6,FALSE)</f>
        <v>分享一下我健身后肌肉放松方法&amp;自用筋膜枪</v>
      </c>
    </row>
    <row r="855" spans="1:32">
      <c r="A855" s="18" t="s">
        <v>121</v>
      </c>
      <c r="B855" s="18" t="s">
        <v>1236</v>
      </c>
      <c r="C855" s="19">
        <v>20017048</v>
      </c>
      <c r="D855" s="18" t="s">
        <v>209</v>
      </c>
      <c r="E855" s="18" t="s">
        <v>296</v>
      </c>
      <c r="F855" s="18" t="s">
        <v>1237</v>
      </c>
      <c r="G855" s="19">
        <v>4507302</v>
      </c>
      <c r="H855" s="18" t="s">
        <v>1237</v>
      </c>
      <c r="I855" s="19">
        <v>3866054</v>
      </c>
      <c r="J855" s="18" t="s">
        <v>1015</v>
      </c>
      <c r="K855" s="19">
        <v>512.77</v>
      </c>
      <c r="L855" s="19">
        <v>84469</v>
      </c>
      <c r="M855" s="19">
        <v>2640</v>
      </c>
      <c r="N855" s="20">
        <v>0.0313</v>
      </c>
      <c r="O855" s="19">
        <v>0.19</v>
      </c>
      <c r="P855" s="19">
        <v>6.07</v>
      </c>
      <c r="Q855" s="19">
        <v>33</v>
      </c>
      <c r="R855" s="19">
        <v>2</v>
      </c>
      <c r="S855" s="19">
        <v>16</v>
      </c>
      <c r="T855" s="19">
        <v>0</v>
      </c>
      <c r="U855" s="19">
        <v>0</v>
      </c>
      <c r="V855" s="19">
        <v>51</v>
      </c>
      <c r="W855" s="19">
        <v>10.05</v>
      </c>
      <c r="X855" s="19">
        <v>41</v>
      </c>
      <c r="Y855" s="20">
        <v>0.0155</v>
      </c>
      <c r="Z855" s="19">
        <v>4</v>
      </c>
      <c r="AA855" s="19">
        <v>5</v>
      </c>
      <c r="AB855" t="str">
        <f>VLOOKUP(E:E,笔记匹配!A:N,3,FALSE)</f>
        <v>元气芥末酱</v>
      </c>
      <c r="AC855" t="str">
        <f>VLOOKUP(E:E,笔记匹配!A:N,2,FALSE)</f>
        <v>筋膜枪</v>
      </c>
      <c r="AD855" t="str">
        <f>VLOOKUP(E:E,笔记匹配!A:N,4,FALSE)</f>
        <v>云麦筋膜枪PB2</v>
      </c>
      <c r="AE855" t="str">
        <f>VLOOKUP(E:E,笔记匹配!A:N,14,FALSE)</f>
        <v>云麦筋膜枪pb2</v>
      </c>
      <c r="AF855" t="str">
        <f>VLOOKUP(E:E,笔记匹配!A:N,6,FALSE)</f>
        <v>小腿粗的姐妹信我！肌肉腿就要这样按！</v>
      </c>
    </row>
    <row r="856" spans="1:32">
      <c r="A856" s="18" t="s">
        <v>122</v>
      </c>
      <c r="B856" s="18" t="s">
        <v>1164</v>
      </c>
      <c r="C856" s="19">
        <v>18170615</v>
      </c>
      <c r="D856" s="18" t="s">
        <v>209</v>
      </c>
      <c r="E856" s="18" t="s">
        <v>205</v>
      </c>
      <c r="F856" s="18" t="s">
        <v>1165</v>
      </c>
      <c r="G856" s="19">
        <v>3639848</v>
      </c>
      <c r="H856" s="18" t="s">
        <v>1166</v>
      </c>
      <c r="I856" s="19">
        <v>3024741</v>
      </c>
      <c r="J856" s="18" t="s">
        <v>1015</v>
      </c>
      <c r="K856" s="19">
        <v>0</v>
      </c>
      <c r="L856" s="19">
        <v>0</v>
      </c>
      <c r="M856" s="19">
        <v>0</v>
      </c>
      <c r="N856" s="20">
        <v>0</v>
      </c>
      <c r="O856" s="19">
        <v>0</v>
      </c>
      <c r="P856" s="19">
        <v>0</v>
      </c>
      <c r="Q856" s="19">
        <v>0</v>
      </c>
      <c r="R856" s="19">
        <v>0</v>
      </c>
      <c r="S856" s="19">
        <v>0</v>
      </c>
      <c r="T856" s="19">
        <v>0</v>
      </c>
      <c r="U856" s="19">
        <v>0</v>
      </c>
      <c r="V856" s="19">
        <v>0</v>
      </c>
      <c r="W856" s="19">
        <v>0</v>
      </c>
      <c r="X856" s="19">
        <v>0</v>
      </c>
      <c r="Y856" s="20">
        <v>0</v>
      </c>
      <c r="Z856" s="19">
        <v>0</v>
      </c>
      <c r="AA856" s="19">
        <v>0</v>
      </c>
      <c r="AB856" t="str">
        <f>VLOOKUP(E:E,笔记匹配!A:N,3,FALSE)</f>
        <v>马可乐cora</v>
      </c>
      <c r="AC856" t="str">
        <f>VLOOKUP(E:E,笔记匹配!A:N,2,FALSE)</f>
        <v>筋膜枪</v>
      </c>
      <c r="AD856" t="str">
        <f>VLOOKUP(E:E,笔记匹配!A:N,4,FALSE)</f>
        <v>云麦筋膜枪PB2</v>
      </c>
      <c r="AE856" t="str">
        <f>VLOOKUP(E:E,笔记匹配!A:N,14,FALSE)</f>
        <v>云麦筋膜枪pb2</v>
      </c>
      <c r="AF856" t="str">
        <f>VLOOKUP(E:E,笔记匹配!A:N,6,FALSE)</f>
        <v>跳操的姐妹听我的用筋膜枪放松下肢真的有用</v>
      </c>
    </row>
    <row r="857" spans="1:32">
      <c r="A857" s="18" t="s">
        <v>122</v>
      </c>
      <c r="B857" s="18" t="s">
        <v>1189</v>
      </c>
      <c r="C857" s="19">
        <v>19010569</v>
      </c>
      <c r="D857" s="18" t="s">
        <v>209</v>
      </c>
      <c r="E857" s="18" t="s">
        <v>400</v>
      </c>
      <c r="F857" s="18" t="s">
        <v>1192</v>
      </c>
      <c r="G857" s="19">
        <v>4039210</v>
      </c>
      <c r="H857" s="18" t="s">
        <v>1192</v>
      </c>
      <c r="I857" s="19">
        <v>3422478</v>
      </c>
      <c r="J857" s="18" t="s">
        <v>1015</v>
      </c>
      <c r="K857" s="19">
        <v>0</v>
      </c>
      <c r="L857" s="19">
        <v>0</v>
      </c>
      <c r="M857" s="19">
        <v>0</v>
      </c>
      <c r="N857" s="20">
        <v>0</v>
      </c>
      <c r="O857" s="19">
        <v>0</v>
      </c>
      <c r="P857" s="19">
        <v>0</v>
      </c>
      <c r="Q857" s="19">
        <v>0</v>
      </c>
      <c r="R857" s="19">
        <v>0</v>
      </c>
      <c r="S857" s="19">
        <v>0</v>
      </c>
      <c r="T857" s="19">
        <v>0</v>
      </c>
      <c r="U857" s="19">
        <v>0</v>
      </c>
      <c r="V857" s="19">
        <v>0</v>
      </c>
      <c r="W857" s="19">
        <v>0</v>
      </c>
      <c r="X857" s="19">
        <v>0</v>
      </c>
      <c r="Y857" s="20">
        <v>0</v>
      </c>
      <c r="Z857" s="19">
        <v>0</v>
      </c>
      <c r="AA857" s="19">
        <v>0</v>
      </c>
      <c r="AB857" t="str">
        <f>VLOOKUP(E:E,笔记匹配!A:N,3,FALSE)</f>
        <v>小雪教瑜伽</v>
      </c>
      <c r="AC857" t="str">
        <f>VLOOKUP(E:E,笔记匹配!A:N,2,FALSE)</f>
        <v>筋膜枪</v>
      </c>
      <c r="AD857" t="str">
        <f>VLOOKUP(E:E,笔记匹配!A:N,4,FALSE)</f>
        <v>云麦筋膜枪cc</v>
      </c>
      <c r="AE857" t="str">
        <f>VLOOKUP(E:E,笔记匹配!A:N,14,FALSE)</f>
        <v>云麦筋膜枪cc</v>
      </c>
      <c r="AF857" t="str">
        <f>VLOOKUP(E:E,笔记匹配!A:N,6,FALSE)</f>
        <v>瘦肌肉腿必备&amp;筋膜枪按摩跟练教程</v>
      </c>
    </row>
    <row r="858" spans="1:32">
      <c r="A858" s="18" t="s">
        <v>122</v>
      </c>
      <c r="B858" s="18" t="s">
        <v>1196</v>
      </c>
      <c r="C858" s="19">
        <v>19054497</v>
      </c>
      <c r="D858" s="18" t="s">
        <v>209</v>
      </c>
      <c r="E858" s="18" t="s">
        <v>452</v>
      </c>
      <c r="F858" s="18" t="s">
        <v>1198</v>
      </c>
      <c r="G858" s="19">
        <v>4059827</v>
      </c>
      <c r="H858" s="18" t="s">
        <v>1198</v>
      </c>
      <c r="I858" s="19">
        <v>3442591</v>
      </c>
      <c r="J858" s="18" t="s">
        <v>1015</v>
      </c>
      <c r="K858" s="19">
        <v>0</v>
      </c>
      <c r="L858" s="19">
        <v>0</v>
      </c>
      <c r="M858" s="19">
        <v>0</v>
      </c>
      <c r="N858" s="20">
        <v>0</v>
      </c>
      <c r="O858" s="19">
        <v>0</v>
      </c>
      <c r="P858" s="19">
        <v>0</v>
      </c>
      <c r="Q858" s="19">
        <v>0</v>
      </c>
      <c r="R858" s="19">
        <v>0</v>
      </c>
      <c r="S858" s="19">
        <v>0</v>
      </c>
      <c r="T858" s="19">
        <v>0</v>
      </c>
      <c r="U858" s="19">
        <v>0</v>
      </c>
      <c r="V858" s="19">
        <v>0</v>
      </c>
      <c r="W858" s="19">
        <v>0</v>
      </c>
      <c r="X858" s="19">
        <v>0</v>
      </c>
      <c r="Y858" s="20">
        <v>0</v>
      </c>
      <c r="Z858" s="19">
        <v>0</v>
      </c>
      <c r="AA858" s="19">
        <v>0</v>
      </c>
      <c r="AB858" t="str">
        <f>VLOOKUP(E:E,笔记匹配!A:N,3,FALSE)</f>
        <v>Bruce小厮</v>
      </c>
      <c r="AC858" t="str">
        <f>VLOOKUP(E:E,笔记匹配!A:N,2,FALSE)</f>
        <v>筋膜枪</v>
      </c>
      <c r="AD858" t="str">
        <f>VLOOKUP(E:E,笔记匹配!A:N,4,FALSE)</f>
        <v>云麦筋膜枪PB2</v>
      </c>
      <c r="AE858" t="str">
        <f>VLOOKUP(E:E,笔记匹配!A:N,14,FALSE)</f>
        <v>云麦筋膜枪pb2</v>
      </c>
      <c r="AF858" t="str">
        <f>VLOOKUP(E:E,笔记匹配!A:N,6,FALSE)</f>
        <v>女生练球后如何拉伸按摩，筋膜枪放松！！</v>
      </c>
    </row>
    <row r="859" spans="1:32">
      <c r="A859" s="18" t="s">
        <v>122</v>
      </c>
      <c r="B859" s="18" t="s">
        <v>1196</v>
      </c>
      <c r="C859" s="19">
        <v>19058466</v>
      </c>
      <c r="D859" s="18" t="s">
        <v>196</v>
      </c>
      <c r="E859" s="18" t="s">
        <v>296</v>
      </c>
      <c r="F859" s="18" t="s">
        <v>1199</v>
      </c>
      <c r="G859" s="19">
        <v>4061725</v>
      </c>
      <c r="H859" s="18" t="s">
        <v>1199</v>
      </c>
      <c r="I859" s="19">
        <v>3444458</v>
      </c>
      <c r="J859" s="18" t="s">
        <v>1015</v>
      </c>
      <c r="K859" s="19">
        <v>2.01</v>
      </c>
      <c r="L859" s="19">
        <v>194</v>
      </c>
      <c r="M859" s="19">
        <v>7</v>
      </c>
      <c r="N859" s="20">
        <v>0.0361</v>
      </c>
      <c r="O859" s="19">
        <v>0.29</v>
      </c>
      <c r="P859" s="19">
        <v>10.36</v>
      </c>
      <c r="Q859" s="19">
        <v>0</v>
      </c>
      <c r="R859" s="19">
        <v>0</v>
      </c>
      <c r="S859" s="19">
        <v>0</v>
      </c>
      <c r="T859" s="19">
        <v>0</v>
      </c>
      <c r="U859" s="19">
        <v>0</v>
      </c>
      <c r="V859" s="19">
        <v>0</v>
      </c>
      <c r="W859" s="19">
        <v>0</v>
      </c>
      <c r="X859" s="19">
        <v>0</v>
      </c>
      <c r="Y859" s="20">
        <v>0</v>
      </c>
      <c r="Z859" s="19">
        <v>1</v>
      </c>
      <c r="AA859" s="19">
        <v>0</v>
      </c>
      <c r="AB859" t="str">
        <f>VLOOKUP(E:E,笔记匹配!A:N,3,FALSE)</f>
        <v>元气芥末酱</v>
      </c>
      <c r="AC859" t="str">
        <f>VLOOKUP(E:E,笔记匹配!A:N,2,FALSE)</f>
        <v>筋膜枪</v>
      </c>
      <c r="AD859" t="str">
        <f>VLOOKUP(E:E,笔记匹配!A:N,4,FALSE)</f>
        <v>云麦筋膜枪PB2</v>
      </c>
      <c r="AE859" t="str">
        <f>VLOOKUP(E:E,笔记匹配!A:N,14,FALSE)</f>
        <v>云麦筋膜枪pb2</v>
      </c>
      <c r="AF859" t="str">
        <f>VLOOKUP(E:E,笔记匹配!A:N,6,FALSE)</f>
        <v>小腿粗的姐妹信我！肌肉腿就要这样按！</v>
      </c>
    </row>
    <row r="860" spans="1:32">
      <c r="A860" s="18" t="s">
        <v>122</v>
      </c>
      <c r="B860" s="18" t="s">
        <v>1200</v>
      </c>
      <c r="C860" s="19">
        <v>19106863</v>
      </c>
      <c r="D860" s="18" t="s">
        <v>209</v>
      </c>
      <c r="E860" s="18" t="s">
        <v>201</v>
      </c>
      <c r="F860" s="18" t="s">
        <v>1202</v>
      </c>
      <c r="G860" s="19">
        <v>4084168</v>
      </c>
      <c r="H860" s="18" t="s">
        <v>1202</v>
      </c>
      <c r="I860" s="19">
        <v>3466674</v>
      </c>
      <c r="J860" s="18" t="s">
        <v>1015</v>
      </c>
      <c r="K860" s="19">
        <v>0</v>
      </c>
      <c r="L860" s="19">
        <v>0</v>
      </c>
      <c r="M860" s="19">
        <v>0</v>
      </c>
      <c r="N860" s="20">
        <v>0</v>
      </c>
      <c r="O860" s="19">
        <v>0</v>
      </c>
      <c r="P860" s="19">
        <v>0</v>
      </c>
      <c r="Q860" s="19">
        <v>0</v>
      </c>
      <c r="R860" s="19">
        <v>0</v>
      </c>
      <c r="S860" s="19">
        <v>0</v>
      </c>
      <c r="T860" s="19">
        <v>0</v>
      </c>
      <c r="U860" s="19">
        <v>0</v>
      </c>
      <c r="V860" s="19">
        <v>0</v>
      </c>
      <c r="W860" s="19">
        <v>0</v>
      </c>
      <c r="X860" s="19">
        <v>0</v>
      </c>
      <c r="Y860" s="20">
        <v>0</v>
      </c>
      <c r="Z860" s="19">
        <v>0</v>
      </c>
      <c r="AA860" s="19">
        <v>0</v>
      </c>
      <c r="AB860" t="str">
        <f>VLOOKUP(E:E,笔记匹配!A:N,3,FALSE)</f>
        <v>包子熟了</v>
      </c>
      <c r="AC860" t="str">
        <f>VLOOKUP(E:E,笔记匹配!A:N,2,FALSE)</f>
        <v>筋膜枪</v>
      </c>
      <c r="AD860" t="str">
        <f>VLOOKUP(E:E,笔记匹配!A:N,4,FALSE)</f>
        <v>云麦筋膜枪</v>
      </c>
      <c r="AE860" t="str">
        <f>VLOOKUP(E:E,笔记匹配!A:N,14,FALSE)</f>
        <v>云麦筋膜枪pb2</v>
      </c>
      <c r="AF860" t="str">
        <f>VLOOKUP(E:E,笔记匹配!A:N,6,FALSE)</f>
        <v>筋膜枪测评|健身小白如何挑选筋膜枪？</v>
      </c>
    </row>
    <row r="861" spans="1:32">
      <c r="A861" s="18" t="s">
        <v>122</v>
      </c>
      <c r="B861" s="18" t="s">
        <v>1200</v>
      </c>
      <c r="C861" s="19">
        <v>19106999</v>
      </c>
      <c r="D861" s="18" t="s">
        <v>196</v>
      </c>
      <c r="E861" s="18" t="s">
        <v>205</v>
      </c>
      <c r="F861" s="18" t="s">
        <v>1203</v>
      </c>
      <c r="G861" s="19">
        <v>4084260</v>
      </c>
      <c r="H861" s="18" t="s">
        <v>1203</v>
      </c>
      <c r="I861" s="19">
        <v>3466751</v>
      </c>
      <c r="J861" s="18" t="s">
        <v>1015</v>
      </c>
      <c r="K861" s="19">
        <v>0</v>
      </c>
      <c r="L861" s="19">
        <v>0</v>
      </c>
      <c r="M861" s="19">
        <v>0</v>
      </c>
      <c r="N861" s="20">
        <v>0</v>
      </c>
      <c r="O861" s="19">
        <v>0</v>
      </c>
      <c r="P861" s="19">
        <v>0</v>
      </c>
      <c r="Q861" s="19">
        <v>0</v>
      </c>
      <c r="R861" s="19">
        <v>0</v>
      </c>
      <c r="S861" s="19">
        <v>0</v>
      </c>
      <c r="T861" s="19">
        <v>0</v>
      </c>
      <c r="U861" s="19">
        <v>0</v>
      </c>
      <c r="V861" s="19">
        <v>0</v>
      </c>
      <c r="W861" s="19">
        <v>0</v>
      </c>
      <c r="X861" s="19">
        <v>0</v>
      </c>
      <c r="Y861" s="20">
        <v>0</v>
      </c>
      <c r="Z861" s="19">
        <v>0</v>
      </c>
      <c r="AA861" s="19">
        <v>0</v>
      </c>
      <c r="AB861" t="str">
        <f>VLOOKUP(E:E,笔记匹配!A:N,3,FALSE)</f>
        <v>马可乐cora</v>
      </c>
      <c r="AC861" t="str">
        <f>VLOOKUP(E:E,笔记匹配!A:N,2,FALSE)</f>
        <v>筋膜枪</v>
      </c>
      <c r="AD861" t="str">
        <f>VLOOKUP(E:E,笔记匹配!A:N,4,FALSE)</f>
        <v>云麦筋膜枪PB2</v>
      </c>
      <c r="AE861" t="str">
        <f>VLOOKUP(E:E,笔记匹配!A:N,14,FALSE)</f>
        <v>云麦筋膜枪pb2</v>
      </c>
      <c r="AF861" t="str">
        <f>VLOOKUP(E:E,笔记匹配!A:N,6,FALSE)</f>
        <v>跳操的姐妹听我的用筋膜枪放松下肢真的有用</v>
      </c>
    </row>
    <row r="862" spans="1:32">
      <c r="A862" s="18" t="s">
        <v>122</v>
      </c>
      <c r="B862" s="18" t="s">
        <v>1223</v>
      </c>
      <c r="C862" s="19">
        <v>19607601</v>
      </c>
      <c r="D862" s="18" t="s">
        <v>209</v>
      </c>
      <c r="E862" s="18" t="s">
        <v>570</v>
      </c>
      <c r="F862" s="18" t="s">
        <v>834</v>
      </c>
      <c r="G862" s="19">
        <v>4314778</v>
      </c>
      <c r="H862" s="18" t="s">
        <v>1224</v>
      </c>
      <c r="I862" s="19">
        <v>3692242</v>
      </c>
      <c r="J862" s="18" t="s">
        <v>1015</v>
      </c>
      <c r="K862" s="19">
        <v>6.28</v>
      </c>
      <c r="L862" s="19">
        <v>527</v>
      </c>
      <c r="M862" s="19">
        <v>29</v>
      </c>
      <c r="N862" s="20">
        <v>0.055</v>
      </c>
      <c r="O862" s="19">
        <v>0.22</v>
      </c>
      <c r="P862" s="19">
        <v>11.92</v>
      </c>
      <c r="Q862" s="19">
        <v>2</v>
      </c>
      <c r="R862" s="19">
        <v>0</v>
      </c>
      <c r="S862" s="19">
        <v>0</v>
      </c>
      <c r="T862" s="19">
        <v>0</v>
      </c>
      <c r="U862" s="19">
        <v>0</v>
      </c>
      <c r="V862" s="19">
        <v>2</v>
      </c>
      <c r="W862" s="19">
        <v>3.14</v>
      </c>
      <c r="X862" s="19">
        <v>0</v>
      </c>
      <c r="Y862" s="20">
        <v>0</v>
      </c>
      <c r="Z862" s="19">
        <v>0</v>
      </c>
      <c r="AA862" s="19">
        <v>0</v>
      </c>
      <c r="AB862" t="str">
        <f>VLOOKUP(E:E,笔记匹配!A:N,3,FALSE)</f>
        <v>国产收音机X</v>
      </c>
      <c r="AC862" t="str">
        <f>VLOOKUP(E:E,笔记匹配!A:N,2,FALSE)</f>
        <v>筋膜枪</v>
      </c>
      <c r="AD862" t="str">
        <f>VLOOKUP(E:E,笔记匹配!A:N,4,FALSE)</f>
        <v>云麦筋膜枪PB2</v>
      </c>
      <c r="AE862" t="str">
        <f>VLOOKUP(E:E,笔记匹配!A:N,14,FALSE)</f>
        <v>云麦筋膜枪pb2</v>
      </c>
      <c r="AF862" t="str">
        <f>VLOOKUP(E:E,笔记匹配!A:N,6,FALSE)</f>
        <v>别再怕爬山 / 徒步后放松教程</v>
      </c>
    </row>
    <row r="863" spans="1:32">
      <c r="A863" s="18" t="s">
        <v>122</v>
      </c>
      <c r="B863" s="18" t="s">
        <v>1223</v>
      </c>
      <c r="C863" s="19">
        <v>19607721</v>
      </c>
      <c r="D863" s="18" t="s">
        <v>209</v>
      </c>
      <c r="E863" s="18" t="s">
        <v>575</v>
      </c>
      <c r="F863" s="18" t="s">
        <v>837</v>
      </c>
      <c r="G863" s="19">
        <v>4314821</v>
      </c>
      <c r="H863" s="18" t="s">
        <v>1225</v>
      </c>
      <c r="I863" s="19">
        <v>3692290</v>
      </c>
      <c r="J863" s="18" t="s">
        <v>1015</v>
      </c>
      <c r="K863" s="19">
        <v>0</v>
      </c>
      <c r="L863" s="19">
        <v>0</v>
      </c>
      <c r="M863" s="19">
        <v>0</v>
      </c>
      <c r="N863" s="20">
        <v>0</v>
      </c>
      <c r="O863" s="19">
        <v>0</v>
      </c>
      <c r="P863" s="19">
        <v>0</v>
      </c>
      <c r="Q863" s="19">
        <v>0</v>
      </c>
      <c r="R863" s="19">
        <v>0</v>
      </c>
      <c r="S863" s="19">
        <v>0</v>
      </c>
      <c r="T863" s="19">
        <v>0</v>
      </c>
      <c r="U863" s="19">
        <v>0</v>
      </c>
      <c r="V863" s="19">
        <v>0</v>
      </c>
      <c r="W863" s="19">
        <v>0</v>
      </c>
      <c r="X863" s="19">
        <v>0</v>
      </c>
      <c r="Y863" s="20">
        <v>0</v>
      </c>
      <c r="Z863" s="19">
        <v>0</v>
      </c>
      <c r="AA863" s="19">
        <v>0</v>
      </c>
      <c r="AB863" t="str">
        <f>VLOOKUP(E:E,笔记匹配!A:N,3,FALSE)</f>
        <v>跑酷莫承烽</v>
      </c>
      <c r="AC863" t="str">
        <f>VLOOKUP(E:E,笔记匹配!A:N,2,FALSE)</f>
        <v>筋膜枪</v>
      </c>
      <c r="AD863" t="str">
        <f>VLOOKUP(E:E,笔记匹配!A:N,4,FALSE)</f>
        <v>云麦筋膜枪pb2</v>
      </c>
      <c r="AE863" t="str">
        <f>VLOOKUP(E:E,笔记匹配!A:N,14,FALSE)</f>
        <v>云麦筋膜枪pb2</v>
      </c>
      <c r="AF863" t="str">
        <f>VLOOKUP(E:E,笔记匹配!A:N,6,FALSE)</f>
        <v>职业跑酷运动员|自用筋膜枪推荐</v>
      </c>
    </row>
    <row r="864" spans="1:32">
      <c r="A864" s="18" t="s">
        <v>122</v>
      </c>
      <c r="B864" s="18" t="s">
        <v>1226</v>
      </c>
      <c r="C864" s="19">
        <v>19713077</v>
      </c>
      <c r="D864" s="18" t="s">
        <v>209</v>
      </c>
      <c r="E864" s="18" t="s">
        <v>317</v>
      </c>
      <c r="F864" s="18" t="s">
        <v>1231</v>
      </c>
      <c r="G864" s="19">
        <v>4365044</v>
      </c>
      <c r="H864" s="18" t="s">
        <v>1232</v>
      </c>
      <c r="I864" s="19">
        <v>3739155</v>
      </c>
      <c r="J864" s="18" t="s">
        <v>1015</v>
      </c>
      <c r="K864" s="19">
        <v>411.89</v>
      </c>
      <c r="L864" s="19">
        <v>18194</v>
      </c>
      <c r="M864" s="19">
        <v>788</v>
      </c>
      <c r="N864" s="20">
        <v>0.0433</v>
      </c>
      <c r="O864" s="19">
        <v>0.52</v>
      </c>
      <c r="P864" s="19">
        <v>22.64</v>
      </c>
      <c r="Q864" s="19">
        <v>101</v>
      </c>
      <c r="R864" s="19">
        <v>3</v>
      </c>
      <c r="S864" s="19">
        <v>26</v>
      </c>
      <c r="T864" s="19">
        <v>0</v>
      </c>
      <c r="U864" s="19">
        <v>0</v>
      </c>
      <c r="V864" s="19">
        <v>130</v>
      </c>
      <c r="W864" s="19">
        <v>3.17</v>
      </c>
      <c r="X864" s="19">
        <v>0</v>
      </c>
      <c r="Y864" s="20">
        <v>0</v>
      </c>
      <c r="Z864" s="19">
        <v>8</v>
      </c>
      <c r="AA864" s="19">
        <v>4</v>
      </c>
      <c r="AB864" t="str">
        <f>VLOOKUP(E:E,笔记匹配!A:N,3,FALSE)</f>
        <v>小乔您了</v>
      </c>
      <c r="AC864" t="str">
        <f>VLOOKUP(E:E,笔记匹配!A:N,2,FALSE)</f>
        <v>筋膜枪</v>
      </c>
      <c r="AD864" t="str">
        <f>VLOOKUP(E:E,笔记匹配!A:N,4,FALSE)</f>
        <v>云麦筋膜枪pb2</v>
      </c>
      <c r="AE864" t="str">
        <f>VLOOKUP(E:E,笔记匹配!A:N,14,FALSE)</f>
        <v>云麦筋膜枪pb2</v>
      </c>
      <c r="AF864" t="str">
        <f>VLOOKUP(E:E,笔记匹配!A:N,6,FALSE)</f>
        <v>🆘哭了！筋膜枪细【脂包肌】小腿被我悟明白了！</v>
      </c>
    </row>
    <row r="865" spans="1:32">
      <c r="A865" s="18" t="s">
        <v>122</v>
      </c>
      <c r="B865" s="18" t="s">
        <v>1233</v>
      </c>
      <c r="C865" s="19">
        <v>19834935</v>
      </c>
      <c r="D865" s="18" t="s">
        <v>209</v>
      </c>
      <c r="E865" s="18" t="s">
        <v>274</v>
      </c>
      <c r="F865" s="18" t="s">
        <v>1234</v>
      </c>
      <c r="G865" s="19">
        <v>4425179</v>
      </c>
      <c r="H865" s="18" t="s">
        <v>1234</v>
      </c>
      <c r="I865" s="19">
        <v>3793911</v>
      </c>
      <c r="J865" s="18" t="s">
        <v>1015</v>
      </c>
      <c r="K865" s="19">
        <v>978.46</v>
      </c>
      <c r="L865" s="19">
        <v>31555</v>
      </c>
      <c r="M865" s="19">
        <v>1958</v>
      </c>
      <c r="N865" s="20">
        <v>0.0621</v>
      </c>
      <c r="O865" s="19">
        <v>0.5</v>
      </c>
      <c r="P865" s="19">
        <v>31.01</v>
      </c>
      <c r="Q865" s="19">
        <v>131</v>
      </c>
      <c r="R865" s="19">
        <v>3</v>
      </c>
      <c r="S865" s="19">
        <v>77</v>
      </c>
      <c r="T865" s="19">
        <v>1</v>
      </c>
      <c r="U865" s="19">
        <v>22</v>
      </c>
      <c r="V865" s="19">
        <v>234</v>
      </c>
      <c r="W865" s="19">
        <v>4.18</v>
      </c>
      <c r="X865" s="19">
        <v>0</v>
      </c>
      <c r="Y865" s="20">
        <v>0</v>
      </c>
      <c r="Z865" s="19">
        <v>7</v>
      </c>
      <c r="AA865" s="19">
        <v>13</v>
      </c>
      <c r="AB865" t="str">
        <f>VLOOKUP(E:E,笔记匹配!A:N,3,FALSE)</f>
        <v>西米是个小可爱</v>
      </c>
      <c r="AC865" t="str">
        <f>VLOOKUP(E:E,笔记匹配!A:N,2,FALSE)</f>
        <v>筋膜枪</v>
      </c>
      <c r="AD865" t="str">
        <f>VLOOKUP(E:E,笔记匹配!A:N,4,FALSE)</f>
        <v>云麦筋膜枪PB2</v>
      </c>
      <c r="AE865" t="str">
        <f>VLOOKUP(E:E,笔记匹配!A:N,14,FALSE)</f>
        <v>云麦筋膜枪pb2</v>
      </c>
      <c r="AF865" t="str">
        <f>VLOOKUP(E:E,笔记匹配!A:N,6,FALSE)</f>
        <v>筋膜枪千万不能乱用！正确肩颈使用方法</v>
      </c>
    </row>
    <row r="866" spans="1:32">
      <c r="A866" s="18" t="s">
        <v>122</v>
      </c>
      <c r="B866" s="18" t="s">
        <v>1236</v>
      </c>
      <c r="C866" s="19">
        <v>20017048</v>
      </c>
      <c r="D866" s="18" t="s">
        <v>209</v>
      </c>
      <c r="E866" s="18" t="s">
        <v>296</v>
      </c>
      <c r="F866" s="18" t="s">
        <v>1237</v>
      </c>
      <c r="G866" s="19">
        <v>4507302</v>
      </c>
      <c r="H866" s="18" t="s">
        <v>1237</v>
      </c>
      <c r="I866" s="19">
        <v>3866054</v>
      </c>
      <c r="J866" s="18" t="s">
        <v>1015</v>
      </c>
      <c r="K866" s="19">
        <v>0.28</v>
      </c>
      <c r="L866" s="19">
        <v>78</v>
      </c>
      <c r="M866" s="19">
        <v>2</v>
      </c>
      <c r="N866" s="20">
        <v>0.0256</v>
      </c>
      <c r="O866" s="19">
        <v>0.14</v>
      </c>
      <c r="P866" s="19">
        <v>3.59</v>
      </c>
      <c r="Q866" s="19">
        <v>0</v>
      </c>
      <c r="R866" s="19">
        <v>0</v>
      </c>
      <c r="S866" s="19">
        <v>0</v>
      </c>
      <c r="T866" s="19">
        <v>0</v>
      </c>
      <c r="U866" s="19">
        <v>0</v>
      </c>
      <c r="V866" s="19">
        <v>0</v>
      </c>
      <c r="W866" s="19">
        <v>0</v>
      </c>
      <c r="X866" s="19">
        <v>0</v>
      </c>
      <c r="Y866" s="20">
        <v>0</v>
      </c>
      <c r="Z866" s="19">
        <v>0</v>
      </c>
      <c r="AA866" s="19">
        <v>0</v>
      </c>
      <c r="AB866" t="str">
        <f>VLOOKUP(E:E,笔记匹配!A:N,3,FALSE)</f>
        <v>元气芥末酱</v>
      </c>
      <c r="AC866" t="str">
        <f>VLOOKUP(E:E,笔记匹配!A:N,2,FALSE)</f>
        <v>筋膜枪</v>
      </c>
      <c r="AD866" t="str">
        <f>VLOOKUP(E:E,笔记匹配!A:N,4,FALSE)</f>
        <v>云麦筋膜枪PB2</v>
      </c>
      <c r="AE866" t="str">
        <f>VLOOKUP(E:E,笔记匹配!A:N,14,FALSE)</f>
        <v>云麦筋膜枪pb2</v>
      </c>
      <c r="AF866" t="str">
        <f>VLOOKUP(E:E,笔记匹配!A:N,6,FALSE)</f>
        <v>小腿粗的姐妹信我！肌肉腿就要这样按！</v>
      </c>
    </row>
    <row r="867" spans="1:32">
      <c r="A867" s="18" t="s">
        <v>122</v>
      </c>
      <c r="B867" s="18" t="s">
        <v>1238</v>
      </c>
      <c r="C867" s="19">
        <v>20060143</v>
      </c>
      <c r="D867" s="18" t="s">
        <v>209</v>
      </c>
      <c r="E867" s="18" t="s">
        <v>208</v>
      </c>
      <c r="F867" s="18" t="s">
        <v>1239</v>
      </c>
      <c r="G867" s="19">
        <v>4528587</v>
      </c>
      <c r="H867" s="18" t="s">
        <v>1239</v>
      </c>
      <c r="I867" s="19">
        <v>3884107</v>
      </c>
      <c r="J867" s="18" t="s">
        <v>1015</v>
      </c>
      <c r="K867" s="19">
        <v>502.57</v>
      </c>
      <c r="L867" s="19">
        <v>13126</v>
      </c>
      <c r="M867" s="19">
        <v>589</v>
      </c>
      <c r="N867" s="20">
        <v>0.0449</v>
      </c>
      <c r="O867" s="19">
        <v>0.85</v>
      </c>
      <c r="P867" s="19">
        <v>38.29</v>
      </c>
      <c r="Q867" s="19">
        <v>73</v>
      </c>
      <c r="R867" s="19">
        <v>0</v>
      </c>
      <c r="S867" s="19">
        <v>27</v>
      </c>
      <c r="T867" s="19">
        <v>2</v>
      </c>
      <c r="U867" s="19">
        <v>0</v>
      </c>
      <c r="V867" s="19">
        <v>102</v>
      </c>
      <c r="W867" s="19">
        <v>4.93</v>
      </c>
      <c r="X867" s="19">
        <v>0</v>
      </c>
      <c r="Y867" s="20">
        <v>0</v>
      </c>
      <c r="Z867" s="19">
        <v>3</v>
      </c>
      <c r="AA867" s="19">
        <v>0</v>
      </c>
      <c r="AB867" t="str">
        <f>VLOOKUP(E:E,笔记匹配!A:N,3,FALSE)</f>
        <v>小羊羔崽子</v>
      </c>
      <c r="AC867" t="str">
        <f>VLOOKUP(E:E,笔记匹配!A:N,2,FALSE)</f>
        <v>筋膜枪</v>
      </c>
      <c r="AD867" t="str">
        <f>VLOOKUP(E:E,笔记匹配!A:N,4,FALSE)</f>
        <v>云麦筋膜枪PB2</v>
      </c>
      <c r="AE867" t="str">
        <f>VLOOKUP(E:E,笔记匹配!A:N,14,FALSE)</f>
        <v>云麦筋膜枪pb2</v>
      </c>
      <c r="AF867" t="str">
        <f>VLOOKUP(E:E,笔记匹配!A:N,6,FALSE)</f>
        <v>用了多年泡沫轴，才知道筋膜枪是真的香！！！</v>
      </c>
    </row>
    <row r="868" spans="1:32">
      <c r="A868" s="18" t="s">
        <v>122</v>
      </c>
      <c r="B868" s="18" t="s">
        <v>1238</v>
      </c>
      <c r="C868" s="19">
        <v>20060178</v>
      </c>
      <c r="D868" s="18" t="s">
        <v>209</v>
      </c>
      <c r="E868" s="18" t="s">
        <v>220</v>
      </c>
      <c r="F868" s="18" t="s">
        <v>1240</v>
      </c>
      <c r="G868" s="19">
        <v>4528603</v>
      </c>
      <c r="H868" s="18" t="s">
        <v>1241</v>
      </c>
      <c r="I868" s="19">
        <v>3884156</v>
      </c>
      <c r="J868" s="18" t="s">
        <v>1015</v>
      </c>
      <c r="K868" s="19">
        <v>504.25</v>
      </c>
      <c r="L868" s="19">
        <v>10588</v>
      </c>
      <c r="M868" s="19">
        <v>431</v>
      </c>
      <c r="N868" s="20">
        <v>0.0407</v>
      </c>
      <c r="O868" s="19">
        <v>1.17</v>
      </c>
      <c r="P868" s="19">
        <v>47.62</v>
      </c>
      <c r="Q868" s="19">
        <v>108</v>
      </c>
      <c r="R868" s="19">
        <v>0</v>
      </c>
      <c r="S868" s="19">
        <v>34</v>
      </c>
      <c r="T868" s="19">
        <v>0</v>
      </c>
      <c r="U868" s="19">
        <v>1</v>
      </c>
      <c r="V868" s="19">
        <v>143</v>
      </c>
      <c r="W868" s="19">
        <v>3.53</v>
      </c>
      <c r="X868" s="19">
        <v>0</v>
      </c>
      <c r="Y868" s="20">
        <v>0</v>
      </c>
      <c r="Z868" s="19">
        <v>2</v>
      </c>
      <c r="AA868" s="19">
        <v>0</v>
      </c>
      <c r="AB868" t="str">
        <f>VLOOKUP(E:E,笔记匹配!A:N,3,FALSE)</f>
        <v>一颗西兰花fa</v>
      </c>
      <c r="AC868" t="str">
        <f>VLOOKUP(E:E,笔记匹配!A:N,2,FALSE)</f>
        <v>筋膜枪</v>
      </c>
      <c r="AD868" t="str">
        <f>VLOOKUP(E:E,笔记匹配!A:N,4,FALSE)</f>
        <v>云麦筋膜枪PB2</v>
      </c>
      <c r="AE868" t="str">
        <f>VLOOKUP(E:E,笔记匹配!A:N,14,FALSE)</f>
        <v>云麦筋膜枪pb2</v>
      </c>
      <c r="AF868" t="str">
        <f>VLOOKUP(E:E,笔记匹配!A:N,6,FALSE)</f>
        <v>有没有姐妹跟我一样被肌肉腿困扰了好久！</v>
      </c>
    </row>
    <row r="869" spans="1:32">
      <c r="A869" s="18" t="s">
        <v>123</v>
      </c>
      <c r="B869" s="18" t="s">
        <v>1164</v>
      </c>
      <c r="C869" s="19">
        <v>18170615</v>
      </c>
      <c r="D869" s="18" t="s">
        <v>209</v>
      </c>
      <c r="E869" s="18" t="s">
        <v>205</v>
      </c>
      <c r="F869" s="18" t="s">
        <v>1165</v>
      </c>
      <c r="G869" s="19">
        <v>3639848</v>
      </c>
      <c r="H869" s="18" t="s">
        <v>1166</v>
      </c>
      <c r="I869" s="19">
        <v>3024741</v>
      </c>
      <c r="J869" s="18" t="s">
        <v>1015</v>
      </c>
      <c r="K869" s="19">
        <v>0</v>
      </c>
      <c r="L869" s="19">
        <v>0</v>
      </c>
      <c r="M869" s="19">
        <v>0</v>
      </c>
      <c r="N869" s="20">
        <v>0</v>
      </c>
      <c r="O869" s="19">
        <v>0</v>
      </c>
      <c r="P869" s="19">
        <v>0</v>
      </c>
      <c r="Q869" s="19">
        <v>0</v>
      </c>
      <c r="R869" s="19">
        <v>0</v>
      </c>
      <c r="S869" s="19">
        <v>0</v>
      </c>
      <c r="T869" s="19">
        <v>0</v>
      </c>
      <c r="U869" s="19">
        <v>0</v>
      </c>
      <c r="V869" s="19">
        <v>0</v>
      </c>
      <c r="W869" s="19">
        <v>0</v>
      </c>
      <c r="X869" s="19">
        <v>0</v>
      </c>
      <c r="Y869" s="20">
        <v>0</v>
      </c>
      <c r="Z869" s="19">
        <v>0</v>
      </c>
      <c r="AA869" s="19">
        <v>0</v>
      </c>
      <c r="AB869" t="str">
        <f>VLOOKUP(E:E,笔记匹配!A:N,3,FALSE)</f>
        <v>马可乐cora</v>
      </c>
      <c r="AC869" t="str">
        <f>VLOOKUP(E:E,笔记匹配!A:N,2,FALSE)</f>
        <v>筋膜枪</v>
      </c>
      <c r="AD869" t="str">
        <f>VLOOKUP(E:E,笔记匹配!A:N,4,FALSE)</f>
        <v>云麦筋膜枪PB2</v>
      </c>
      <c r="AE869" t="str">
        <f>VLOOKUP(E:E,笔记匹配!A:N,14,FALSE)</f>
        <v>云麦筋膜枪pb2</v>
      </c>
      <c r="AF869" t="str">
        <f>VLOOKUP(E:E,笔记匹配!A:N,6,FALSE)</f>
        <v>跳操的姐妹听我的用筋膜枪放松下肢真的有用</v>
      </c>
    </row>
    <row r="870" spans="1:32">
      <c r="A870" s="18" t="s">
        <v>123</v>
      </c>
      <c r="B870" s="18" t="s">
        <v>1189</v>
      </c>
      <c r="C870" s="19">
        <v>19010467</v>
      </c>
      <c r="D870" s="18" t="s">
        <v>209</v>
      </c>
      <c r="E870" s="18" t="s">
        <v>300</v>
      </c>
      <c r="F870" s="18" t="s">
        <v>1191</v>
      </c>
      <c r="G870" s="19">
        <v>4039162</v>
      </c>
      <c r="H870" s="18" t="s">
        <v>1191</v>
      </c>
      <c r="I870" s="19">
        <v>3422446</v>
      </c>
      <c r="J870" s="18" t="s">
        <v>1015</v>
      </c>
      <c r="K870" s="19">
        <v>0</v>
      </c>
      <c r="L870" s="19">
        <v>0</v>
      </c>
      <c r="M870" s="19">
        <v>0</v>
      </c>
      <c r="N870" s="20">
        <v>0</v>
      </c>
      <c r="O870" s="19">
        <v>0</v>
      </c>
      <c r="P870" s="19">
        <v>0</v>
      </c>
      <c r="Q870" s="19">
        <v>0</v>
      </c>
      <c r="R870" s="19">
        <v>0</v>
      </c>
      <c r="S870" s="19">
        <v>0</v>
      </c>
      <c r="T870" s="19">
        <v>0</v>
      </c>
      <c r="U870" s="19">
        <v>0</v>
      </c>
      <c r="V870" s="19">
        <v>0</v>
      </c>
      <c r="W870" s="19">
        <v>0</v>
      </c>
      <c r="X870" s="19">
        <v>0</v>
      </c>
      <c r="Y870" s="20">
        <v>0</v>
      </c>
      <c r="Z870" s="19">
        <v>0</v>
      </c>
      <c r="AA870" s="19">
        <v>0</v>
      </c>
      <c r="AB870" t="str">
        <f>VLOOKUP(E:E,笔记匹配!A:N,3,FALSE)</f>
        <v>朱俊畅</v>
      </c>
      <c r="AC870" t="str">
        <f>VLOOKUP(E:E,笔记匹配!A:N,2,FALSE)</f>
        <v>筋膜枪</v>
      </c>
      <c r="AD870" t="str">
        <f>VLOOKUP(E:E,笔记匹配!A:N,4,FALSE)</f>
        <v>云麦筋膜枪PB2</v>
      </c>
      <c r="AE870" t="str">
        <f>VLOOKUP(E:E,笔记匹配!A:N,14,FALSE)</f>
        <v>云麦筋膜枪pb2</v>
      </c>
      <c r="AF870" t="str">
        <f>VLOOKUP(E:E,笔记匹配!A:N,6,FALSE)</f>
        <v>打球完容易肌肉酸痛，筋膜枪放松更有效！</v>
      </c>
    </row>
    <row r="871" spans="1:32">
      <c r="A871" s="18" t="s">
        <v>123</v>
      </c>
      <c r="B871" s="18" t="s">
        <v>1196</v>
      </c>
      <c r="C871" s="19">
        <v>19054497</v>
      </c>
      <c r="D871" s="18" t="s">
        <v>209</v>
      </c>
      <c r="E871" s="18" t="s">
        <v>452</v>
      </c>
      <c r="F871" s="18" t="s">
        <v>1198</v>
      </c>
      <c r="G871" s="19">
        <v>4059827</v>
      </c>
      <c r="H871" s="18" t="s">
        <v>1198</v>
      </c>
      <c r="I871" s="19">
        <v>3442591</v>
      </c>
      <c r="J871" s="18" t="s">
        <v>1015</v>
      </c>
      <c r="K871" s="19">
        <v>0</v>
      </c>
      <c r="L871" s="19">
        <v>0</v>
      </c>
      <c r="M871" s="19">
        <v>0</v>
      </c>
      <c r="N871" s="20">
        <v>0</v>
      </c>
      <c r="O871" s="19">
        <v>0</v>
      </c>
      <c r="P871" s="19">
        <v>0</v>
      </c>
      <c r="Q871" s="19">
        <v>0</v>
      </c>
      <c r="R871" s="19">
        <v>0</v>
      </c>
      <c r="S871" s="19">
        <v>0</v>
      </c>
      <c r="T871" s="19">
        <v>0</v>
      </c>
      <c r="U871" s="19">
        <v>0</v>
      </c>
      <c r="V871" s="19">
        <v>0</v>
      </c>
      <c r="W871" s="19">
        <v>0</v>
      </c>
      <c r="X871" s="19">
        <v>0</v>
      </c>
      <c r="Y871" s="20">
        <v>0</v>
      </c>
      <c r="Z871" s="19">
        <v>0</v>
      </c>
      <c r="AA871" s="19">
        <v>0</v>
      </c>
      <c r="AB871" t="str">
        <f>VLOOKUP(E:E,笔记匹配!A:N,3,FALSE)</f>
        <v>Bruce小厮</v>
      </c>
      <c r="AC871" t="str">
        <f>VLOOKUP(E:E,笔记匹配!A:N,2,FALSE)</f>
        <v>筋膜枪</v>
      </c>
      <c r="AD871" t="str">
        <f>VLOOKUP(E:E,笔记匹配!A:N,4,FALSE)</f>
        <v>云麦筋膜枪PB2</v>
      </c>
      <c r="AE871" t="str">
        <f>VLOOKUP(E:E,笔记匹配!A:N,14,FALSE)</f>
        <v>云麦筋膜枪pb2</v>
      </c>
      <c r="AF871" t="str">
        <f>VLOOKUP(E:E,笔记匹配!A:N,6,FALSE)</f>
        <v>女生练球后如何拉伸按摩，筋膜枪放松！！</v>
      </c>
    </row>
    <row r="872" spans="1:32">
      <c r="A872" s="18" t="s">
        <v>123</v>
      </c>
      <c r="B872" s="18" t="s">
        <v>1196</v>
      </c>
      <c r="C872" s="19">
        <v>19058466</v>
      </c>
      <c r="D872" s="18" t="s">
        <v>196</v>
      </c>
      <c r="E872" s="18" t="s">
        <v>296</v>
      </c>
      <c r="F872" s="18" t="s">
        <v>1199</v>
      </c>
      <c r="G872" s="19">
        <v>4061725</v>
      </c>
      <c r="H872" s="18" t="s">
        <v>1199</v>
      </c>
      <c r="I872" s="19">
        <v>3444458</v>
      </c>
      <c r="J872" s="18" t="s">
        <v>1015</v>
      </c>
      <c r="K872" s="19">
        <v>0</v>
      </c>
      <c r="L872" s="19">
        <v>0</v>
      </c>
      <c r="M872" s="19">
        <v>0</v>
      </c>
      <c r="N872" s="20">
        <v>0</v>
      </c>
      <c r="O872" s="19">
        <v>0</v>
      </c>
      <c r="P872" s="19">
        <v>0</v>
      </c>
      <c r="Q872" s="19">
        <v>0</v>
      </c>
      <c r="R872" s="19">
        <v>0</v>
      </c>
      <c r="S872" s="19">
        <v>0</v>
      </c>
      <c r="T872" s="19">
        <v>0</v>
      </c>
      <c r="U872" s="19">
        <v>0</v>
      </c>
      <c r="V872" s="19">
        <v>0</v>
      </c>
      <c r="W872" s="19">
        <v>0</v>
      </c>
      <c r="X872" s="19">
        <v>0</v>
      </c>
      <c r="Y872" s="20">
        <v>0</v>
      </c>
      <c r="Z872" s="19">
        <v>0</v>
      </c>
      <c r="AA872" s="19">
        <v>0</v>
      </c>
      <c r="AB872" t="str">
        <f>VLOOKUP(E:E,笔记匹配!A:N,3,FALSE)</f>
        <v>元气芥末酱</v>
      </c>
      <c r="AC872" t="str">
        <f>VLOOKUP(E:E,笔记匹配!A:N,2,FALSE)</f>
        <v>筋膜枪</v>
      </c>
      <c r="AD872" t="str">
        <f>VLOOKUP(E:E,笔记匹配!A:N,4,FALSE)</f>
        <v>云麦筋膜枪PB2</v>
      </c>
      <c r="AE872" t="str">
        <f>VLOOKUP(E:E,笔记匹配!A:N,14,FALSE)</f>
        <v>云麦筋膜枪pb2</v>
      </c>
      <c r="AF872" t="str">
        <f>VLOOKUP(E:E,笔记匹配!A:N,6,FALSE)</f>
        <v>小腿粗的姐妹信我！肌肉腿就要这样按！</v>
      </c>
    </row>
    <row r="873" spans="1:32">
      <c r="A873" s="18" t="s">
        <v>123</v>
      </c>
      <c r="B873" s="18" t="s">
        <v>1200</v>
      </c>
      <c r="C873" s="19">
        <v>19106863</v>
      </c>
      <c r="D873" s="18" t="s">
        <v>209</v>
      </c>
      <c r="E873" s="18" t="s">
        <v>201</v>
      </c>
      <c r="F873" s="18" t="s">
        <v>1202</v>
      </c>
      <c r="G873" s="19">
        <v>4084168</v>
      </c>
      <c r="H873" s="18" t="s">
        <v>1202</v>
      </c>
      <c r="I873" s="19">
        <v>3466674</v>
      </c>
      <c r="J873" s="18" t="s">
        <v>1015</v>
      </c>
      <c r="K873" s="19">
        <v>0</v>
      </c>
      <c r="L873" s="19">
        <v>0</v>
      </c>
      <c r="M873" s="19">
        <v>0</v>
      </c>
      <c r="N873" s="20">
        <v>0</v>
      </c>
      <c r="O873" s="19">
        <v>0</v>
      </c>
      <c r="P873" s="19">
        <v>0</v>
      </c>
      <c r="Q873" s="19">
        <v>0</v>
      </c>
      <c r="R873" s="19">
        <v>0</v>
      </c>
      <c r="S873" s="19">
        <v>0</v>
      </c>
      <c r="T873" s="19">
        <v>0</v>
      </c>
      <c r="U873" s="19">
        <v>0</v>
      </c>
      <c r="V873" s="19">
        <v>0</v>
      </c>
      <c r="W873" s="19">
        <v>0</v>
      </c>
      <c r="X873" s="19">
        <v>0</v>
      </c>
      <c r="Y873" s="20">
        <v>0</v>
      </c>
      <c r="Z873" s="19">
        <v>0</v>
      </c>
      <c r="AA873" s="19">
        <v>0</v>
      </c>
      <c r="AB873" t="str">
        <f>VLOOKUP(E:E,笔记匹配!A:N,3,FALSE)</f>
        <v>包子熟了</v>
      </c>
      <c r="AC873" t="str">
        <f>VLOOKUP(E:E,笔记匹配!A:N,2,FALSE)</f>
        <v>筋膜枪</v>
      </c>
      <c r="AD873" t="str">
        <f>VLOOKUP(E:E,笔记匹配!A:N,4,FALSE)</f>
        <v>云麦筋膜枪</v>
      </c>
      <c r="AE873" t="str">
        <f>VLOOKUP(E:E,笔记匹配!A:N,14,FALSE)</f>
        <v>云麦筋膜枪pb2</v>
      </c>
      <c r="AF873" t="str">
        <f>VLOOKUP(E:E,笔记匹配!A:N,6,FALSE)</f>
        <v>筋膜枪测评|健身小白如何挑选筋膜枪？</v>
      </c>
    </row>
    <row r="874" spans="1:32">
      <c r="A874" s="18" t="s">
        <v>123</v>
      </c>
      <c r="B874" s="18" t="s">
        <v>1216</v>
      </c>
      <c r="C874" s="19">
        <v>19428860</v>
      </c>
      <c r="D874" s="18" t="s">
        <v>209</v>
      </c>
      <c r="E874" s="18" t="s">
        <v>573</v>
      </c>
      <c r="F874" s="18" t="s">
        <v>1218</v>
      </c>
      <c r="G874" s="19">
        <v>4228800</v>
      </c>
      <c r="H874" s="18" t="s">
        <v>1218</v>
      </c>
      <c r="I874" s="19">
        <v>3609716</v>
      </c>
      <c r="J874" s="18" t="s">
        <v>1015</v>
      </c>
      <c r="K874" s="19">
        <v>0</v>
      </c>
      <c r="L874" s="19">
        <v>0</v>
      </c>
      <c r="M874" s="19">
        <v>0</v>
      </c>
      <c r="N874" s="20">
        <v>0</v>
      </c>
      <c r="O874" s="19">
        <v>0</v>
      </c>
      <c r="P874" s="19">
        <v>0</v>
      </c>
      <c r="Q874" s="19">
        <v>0</v>
      </c>
      <c r="R874" s="19">
        <v>0</v>
      </c>
      <c r="S874" s="19">
        <v>0</v>
      </c>
      <c r="T874" s="19">
        <v>0</v>
      </c>
      <c r="U874" s="19">
        <v>0</v>
      </c>
      <c r="V874" s="19">
        <v>0</v>
      </c>
      <c r="W874" s="19">
        <v>0</v>
      </c>
      <c r="X874" s="19">
        <v>0</v>
      </c>
      <c r="Y874" s="20">
        <v>0</v>
      </c>
      <c r="Z874" s="19">
        <v>0</v>
      </c>
      <c r="AA874" s="19">
        <v>0</v>
      </c>
      <c r="AB874" t="str">
        <f>VLOOKUP(E:E,笔记匹配!A:N,3,FALSE)</f>
        <v>JJJJackson</v>
      </c>
      <c r="AC874" t="str">
        <f>VLOOKUP(E:E,笔记匹配!A:N,2,FALSE)</f>
        <v>筋膜枪</v>
      </c>
      <c r="AD874" t="str">
        <f>VLOOKUP(E:E,笔记匹配!A:N,4,FALSE)</f>
        <v>云麦筋膜枪PB2</v>
      </c>
      <c r="AE874" t="str">
        <f>VLOOKUP(E:E,笔记匹配!A:N,14,FALSE)</f>
        <v>云麦筋膜枪pb2</v>
      </c>
      <c r="AF874" t="str">
        <f>VLOOKUP(E:E,笔记匹配!A:N,6,FALSE)</f>
        <v>健身好物｜筋膜枪真的是放松神器！</v>
      </c>
    </row>
    <row r="875" spans="1:32">
      <c r="A875" s="18" t="s">
        <v>123</v>
      </c>
      <c r="B875" s="18" t="s">
        <v>1223</v>
      </c>
      <c r="C875" s="19">
        <v>19607601</v>
      </c>
      <c r="D875" s="18" t="s">
        <v>209</v>
      </c>
      <c r="E875" s="18" t="s">
        <v>570</v>
      </c>
      <c r="F875" s="18" t="s">
        <v>834</v>
      </c>
      <c r="G875" s="19">
        <v>4314778</v>
      </c>
      <c r="H875" s="18" t="s">
        <v>1224</v>
      </c>
      <c r="I875" s="19">
        <v>3692242</v>
      </c>
      <c r="J875" s="18" t="s">
        <v>1015</v>
      </c>
      <c r="K875" s="19">
        <v>0</v>
      </c>
      <c r="L875" s="19">
        <v>0</v>
      </c>
      <c r="M875" s="19">
        <v>0</v>
      </c>
      <c r="N875" s="20">
        <v>0</v>
      </c>
      <c r="O875" s="19">
        <v>0</v>
      </c>
      <c r="P875" s="19">
        <v>0</v>
      </c>
      <c r="Q875" s="19">
        <v>0</v>
      </c>
      <c r="R875" s="19">
        <v>0</v>
      </c>
      <c r="S875" s="19">
        <v>0</v>
      </c>
      <c r="T875" s="19">
        <v>0</v>
      </c>
      <c r="U875" s="19">
        <v>0</v>
      </c>
      <c r="V875" s="19">
        <v>0</v>
      </c>
      <c r="W875" s="19">
        <v>0</v>
      </c>
      <c r="X875" s="19">
        <v>0</v>
      </c>
      <c r="Y875" s="20">
        <v>0</v>
      </c>
      <c r="Z875" s="19">
        <v>0</v>
      </c>
      <c r="AA875" s="19">
        <v>0</v>
      </c>
      <c r="AB875" t="str">
        <f>VLOOKUP(E:E,笔记匹配!A:N,3,FALSE)</f>
        <v>国产收音机X</v>
      </c>
      <c r="AC875" t="str">
        <f>VLOOKUP(E:E,笔记匹配!A:N,2,FALSE)</f>
        <v>筋膜枪</v>
      </c>
      <c r="AD875" t="str">
        <f>VLOOKUP(E:E,笔记匹配!A:N,4,FALSE)</f>
        <v>云麦筋膜枪PB2</v>
      </c>
      <c r="AE875" t="str">
        <f>VLOOKUP(E:E,笔记匹配!A:N,14,FALSE)</f>
        <v>云麦筋膜枪pb2</v>
      </c>
      <c r="AF875" t="str">
        <f>VLOOKUP(E:E,笔记匹配!A:N,6,FALSE)</f>
        <v>别再怕爬山 / 徒步后放松教程</v>
      </c>
    </row>
    <row r="876" spans="1:32">
      <c r="A876" s="18" t="s">
        <v>123</v>
      </c>
      <c r="B876" s="18" t="s">
        <v>1226</v>
      </c>
      <c r="C876" s="19">
        <v>19713077</v>
      </c>
      <c r="D876" s="18" t="s">
        <v>209</v>
      </c>
      <c r="E876" s="18" t="s">
        <v>317</v>
      </c>
      <c r="F876" s="18" t="s">
        <v>1231</v>
      </c>
      <c r="G876" s="19">
        <v>4365044</v>
      </c>
      <c r="H876" s="18" t="s">
        <v>1232</v>
      </c>
      <c r="I876" s="19">
        <v>3739155</v>
      </c>
      <c r="J876" s="18" t="s">
        <v>1015</v>
      </c>
      <c r="K876" s="19">
        <v>500.81</v>
      </c>
      <c r="L876" s="19">
        <v>20843</v>
      </c>
      <c r="M876" s="19">
        <v>1029</v>
      </c>
      <c r="N876" s="20">
        <v>0.0494</v>
      </c>
      <c r="O876" s="19">
        <v>0.49</v>
      </c>
      <c r="P876" s="19">
        <v>24.03</v>
      </c>
      <c r="Q876" s="19">
        <v>129</v>
      </c>
      <c r="R876" s="19">
        <v>1</v>
      </c>
      <c r="S876" s="19">
        <v>43</v>
      </c>
      <c r="T876" s="19">
        <v>1</v>
      </c>
      <c r="U876" s="19">
        <v>4</v>
      </c>
      <c r="V876" s="19">
        <v>178</v>
      </c>
      <c r="W876" s="19">
        <v>2.81</v>
      </c>
      <c r="X876" s="19">
        <v>0</v>
      </c>
      <c r="Y876" s="20">
        <v>0</v>
      </c>
      <c r="Z876" s="19">
        <v>10</v>
      </c>
      <c r="AA876" s="19">
        <v>2</v>
      </c>
      <c r="AB876" t="str">
        <f>VLOOKUP(E:E,笔记匹配!A:N,3,FALSE)</f>
        <v>小乔您了</v>
      </c>
      <c r="AC876" t="str">
        <f>VLOOKUP(E:E,笔记匹配!A:N,2,FALSE)</f>
        <v>筋膜枪</v>
      </c>
      <c r="AD876" t="str">
        <f>VLOOKUP(E:E,笔记匹配!A:N,4,FALSE)</f>
        <v>云麦筋膜枪pb2</v>
      </c>
      <c r="AE876" t="str">
        <f>VLOOKUP(E:E,笔记匹配!A:N,14,FALSE)</f>
        <v>云麦筋膜枪pb2</v>
      </c>
      <c r="AF876" t="str">
        <f>VLOOKUP(E:E,笔记匹配!A:N,6,FALSE)</f>
        <v>🆘哭了！筋膜枪细【脂包肌】小腿被我悟明白了！</v>
      </c>
    </row>
    <row r="877" spans="1:32">
      <c r="A877" s="18" t="s">
        <v>123</v>
      </c>
      <c r="B877" s="18" t="s">
        <v>1229</v>
      </c>
      <c r="C877" s="19">
        <v>19752470</v>
      </c>
      <c r="D877" s="18" t="s">
        <v>209</v>
      </c>
      <c r="E877" s="18" t="s">
        <v>300</v>
      </c>
      <c r="F877" s="18" t="s">
        <v>1230</v>
      </c>
      <c r="G877" s="19">
        <v>4384092</v>
      </c>
      <c r="H877" s="18" t="s">
        <v>1230</v>
      </c>
      <c r="I877" s="19">
        <v>3756475</v>
      </c>
      <c r="J877" s="18" t="s">
        <v>1015</v>
      </c>
      <c r="K877" s="19">
        <v>0</v>
      </c>
      <c r="L877" s="19">
        <v>0</v>
      </c>
      <c r="M877" s="19">
        <v>0</v>
      </c>
      <c r="N877" s="20">
        <v>0</v>
      </c>
      <c r="O877" s="19">
        <v>0</v>
      </c>
      <c r="P877" s="19">
        <v>0</v>
      </c>
      <c r="Q877" s="19">
        <v>0</v>
      </c>
      <c r="R877" s="19">
        <v>0</v>
      </c>
      <c r="S877" s="19">
        <v>0</v>
      </c>
      <c r="T877" s="19">
        <v>0</v>
      </c>
      <c r="U877" s="19">
        <v>0</v>
      </c>
      <c r="V877" s="19">
        <v>0</v>
      </c>
      <c r="W877" s="19">
        <v>0</v>
      </c>
      <c r="X877" s="19">
        <v>0</v>
      </c>
      <c r="Y877" s="20">
        <v>0</v>
      </c>
      <c r="Z877" s="19">
        <v>0</v>
      </c>
      <c r="AA877" s="19">
        <v>0</v>
      </c>
      <c r="AB877" t="str">
        <f>VLOOKUP(E:E,笔记匹配!A:N,3,FALSE)</f>
        <v>朱俊畅</v>
      </c>
      <c r="AC877" t="str">
        <f>VLOOKUP(E:E,笔记匹配!A:N,2,FALSE)</f>
        <v>筋膜枪</v>
      </c>
      <c r="AD877" t="str">
        <f>VLOOKUP(E:E,笔记匹配!A:N,4,FALSE)</f>
        <v>云麦筋膜枪PB2</v>
      </c>
      <c r="AE877" t="str">
        <f>VLOOKUP(E:E,笔记匹配!A:N,14,FALSE)</f>
        <v>云麦筋膜枪pb2</v>
      </c>
      <c r="AF877" t="str">
        <f>VLOOKUP(E:E,笔记匹配!A:N,6,FALSE)</f>
        <v>打球完容易肌肉酸痛，筋膜枪放松更有效！</v>
      </c>
    </row>
    <row r="878" spans="1:32">
      <c r="A878" s="18" t="s">
        <v>123</v>
      </c>
      <c r="B878" s="18" t="s">
        <v>1233</v>
      </c>
      <c r="C878" s="19">
        <v>19834935</v>
      </c>
      <c r="D878" s="18" t="s">
        <v>209</v>
      </c>
      <c r="E878" s="18" t="s">
        <v>274</v>
      </c>
      <c r="F878" s="18" t="s">
        <v>1234</v>
      </c>
      <c r="G878" s="19">
        <v>4425179</v>
      </c>
      <c r="H878" s="18" t="s">
        <v>1234</v>
      </c>
      <c r="I878" s="19">
        <v>3793911</v>
      </c>
      <c r="J878" s="18" t="s">
        <v>1015</v>
      </c>
      <c r="K878" s="19">
        <v>1007.37</v>
      </c>
      <c r="L878" s="19">
        <v>68304</v>
      </c>
      <c r="M878" s="19">
        <v>4665</v>
      </c>
      <c r="N878" s="20">
        <v>0.0683</v>
      </c>
      <c r="O878" s="19">
        <v>0.22</v>
      </c>
      <c r="P878" s="19">
        <v>14.75</v>
      </c>
      <c r="Q878" s="19">
        <v>81</v>
      </c>
      <c r="R878" s="19">
        <v>2</v>
      </c>
      <c r="S878" s="19">
        <v>34</v>
      </c>
      <c r="T878" s="19">
        <v>0</v>
      </c>
      <c r="U878" s="19">
        <v>16</v>
      </c>
      <c r="V878" s="19">
        <v>133</v>
      </c>
      <c r="W878" s="19">
        <v>7.57</v>
      </c>
      <c r="X878" s="19">
        <v>0</v>
      </c>
      <c r="Y878" s="20">
        <v>0</v>
      </c>
      <c r="Z878" s="19">
        <v>7</v>
      </c>
      <c r="AA878" s="19">
        <v>10</v>
      </c>
      <c r="AB878" t="str">
        <f>VLOOKUP(E:E,笔记匹配!A:N,3,FALSE)</f>
        <v>西米是个小可爱</v>
      </c>
      <c r="AC878" t="str">
        <f>VLOOKUP(E:E,笔记匹配!A:N,2,FALSE)</f>
        <v>筋膜枪</v>
      </c>
      <c r="AD878" t="str">
        <f>VLOOKUP(E:E,笔记匹配!A:N,4,FALSE)</f>
        <v>云麦筋膜枪PB2</v>
      </c>
      <c r="AE878" t="str">
        <f>VLOOKUP(E:E,笔记匹配!A:N,14,FALSE)</f>
        <v>云麦筋膜枪pb2</v>
      </c>
      <c r="AF878" t="str">
        <f>VLOOKUP(E:E,笔记匹配!A:N,6,FALSE)</f>
        <v>筋膜枪千万不能乱用！正确肩颈使用方法</v>
      </c>
    </row>
    <row r="879" spans="1:32">
      <c r="A879" s="18" t="s">
        <v>123</v>
      </c>
      <c r="B879" s="18" t="s">
        <v>1236</v>
      </c>
      <c r="C879" s="19">
        <v>20017048</v>
      </c>
      <c r="D879" s="18" t="s">
        <v>209</v>
      </c>
      <c r="E879" s="18" t="s">
        <v>296</v>
      </c>
      <c r="F879" s="18" t="s">
        <v>1237</v>
      </c>
      <c r="G879" s="19">
        <v>4507302</v>
      </c>
      <c r="H879" s="18" t="s">
        <v>1237</v>
      </c>
      <c r="I879" s="19">
        <v>3866054</v>
      </c>
      <c r="J879" s="18" t="s">
        <v>1015</v>
      </c>
      <c r="K879" s="19">
        <v>0</v>
      </c>
      <c r="L879" s="19">
        <v>0</v>
      </c>
      <c r="M879" s="19">
        <v>0</v>
      </c>
      <c r="N879" s="20">
        <v>0</v>
      </c>
      <c r="O879" s="19">
        <v>0</v>
      </c>
      <c r="P879" s="19">
        <v>0</v>
      </c>
      <c r="Q879" s="19">
        <v>0</v>
      </c>
      <c r="R879" s="19">
        <v>0</v>
      </c>
      <c r="S879" s="19">
        <v>0</v>
      </c>
      <c r="T879" s="19">
        <v>0</v>
      </c>
      <c r="U879" s="19">
        <v>0</v>
      </c>
      <c r="V879" s="19">
        <v>0</v>
      </c>
      <c r="W879" s="19">
        <v>0</v>
      </c>
      <c r="X879" s="19">
        <v>0</v>
      </c>
      <c r="Y879" s="20">
        <v>0</v>
      </c>
      <c r="Z879" s="19">
        <v>0</v>
      </c>
      <c r="AA879" s="19">
        <v>0</v>
      </c>
      <c r="AB879" t="str">
        <f>VLOOKUP(E:E,笔记匹配!A:N,3,FALSE)</f>
        <v>元气芥末酱</v>
      </c>
      <c r="AC879" t="str">
        <f>VLOOKUP(E:E,笔记匹配!A:N,2,FALSE)</f>
        <v>筋膜枪</v>
      </c>
      <c r="AD879" t="str">
        <f>VLOOKUP(E:E,笔记匹配!A:N,4,FALSE)</f>
        <v>云麦筋膜枪PB2</v>
      </c>
      <c r="AE879" t="str">
        <f>VLOOKUP(E:E,笔记匹配!A:N,14,FALSE)</f>
        <v>云麦筋膜枪pb2</v>
      </c>
      <c r="AF879" t="str">
        <f>VLOOKUP(E:E,笔记匹配!A:N,6,FALSE)</f>
        <v>小腿粗的姐妹信我！肌肉腿就要这样按！</v>
      </c>
    </row>
    <row r="880" spans="1:32">
      <c r="A880" s="18" t="s">
        <v>123</v>
      </c>
      <c r="B880" s="18" t="s">
        <v>1238</v>
      </c>
      <c r="C880" s="19">
        <v>20060143</v>
      </c>
      <c r="D880" s="18" t="s">
        <v>209</v>
      </c>
      <c r="E880" s="18" t="s">
        <v>208</v>
      </c>
      <c r="F880" s="18" t="s">
        <v>1239</v>
      </c>
      <c r="G880" s="19">
        <v>4528587</v>
      </c>
      <c r="H880" s="18" t="s">
        <v>1239</v>
      </c>
      <c r="I880" s="19">
        <v>3884107</v>
      </c>
      <c r="J880" s="18" t="s">
        <v>1015</v>
      </c>
      <c r="K880" s="19">
        <v>158.56</v>
      </c>
      <c r="L880" s="19">
        <v>5593</v>
      </c>
      <c r="M880" s="19">
        <v>295</v>
      </c>
      <c r="N880" s="20">
        <v>0.0527</v>
      </c>
      <c r="O880" s="19">
        <v>0.54</v>
      </c>
      <c r="P880" s="19">
        <v>28.35</v>
      </c>
      <c r="Q880" s="19">
        <v>24</v>
      </c>
      <c r="R880" s="19">
        <v>0</v>
      </c>
      <c r="S880" s="19">
        <v>10</v>
      </c>
      <c r="T880" s="19">
        <v>0</v>
      </c>
      <c r="U880" s="19">
        <v>0</v>
      </c>
      <c r="V880" s="19">
        <v>34</v>
      </c>
      <c r="W880" s="19">
        <v>4.66</v>
      </c>
      <c r="X880" s="19">
        <v>0</v>
      </c>
      <c r="Y880" s="20">
        <v>0</v>
      </c>
      <c r="Z880" s="19">
        <v>1</v>
      </c>
      <c r="AA880" s="19">
        <v>0</v>
      </c>
      <c r="AB880" t="str">
        <f>VLOOKUP(E:E,笔记匹配!A:N,3,FALSE)</f>
        <v>小羊羔崽子</v>
      </c>
      <c r="AC880" t="str">
        <f>VLOOKUP(E:E,笔记匹配!A:N,2,FALSE)</f>
        <v>筋膜枪</v>
      </c>
      <c r="AD880" t="str">
        <f>VLOOKUP(E:E,笔记匹配!A:N,4,FALSE)</f>
        <v>云麦筋膜枪PB2</v>
      </c>
      <c r="AE880" t="str">
        <f>VLOOKUP(E:E,笔记匹配!A:N,14,FALSE)</f>
        <v>云麦筋膜枪pb2</v>
      </c>
      <c r="AF880" t="str">
        <f>VLOOKUP(E:E,笔记匹配!A:N,6,FALSE)</f>
        <v>用了多年泡沫轴，才知道筋膜枪是真的香！！！</v>
      </c>
    </row>
    <row r="881" spans="1:32">
      <c r="A881" s="18" t="s">
        <v>123</v>
      </c>
      <c r="B881" s="18" t="s">
        <v>1238</v>
      </c>
      <c r="C881" s="19">
        <v>20060178</v>
      </c>
      <c r="D881" s="18" t="s">
        <v>209</v>
      </c>
      <c r="E881" s="18" t="s">
        <v>220</v>
      </c>
      <c r="F881" s="18" t="s">
        <v>1240</v>
      </c>
      <c r="G881" s="19">
        <v>4528603</v>
      </c>
      <c r="H881" s="18" t="s">
        <v>1241</v>
      </c>
      <c r="I881" s="19">
        <v>3884156</v>
      </c>
      <c r="J881" s="18" t="s">
        <v>1015</v>
      </c>
      <c r="K881" s="19">
        <v>193.43</v>
      </c>
      <c r="L881" s="19">
        <v>3903</v>
      </c>
      <c r="M881" s="19">
        <v>193</v>
      </c>
      <c r="N881" s="20">
        <v>0.0494</v>
      </c>
      <c r="O881" s="19">
        <v>1</v>
      </c>
      <c r="P881" s="19">
        <v>49.56</v>
      </c>
      <c r="Q881" s="19">
        <v>56</v>
      </c>
      <c r="R881" s="19">
        <v>1</v>
      </c>
      <c r="S881" s="19">
        <v>21</v>
      </c>
      <c r="T881" s="19">
        <v>1</v>
      </c>
      <c r="U881" s="19">
        <v>0</v>
      </c>
      <c r="V881" s="19">
        <v>79</v>
      </c>
      <c r="W881" s="19">
        <v>2.45</v>
      </c>
      <c r="X881" s="19">
        <v>0</v>
      </c>
      <c r="Y881" s="20">
        <v>0</v>
      </c>
      <c r="Z881" s="19">
        <v>1</v>
      </c>
      <c r="AA881" s="19">
        <v>0</v>
      </c>
      <c r="AB881" t="str">
        <f>VLOOKUP(E:E,笔记匹配!A:N,3,FALSE)</f>
        <v>一颗西兰花fa</v>
      </c>
      <c r="AC881" t="str">
        <f>VLOOKUP(E:E,笔记匹配!A:N,2,FALSE)</f>
        <v>筋膜枪</v>
      </c>
      <c r="AD881" t="str">
        <f>VLOOKUP(E:E,笔记匹配!A:N,4,FALSE)</f>
        <v>云麦筋膜枪PB2</v>
      </c>
      <c r="AE881" t="str">
        <f>VLOOKUP(E:E,笔记匹配!A:N,14,FALSE)</f>
        <v>云麦筋膜枪pb2</v>
      </c>
      <c r="AF881" t="str">
        <f>VLOOKUP(E:E,笔记匹配!A:N,6,FALSE)</f>
        <v>有没有姐妹跟我一样被肌肉腿困扰了好久！</v>
      </c>
    </row>
    <row r="882" spans="1:32">
      <c r="A882" s="18" t="s">
        <v>123</v>
      </c>
      <c r="B882" s="18" t="s">
        <v>1242</v>
      </c>
      <c r="C882" s="19">
        <v>20100228</v>
      </c>
      <c r="D882" s="18" t="s">
        <v>209</v>
      </c>
      <c r="E882" s="18" t="s">
        <v>208</v>
      </c>
      <c r="F882" s="18" t="s">
        <v>1243</v>
      </c>
      <c r="G882" s="19">
        <v>4551147</v>
      </c>
      <c r="H882" s="18" t="s">
        <v>1243</v>
      </c>
      <c r="I882" s="19">
        <v>3901246</v>
      </c>
      <c r="J882" s="18" t="s">
        <v>1015</v>
      </c>
      <c r="K882" s="19">
        <v>301.66</v>
      </c>
      <c r="L882" s="19">
        <v>26795</v>
      </c>
      <c r="M882" s="19">
        <v>1583</v>
      </c>
      <c r="N882" s="20">
        <v>0.0591</v>
      </c>
      <c r="O882" s="19">
        <v>0.19</v>
      </c>
      <c r="P882" s="19">
        <v>11.26</v>
      </c>
      <c r="Q882" s="19">
        <v>45</v>
      </c>
      <c r="R882" s="19">
        <v>0</v>
      </c>
      <c r="S882" s="19">
        <v>16</v>
      </c>
      <c r="T882" s="19">
        <v>0</v>
      </c>
      <c r="U882" s="19">
        <v>1</v>
      </c>
      <c r="V882" s="19">
        <v>62</v>
      </c>
      <c r="W882" s="19">
        <v>4.87</v>
      </c>
      <c r="X882" s="19">
        <v>0</v>
      </c>
      <c r="Y882" s="20">
        <v>0</v>
      </c>
      <c r="Z882" s="19">
        <v>3</v>
      </c>
      <c r="AA882" s="19">
        <v>0</v>
      </c>
      <c r="AB882" t="str">
        <f>VLOOKUP(E:E,笔记匹配!A:N,3,FALSE)</f>
        <v>小羊羔崽子</v>
      </c>
      <c r="AC882" t="str">
        <f>VLOOKUP(E:E,笔记匹配!A:N,2,FALSE)</f>
        <v>筋膜枪</v>
      </c>
      <c r="AD882" t="str">
        <f>VLOOKUP(E:E,笔记匹配!A:N,4,FALSE)</f>
        <v>云麦筋膜枪PB2</v>
      </c>
      <c r="AE882" t="str">
        <f>VLOOKUP(E:E,笔记匹配!A:N,14,FALSE)</f>
        <v>云麦筋膜枪pb2</v>
      </c>
      <c r="AF882" t="str">
        <f>VLOOKUP(E:E,笔记匹配!A:N,6,FALSE)</f>
        <v>用了多年泡沫轴，才知道筋膜枪是真的香！！！</v>
      </c>
    </row>
    <row r="883" spans="1:32">
      <c r="A883" s="18" t="s">
        <v>123</v>
      </c>
      <c r="B883" s="18" t="s">
        <v>1242</v>
      </c>
      <c r="C883" s="19">
        <v>20100261</v>
      </c>
      <c r="D883" s="18" t="s">
        <v>209</v>
      </c>
      <c r="E883" s="18" t="s">
        <v>220</v>
      </c>
      <c r="F883" s="18" t="s">
        <v>1244</v>
      </c>
      <c r="G883" s="19">
        <v>4551153</v>
      </c>
      <c r="H883" s="18" t="s">
        <v>1244</v>
      </c>
      <c r="I883" s="19">
        <v>3901276</v>
      </c>
      <c r="J883" s="18" t="s">
        <v>1015</v>
      </c>
      <c r="K883" s="19">
        <v>300.76</v>
      </c>
      <c r="L883" s="19">
        <v>24241</v>
      </c>
      <c r="M883" s="19">
        <v>1256</v>
      </c>
      <c r="N883" s="20">
        <v>0.0518</v>
      </c>
      <c r="O883" s="19">
        <v>0.24</v>
      </c>
      <c r="P883" s="19">
        <v>12.41</v>
      </c>
      <c r="Q883" s="19">
        <v>48</v>
      </c>
      <c r="R883" s="19">
        <v>2</v>
      </c>
      <c r="S883" s="19">
        <v>24</v>
      </c>
      <c r="T883" s="19">
        <v>1</v>
      </c>
      <c r="U883" s="19">
        <v>0</v>
      </c>
      <c r="V883" s="19">
        <v>75</v>
      </c>
      <c r="W883" s="19">
        <v>4.01</v>
      </c>
      <c r="X883" s="19">
        <v>0</v>
      </c>
      <c r="Y883" s="20">
        <v>0</v>
      </c>
      <c r="Z883" s="19">
        <v>2</v>
      </c>
      <c r="AA883" s="19">
        <v>5</v>
      </c>
      <c r="AB883" t="str">
        <f>VLOOKUP(E:E,笔记匹配!A:N,3,FALSE)</f>
        <v>一颗西兰花fa</v>
      </c>
      <c r="AC883" t="str">
        <f>VLOOKUP(E:E,笔记匹配!A:N,2,FALSE)</f>
        <v>筋膜枪</v>
      </c>
      <c r="AD883" t="str">
        <f>VLOOKUP(E:E,笔记匹配!A:N,4,FALSE)</f>
        <v>云麦筋膜枪PB2</v>
      </c>
      <c r="AE883" t="str">
        <f>VLOOKUP(E:E,笔记匹配!A:N,14,FALSE)</f>
        <v>云麦筋膜枪pb2</v>
      </c>
      <c r="AF883" t="str">
        <f>VLOOKUP(E:E,笔记匹配!A:N,6,FALSE)</f>
        <v>有没有姐妹跟我一样被肌肉腿困扰了好久！</v>
      </c>
    </row>
    <row r="884" spans="1:32">
      <c r="A884" s="18" t="s">
        <v>124</v>
      </c>
      <c r="B884" s="18" t="s">
        <v>1184</v>
      </c>
      <c r="C884" s="19">
        <v>18646457</v>
      </c>
      <c r="D884" s="18" t="s">
        <v>209</v>
      </c>
      <c r="E884" s="18" t="s">
        <v>395</v>
      </c>
      <c r="F884" s="18" t="s">
        <v>1186</v>
      </c>
      <c r="G884" s="19">
        <v>3870563</v>
      </c>
      <c r="H884" s="18" t="s">
        <v>1186</v>
      </c>
      <c r="I884" s="19">
        <v>3255634</v>
      </c>
      <c r="J884" s="18" t="s">
        <v>1015</v>
      </c>
      <c r="K884" s="19">
        <v>0</v>
      </c>
      <c r="L884" s="19">
        <v>0</v>
      </c>
      <c r="M884" s="19">
        <v>0</v>
      </c>
      <c r="N884" s="20">
        <v>0</v>
      </c>
      <c r="O884" s="19">
        <v>0</v>
      </c>
      <c r="P884" s="19">
        <v>0</v>
      </c>
      <c r="Q884" s="19">
        <v>0</v>
      </c>
      <c r="R884" s="19">
        <v>0</v>
      </c>
      <c r="S884" s="19">
        <v>0</v>
      </c>
      <c r="T884" s="19">
        <v>0</v>
      </c>
      <c r="U884" s="19">
        <v>0</v>
      </c>
      <c r="V884" s="19">
        <v>0</v>
      </c>
      <c r="W884" s="19">
        <v>0</v>
      </c>
      <c r="X884" s="19">
        <v>0</v>
      </c>
      <c r="Y884" s="20">
        <v>0</v>
      </c>
      <c r="Z884" s="19">
        <v>0</v>
      </c>
      <c r="AA884" s="19">
        <v>0</v>
      </c>
      <c r="AB884" t="str">
        <f>VLOOKUP(E:E,笔记匹配!A:N,3,FALSE)</f>
        <v>月亮起床了</v>
      </c>
      <c r="AC884" t="str">
        <f>VLOOKUP(E:E,笔记匹配!A:N,2,FALSE)</f>
        <v>筋膜枪</v>
      </c>
      <c r="AD884" t="str">
        <f>VLOOKUP(E:E,笔记匹配!A:N,4,FALSE)</f>
        <v>云麦筋膜枪pb2</v>
      </c>
      <c r="AE884" t="str">
        <f>VLOOKUP(E:E,笔记匹配!A:N,14,FALSE)</f>
        <v>云麦筋膜枪pb2</v>
      </c>
      <c r="AF884" t="str">
        <f>VLOOKUP(E:E,笔记匹配!A:N,6,FALSE)</f>
        <v>超强瘦🦵绝招，记得用筋膜枪放松</v>
      </c>
    </row>
    <row r="885" spans="1:32">
      <c r="A885" s="18" t="s">
        <v>124</v>
      </c>
      <c r="B885" s="18" t="s">
        <v>1196</v>
      </c>
      <c r="C885" s="19">
        <v>19054497</v>
      </c>
      <c r="D885" s="18" t="s">
        <v>209</v>
      </c>
      <c r="E885" s="18" t="s">
        <v>452</v>
      </c>
      <c r="F885" s="18" t="s">
        <v>1198</v>
      </c>
      <c r="G885" s="19">
        <v>4059827</v>
      </c>
      <c r="H885" s="18" t="s">
        <v>1198</v>
      </c>
      <c r="I885" s="19">
        <v>3442591</v>
      </c>
      <c r="J885" s="18" t="s">
        <v>1015</v>
      </c>
      <c r="K885" s="19">
        <v>0</v>
      </c>
      <c r="L885" s="19">
        <v>0</v>
      </c>
      <c r="M885" s="19">
        <v>0</v>
      </c>
      <c r="N885" s="20">
        <v>0</v>
      </c>
      <c r="O885" s="19">
        <v>0</v>
      </c>
      <c r="P885" s="19">
        <v>0</v>
      </c>
      <c r="Q885" s="19">
        <v>0</v>
      </c>
      <c r="R885" s="19">
        <v>0</v>
      </c>
      <c r="S885" s="19">
        <v>0</v>
      </c>
      <c r="T885" s="19">
        <v>0</v>
      </c>
      <c r="U885" s="19">
        <v>0</v>
      </c>
      <c r="V885" s="19">
        <v>0</v>
      </c>
      <c r="W885" s="19">
        <v>0</v>
      </c>
      <c r="X885" s="19">
        <v>0</v>
      </c>
      <c r="Y885" s="20">
        <v>0</v>
      </c>
      <c r="Z885" s="19">
        <v>0</v>
      </c>
      <c r="AA885" s="19">
        <v>0</v>
      </c>
      <c r="AB885" t="str">
        <f>VLOOKUP(E:E,笔记匹配!A:N,3,FALSE)</f>
        <v>Bruce小厮</v>
      </c>
      <c r="AC885" t="str">
        <f>VLOOKUP(E:E,笔记匹配!A:N,2,FALSE)</f>
        <v>筋膜枪</v>
      </c>
      <c r="AD885" t="str">
        <f>VLOOKUP(E:E,笔记匹配!A:N,4,FALSE)</f>
        <v>云麦筋膜枪PB2</v>
      </c>
      <c r="AE885" t="str">
        <f>VLOOKUP(E:E,笔记匹配!A:N,14,FALSE)</f>
        <v>云麦筋膜枪pb2</v>
      </c>
      <c r="AF885" t="str">
        <f>VLOOKUP(E:E,笔记匹配!A:N,6,FALSE)</f>
        <v>女生练球后如何拉伸按摩，筋膜枪放松！！</v>
      </c>
    </row>
    <row r="886" spans="1:32">
      <c r="A886" s="18" t="s">
        <v>124</v>
      </c>
      <c r="B886" s="18" t="s">
        <v>1207</v>
      </c>
      <c r="C886" s="19">
        <v>19261230</v>
      </c>
      <c r="D886" s="18" t="s">
        <v>209</v>
      </c>
      <c r="E886" s="18" t="s">
        <v>579</v>
      </c>
      <c r="F886" s="18" t="s">
        <v>1208</v>
      </c>
      <c r="G886" s="19">
        <v>4155782</v>
      </c>
      <c r="H886" s="18" t="s">
        <v>1208</v>
      </c>
      <c r="I886" s="19">
        <v>3538615</v>
      </c>
      <c r="J886" s="18" t="s">
        <v>1015</v>
      </c>
      <c r="K886" s="19">
        <v>0</v>
      </c>
      <c r="L886" s="19">
        <v>0</v>
      </c>
      <c r="M886" s="19">
        <v>0</v>
      </c>
      <c r="N886" s="20">
        <v>0</v>
      </c>
      <c r="O886" s="19">
        <v>0</v>
      </c>
      <c r="P886" s="19">
        <v>0</v>
      </c>
      <c r="Q886" s="19">
        <v>0</v>
      </c>
      <c r="R886" s="19">
        <v>0</v>
      </c>
      <c r="S886" s="19">
        <v>0</v>
      </c>
      <c r="T886" s="19">
        <v>0</v>
      </c>
      <c r="U886" s="19">
        <v>0</v>
      </c>
      <c r="V886" s="19">
        <v>0</v>
      </c>
      <c r="W886" s="19">
        <v>0</v>
      </c>
      <c r="X886" s="19">
        <v>0</v>
      </c>
      <c r="Y886" s="20">
        <v>0</v>
      </c>
      <c r="Z886" s="19">
        <v>0</v>
      </c>
      <c r="AA886" s="19">
        <v>0</v>
      </c>
      <c r="AB886" t="str">
        <f>VLOOKUP(E:E,笔记匹配!A:N,3,FALSE)</f>
        <v>Lucas雨田</v>
      </c>
      <c r="AC886" t="str">
        <f>VLOOKUP(E:E,笔记匹配!A:N,2,FALSE)</f>
        <v>筋膜枪</v>
      </c>
      <c r="AD886" t="str">
        <f>VLOOKUP(E:E,笔记匹配!A:N,4,FALSE)</f>
        <v>云麦筋膜枪PB2</v>
      </c>
      <c r="AE886" t="str">
        <f>VLOOKUP(E:E,笔记匹配!A:N,14,FALSE)</f>
        <v>云麦筋膜枪pb2</v>
      </c>
      <c r="AF886" t="str">
        <f>VLOOKUP(E:E,笔记匹配!A:N,6,FALSE)</f>
        <v>2个游泳后的放松技巧⭐️自主拉伸、筋膜枪按摩</v>
      </c>
    </row>
    <row r="887" spans="1:32">
      <c r="A887" s="18" t="s">
        <v>124</v>
      </c>
      <c r="B887" s="18" t="s">
        <v>1223</v>
      </c>
      <c r="C887" s="19">
        <v>19607601</v>
      </c>
      <c r="D887" s="18" t="s">
        <v>209</v>
      </c>
      <c r="E887" s="18" t="s">
        <v>570</v>
      </c>
      <c r="F887" s="18" t="s">
        <v>834</v>
      </c>
      <c r="G887" s="19">
        <v>4314778</v>
      </c>
      <c r="H887" s="18" t="s">
        <v>1224</v>
      </c>
      <c r="I887" s="19">
        <v>3692242</v>
      </c>
      <c r="J887" s="18" t="s">
        <v>1015</v>
      </c>
      <c r="K887" s="19">
        <v>0</v>
      </c>
      <c r="L887" s="19">
        <v>0</v>
      </c>
      <c r="M887" s="19">
        <v>0</v>
      </c>
      <c r="N887" s="20">
        <v>0</v>
      </c>
      <c r="O887" s="19">
        <v>0</v>
      </c>
      <c r="P887" s="19">
        <v>0</v>
      </c>
      <c r="Q887" s="19">
        <v>0</v>
      </c>
      <c r="R887" s="19">
        <v>0</v>
      </c>
      <c r="S887" s="19">
        <v>0</v>
      </c>
      <c r="T887" s="19">
        <v>0</v>
      </c>
      <c r="U887" s="19">
        <v>0</v>
      </c>
      <c r="V887" s="19">
        <v>0</v>
      </c>
      <c r="W887" s="19">
        <v>0</v>
      </c>
      <c r="X887" s="19">
        <v>0</v>
      </c>
      <c r="Y887" s="20">
        <v>0</v>
      </c>
      <c r="Z887" s="19">
        <v>0</v>
      </c>
      <c r="AA887" s="19">
        <v>0</v>
      </c>
      <c r="AB887" t="str">
        <f>VLOOKUP(E:E,笔记匹配!A:N,3,FALSE)</f>
        <v>国产收音机X</v>
      </c>
      <c r="AC887" t="str">
        <f>VLOOKUP(E:E,笔记匹配!A:N,2,FALSE)</f>
        <v>筋膜枪</v>
      </c>
      <c r="AD887" t="str">
        <f>VLOOKUP(E:E,笔记匹配!A:N,4,FALSE)</f>
        <v>云麦筋膜枪PB2</v>
      </c>
      <c r="AE887" t="str">
        <f>VLOOKUP(E:E,笔记匹配!A:N,14,FALSE)</f>
        <v>云麦筋膜枪pb2</v>
      </c>
      <c r="AF887" t="str">
        <f>VLOOKUP(E:E,笔记匹配!A:N,6,FALSE)</f>
        <v>别再怕爬山 / 徒步后放松教程</v>
      </c>
    </row>
    <row r="888" spans="1:32">
      <c r="A888" s="18" t="s">
        <v>124</v>
      </c>
      <c r="B888" s="18" t="s">
        <v>1226</v>
      </c>
      <c r="C888" s="19">
        <v>19713077</v>
      </c>
      <c r="D888" s="18" t="s">
        <v>209</v>
      </c>
      <c r="E888" s="18" t="s">
        <v>317</v>
      </c>
      <c r="F888" s="18" t="s">
        <v>1231</v>
      </c>
      <c r="G888" s="19">
        <v>4365044</v>
      </c>
      <c r="H888" s="18" t="s">
        <v>1232</v>
      </c>
      <c r="I888" s="19">
        <v>3739155</v>
      </c>
      <c r="J888" s="18" t="s">
        <v>1015</v>
      </c>
      <c r="K888" s="19">
        <v>504.86</v>
      </c>
      <c r="L888" s="19">
        <v>23823</v>
      </c>
      <c r="M888" s="19">
        <v>999</v>
      </c>
      <c r="N888" s="20">
        <v>0.0419</v>
      </c>
      <c r="O888" s="19">
        <v>0.51</v>
      </c>
      <c r="P888" s="19">
        <v>21.19</v>
      </c>
      <c r="Q888" s="19">
        <v>147</v>
      </c>
      <c r="R888" s="19">
        <v>0</v>
      </c>
      <c r="S888" s="19">
        <v>32</v>
      </c>
      <c r="T888" s="19">
        <v>0</v>
      </c>
      <c r="U888" s="19">
        <v>0</v>
      </c>
      <c r="V888" s="19">
        <v>179</v>
      </c>
      <c r="W888" s="19">
        <v>2.82</v>
      </c>
      <c r="X888" s="19">
        <v>0</v>
      </c>
      <c r="Y888" s="20">
        <v>0</v>
      </c>
      <c r="Z888" s="19">
        <v>13</v>
      </c>
      <c r="AA888" s="19">
        <v>2</v>
      </c>
      <c r="AB888" t="str">
        <f>VLOOKUP(E:E,笔记匹配!A:N,3,FALSE)</f>
        <v>小乔您了</v>
      </c>
      <c r="AC888" t="str">
        <f>VLOOKUP(E:E,笔记匹配!A:N,2,FALSE)</f>
        <v>筋膜枪</v>
      </c>
      <c r="AD888" t="str">
        <f>VLOOKUP(E:E,笔记匹配!A:N,4,FALSE)</f>
        <v>云麦筋膜枪pb2</v>
      </c>
      <c r="AE888" t="str">
        <f>VLOOKUP(E:E,笔记匹配!A:N,14,FALSE)</f>
        <v>云麦筋膜枪pb2</v>
      </c>
      <c r="AF888" t="str">
        <f>VLOOKUP(E:E,笔记匹配!A:N,6,FALSE)</f>
        <v>🆘哭了！筋膜枪细【脂包肌】小腿被我悟明白了！</v>
      </c>
    </row>
    <row r="889" spans="1:32">
      <c r="A889" s="18" t="s">
        <v>124</v>
      </c>
      <c r="B889" s="18" t="s">
        <v>1229</v>
      </c>
      <c r="C889" s="19">
        <v>19752470</v>
      </c>
      <c r="D889" s="18" t="s">
        <v>209</v>
      </c>
      <c r="E889" s="18" t="s">
        <v>300</v>
      </c>
      <c r="F889" s="18" t="s">
        <v>1230</v>
      </c>
      <c r="G889" s="19">
        <v>4384092</v>
      </c>
      <c r="H889" s="18" t="s">
        <v>1230</v>
      </c>
      <c r="I889" s="19">
        <v>3756475</v>
      </c>
      <c r="J889" s="18" t="s">
        <v>1015</v>
      </c>
      <c r="K889" s="19">
        <v>0</v>
      </c>
      <c r="L889" s="19">
        <v>0</v>
      </c>
      <c r="M889" s="19">
        <v>0</v>
      </c>
      <c r="N889" s="20">
        <v>0</v>
      </c>
      <c r="O889" s="19">
        <v>0</v>
      </c>
      <c r="P889" s="19">
        <v>0</v>
      </c>
      <c r="Q889" s="19">
        <v>0</v>
      </c>
      <c r="R889" s="19">
        <v>0</v>
      </c>
      <c r="S889" s="19">
        <v>0</v>
      </c>
      <c r="T889" s="19">
        <v>0</v>
      </c>
      <c r="U889" s="19">
        <v>0</v>
      </c>
      <c r="V889" s="19">
        <v>0</v>
      </c>
      <c r="W889" s="19">
        <v>0</v>
      </c>
      <c r="X889" s="19">
        <v>0</v>
      </c>
      <c r="Y889" s="20">
        <v>0</v>
      </c>
      <c r="Z889" s="19">
        <v>0</v>
      </c>
      <c r="AA889" s="19">
        <v>0</v>
      </c>
      <c r="AB889" t="str">
        <f>VLOOKUP(E:E,笔记匹配!A:N,3,FALSE)</f>
        <v>朱俊畅</v>
      </c>
      <c r="AC889" t="str">
        <f>VLOOKUP(E:E,笔记匹配!A:N,2,FALSE)</f>
        <v>筋膜枪</v>
      </c>
      <c r="AD889" t="str">
        <f>VLOOKUP(E:E,笔记匹配!A:N,4,FALSE)</f>
        <v>云麦筋膜枪PB2</v>
      </c>
      <c r="AE889" t="str">
        <f>VLOOKUP(E:E,笔记匹配!A:N,14,FALSE)</f>
        <v>云麦筋膜枪pb2</v>
      </c>
      <c r="AF889" t="str">
        <f>VLOOKUP(E:E,笔记匹配!A:N,6,FALSE)</f>
        <v>打球完容易肌肉酸痛，筋膜枪放松更有效！</v>
      </c>
    </row>
    <row r="890" spans="1:32">
      <c r="A890" s="18" t="s">
        <v>124</v>
      </c>
      <c r="B890" s="18" t="s">
        <v>1233</v>
      </c>
      <c r="C890" s="19">
        <v>19834935</v>
      </c>
      <c r="D890" s="18" t="s">
        <v>209</v>
      </c>
      <c r="E890" s="18" t="s">
        <v>274</v>
      </c>
      <c r="F890" s="18" t="s">
        <v>1234</v>
      </c>
      <c r="G890" s="19">
        <v>4425179</v>
      </c>
      <c r="H890" s="18" t="s">
        <v>1234</v>
      </c>
      <c r="I890" s="19">
        <v>3793911</v>
      </c>
      <c r="J890" s="18" t="s">
        <v>1015</v>
      </c>
      <c r="K890" s="19">
        <v>2007.9</v>
      </c>
      <c r="L890" s="19">
        <v>67553</v>
      </c>
      <c r="M890" s="19">
        <v>5770</v>
      </c>
      <c r="N890" s="20">
        <v>0.0854</v>
      </c>
      <c r="O890" s="19">
        <v>0.35</v>
      </c>
      <c r="P890" s="19">
        <v>29.72</v>
      </c>
      <c r="Q890" s="19">
        <v>421</v>
      </c>
      <c r="R890" s="19">
        <v>3</v>
      </c>
      <c r="S890" s="19">
        <v>79</v>
      </c>
      <c r="T890" s="19">
        <v>2</v>
      </c>
      <c r="U890" s="19">
        <v>12</v>
      </c>
      <c r="V890" s="19">
        <v>517</v>
      </c>
      <c r="W890" s="19">
        <v>3.88</v>
      </c>
      <c r="X890" s="19">
        <v>0</v>
      </c>
      <c r="Y890" s="20">
        <v>0</v>
      </c>
      <c r="Z890" s="19">
        <v>16</v>
      </c>
      <c r="AA890" s="19">
        <v>9</v>
      </c>
      <c r="AB890" t="str">
        <f>VLOOKUP(E:E,笔记匹配!A:N,3,FALSE)</f>
        <v>西米是个小可爱</v>
      </c>
      <c r="AC890" t="str">
        <f>VLOOKUP(E:E,笔记匹配!A:N,2,FALSE)</f>
        <v>筋膜枪</v>
      </c>
      <c r="AD890" t="str">
        <f>VLOOKUP(E:E,笔记匹配!A:N,4,FALSE)</f>
        <v>云麦筋膜枪PB2</v>
      </c>
      <c r="AE890" t="str">
        <f>VLOOKUP(E:E,笔记匹配!A:N,14,FALSE)</f>
        <v>云麦筋膜枪pb2</v>
      </c>
      <c r="AF890" t="str">
        <f>VLOOKUP(E:E,笔记匹配!A:N,6,FALSE)</f>
        <v>筋膜枪千万不能乱用！正确肩颈使用方法</v>
      </c>
    </row>
    <row r="891" spans="1:32">
      <c r="A891" s="18" t="s">
        <v>124</v>
      </c>
      <c r="B891" s="18" t="s">
        <v>1236</v>
      </c>
      <c r="C891" s="19">
        <v>20017048</v>
      </c>
      <c r="D891" s="18" t="s">
        <v>209</v>
      </c>
      <c r="E891" s="18" t="s">
        <v>296</v>
      </c>
      <c r="F891" s="18" t="s">
        <v>1237</v>
      </c>
      <c r="G891" s="19">
        <v>4507302</v>
      </c>
      <c r="H891" s="18" t="s">
        <v>1237</v>
      </c>
      <c r="I891" s="19">
        <v>3866054</v>
      </c>
      <c r="J891" s="18" t="s">
        <v>1015</v>
      </c>
      <c r="K891" s="19">
        <v>0</v>
      </c>
      <c r="L891" s="19">
        <v>0</v>
      </c>
      <c r="M891" s="19">
        <v>0</v>
      </c>
      <c r="N891" s="20">
        <v>0</v>
      </c>
      <c r="O891" s="19">
        <v>0</v>
      </c>
      <c r="P891" s="19">
        <v>0</v>
      </c>
      <c r="Q891" s="19">
        <v>0</v>
      </c>
      <c r="R891" s="19">
        <v>0</v>
      </c>
      <c r="S891" s="19">
        <v>0</v>
      </c>
      <c r="T891" s="19">
        <v>0</v>
      </c>
      <c r="U891" s="19">
        <v>0</v>
      </c>
      <c r="V891" s="19">
        <v>0</v>
      </c>
      <c r="W891" s="19">
        <v>0</v>
      </c>
      <c r="X891" s="19">
        <v>0</v>
      </c>
      <c r="Y891" s="20">
        <v>0</v>
      </c>
      <c r="Z891" s="19">
        <v>0</v>
      </c>
      <c r="AA891" s="19">
        <v>0</v>
      </c>
      <c r="AB891" t="str">
        <f>VLOOKUP(E:E,笔记匹配!A:N,3,FALSE)</f>
        <v>元气芥末酱</v>
      </c>
      <c r="AC891" t="str">
        <f>VLOOKUP(E:E,笔记匹配!A:N,2,FALSE)</f>
        <v>筋膜枪</v>
      </c>
      <c r="AD891" t="str">
        <f>VLOOKUP(E:E,笔记匹配!A:N,4,FALSE)</f>
        <v>云麦筋膜枪PB2</v>
      </c>
      <c r="AE891" t="str">
        <f>VLOOKUP(E:E,笔记匹配!A:N,14,FALSE)</f>
        <v>云麦筋膜枪pb2</v>
      </c>
      <c r="AF891" t="str">
        <f>VLOOKUP(E:E,笔记匹配!A:N,6,FALSE)</f>
        <v>小腿粗的姐妹信我！肌肉腿就要这样按！</v>
      </c>
    </row>
    <row r="892" spans="1:32">
      <c r="A892" s="18" t="s">
        <v>124</v>
      </c>
      <c r="B892" s="18" t="s">
        <v>1238</v>
      </c>
      <c r="C892" s="19">
        <v>20060178</v>
      </c>
      <c r="D892" s="18" t="s">
        <v>209</v>
      </c>
      <c r="E892" s="18" t="s">
        <v>220</v>
      </c>
      <c r="F892" s="18" t="s">
        <v>1240</v>
      </c>
      <c r="G892" s="19">
        <v>4528603</v>
      </c>
      <c r="H892" s="18" t="s">
        <v>1241</v>
      </c>
      <c r="I892" s="19">
        <v>3884156</v>
      </c>
      <c r="J892" s="18" t="s">
        <v>1015</v>
      </c>
      <c r="K892" s="19">
        <v>0</v>
      </c>
      <c r="L892" s="19">
        <v>0</v>
      </c>
      <c r="M892" s="19">
        <v>0</v>
      </c>
      <c r="N892" s="20">
        <v>0</v>
      </c>
      <c r="O892" s="19">
        <v>0</v>
      </c>
      <c r="P892" s="19">
        <v>0</v>
      </c>
      <c r="Q892" s="19">
        <v>0</v>
      </c>
      <c r="R892" s="19">
        <v>0</v>
      </c>
      <c r="S892" s="19">
        <v>0</v>
      </c>
      <c r="T892" s="19">
        <v>0</v>
      </c>
      <c r="U892" s="19">
        <v>0</v>
      </c>
      <c r="V892" s="19">
        <v>0</v>
      </c>
      <c r="W892" s="19">
        <v>0</v>
      </c>
      <c r="X892" s="19">
        <v>0</v>
      </c>
      <c r="Y892" s="20">
        <v>0</v>
      </c>
      <c r="Z892" s="19">
        <v>0</v>
      </c>
      <c r="AA892" s="19">
        <v>0</v>
      </c>
      <c r="AB892" t="str">
        <f>VLOOKUP(E:E,笔记匹配!A:N,3,FALSE)</f>
        <v>一颗西兰花fa</v>
      </c>
      <c r="AC892" t="str">
        <f>VLOOKUP(E:E,笔记匹配!A:N,2,FALSE)</f>
        <v>筋膜枪</v>
      </c>
      <c r="AD892" t="str">
        <f>VLOOKUP(E:E,笔记匹配!A:N,4,FALSE)</f>
        <v>云麦筋膜枪PB2</v>
      </c>
      <c r="AE892" t="str">
        <f>VLOOKUP(E:E,笔记匹配!A:N,14,FALSE)</f>
        <v>云麦筋膜枪pb2</v>
      </c>
      <c r="AF892" t="str">
        <f>VLOOKUP(E:E,笔记匹配!A:N,6,FALSE)</f>
        <v>有没有姐妹跟我一样被肌肉腿困扰了好久！</v>
      </c>
    </row>
    <row r="893" spans="1:32">
      <c r="A893" s="18" t="s">
        <v>124</v>
      </c>
      <c r="B893" s="18" t="s">
        <v>1242</v>
      </c>
      <c r="C893" s="19">
        <v>20100228</v>
      </c>
      <c r="D893" s="18" t="s">
        <v>209</v>
      </c>
      <c r="E893" s="18" t="s">
        <v>208</v>
      </c>
      <c r="F893" s="18" t="s">
        <v>1243</v>
      </c>
      <c r="G893" s="19">
        <v>4551147</v>
      </c>
      <c r="H893" s="18" t="s">
        <v>1243</v>
      </c>
      <c r="I893" s="19">
        <v>3901246</v>
      </c>
      <c r="J893" s="18" t="s">
        <v>1015</v>
      </c>
      <c r="K893" s="19">
        <v>502.59</v>
      </c>
      <c r="L893" s="19">
        <v>58744</v>
      </c>
      <c r="M893" s="19">
        <v>3147</v>
      </c>
      <c r="N893" s="20">
        <v>0.0536</v>
      </c>
      <c r="O893" s="19">
        <v>0.16</v>
      </c>
      <c r="P893" s="19">
        <v>8.56</v>
      </c>
      <c r="Q893" s="19">
        <v>63</v>
      </c>
      <c r="R893" s="19">
        <v>1</v>
      </c>
      <c r="S893" s="19">
        <v>32</v>
      </c>
      <c r="T893" s="19">
        <v>2</v>
      </c>
      <c r="U893" s="19">
        <v>5</v>
      </c>
      <c r="V893" s="19">
        <v>103</v>
      </c>
      <c r="W893" s="19">
        <v>4.88</v>
      </c>
      <c r="X893" s="19">
        <v>0</v>
      </c>
      <c r="Y893" s="20">
        <v>0</v>
      </c>
      <c r="Z893" s="19">
        <v>6</v>
      </c>
      <c r="AA893" s="19">
        <v>1</v>
      </c>
      <c r="AB893" t="str">
        <f>VLOOKUP(E:E,笔记匹配!A:N,3,FALSE)</f>
        <v>小羊羔崽子</v>
      </c>
      <c r="AC893" t="str">
        <f>VLOOKUP(E:E,笔记匹配!A:N,2,FALSE)</f>
        <v>筋膜枪</v>
      </c>
      <c r="AD893" t="str">
        <f>VLOOKUP(E:E,笔记匹配!A:N,4,FALSE)</f>
        <v>云麦筋膜枪PB2</v>
      </c>
      <c r="AE893" t="str">
        <f>VLOOKUP(E:E,笔记匹配!A:N,14,FALSE)</f>
        <v>云麦筋膜枪pb2</v>
      </c>
      <c r="AF893" t="str">
        <f>VLOOKUP(E:E,笔记匹配!A:N,6,FALSE)</f>
        <v>用了多年泡沫轴，才知道筋膜枪是真的香！！！</v>
      </c>
    </row>
    <row r="894" spans="1:32">
      <c r="A894" s="18" t="s">
        <v>124</v>
      </c>
      <c r="B894" s="18" t="s">
        <v>1242</v>
      </c>
      <c r="C894" s="19">
        <v>20100261</v>
      </c>
      <c r="D894" s="18" t="s">
        <v>209</v>
      </c>
      <c r="E894" s="18" t="s">
        <v>220</v>
      </c>
      <c r="F894" s="18" t="s">
        <v>1244</v>
      </c>
      <c r="G894" s="19">
        <v>4551153</v>
      </c>
      <c r="H894" s="18" t="s">
        <v>1244</v>
      </c>
      <c r="I894" s="19">
        <v>3901276</v>
      </c>
      <c r="J894" s="18" t="s">
        <v>1015</v>
      </c>
      <c r="K894" s="19">
        <v>502.04</v>
      </c>
      <c r="L894" s="19">
        <v>42675</v>
      </c>
      <c r="M894" s="19">
        <v>1933</v>
      </c>
      <c r="N894" s="20">
        <v>0.0453</v>
      </c>
      <c r="O894" s="19">
        <v>0.26</v>
      </c>
      <c r="P894" s="19">
        <v>11.76</v>
      </c>
      <c r="Q894" s="19">
        <v>106</v>
      </c>
      <c r="R894" s="19">
        <v>2</v>
      </c>
      <c r="S894" s="19">
        <v>40</v>
      </c>
      <c r="T894" s="19">
        <v>1</v>
      </c>
      <c r="U894" s="19">
        <v>2</v>
      </c>
      <c r="V894" s="19">
        <v>151</v>
      </c>
      <c r="W894" s="19">
        <v>3.32</v>
      </c>
      <c r="X894" s="19">
        <v>0</v>
      </c>
      <c r="Y894" s="20">
        <v>0</v>
      </c>
      <c r="Z894" s="19">
        <v>8</v>
      </c>
      <c r="AA894" s="19">
        <v>1</v>
      </c>
      <c r="AB894" t="str">
        <f>VLOOKUP(E:E,笔记匹配!A:N,3,FALSE)</f>
        <v>一颗西兰花fa</v>
      </c>
      <c r="AC894" t="str">
        <f>VLOOKUP(E:E,笔记匹配!A:N,2,FALSE)</f>
        <v>筋膜枪</v>
      </c>
      <c r="AD894" t="str">
        <f>VLOOKUP(E:E,笔记匹配!A:N,4,FALSE)</f>
        <v>云麦筋膜枪PB2</v>
      </c>
      <c r="AE894" t="str">
        <f>VLOOKUP(E:E,笔记匹配!A:N,14,FALSE)</f>
        <v>云麦筋膜枪pb2</v>
      </c>
      <c r="AF894" t="str">
        <f>VLOOKUP(E:E,笔记匹配!A:N,6,FALSE)</f>
        <v>有没有姐妹跟我一样被肌肉腿困扰了好久！</v>
      </c>
    </row>
    <row r="895" spans="1:32">
      <c r="A895" s="18" t="s">
        <v>125</v>
      </c>
      <c r="B895" s="18" t="s">
        <v>1164</v>
      </c>
      <c r="C895" s="19">
        <v>18170615</v>
      </c>
      <c r="D895" s="18" t="s">
        <v>209</v>
      </c>
      <c r="E895" s="18" t="s">
        <v>205</v>
      </c>
      <c r="F895" s="18" t="s">
        <v>1165</v>
      </c>
      <c r="G895" s="19">
        <v>3639848</v>
      </c>
      <c r="H895" s="18" t="s">
        <v>1166</v>
      </c>
      <c r="I895" s="19">
        <v>3024741</v>
      </c>
      <c r="J895" s="18" t="s">
        <v>1015</v>
      </c>
      <c r="K895" s="19">
        <v>0</v>
      </c>
      <c r="L895" s="19">
        <v>0</v>
      </c>
      <c r="M895" s="19">
        <v>0</v>
      </c>
      <c r="N895" s="20">
        <v>0</v>
      </c>
      <c r="O895" s="19">
        <v>0</v>
      </c>
      <c r="P895" s="19">
        <v>0</v>
      </c>
      <c r="Q895" s="19">
        <v>0</v>
      </c>
      <c r="R895" s="19">
        <v>0</v>
      </c>
      <c r="S895" s="19">
        <v>0</v>
      </c>
      <c r="T895" s="19">
        <v>0</v>
      </c>
      <c r="U895" s="19">
        <v>0</v>
      </c>
      <c r="V895" s="19">
        <v>0</v>
      </c>
      <c r="W895" s="19">
        <v>0</v>
      </c>
      <c r="X895" s="19">
        <v>0</v>
      </c>
      <c r="Y895" s="20">
        <v>0</v>
      </c>
      <c r="Z895" s="19">
        <v>0</v>
      </c>
      <c r="AA895" s="19">
        <v>0</v>
      </c>
      <c r="AB895" t="str">
        <f>VLOOKUP(E:E,笔记匹配!A:N,3,FALSE)</f>
        <v>马可乐cora</v>
      </c>
      <c r="AC895" t="str">
        <f>VLOOKUP(E:E,笔记匹配!A:N,2,FALSE)</f>
        <v>筋膜枪</v>
      </c>
      <c r="AD895" t="str">
        <f>VLOOKUP(E:E,笔记匹配!A:N,4,FALSE)</f>
        <v>云麦筋膜枪PB2</v>
      </c>
      <c r="AE895" t="str">
        <f>VLOOKUP(E:E,笔记匹配!A:N,14,FALSE)</f>
        <v>云麦筋膜枪pb2</v>
      </c>
      <c r="AF895" t="str">
        <f>VLOOKUP(E:E,笔记匹配!A:N,6,FALSE)</f>
        <v>跳操的姐妹听我的用筋膜枪放松下肢真的有用</v>
      </c>
    </row>
    <row r="896" spans="1:32">
      <c r="A896" s="18" t="s">
        <v>125</v>
      </c>
      <c r="B896" s="18" t="s">
        <v>1184</v>
      </c>
      <c r="C896" s="19">
        <v>18646457</v>
      </c>
      <c r="D896" s="18" t="s">
        <v>209</v>
      </c>
      <c r="E896" s="18" t="s">
        <v>395</v>
      </c>
      <c r="F896" s="18" t="s">
        <v>1186</v>
      </c>
      <c r="G896" s="19">
        <v>3870563</v>
      </c>
      <c r="H896" s="18" t="s">
        <v>1186</v>
      </c>
      <c r="I896" s="19">
        <v>3255634</v>
      </c>
      <c r="J896" s="18" t="s">
        <v>1015</v>
      </c>
      <c r="K896" s="19">
        <v>0</v>
      </c>
      <c r="L896" s="19">
        <v>0</v>
      </c>
      <c r="M896" s="19">
        <v>0</v>
      </c>
      <c r="N896" s="20">
        <v>0</v>
      </c>
      <c r="O896" s="19">
        <v>0</v>
      </c>
      <c r="P896" s="19">
        <v>0</v>
      </c>
      <c r="Q896" s="19">
        <v>0</v>
      </c>
      <c r="R896" s="19">
        <v>0</v>
      </c>
      <c r="S896" s="19">
        <v>0</v>
      </c>
      <c r="T896" s="19">
        <v>0</v>
      </c>
      <c r="U896" s="19">
        <v>0</v>
      </c>
      <c r="V896" s="19">
        <v>0</v>
      </c>
      <c r="W896" s="19">
        <v>0</v>
      </c>
      <c r="X896" s="19">
        <v>0</v>
      </c>
      <c r="Y896" s="20">
        <v>0</v>
      </c>
      <c r="Z896" s="19">
        <v>0</v>
      </c>
      <c r="AA896" s="19">
        <v>0</v>
      </c>
      <c r="AB896" t="str">
        <f>VLOOKUP(E:E,笔记匹配!A:N,3,FALSE)</f>
        <v>月亮起床了</v>
      </c>
      <c r="AC896" t="str">
        <f>VLOOKUP(E:E,笔记匹配!A:N,2,FALSE)</f>
        <v>筋膜枪</v>
      </c>
      <c r="AD896" t="str">
        <f>VLOOKUP(E:E,笔记匹配!A:N,4,FALSE)</f>
        <v>云麦筋膜枪pb2</v>
      </c>
      <c r="AE896" t="str">
        <f>VLOOKUP(E:E,笔记匹配!A:N,14,FALSE)</f>
        <v>云麦筋膜枪pb2</v>
      </c>
      <c r="AF896" t="str">
        <f>VLOOKUP(E:E,笔记匹配!A:N,6,FALSE)</f>
        <v>超强瘦🦵绝招，记得用筋膜枪放松</v>
      </c>
    </row>
    <row r="897" spans="1:32">
      <c r="A897" s="18" t="s">
        <v>125</v>
      </c>
      <c r="B897" s="18" t="s">
        <v>1196</v>
      </c>
      <c r="C897" s="19">
        <v>19054497</v>
      </c>
      <c r="D897" s="18" t="s">
        <v>209</v>
      </c>
      <c r="E897" s="18" t="s">
        <v>452</v>
      </c>
      <c r="F897" s="18" t="s">
        <v>1198</v>
      </c>
      <c r="G897" s="19">
        <v>4059827</v>
      </c>
      <c r="H897" s="18" t="s">
        <v>1198</v>
      </c>
      <c r="I897" s="19">
        <v>3442591</v>
      </c>
      <c r="J897" s="18" t="s">
        <v>1015</v>
      </c>
      <c r="K897" s="19">
        <v>0</v>
      </c>
      <c r="L897" s="19">
        <v>0</v>
      </c>
      <c r="M897" s="19">
        <v>0</v>
      </c>
      <c r="N897" s="20">
        <v>0</v>
      </c>
      <c r="O897" s="19">
        <v>0</v>
      </c>
      <c r="P897" s="19">
        <v>0</v>
      </c>
      <c r="Q897" s="19">
        <v>0</v>
      </c>
      <c r="R897" s="19">
        <v>0</v>
      </c>
      <c r="S897" s="19">
        <v>0</v>
      </c>
      <c r="T897" s="19">
        <v>0</v>
      </c>
      <c r="U897" s="19">
        <v>0</v>
      </c>
      <c r="V897" s="19">
        <v>0</v>
      </c>
      <c r="W897" s="19">
        <v>0</v>
      </c>
      <c r="X897" s="19">
        <v>0</v>
      </c>
      <c r="Y897" s="20">
        <v>0</v>
      </c>
      <c r="Z897" s="19">
        <v>0</v>
      </c>
      <c r="AA897" s="19">
        <v>0</v>
      </c>
      <c r="AB897" t="str">
        <f>VLOOKUP(E:E,笔记匹配!A:N,3,FALSE)</f>
        <v>Bruce小厮</v>
      </c>
      <c r="AC897" t="str">
        <f>VLOOKUP(E:E,笔记匹配!A:N,2,FALSE)</f>
        <v>筋膜枪</v>
      </c>
      <c r="AD897" t="str">
        <f>VLOOKUP(E:E,笔记匹配!A:N,4,FALSE)</f>
        <v>云麦筋膜枪PB2</v>
      </c>
      <c r="AE897" t="str">
        <f>VLOOKUP(E:E,笔记匹配!A:N,14,FALSE)</f>
        <v>云麦筋膜枪pb2</v>
      </c>
      <c r="AF897" t="str">
        <f>VLOOKUP(E:E,笔记匹配!A:N,6,FALSE)</f>
        <v>女生练球后如何拉伸按摩，筋膜枪放松！！</v>
      </c>
    </row>
    <row r="898" spans="1:32">
      <c r="A898" s="18" t="s">
        <v>125</v>
      </c>
      <c r="B898" s="18" t="s">
        <v>1226</v>
      </c>
      <c r="C898" s="19">
        <v>19713077</v>
      </c>
      <c r="D898" s="18" t="s">
        <v>209</v>
      </c>
      <c r="E898" s="18" t="s">
        <v>317</v>
      </c>
      <c r="F898" s="18" t="s">
        <v>1231</v>
      </c>
      <c r="G898" s="19">
        <v>4365044</v>
      </c>
      <c r="H898" s="18" t="s">
        <v>1232</v>
      </c>
      <c r="I898" s="19">
        <v>3739155</v>
      </c>
      <c r="J898" s="18" t="s">
        <v>1015</v>
      </c>
      <c r="K898" s="19">
        <v>0.17</v>
      </c>
      <c r="L898" s="19">
        <v>55</v>
      </c>
      <c r="M898" s="19">
        <v>1</v>
      </c>
      <c r="N898" s="20">
        <v>0.0182</v>
      </c>
      <c r="O898" s="19">
        <v>0.17</v>
      </c>
      <c r="P898" s="19">
        <v>3.09</v>
      </c>
      <c r="Q898" s="19">
        <v>0</v>
      </c>
      <c r="R898" s="19">
        <v>0</v>
      </c>
      <c r="S898" s="19">
        <v>0</v>
      </c>
      <c r="T898" s="19">
        <v>0</v>
      </c>
      <c r="U898" s="19">
        <v>0</v>
      </c>
      <c r="V898" s="19">
        <v>0</v>
      </c>
      <c r="W898" s="19">
        <v>0</v>
      </c>
      <c r="X898" s="19">
        <v>0</v>
      </c>
      <c r="Y898" s="20">
        <v>0</v>
      </c>
      <c r="Z898" s="19">
        <v>0</v>
      </c>
      <c r="AA898" s="19">
        <v>0</v>
      </c>
      <c r="AB898" t="str">
        <f>VLOOKUP(E:E,笔记匹配!A:N,3,FALSE)</f>
        <v>小乔您了</v>
      </c>
      <c r="AC898" t="str">
        <f>VLOOKUP(E:E,笔记匹配!A:N,2,FALSE)</f>
        <v>筋膜枪</v>
      </c>
      <c r="AD898" t="str">
        <f>VLOOKUP(E:E,笔记匹配!A:N,4,FALSE)</f>
        <v>云麦筋膜枪pb2</v>
      </c>
      <c r="AE898" t="str">
        <f>VLOOKUP(E:E,笔记匹配!A:N,14,FALSE)</f>
        <v>云麦筋膜枪pb2</v>
      </c>
      <c r="AF898" t="str">
        <f>VLOOKUP(E:E,笔记匹配!A:N,6,FALSE)</f>
        <v>🆘哭了！筋膜枪细【脂包肌】小腿被我悟明白了！</v>
      </c>
    </row>
    <row r="899" spans="1:32">
      <c r="A899" s="18" t="s">
        <v>125</v>
      </c>
      <c r="B899" s="18" t="s">
        <v>1233</v>
      </c>
      <c r="C899" s="19">
        <v>19834935</v>
      </c>
      <c r="D899" s="18" t="s">
        <v>209</v>
      </c>
      <c r="E899" s="18" t="s">
        <v>274</v>
      </c>
      <c r="F899" s="18" t="s">
        <v>1234</v>
      </c>
      <c r="G899" s="19">
        <v>4425179</v>
      </c>
      <c r="H899" s="18" t="s">
        <v>1234</v>
      </c>
      <c r="I899" s="19">
        <v>3793911</v>
      </c>
      <c r="J899" s="18" t="s">
        <v>1015</v>
      </c>
      <c r="K899" s="19">
        <v>3213.15</v>
      </c>
      <c r="L899" s="19">
        <v>65626</v>
      </c>
      <c r="M899" s="19">
        <v>4565</v>
      </c>
      <c r="N899" s="20">
        <v>0.0696</v>
      </c>
      <c r="O899" s="19">
        <v>0.7</v>
      </c>
      <c r="P899" s="19">
        <v>48.96</v>
      </c>
      <c r="Q899" s="19">
        <v>879</v>
      </c>
      <c r="R899" s="19">
        <v>5</v>
      </c>
      <c r="S899" s="19">
        <v>169</v>
      </c>
      <c r="T899" s="19">
        <v>1</v>
      </c>
      <c r="U899" s="19">
        <v>22</v>
      </c>
      <c r="V899" s="19">
        <v>1076</v>
      </c>
      <c r="W899" s="19">
        <v>2.99</v>
      </c>
      <c r="X899" s="19">
        <v>0</v>
      </c>
      <c r="Y899" s="20">
        <v>0</v>
      </c>
      <c r="Z899" s="19">
        <v>9</v>
      </c>
      <c r="AA899" s="19">
        <v>13</v>
      </c>
      <c r="AB899" t="str">
        <f>VLOOKUP(E:E,笔记匹配!A:N,3,FALSE)</f>
        <v>西米是个小可爱</v>
      </c>
      <c r="AC899" t="str">
        <f>VLOOKUP(E:E,笔记匹配!A:N,2,FALSE)</f>
        <v>筋膜枪</v>
      </c>
      <c r="AD899" t="str">
        <f>VLOOKUP(E:E,笔记匹配!A:N,4,FALSE)</f>
        <v>云麦筋膜枪PB2</v>
      </c>
      <c r="AE899" t="str">
        <f>VLOOKUP(E:E,笔记匹配!A:N,14,FALSE)</f>
        <v>云麦筋膜枪pb2</v>
      </c>
      <c r="AF899" t="str">
        <f>VLOOKUP(E:E,笔记匹配!A:N,6,FALSE)</f>
        <v>筋膜枪千万不能乱用！正确肩颈使用方法</v>
      </c>
    </row>
    <row r="900" spans="1:32">
      <c r="A900" s="18" t="s">
        <v>125</v>
      </c>
      <c r="B900" s="18" t="s">
        <v>1242</v>
      </c>
      <c r="C900" s="19">
        <v>20100228</v>
      </c>
      <c r="D900" s="18" t="s">
        <v>209</v>
      </c>
      <c r="E900" s="18" t="s">
        <v>208</v>
      </c>
      <c r="F900" s="18" t="s">
        <v>1243</v>
      </c>
      <c r="G900" s="19">
        <v>4551147</v>
      </c>
      <c r="H900" s="18" t="s">
        <v>1243</v>
      </c>
      <c r="I900" s="19">
        <v>3901246</v>
      </c>
      <c r="J900" s="18" t="s">
        <v>1015</v>
      </c>
      <c r="K900" s="19">
        <v>499.49</v>
      </c>
      <c r="L900" s="19">
        <v>43996</v>
      </c>
      <c r="M900" s="19">
        <v>2102</v>
      </c>
      <c r="N900" s="20">
        <v>0.0478</v>
      </c>
      <c r="O900" s="19">
        <v>0.24</v>
      </c>
      <c r="P900" s="19">
        <v>11.35</v>
      </c>
      <c r="Q900" s="19">
        <v>63</v>
      </c>
      <c r="R900" s="19">
        <v>1</v>
      </c>
      <c r="S900" s="19">
        <v>45</v>
      </c>
      <c r="T900" s="19">
        <v>1</v>
      </c>
      <c r="U900" s="19">
        <v>2</v>
      </c>
      <c r="V900" s="19">
        <v>112</v>
      </c>
      <c r="W900" s="19">
        <v>4.46</v>
      </c>
      <c r="X900" s="19">
        <v>0</v>
      </c>
      <c r="Y900" s="20">
        <v>0</v>
      </c>
      <c r="Z900" s="19">
        <v>6</v>
      </c>
      <c r="AA900" s="19">
        <v>1</v>
      </c>
      <c r="AB900" t="str">
        <f>VLOOKUP(E:E,笔记匹配!A:N,3,FALSE)</f>
        <v>小羊羔崽子</v>
      </c>
      <c r="AC900" t="str">
        <f>VLOOKUP(E:E,笔记匹配!A:N,2,FALSE)</f>
        <v>筋膜枪</v>
      </c>
      <c r="AD900" t="str">
        <f>VLOOKUP(E:E,笔记匹配!A:N,4,FALSE)</f>
        <v>云麦筋膜枪PB2</v>
      </c>
      <c r="AE900" t="str">
        <f>VLOOKUP(E:E,笔记匹配!A:N,14,FALSE)</f>
        <v>云麦筋膜枪pb2</v>
      </c>
      <c r="AF900" t="str">
        <f>VLOOKUP(E:E,笔记匹配!A:N,6,FALSE)</f>
        <v>用了多年泡沫轴，才知道筋膜枪是真的香！！！</v>
      </c>
    </row>
    <row r="901" spans="1:32">
      <c r="A901" s="18" t="s">
        <v>125</v>
      </c>
      <c r="B901" s="18" t="s">
        <v>1242</v>
      </c>
      <c r="C901" s="19">
        <v>20100261</v>
      </c>
      <c r="D901" s="18" t="s">
        <v>209</v>
      </c>
      <c r="E901" s="18" t="s">
        <v>220</v>
      </c>
      <c r="F901" s="18" t="s">
        <v>1244</v>
      </c>
      <c r="G901" s="19">
        <v>4551153</v>
      </c>
      <c r="H901" s="18" t="s">
        <v>1244</v>
      </c>
      <c r="I901" s="19">
        <v>3901276</v>
      </c>
      <c r="J901" s="18" t="s">
        <v>1015</v>
      </c>
      <c r="K901" s="19">
        <v>395.6</v>
      </c>
      <c r="L901" s="19">
        <v>32084</v>
      </c>
      <c r="M901" s="19">
        <v>1566</v>
      </c>
      <c r="N901" s="20">
        <v>0.0488</v>
      </c>
      <c r="O901" s="19">
        <v>0.25</v>
      </c>
      <c r="P901" s="19">
        <v>12.33</v>
      </c>
      <c r="Q901" s="19">
        <v>76</v>
      </c>
      <c r="R901" s="19">
        <v>1</v>
      </c>
      <c r="S901" s="19">
        <v>45</v>
      </c>
      <c r="T901" s="19">
        <v>1</v>
      </c>
      <c r="U901" s="19">
        <v>2</v>
      </c>
      <c r="V901" s="19">
        <v>125</v>
      </c>
      <c r="W901" s="19">
        <v>3.16</v>
      </c>
      <c r="X901" s="19">
        <v>0</v>
      </c>
      <c r="Y901" s="20">
        <v>0</v>
      </c>
      <c r="Z901" s="19">
        <v>9</v>
      </c>
      <c r="AA901" s="19">
        <v>3</v>
      </c>
      <c r="AB901" t="str">
        <f>VLOOKUP(E:E,笔记匹配!A:N,3,FALSE)</f>
        <v>一颗西兰花fa</v>
      </c>
      <c r="AC901" t="str">
        <f>VLOOKUP(E:E,笔记匹配!A:N,2,FALSE)</f>
        <v>筋膜枪</v>
      </c>
      <c r="AD901" t="str">
        <f>VLOOKUP(E:E,笔记匹配!A:N,4,FALSE)</f>
        <v>云麦筋膜枪PB2</v>
      </c>
      <c r="AE901" t="str">
        <f>VLOOKUP(E:E,笔记匹配!A:N,14,FALSE)</f>
        <v>云麦筋膜枪pb2</v>
      </c>
      <c r="AF901" t="str">
        <f>VLOOKUP(E:E,笔记匹配!A:N,6,FALSE)</f>
        <v>有没有姐妹跟我一样被肌肉腿困扰了好久！</v>
      </c>
    </row>
    <row r="902" spans="1:32">
      <c r="A902" s="18" t="s">
        <v>125</v>
      </c>
      <c r="B902" s="18" t="s">
        <v>1245</v>
      </c>
      <c r="C902" s="19">
        <v>20200905</v>
      </c>
      <c r="D902" s="18" t="s">
        <v>209</v>
      </c>
      <c r="E902" s="18" t="s">
        <v>561</v>
      </c>
      <c r="F902" s="18" t="s">
        <v>1246</v>
      </c>
      <c r="G902" s="19">
        <v>4605593</v>
      </c>
      <c r="H902" s="18" t="s">
        <v>1247</v>
      </c>
      <c r="I902" s="19">
        <v>3943057</v>
      </c>
      <c r="J902" s="18" t="s">
        <v>1015</v>
      </c>
      <c r="K902" s="19">
        <v>390.54</v>
      </c>
      <c r="L902" s="19">
        <v>45299</v>
      </c>
      <c r="M902" s="19">
        <v>911</v>
      </c>
      <c r="N902" s="20">
        <v>0.0201</v>
      </c>
      <c r="O902" s="19">
        <v>0.43</v>
      </c>
      <c r="P902" s="19">
        <v>8.62</v>
      </c>
      <c r="Q902" s="19">
        <v>31</v>
      </c>
      <c r="R902" s="19">
        <v>1</v>
      </c>
      <c r="S902" s="19">
        <v>12</v>
      </c>
      <c r="T902" s="19">
        <v>0</v>
      </c>
      <c r="U902" s="19">
        <v>1</v>
      </c>
      <c r="V902" s="19">
        <v>45</v>
      </c>
      <c r="W902" s="19">
        <v>8.68</v>
      </c>
      <c r="X902" s="19">
        <v>0</v>
      </c>
      <c r="Y902" s="20">
        <v>0</v>
      </c>
      <c r="Z902" s="19">
        <v>5</v>
      </c>
      <c r="AA902" s="19">
        <v>0</v>
      </c>
      <c r="AB902" t="str">
        <f>VLOOKUP(E:E,笔记匹配!A:N,3,FALSE)</f>
        <v>小小柯尔鸭</v>
      </c>
      <c r="AC902" t="str">
        <f>VLOOKUP(E:E,笔记匹配!A:N,2,FALSE)</f>
        <v>筋膜枪</v>
      </c>
      <c r="AD902" t="str">
        <f>VLOOKUP(E:E,笔记匹配!A:N,4,FALSE)</f>
        <v>云麦筋膜枪PB2</v>
      </c>
      <c r="AE902" t="str">
        <f>VLOOKUP(E:E,笔记匹配!A:N,14,FALSE)</f>
        <v>云麦筋膜枪pb2</v>
      </c>
      <c r="AF902" t="str">
        <f>VLOOKUP(E:E,笔记匹配!A:N,6,FALSE)</f>
        <v>小腿粗的姐妹进！这筋膜枪真能改善肌肉腿啊</v>
      </c>
    </row>
    <row r="903" spans="1:32">
      <c r="A903" s="18" t="s">
        <v>126</v>
      </c>
      <c r="B903" s="18" t="s">
        <v>1226</v>
      </c>
      <c r="C903" s="19">
        <v>19713077</v>
      </c>
      <c r="D903" s="18" t="s">
        <v>209</v>
      </c>
      <c r="E903" s="18" t="s">
        <v>317</v>
      </c>
      <c r="F903" s="18" t="s">
        <v>1231</v>
      </c>
      <c r="G903" s="19">
        <v>4365044</v>
      </c>
      <c r="H903" s="18" t="s">
        <v>1232</v>
      </c>
      <c r="I903" s="19">
        <v>3739155</v>
      </c>
      <c r="J903" s="18" t="s">
        <v>1015</v>
      </c>
      <c r="K903" s="19">
        <v>0</v>
      </c>
      <c r="L903" s="19">
        <v>0</v>
      </c>
      <c r="M903" s="19">
        <v>0</v>
      </c>
      <c r="N903" s="20">
        <v>0</v>
      </c>
      <c r="O903" s="19">
        <v>0</v>
      </c>
      <c r="P903" s="19">
        <v>0</v>
      </c>
      <c r="Q903" s="19">
        <v>0</v>
      </c>
      <c r="R903" s="19">
        <v>0</v>
      </c>
      <c r="S903" s="19">
        <v>0</v>
      </c>
      <c r="T903" s="19">
        <v>0</v>
      </c>
      <c r="U903" s="19">
        <v>0</v>
      </c>
      <c r="V903" s="19">
        <v>0</v>
      </c>
      <c r="W903" s="19">
        <v>0</v>
      </c>
      <c r="X903" s="19">
        <v>0</v>
      </c>
      <c r="Y903" s="20">
        <v>0</v>
      </c>
      <c r="Z903" s="19">
        <v>0</v>
      </c>
      <c r="AA903" s="19">
        <v>0</v>
      </c>
      <c r="AB903" t="str">
        <f>VLOOKUP(E:E,笔记匹配!A:N,3,FALSE)</f>
        <v>小乔您了</v>
      </c>
      <c r="AC903" t="str">
        <f>VLOOKUP(E:E,笔记匹配!A:N,2,FALSE)</f>
        <v>筋膜枪</v>
      </c>
      <c r="AD903" t="str">
        <f>VLOOKUP(E:E,笔记匹配!A:N,4,FALSE)</f>
        <v>云麦筋膜枪pb2</v>
      </c>
      <c r="AE903" t="str">
        <f>VLOOKUP(E:E,笔记匹配!A:N,14,FALSE)</f>
        <v>云麦筋膜枪pb2</v>
      </c>
      <c r="AF903" t="str">
        <f>VLOOKUP(E:E,笔记匹配!A:N,6,FALSE)</f>
        <v>🆘哭了！筋膜枪细【脂包肌】小腿被我悟明白了！</v>
      </c>
    </row>
    <row r="904" spans="1:32">
      <c r="A904" s="18" t="s">
        <v>126</v>
      </c>
      <c r="B904" s="18" t="s">
        <v>1233</v>
      </c>
      <c r="C904" s="19">
        <v>19834935</v>
      </c>
      <c r="D904" s="18" t="s">
        <v>209</v>
      </c>
      <c r="E904" s="18" t="s">
        <v>274</v>
      </c>
      <c r="F904" s="18" t="s">
        <v>1234</v>
      </c>
      <c r="G904" s="19">
        <v>4425179</v>
      </c>
      <c r="H904" s="18" t="s">
        <v>1234</v>
      </c>
      <c r="I904" s="19">
        <v>3793911</v>
      </c>
      <c r="J904" s="18" t="s">
        <v>1015</v>
      </c>
      <c r="K904" s="19">
        <v>2003.08</v>
      </c>
      <c r="L904" s="19">
        <v>62523</v>
      </c>
      <c r="M904" s="19">
        <v>4367</v>
      </c>
      <c r="N904" s="20">
        <v>0.0698</v>
      </c>
      <c r="O904" s="19">
        <v>0.46</v>
      </c>
      <c r="P904" s="19">
        <v>32.04</v>
      </c>
      <c r="Q904" s="19">
        <v>487</v>
      </c>
      <c r="R904" s="19">
        <v>7</v>
      </c>
      <c r="S904" s="19">
        <v>79</v>
      </c>
      <c r="T904" s="19">
        <v>3</v>
      </c>
      <c r="U904" s="19">
        <v>13</v>
      </c>
      <c r="V904" s="19">
        <v>589</v>
      </c>
      <c r="W904" s="19">
        <v>3.4</v>
      </c>
      <c r="X904" s="19">
        <v>0</v>
      </c>
      <c r="Y904" s="20">
        <v>0</v>
      </c>
      <c r="Z904" s="19">
        <v>9</v>
      </c>
      <c r="AA904" s="19">
        <v>7</v>
      </c>
      <c r="AB904" t="str">
        <f>VLOOKUP(E:E,笔记匹配!A:N,3,FALSE)</f>
        <v>西米是个小可爱</v>
      </c>
      <c r="AC904" t="str">
        <f>VLOOKUP(E:E,笔记匹配!A:N,2,FALSE)</f>
        <v>筋膜枪</v>
      </c>
      <c r="AD904" t="str">
        <f>VLOOKUP(E:E,笔记匹配!A:N,4,FALSE)</f>
        <v>云麦筋膜枪PB2</v>
      </c>
      <c r="AE904" t="str">
        <f>VLOOKUP(E:E,笔记匹配!A:N,14,FALSE)</f>
        <v>云麦筋膜枪pb2</v>
      </c>
      <c r="AF904" t="str">
        <f>VLOOKUP(E:E,笔记匹配!A:N,6,FALSE)</f>
        <v>筋膜枪千万不能乱用！正确肩颈使用方法</v>
      </c>
    </row>
    <row r="905" spans="1:32">
      <c r="A905" s="18" t="s">
        <v>126</v>
      </c>
      <c r="B905" s="18" t="s">
        <v>1242</v>
      </c>
      <c r="C905" s="19">
        <v>20100228</v>
      </c>
      <c r="D905" s="18" t="s">
        <v>209</v>
      </c>
      <c r="E905" s="18" t="s">
        <v>208</v>
      </c>
      <c r="F905" s="18" t="s">
        <v>1243</v>
      </c>
      <c r="G905" s="19">
        <v>4551147</v>
      </c>
      <c r="H905" s="18" t="s">
        <v>1243</v>
      </c>
      <c r="I905" s="19">
        <v>3901246</v>
      </c>
      <c r="J905" s="18" t="s">
        <v>1015</v>
      </c>
      <c r="K905" s="19">
        <v>281.87</v>
      </c>
      <c r="L905" s="19">
        <v>19297</v>
      </c>
      <c r="M905" s="19">
        <v>1087</v>
      </c>
      <c r="N905" s="20">
        <v>0.0563</v>
      </c>
      <c r="O905" s="19">
        <v>0.26</v>
      </c>
      <c r="P905" s="19">
        <v>14.61</v>
      </c>
      <c r="Q905" s="19">
        <v>46</v>
      </c>
      <c r="R905" s="19">
        <v>1</v>
      </c>
      <c r="S905" s="19">
        <v>25</v>
      </c>
      <c r="T905" s="19">
        <v>0</v>
      </c>
      <c r="U905" s="19">
        <v>2</v>
      </c>
      <c r="V905" s="19">
        <v>74</v>
      </c>
      <c r="W905" s="19">
        <v>3.81</v>
      </c>
      <c r="X905" s="19">
        <v>0</v>
      </c>
      <c r="Y905" s="20">
        <v>0</v>
      </c>
      <c r="Z905" s="19">
        <v>3</v>
      </c>
      <c r="AA905" s="19">
        <v>2</v>
      </c>
      <c r="AB905" t="str">
        <f>VLOOKUP(E:E,笔记匹配!A:N,3,FALSE)</f>
        <v>小羊羔崽子</v>
      </c>
      <c r="AC905" t="str">
        <f>VLOOKUP(E:E,笔记匹配!A:N,2,FALSE)</f>
        <v>筋膜枪</v>
      </c>
      <c r="AD905" t="str">
        <f>VLOOKUP(E:E,笔记匹配!A:N,4,FALSE)</f>
        <v>云麦筋膜枪PB2</v>
      </c>
      <c r="AE905" t="str">
        <f>VLOOKUP(E:E,笔记匹配!A:N,14,FALSE)</f>
        <v>云麦筋膜枪pb2</v>
      </c>
      <c r="AF905" t="str">
        <f>VLOOKUP(E:E,笔记匹配!A:N,6,FALSE)</f>
        <v>用了多年泡沫轴，才知道筋膜枪是真的香！！！</v>
      </c>
    </row>
    <row r="906" spans="1:32">
      <c r="A906" s="18" t="s">
        <v>126</v>
      </c>
      <c r="B906" s="18" t="s">
        <v>1242</v>
      </c>
      <c r="C906" s="19">
        <v>20100261</v>
      </c>
      <c r="D906" s="18" t="s">
        <v>209</v>
      </c>
      <c r="E906" s="18" t="s">
        <v>220</v>
      </c>
      <c r="F906" s="18" t="s">
        <v>1244</v>
      </c>
      <c r="G906" s="19">
        <v>4551153</v>
      </c>
      <c r="H906" s="18" t="s">
        <v>1244</v>
      </c>
      <c r="I906" s="19">
        <v>3901276</v>
      </c>
      <c r="J906" s="18" t="s">
        <v>1015</v>
      </c>
      <c r="K906" s="19">
        <v>402.75</v>
      </c>
      <c r="L906" s="19">
        <v>32688</v>
      </c>
      <c r="M906" s="19">
        <v>1584</v>
      </c>
      <c r="N906" s="20">
        <v>0.0485</v>
      </c>
      <c r="O906" s="19">
        <v>0.25</v>
      </c>
      <c r="P906" s="19">
        <v>12.32</v>
      </c>
      <c r="Q906" s="19">
        <v>93</v>
      </c>
      <c r="R906" s="19">
        <v>0</v>
      </c>
      <c r="S906" s="19">
        <v>54</v>
      </c>
      <c r="T906" s="19">
        <v>0</v>
      </c>
      <c r="U906" s="19">
        <v>2</v>
      </c>
      <c r="V906" s="19">
        <v>149</v>
      </c>
      <c r="W906" s="19">
        <v>2.7</v>
      </c>
      <c r="X906" s="19">
        <v>0</v>
      </c>
      <c r="Y906" s="20">
        <v>0</v>
      </c>
      <c r="Z906" s="19">
        <v>5</v>
      </c>
      <c r="AA906" s="19">
        <v>0</v>
      </c>
      <c r="AB906" t="str">
        <f>VLOOKUP(E:E,笔记匹配!A:N,3,FALSE)</f>
        <v>一颗西兰花fa</v>
      </c>
      <c r="AC906" t="str">
        <f>VLOOKUP(E:E,笔记匹配!A:N,2,FALSE)</f>
        <v>筋膜枪</v>
      </c>
      <c r="AD906" t="str">
        <f>VLOOKUP(E:E,笔记匹配!A:N,4,FALSE)</f>
        <v>云麦筋膜枪PB2</v>
      </c>
      <c r="AE906" t="str">
        <f>VLOOKUP(E:E,笔记匹配!A:N,14,FALSE)</f>
        <v>云麦筋膜枪pb2</v>
      </c>
      <c r="AF906" t="str">
        <f>VLOOKUP(E:E,笔记匹配!A:N,6,FALSE)</f>
        <v>有没有姐妹跟我一样被肌肉腿困扰了好久！</v>
      </c>
    </row>
    <row r="907" spans="1:32">
      <c r="A907" s="18" t="s">
        <v>126</v>
      </c>
      <c r="B907" s="18" t="s">
        <v>1245</v>
      </c>
      <c r="C907" s="19">
        <v>20200905</v>
      </c>
      <c r="D907" s="18" t="s">
        <v>209</v>
      </c>
      <c r="E907" s="18" t="s">
        <v>561</v>
      </c>
      <c r="F907" s="18" t="s">
        <v>1246</v>
      </c>
      <c r="G907" s="19">
        <v>4605593</v>
      </c>
      <c r="H907" s="18" t="s">
        <v>1247</v>
      </c>
      <c r="I907" s="19">
        <v>3943057</v>
      </c>
      <c r="J907" s="18" t="s">
        <v>1015</v>
      </c>
      <c r="K907" s="19">
        <v>15.17</v>
      </c>
      <c r="L907" s="19">
        <v>1093</v>
      </c>
      <c r="M907" s="19">
        <v>36</v>
      </c>
      <c r="N907" s="20">
        <v>0.0329</v>
      </c>
      <c r="O907" s="19">
        <v>0.42</v>
      </c>
      <c r="P907" s="19">
        <v>13.88</v>
      </c>
      <c r="Q907" s="19">
        <v>3</v>
      </c>
      <c r="R907" s="19">
        <v>0</v>
      </c>
      <c r="S907" s="19">
        <v>0</v>
      </c>
      <c r="T907" s="19">
        <v>0</v>
      </c>
      <c r="U907" s="19">
        <v>0</v>
      </c>
      <c r="V907" s="19">
        <v>3</v>
      </c>
      <c r="W907" s="19">
        <v>5.06</v>
      </c>
      <c r="X907" s="19">
        <v>0</v>
      </c>
      <c r="Y907" s="20">
        <v>0</v>
      </c>
      <c r="Z907" s="19">
        <v>0</v>
      </c>
      <c r="AA907" s="19">
        <v>0</v>
      </c>
      <c r="AB907" t="str">
        <f>VLOOKUP(E:E,笔记匹配!A:N,3,FALSE)</f>
        <v>小小柯尔鸭</v>
      </c>
      <c r="AC907" t="str">
        <f>VLOOKUP(E:E,笔记匹配!A:N,2,FALSE)</f>
        <v>筋膜枪</v>
      </c>
      <c r="AD907" t="str">
        <f>VLOOKUP(E:E,笔记匹配!A:N,4,FALSE)</f>
        <v>云麦筋膜枪PB2</v>
      </c>
      <c r="AE907" t="str">
        <f>VLOOKUP(E:E,笔记匹配!A:N,14,FALSE)</f>
        <v>云麦筋膜枪pb2</v>
      </c>
      <c r="AF907" t="str">
        <f>VLOOKUP(E:E,笔记匹配!A:N,6,FALSE)</f>
        <v>小腿粗的姐妹进！这筋膜枪真能改善肌肉腿啊</v>
      </c>
    </row>
    <row r="908" spans="1:32">
      <c r="A908" s="18" t="s">
        <v>127</v>
      </c>
      <c r="B908" s="18" t="s">
        <v>1164</v>
      </c>
      <c r="C908" s="19">
        <v>18170615</v>
      </c>
      <c r="D908" s="18" t="s">
        <v>209</v>
      </c>
      <c r="E908" s="18" t="s">
        <v>205</v>
      </c>
      <c r="F908" s="18" t="s">
        <v>1165</v>
      </c>
      <c r="G908" s="19">
        <v>3639848</v>
      </c>
      <c r="H908" s="18" t="s">
        <v>1166</v>
      </c>
      <c r="I908" s="19">
        <v>3024741</v>
      </c>
      <c r="J908" s="18" t="s">
        <v>1015</v>
      </c>
      <c r="K908" s="19">
        <v>0</v>
      </c>
      <c r="L908" s="19">
        <v>0</v>
      </c>
      <c r="M908" s="19">
        <v>0</v>
      </c>
      <c r="N908" s="20">
        <v>0</v>
      </c>
      <c r="O908" s="19">
        <v>0</v>
      </c>
      <c r="P908" s="19">
        <v>0</v>
      </c>
      <c r="Q908" s="19">
        <v>0</v>
      </c>
      <c r="R908" s="19">
        <v>0</v>
      </c>
      <c r="S908" s="19">
        <v>0</v>
      </c>
      <c r="T908" s="19">
        <v>0</v>
      </c>
      <c r="U908" s="19">
        <v>0</v>
      </c>
      <c r="V908" s="19">
        <v>0</v>
      </c>
      <c r="W908" s="19">
        <v>0</v>
      </c>
      <c r="X908" s="19">
        <v>0</v>
      </c>
      <c r="Y908" s="20">
        <v>0</v>
      </c>
      <c r="Z908" s="19">
        <v>0</v>
      </c>
      <c r="AA908" s="19">
        <v>0</v>
      </c>
      <c r="AB908" t="str">
        <f>VLOOKUP(E:E,笔记匹配!A:N,3,FALSE)</f>
        <v>马可乐cora</v>
      </c>
      <c r="AC908" t="str">
        <f>VLOOKUP(E:E,笔记匹配!A:N,2,FALSE)</f>
        <v>筋膜枪</v>
      </c>
      <c r="AD908" t="str">
        <f>VLOOKUP(E:E,笔记匹配!A:N,4,FALSE)</f>
        <v>云麦筋膜枪PB2</v>
      </c>
      <c r="AE908" t="str">
        <f>VLOOKUP(E:E,笔记匹配!A:N,14,FALSE)</f>
        <v>云麦筋膜枪pb2</v>
      </c>
      <c r="AF908" t="str">
        <f>VLOOKUP(E:E,笔记匹配!A:N,6,FALSE)</f>
        <v>跳操的姐妹听我的用筋膜枪放松下肢真的有用</v>
      </c>
    </row>
    <row r="909" spans="1:32">
      <c r="A909" s="18" t="s">
        <v>127</v>
      </c>
      <c r="B909" s="18" t="s">
        <v>1181</v>
      </c>
      <c r="C909" s="19">
        <v>18606961</v>
      </c>
      <c r="D909" s="18" t="s">
        <v>209</v>
      </c>
      <c r="E909" s="18" t="s">
        <v>289</v>
      </c>
      <c r="F909" s="18" t="s">
        <v>1183</v>
      </c>
      <c r="G909" s="19">
        <v>3851160</v>
      </c>
      <c r="H909" s="18" t="s">
        <v>1183</v>
      </c>
      <c r="I909" s="19">
        <v>3236289</v>
      </c>
      <c r="J909" s="18" t="s">
        <v>1015</v>
      </c>
      <c r="K909" s="19">
        <v>0</v>
      </c>
      <c r="L909" s="19">
        <v>0</v>
      </c>
      <c r="M909" s="19">
        <v>0</v>
      </c>
      <c r="N909" s="20">
        <v>0</v>
      </c>
      <c r="O909" s="19">
        <v>0</v>
      </c>
      <c r="P909" s="19">
        <v>0</v>
      </c>
      <c r="Q909" s="19">
        <v>0</v>
      </c>
      <c r="R909" s="19">
        <v>0</v>
      </c>
      <c r="S909" s="19">
        <v>0</v>
      </c>
      <c r="T909" s="19">
        <v>0</v>
      </c>
      <c r="U909" s="19">
        <v>0</v>
      </c>
      <c r="V909" s="19">
        <v>0</v>
      </c>
      <c r="W909" s="19">
        <v>0</v>
      </c>
      <c r="X909" s="19">
        <v>0</v>
      </c>
      <c r="Y909" s="20">
        <v>0</v>
      </c>
      <c r="Z909" s="19">
        <v>0</v>
      </c>
      <c r="AA909" s="19">
        <v>0</v>
      </c>
      <c r="AB909" t="str">
        <f>VLOOKUP(E:E,笔记匹配!A:N,3,FALSE)</f>
        <v>小蓝今天吃了没</v>
      </c>
      <c r="AC909" t="str">
        <f>VLOOKUP(E:E,笔记匹配!A:N,2,FALSE)</f>
        <v>筋膜枪</v>
      </c>
      <c r="AD909" t="str">
        <f>VLOOKUP(E:E,笔记匹配!A:N,4,FALSE)</f>
        <v>云麦 筋膜枪PB2</v>
      </c>
      <c r="AE909" t="str">
        <f>VLOOKUP(E:E,笔记匹配!A:N,14,FALSE)</f>
        <v>云麦筋膜枪pb2</v>
      </c>
      <c r="AF909" t="str">
        <f>VLOOKUP(E:E,笔记匹配!A:N,6,FALSE)</f>
        <v>筋膜枪正确用法！刘耕宏女孩永不认输</v>
      </c>
    </row>
    <row r="910" spans="1:32">
      <c r="A910" s="18" t="s">
        <v>127</v>
      </c>
      <c r="B910" s="18" t="s">
        <v>1196</v>
      </c>
      <c r="C910" s="19">
        <v>19054497</v>
      </c>
      <c r="D910" s="18" t="s">
        <v>209</v>
      </c>
      <c r="E910" s="18" t="s">
        <v>452</v>
      </c>
      <c r="F910" s="18" t="s">
        <v>1198</v>
      </c>
      <c r="G910" s="19">
        <v>4059827</v>
      </c>
      <c r="H910" s="18" t="s">
        <v>1198</v>
      </c>
      <c r="I910" s="19">
        <v>3442591</v>
      </c>
      <c r="J910" s="18" t="s">
        <v>1015</v>
      </c>
      <c r="K910" s="19">
        <v>0</v>
      </c>
      <c r="L910" s="19">
        <v>0</v>
      </c>
      <c r="M910" s="19">
        <v>0</v>
      </c>
      <c r="N910" s="20">
        <v>0</v>
      </c>
      <c r="O910" s="19">
        <v>0</v>
      </c>
      <c r="P910" s="19">
        <v>0</v>
      </c>
      <c r="Q910" s="19">
        <v>0</v>
      </c>
      <c r="R910" s="19">
        <v>0</v>
      </c>
      <c r="S910" s="19">
        <v>0</v>
      </c>
      <c r="T910" s="19">
        <v>0</v>
      </c>
      <c r="U910" s="19">
        <v>0</v>
      </c>
      <c r="V910" s="19">
        <v>0</v>
      </c>
      <c r="W910" s="19">
        <v>0</v>
      </c>
      <c r="X910" s="19">
        <v>0</v>
      </c>
      <c r="Y910" s="20">
        <v>0</v>
      </c>
      <c r="Z910" s="19">
        <v>0</v>
      </c>
      <c r="AA910" s="19">
        <v>0</v>
      </c>
      <c r="AB910" t="str">
        <f>VLOOKUP(E:E,笔记匹配!A:N,3,FALSE)</f>
        <v>Bruce小厮</v>
      </c>
      <c r="AC910" t="str">
        <f>VLOOKUP(E:E,笔记匹配!A:N,2,FALSE)</f>
        <v>筋膜枪</v>
      </c>
      <c r="AD910" t="str">
        <f>VLOOKUP(E:E,笔记匹配!A:N,4,FALSE)</f>
        <v>云麦筋膜枪PB2</v>
      </c>
      <c r="AE910" t="str">
        <f>VLOOKUP(E:E,笔记匹配!A:N,14,FALSE)</f>
        <v>云麦筋膜枪pb2</v>
      </c>
      <c r="AF910" t="str">
        <f>VLOOKUP(E:E,笔记匹配!A:N,6,FALSE)</f>
        <v>女生练球后如何拉伸按摩，筋膜枪放松！！</v>
      </c>
    </row>
    <row r="911" spans="1:32">
      <c r="A911" s="18" t="s">
        <v>127</v>
      </c>
      <c r="B911" s="18" t="s">
        <v>1233</v>
      </c>
      <c r="C911" s="19">
        <v>19834935</v>
      </c>
      <c r="D911" s="18" t="s">
        <v>209</v>
      </c>
      <c r="E911" s="18" t="s">
        <v>274</v>
      </c>
      <c r="F911" s="18" t="s">
        <v>1234</v>
      </c>
      <c r="G911" s="19">
        <v>4425179</v>
      </c>
      <c r="H911" s="18" t="s">
        <v>1234</v>
      </c>
      <c r="I911" s="19">
        <v>3793911</v>
      </c>
      <c r="J911" s="18" t="s">
        <v>1015</v>
      </c>
      <c r="K911" s="19">
        <v>635.86</v>
      </c>
      <c r="L911" s="19">
        <v>16506</v>
      </c>
      <c r="M911" s="19">
        <v>1157</v>
      </c>
      <c r="N911" s="20">
        <v>0.0701</v>
      </c>
      <c r="O911" s="19">
        <v>0.55</v>
      </c>
      <c r="P911" s="19">
        <v>38.52</v>
      </c>
      <c r="Q911" s="19">
        <v>223</v>
      </c>
      <c r="R911" s="19">
        <v>2</v>
      </c>
      <c r="S911" s="19">
        <v>34</v>
      </c>
      <c r="T911" s="19">
        <v>3</v>
      </c>
      <c r="U911" s="19">
        <v>6</v>
      </c>
      <c r="V911" s="19">
        <v>268</v>
      </c>
      <c r="W911" s="19">
        <v>2.37</v>
      </c>
      <c r="X911" s="19">
        <v>0</v>
      </c>
      <c r="Y911" s="20">
        <v>0</v>
      </c>
      <c r="Z911" s="19">
        <v>1</v>
      </c>
      <c r="AA911" s="19">
        <v>5</v>
      </c>
      <c r="AB911" t="str">
        <f>VLOOKUP(E:E,笔记匹配!A:N,3,FALSE)</f>
        <v>西米是个小可爱</v>
      </c>
      <c r="AC911" t="str">
        <f>VLOOKUP(E:E,笔记匹配!A:N,2,FALSE)</f>
        <v>筋膜枪</v>
      </c>
      <c r="AD911" t="str">
        <f>VLOOKUP(E:E,笔记匹配!A:N,4,FALSE)</f>
        <v>云麦筋膜枪PB2</v>
      </c>
      <c r="AE911" t="str">
        <f>VLOOKUP(E:E,笔记匹配!A:N,14,FALSE)</f>
        <v>云麦筋膜枪pb2</v>
      </c>
      <c r="AF911" t="str">
        <f>VLOOKUP(E:E,笔记匹配!A:N,6,FALSE)</f>
        <v>筋膜枪千万不能乱用！正确肩颈使用方法</v>
      </c>
    </row>
    <row r="912" spans="1:32">
      <c r="A912" s="18" t="s">
        <v>127</v>
      </c>
      <c r="B912" s="18" t="s">
        <v>1242</v>
      </c>
      <c r="C912" s="19">
        <v>20100228</v>
      </c>
      <c r="D912" s="18" t="s">
        <v>209</v>
      </c>
      <c r="E912" s="18" t="s">
        <v>208</v>
      </c>
      <c r="F912" s="18" t="s">
        <v>1243</v>
      </c>
      <c r="G912" s="19">
        <v>4551147</v>
      </c>
      <c r="H912" s="18" t="s">
        <v>1243</v>
      </c>
      <c r="I912" s="19">
        <v>3901246</v>
      </c>
      <c r="J912" s="18" t="s">
        <v>1015</v>
      </c>
      <c r="K912" s="19">
        <v>430.92</v>
      </c>
      <c r="L912" s="19">
        <v>26219</v>
      </c>
      <c r="M912" s="19">
        <v>2078</v>
      </c>
      <c r="N912" s="20">
        <v>0.0793</v>
      </c>
      <c r="O912" s="19">
        <v>0.21</v>
      </c>
      <c r="P912" s="19">
        <v>16.44</v>
      </c>
      <c r="Q912" s="19">
        <v>49</v>
      </c>
      <c r="R912" s="19">
        <v>2</v>
      </c>
      <c r="S912" s="19">
        <v>24</v>
      </c>
      <c r="T912" s="19">
        <v>0</v>
      </c>
      <c r="U912" s="19">
        <v>2</v>
      </c>
      <c r="V912" s="19">
        <v>77</v>
      </c>
      <c r="W912" s="19">
        <v>5.6</v>
      </c>
      <c r="X912" s="19">
        <v>0</v>
      </c>
      <c r="Y912" s="20">
        <v>0</v>
      </c>
      <c r="Z912" s="19">
        <v>1</v>
      </c>
      <c r="AA912" s="19">
        <v>0</v>
      </c>
      <c r="AB912" t="str">
        <f>VLOOKUP(E:E,笔记匹配!A:N,3,FALSE)</f>
        <v>小羊羔崽子</v>
      </c>
      <c r="AC912" t="str">
        <f>VLOOKUP(E:E,笔记匹配!A:N,2,FALSE)</f>
        <v>筋膜枪</v>
      </c>
      <c r="AD912" t="str">
        <f>VLOOKUP(E:E,笔记匹配!A:N,4,FALSE)</f>
        <v>云麦筋膜枪PB2</v>
      </c>
      <c r="AE912" t="str">
        <f>VLOOKUP(E:E,笔记匹配!A:N,14,FALSE)</f>
        <v>云麦筋膜枪pb2</v>
      </c>
      <c r="AF912" t="str">
        <f>VLOOKUP(E:E,笔记匹配!A:N,6,FALSE)</f>
        <v>用了多年泡沫轴，才知道筋膜枪是真的香！！！</v>
      </c>
    </row>
    <row r="913" spans="1:32">
      <c r="A913" s="18" t="s">
        <v>127</v>
      </c>
      <c r="B913" s="18" t="s">
        <v>1242</v>
      </c>
      <c r="C913" s="19">
        <v>20100261</v>
      </c>
      <c r="D913" s="18" t="s">
        <v>209</v>
      </c>
      <c r="E913" s="18" t="s">
        <v>220</v>
      </c>
      <c r="F913" s="18" t="s">
        <v>1244</v>
      </c>
      <c r="G913" s="19">
        <v>4551153</v>
      </c>
      <c r="H913" s="18" t="s">
        <v>1244</v>
      </c>
      <c r="I913" s="19">
        <v>3901276</v>
      </c>
      <c r="J913" s="18" t="s">
        <v>1015</v>
      </c>
      <c r="K913" s="19">
        <v>3.1</v>
      </c>
      <c r="L913" s="19">
        <v>231</v>
      </c>
      <c r="M913" s="19">
        <v>11</v>
      </c>
      <c r="N913" s="20">
        <v>0.0476</v>
      </c>
      <c r="O913" s="19">
        <v>0.28</v>
      </c>
      <c r="P913" s="19">
        <v>13.42</v>
      </c>
      <c r="Q913" s="19">
        <v>0</v>
      </c>
      <c r="R913" s="19">
        <v>0</v>
      </c>
      <c r="S913" s="19">
        <v>0</v>
      </c>
      <c r="T913" s="19">
        <v>0</v>
      </c>
      <c r="U913" s="19">
        <v>0</v>
      </c>
      <c r="V913" s="19">
        <v>0</v>
      </c>
      <c r="W913" s="19">
        <v>0</v>
      </c>
      <c r="X913" s="19">
        <v>0</v>
      </c>
      <c r="Y913" s="20">
        <v>0</v>
      </c>
      <c r="Z913" s="19">
        <v>0</v>
      </c>
      <c r="AA913" s="19">
        <v>0</v>
      </c>
      <c r="AB913" t="str">
        <f>VLOOKUP(E:E,笔记匹配!A:N,3,FALSE)</f>
        <v>一颗西兰花fa</v>
      </c>
      <c r="AC913" t="str">
        <f>VLOOKUP(E:E,笔记匹配!A:N,2,FALSE)</f>
        <v>筋膜枪</v>
      </c>
      <c r="AD913" t="str">
        <f>VLOOKUP(E:E,笔记匹配!A:N,4,FALSE)</f>
        <v>云麦筋膜枪PB2</v>
      </c>
      <c r="AE913" t="str">
        <f>VLOOKUP(E:E,笔记匹配!A:N,14,FALSE)</f>
        <v>云麦筋膜枪pb2</v>
      </c>
      <c r="AF913" t="str">
        <f>VLOOKUP(E:E,笔记匹配!A:N,6,FALSE)</f>
        <v>有没有姐妹跟我一样被肌肉腿困扰了好久！</v>
      </c>
    </row>
    <row r="914" spans="1:32">
      <c r="A914" s="18" t="s">
        <v>127</v>
      </c>
      <c r="B914" s="18" t="s">
        <v>1245</v>
      </c>
      <c r="C914" s="19">
        <v>20200905</v>
      </c>
      <c r="D914" s="18" t="s">
        <v>209</v>
      </c>
      <c r="E914" s="18" t="s">
        <v>561</v>
      </c>
      <c r="F914" s="18" t="s">
        <v>1246</v>
      </c>
      <c r="G914" s="19">
        <v>4605593</v>
      </c>
      <c r="H914" s="18" t="s">
        <v>1247</v>
      </c>
      <c r="I914" s="19">
        <v>3943057</v>
      </c>
      <c r="J914" s="18" t="s">
        <v>1015</v>
      </c>
      <c r="K914" s="19">
        <v>212.55</v>
      </c>
      <c r="L914" s="19">
        <v>14730</v>
      </c>
      <c r="M914" s="19">
        <v>428</v>
      </c>
      <c r="N914" s="20">
        <v>0.0291</v>
      </c>
      <c r="O914" s="19">
        <v>0.5</v>
      </c>
      <c r="P914" s="19">
        <v>14.43</v>
      </c>
      <c r="Q914" s="19">
        <v>21</v>
      </c>
      <c r="R914" s="19">
        <v>0</v>
      </c>
      <c r="S914" s="19">
        <v>3</v>
      </c>
      <c r="T914" s="19">
        <v>0</v>
      </c>
      <c r="U914" s="19">
        <v>1</v>
      </c>
      <c r="V914" s="19">
        <v>25</v>
      </c>
      <c r="W914" s="19">
        <v>8.5</v>
      </c>
      <c r="X914" s="19">
        <v>0</v>
      </c>
      <c r="Y914" s="20">
        <v>0</v>
      </c>
      <c r="Z914" s="19">
        <v>0</v>
      </c>
      <c r="AA914" s="19">
        <v>2</v>
      </c>
      <c r="AB914" t="str">
        <f>VLOOKUP(E:E,笔记匹配!A:N,3,FALSE)</f>
        <v>小小柯尔鸭</v>
      </c>
      <c r="AC914" t="str">
        <f>VLOOKUP(E:E,笔记匹配!A:N,2,FALSE)</f>
        <v>筋膜枪</v>
      </c>
      <c r="AD914" t="str">
        <f>VLOOKUP(E:E,笔记匹配!A:N,4,FALSE)</f>
        <v>云麦筋膜枪PB2</v>
      </c>
      <c r="AE914" t="str">
        <f>VLOOKUP(E:E,笔记匹配!A:N,14,FALSE)</f>
        <v>云麦筋膜枪pb2</v>
      </c>
      <c r="AF914" t="str">
        <f>VLOOKUP(E:E,笔记匹配!A:N,6,FALSE)</f>
        <v>小腿粗的姐妹进！这筋膜枪真能改善肌肉腿啊</v>
      </c>
    </row>
    <row r="915" spans="1:32">
      <c r="A915" s="18" t="s">
        <v>127</v>
      </c>
      <c r="B915" s="18" t="s">
        <v>1248</v>
      </c>
      <c r="C915" s="19">
        <v>20316817</v>
      </c>
      <c r="D915" s="18" t="s">
        <v>209</v>
      </c>
      <c r="E915" s="18" t="s">
        <v>274</v>
      </c>
      <c r="F915" s="18" t="s">
        <v>1249</v>
      </c>
      <c r="G915" s="19">
        <v>4664600</v>
      </c>
      <c r="H915" s="18" t="s">
        <v>1250</v>
      </c>
      <c r="I915" s="19">
        <v>3987468</v>
      </c>
      <c r="J915" s="18" t="s">
        <v>1015</v>
      </c>
      <c r="K915" s="19">
        <v>200.71</v>
      </c>
      <c r="L915" s="19">
        <v>13464</v>
      </c>
      <c r="M915" s="19">
        <v>853</v>
      </c>
      <c r="N915" s="20">
        <v>0.0634</v>
      </c>
      <c r="O915" s="19">
        <v>0.24</v>
      </c>
      <c r="P915" s="19">
        <v>14.91</v>
      </c>
      <c r="Q915" s="19">
        <v>3</v>
      </c>
      <c r="R915" s="19">
        <v>0</v>
      </c>
      <c r="S915" s="19">
        <v>2</v>
      </c>
      <c r="T915" s="19">
        <v>0</v>
      </c>
      <c r="U915" s="19">
        <v>1</v>
      </c>
      <c r="V915" s="19">
        <v>6</v>
      </c>
      <c r="W915" s="19">
        <v>33.45</v>
      </c>
      <c r="X915" s="19">
        <v>0</v>
      </c>
      <c r="Y915" s="20">
        <v>0</v>
      </c>
      <c r="Z915" s="19">
        <v>3</v>
      </c>
      <c r="AA915" s="19">
        <v>0</v>
      </c>
      <c r="AB915" t="str">
        <f>VLOOKUP(E:E,笔记匹配!A:N,3,FALSE)</f>
        <v>西米是个小可爱</v>
      </c>
      <c r="AC915" t="str">
        <f>VLOOKUP(E:E,笔记匹配!A:N,2,FALSE)</f>
        <v>筋膜枪</v>
      </c>
      <c r="AD915" t="str">
        <f>VLOOKUP(E:E,笔记匹配!A:N,4,FALSE)</f>
        <v>云麦筋膜枪PB2</v>
      </c>
      <c r="AE915" t="str">
        <f>VLOOKUP(E:E,笔记匹配!A:N,14,FALSE)</f>
        <v>云麦筋膜枪pb2</v>
      </c>
      <c r="AF915" t="str">
        <f>VLOOKUP(E:E,笔记匹配!A:N,6,FALSE)</f>
        <v>筋膜枪千万不能乱用！正确肩颈使用方法</v>
      </c>
    </row>
    <row r="916" spans="1:32">
      <c r="A916" s="18" t="s">
        <v>127</v>
      </c>
      <c r="B916" s="18" t="s">
        <v>1248</v>
      </c>
      <c r="C916" s="19">
        <v>20317349</v>
      </c>
      <c r="D916" s="18" t="s">
        <v>209</v>
      </c>
      <c r="E916" s="18" t="s">
        <v>559</v>
      </c>
      <c r="F916" s="18" t="s">
        <v>1251</v>
      </c>
      <c r="G916" s="19">
        <v>4664833</v>
      </c>
      <c r="H916" s="18" t="s">
        <v>1251</v>
      </c>
      <c r="I916" s="19">
        <v>3987559</v>
      </c>
      <c r="J916" s="18" t="s">
        <v>1015</v>
      </c>
      <c r="K916" s="19">
        <v>348.64</v>
      </c>
      <c r="L916" s="19">
        <v>29641</v>
      </c>
      <c r="M916" s="19">
        <v>835</v>
      </c>
      <c r="N916" s="20">
        <v>0.0282</v>
      </c>
      <c r="O916" s="19">
        <v>0.42</v>
      </c>
      <c r="P916" s="19">
        <v>11.76</v>
      </c>
      <c r="Q916" s="19">
        <v>25</v>
      </c>
      <c r="R916" s="19">
        <v>0</v>
      </c>
      <c r="S916" s="19">
        <v>11</v>
      </c>
      <c r="T916" s="19">
        <v>1</v>
      </c>
      <c r="U916" s="19">
        <v>0</v>
      </c>
      <c r="V916" s="19">
        <v>37</v>
      </c>
      <c r="W916" s="19">
        <v>9.42</v>
      </c>
      <c r="X916" s="19">
        <v>0</v>
      </c>
      <c r="Y916" s="20">
        <v>0</v>
      </c>
      <c r="Z916" s="19">
        <v>0</v>
      </c>
      <c r="AA916" s="19">
        <v>0</v>
      </c>
      <c r="AB916" t="str">
        <f>VLOOKUP(E:E,笔记匹配!A:N,3,FALSE)</f>
        <v>高凯元</v>
      </c>
      <c r="AC916" t="str">
        <f>VLOOKUP(E:E,笔记匹配!A:N,2,FALSE)</f>
        <v>筋膜枪</v>
      </c>
      <c r="AD916" t="str">
        <f>VLOOKUP(E:E,笔记匹配!A:N,4,FALSE)</f>
        <v>云麦筋膜枪PB2</v>
      </c>
      <c r="AE916" t="str">
        <f>VLOOKUP(E:E,笔记匹配!A:N,14,FALSE)</f>
        <v>云麦筋膜枪pb2</v>
      </c>
      <c r="AF916" t="str">
        <f>VLOOKUP(E:E,笔记匹配!A:N,6,FALSE)</f>
        <v>筋膜枪推荐｜明星都在用的健身好物</v>
      </c>
    </row>
    <row r="917" spans="1:32">
      <c r="A917" s="18" t="s">
        <v>127</v>
      </c>
      <c r="B917" s="18" t="s">
        <v>1252</v>
      </c>
      <c r="C917" s="19">
        <v>20323358</v>
      </c>
      <c r="D917" s="18" t="s">
        <v>209</v>
      </c>
      <c r="E917" s="18" t="s">
        <v>274</v>
      </c>
      <c r="F917" s="18" t="s">
        <v>1253</v>
      </c>
      <c r="G917" s="19">
        <v>4667757</v>
      </c>
      <c r="H917" s="18" t="s">
        <v>1254</v>
      </c>
      <c r="I917" s="19">
        <v>3990162</v>
      </c>
      <c r="J917" s="18" t="s">
        <v>1015</v>
      </c>
      <c r="K917" s="19">
        <v>1005.9</v>
      </c>
      <c r="L917" s="19">
        <v>113474</v>
      </c>
      <c r="M917" s="19">
        <v>6339</v>
      </c>
      <c r="N917" s="20">
        <v>0.0559</v>
      </c>
      <c r="O917" s="19">
        <v>0.16</v>
      </c>
      <c r="P917" s="19">
        <v>8.86</v>
      </c>
      <c r="Q917" s="19">
        <v>59</v>
      </c>
      <c r="R917" s="19">
        <v>7</v>
      </c>
      <c r="S917" s="19">
        <v>15</v>
      </c>
      <c r="T917" s="19">
        <v>1</v>
      </c>
      <c r="U917" s="19">
        <v>12</v>
      </c>
      <c r="V917" s="19">
        <v>94</v>
      </c>
      <c r="W917" s="19">
        <v>10.7</v>
      </c>
      <c r="X917" s="19">
        <v>0</v>
      </c>
      <c r="Y917" s="20">
        <v>0</v>
      </c>
      <c r="Z917" s="19">
        <v>12</v>
      </c>
      <c r="AA917" s="19">
        <v>4</v>
      </c>
      <c r="AB917" t="str">
        <f>VLOOKUP(E:E,笔记匹配!A:N,3,FALSE)</f>
        <v>西米是个小可爱</v>
      </c>
      <c r="AC917" t="str">
        <f>VLOOKUP(E:E,笔记匹配!A:N,2,FALSE)</f>
        <v>筋膜枪</v>
      </c>
      <c r="AD917" t="str">
        <f>VLOOKUP(E:E,笔记匹配!A:N,4,FALSE)</f>
        <v>云麦筋膜枪PB2</v>
      </c>
      <c r="AE917" t="str">
        <f>VLOOKUP(E:E,笔记匹配!A:N,14,FALSE)</f>
        <v>云麦筋膜枪pb2</v>
      </c>
      <c r="AF917" t="str">
        <f>VLOOKUP(E:E,笔记匹配!A:N,6,FALSE)</f>
        <v>筋膜枪千万不能乱用！正确肩颈使用方法</v>
      </c>
    </row>
    <row r="918" spans="1:32">
      <c r="A918" s="18" t="s">
        <v>128</v>
      </c>
      <c r="B918" s="18" t="s">
        <v>1164</v>
      </c>
      <c r="C918" s="19">
        <v>18170615</v>
      </c>
      <c r="D918" s="18" t="s">
        <v>209</v>
      </c>
      <c r="E918" s="18" t="s">
        <v>205</v>
      </c>
      <c r="F918" s="18" t="s">
        <v>1165</v>
      </c>
      <c r="G918" s="19">
        <v>3639848</v>
      </c>
      <c r="H918" s="18" t="s">
        <v>1166</v>
      </c>
      <c r="I918" s="19">
        <v>3024741</v>
      </c>
      <c r="J918" s="18" t="s">
        <v>1015</v>
      </c>
      <c r="K918" s="19">
        <v>0</v>
      </c>
      <c r="L918" s="19">
        <v>0</v>
      </c>
      <c r="M918" s="19">
        <v>0</v>
      </c>
      <c r="N918" s="20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0</v>
      </c>
      <c r="U918" s="19">
        <v>0</v>
      </c>
      <c r="V918" s="19">
        <v>0</v>
      </c>
      <c r="W918" s="19">
        <v>0</v>
      </c>
      <c r="X918" s="19">
        <v>0</v>
      </c>
      <c r="Y918" s="20">
        <v>0</v>
      </c>
      <c r="Z918" s="19">
        <v>0</v>
      </c>
      <c r="AA918" s="19">
        <v>0</v>
      </c>
      <c r="AB918" t="str">
        <f>VLOOKUP(E:E,笔记匹配!A:N,3,FALSE)</f>
        <v>马可乐cora</v>
      </c>
      <c r="AC918" t="str">
        <f>VLOOKUP(E:E,笔记匹配!A:N,2,FALSE)</f>
        <v>筋膜枪</v>
      </c>
      <c r="AD918" t="str">
        <f>VLOOKUP(E:E,笔记匹配!A:N,4,FALSE)</f>
        <v>云麦筋膜枪PB2</v>
      </c>
      <c r="AE918" t="str">
        <f>VLOOKUP(E:E,笔记匹配!A:N,14,FALSE)</f>
        <v>云麦筋膜枪pb2</v>
      </c>
      <c r="AF918" t="str">
        <f>VLOOKUP(E:E,笔记匹配!A:N,6,FALSE)</f>
        <v>跳操的姐妹听我的用筋膜枪放松下肢真的有用</v>
      </c>
    </row>
    <row r="919" spans="1:32">
      <c r="A919" s="18" t="s">
        <v>128</v>
      </c>
      <c r="B919" s="18" t="s">
        <v>1196</v>
      </c>
      <c r="C919" s="19">
        <v>19054497</v>
      </c>
      <c r="D919" s="18" t="s">
        <v>209</v>
      </c>
      <c r="E919" s="18" t="s">
        <v>452</v>
      </c>
      <c r="F919" s="18" t="s">
        <v>1198</v>
      </c>
      <c r="G919" s="19">
        <v>4059827</v>
      </c>
      <c r="H919" s="18" t="s">
        <v>1198</v>
      </c>
      <c r="I919" s="19">
        <v>3442591</v>
      </c>
      <c r="J919" s="18" t="s">
        <v>1015</v>
      </c>
      <c r="K919" s="19">
        <v>0</v>
      </c>
      <c r="L919" s="19">
        <v>0</v>
      </c>
      <c r="M919" s="19">
        <v>0</v>
      </c>
      <c r="N919" s="20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0</v>
      </c>
      <c r="V919" s="19">
        <v>0</v>
      </c>
      <c r="W919" s="19">
        <v>0</v>
      </c>
      <c r="X919" s="19">
        <v>0</v>
      </c>
      <c r="Y919" s="20">
        <v>0</v>
      </c>
      <c r="Z919" s="19">
        <v>0</v>
      </c>
      <c r="AA919" s="19">
        <v>0</v>
      </c>
      <c r="AB919" t="str">
        <f>VLOOKUP(E:E,笔记匹配!A:N,3,FALSE)</f>
        <v>Bruce小厮</v>
      </c>
      <c r="AC919" t="str">
        <f>VLOOKUP(E:E,笔记匹配!A:N,2,FALSE)</f>
        <v>筋膜枪</v>
      </c>
      <c r="AD919" t="str">
        <f>VLOOKUP(E:E,笔记匹配!A:N,4,FALSE)</f>
        <v>云麦筋膜枪PB2</v>
      </c>
      <c r="AE919" t="str">
        <f>VLOOKUP(E:E,笔记匹配!A:N,14,FALSE)</f>
        <v>云麦筋膜枪pb2</v>
      </c>
      <c r="AF919" t="str">
        <f>VLOOKUP(E:E,笔记匹配!A:N,6,FALSE)</f>
        <v>女生练球后如何拉伸按摩，筋膜枪放松！！</v>
      </c>
    </row>
    <row r="920" spans="1:32">
      <c r="A920" s="18" t="s">
        <v>128</v>
      </c>
      <c r="B920" s="18" t="s">
        <v>1233</v>
      </c>
      <c r="C920" s="19">
        <v>19834935</v>
      </c>
      <c r="D920" s="18" t="s">
        <v>209</v>
      </c>
      <c r="E920" s="18" t="s">
        <v>274</v>
      </c>
      <c r="F920" s="18" t="s">
        <v>1234</v>
      </c>
      <c r="G920" s="19">
        <v>4425179</v>
      </c>
      <c r="H920" s="18" t="s">
        <v>1234</v>
      </c>
      <c r="I920" s="19">
        <v>3793911</v>
      </c>
      <c r="J920" s="18" t="s">
        <v>1015</v>
      </c>
      <c r="K920" s="19">
        <v>245.1</v>
      </c>
      <c r="L920" s="19">
        <v>7087</v>
      </c>
      <c r="M920" s="19">
        <v>463</v>
      </c>
      <c r="N920" s="20">
        <v>0.0653</v>
      </c>
      <c r="O920" s="19">
        <v>0.53</v>
      </c>
      <c r="P920" s="19">
        <v>34.58</v>
      </c>
      <c r="Q920" s="19">
        <v>75</v>
      </c>
      <c r="R920" s="19">
        <v>0</v>
      </c>
      <c r="S920" s="19">
        <v>7</v>
      </c>
      <c r="T920" s="19">
        <v>1</v>
      </c>
      <c r="U920" s="19">
        <v>2</v>
      </c>
      <c r="V920" s="19">
        <v>85</v>
      </c>
      <c r="W920" s="19">
        <v>2.88</v>
      </c>
      <c r="X920" s="19">
        <v>0</v>
      </c>
      <c r="Y920" s="20">
        <v>0</v>
      </c>
      <c r="Z920" s="19">
        <v>0</v>
      </c>
      <c r="AA920" s="19">
        <v>2</v>
      </c>
      <c r="AB920" t="str">
        <f>VLOOKUP(E:E,笔记匹配!A:N,3,FALSE)</f>
        <v>西米是个小可爱</v>
      </c>
      <c r="AC920" t="str">
        <f>VLOOKUP(E:E,笔记匹配!A:N,2,FALSE)</f>
        <v>筋膜枪</v>
      </c>
      <c r="AD920" t="str">
        <f>VLOOKUP(E:E,笔记匹配!A:N,4,FALSE)</f>
        <v>云麦筋膜枪PB2</v>
      </c>
      <c r="AE920" t="str">
        <f>VLOOKUP(E:E,笔记匹配!A:N,14,FALSE)</f>
        <v>云麦筋膜枪pb2</v>
      </c>
      <c r="AF920" t="str">
        <f>VLOOKUP(E:E,笔记匹配!A:N,6,FALSE)</f>
        <v>筋膜枪千万不能乱用！正确肩颈使用方法</v>
      </c>
    </row>
    <row r="921" spans="1:32">
      <c r="A921" s="18" t="s">
        <v>128</v>
      </c>
      <c r="B921" s="18" t="s">
        <v>1242</v>
      </c>
      <c r="C921" s="19">
        <v>20100228</v>
      </c>
      <c r="D921" s="18" t="s">
        <v>209</v>
      </c>
      <c r="E921" s="18" t="s">
        <v>208</v>
      </c>
      <c r="F921" s="18" t="s">
        <v>1243</v>
      </c>
      <c r="G921" s="19">
        <v>4551147</v>
      </c>
      <c r="H921" s="18" t="s">
        <v>1243</v>
      </c>
      <c r="I921" s="19">
        <v>3901246</v>
      </c>
      <c r="J921" s="18" t="s">
        <v>1015</v>
      </c>
      <c r="K921" s="19">
        <v>504.06</v>
      </c>
      <c r="L921" s="19">
        <v>30647</v>
      </c>
      <c r="M921" s="19">
        <v>1766</v>
      </c>
      <c r="N921" s="20">
        <v>0.0576</v>
      </c>
      <c r="O921" s="19">
        <v>0.29</v>
      </c>
      <c r="P921" s="19">
        <v>16.45</v>
      </c>
      <c r="Q921" s="19">
        <v>66</v>
      </c>
      <c r="R921" s="19">
        <v>0</v>
      </c>
      <c r="S921" s="19">
        <v>33</v>
      </c>
      <c r="T921" s="19">
        <v>1</v>
      </c>
      <c r="U921" s="19">
        <v>3</v>
      </c>
      <c r="V921" s="19">
        <v>103</v>
      </c>
      <c r="W921" s="19">
        <v>4.89</v>
      </c>
      <c r="X921" s="19">
        <v>0</v>
      </c>
      <c r="Y921" s="20">
        <v>0</v>
      </c>
      <c r="Z921" s="19">
        <v>8</v>
      </c>
      <c r="AA921" s="19">
        <v>0</v>
      </c>
      <c r="AB921" t="str">
        <f>VLOOKUP(E:E,笔记匹配!A:N,3,FALSE)</f>
        <v>小羊羔崽子</v>
      </c>
      <c r="AC921" t="str">
        <f>VLOOKUP(E:E,笔记匹配!A:N,2,FALSE)</f>
        <v>筋膜枪</v>
      </c>
      <c r="AD921" t="str">
        <f>VLOOKUP(E:E,笔记匹配!A:N,4,FALSE)</f>
        <v>云麦筋膜枪PB2</v>
      </c>
      <c r="AE921" t="str">
        <f>VLOOKUP(E:E,笔记匹配!A:N,14,FALSE)</f>
        <v>云麦筋膜枪pb2</v>
      </c>
      <c r="AF921" t="str">
        <f>VLOOKUP(E:E,笔记匹配!A:N,6,FALSE)</f>
        <v>用了多年泡沫轴，才知道筋膜枪是真的香！！！</v>
      </c>
    </row>
    <row r="922" spans="1:32">
      <c r="A922" s="18" t="s">
        <v>128</v>
      </c>
      <c r="B922" s="18" t="s">
        <v>1242</v>
      </c>
      <c r="C922" s="19">
        <v>20100261</v>
      </c>
      <c r="D922" s="18" t="s">
        <v>209</v>
      </c>
      <c r="E922" s="18" t="s">
        <v>220</v>
      </c>
      <c r="F922" s="18" t="s">
        <v>1244</v>
      </c>
      <c r="G922" s="19">
        <v>4551153</v>
      </c>
      <c r="H922" s="18" t="s">
        <v>1244</v>
      </c>
      <c r="I922" s="19">
        <v>3901276</v>
      </c>
      <c r="J922" s="18" t="s">
        <v>1015</v>
      </c>
      <c r="K922" s="19">
        <v>0</v>
      </c>
      <c r="L922" s="19">
        <v>0</v>
      </c>
      <c r="M922" s="19">
        <v>0</v>
      </c>
      <c r="N922" s="20">
        <v>0</v>
      </c>
      <c r="O922" s="19">
        <v>0</v>
      </c>
      <c r="P922" s="19">
        <v>0</v>
      </c>
      <c r="Q922" s="19">
        <v>0</v>
      </c>
      <c r="R922" s="19">
        <v>0</v>
      </c>
      <c r="S922" s="19">
        <v>0</v>
      </c>
      <c r="T922" s="19">
        <v>0</v>
      </c>
      <c r="U922" s="19">
        <v>0</v>
      </c>
      <c r="V922" s="19">
        <v>0</v>
      </c>
      <c r="W922" s="19">
        <v>0</v>
      </c>
      <c r="X922" s="19">
        <v>0</v>
      </c>
      <c r="Y922" s="20">
        <v>0</v>
      </c>
      <c r="Z922" s="19">
        <v>0</v>
      </c>
      <c r="AA922" s="19">
        <v>0</v>
      </c>
      <c r="AB922" t="str">
        <f>VLOOKUP(E:E,笔记匹配!A:N,3,FALSE)</f>
        <v>一颗西兰花fa</v>
      </c>
      <c r="AC922" t="str">
        <f>VLOOKUP(E:E,笔记匹配!A:N,2,FALSE)</f>
        <v>筋膜枪</v>
      </c>
      <c r="AD922" t="str">
        <f>VLOOKUP(E:E,笔记匹配!A:N,4,FALSE)</f>
        <v>云麦筋膜枪PB2</v>
      </c>
      <c r="AE922" t="str">
        <f>VLOOKUP(E:E,笔记匹配!A:N,14,FALSE)</f>
        <v>云麦筋膜枪pb2</v>
      </c>
      <c r="AF922" t="str">
        <f>VLOOKUP(E:E,笔记匹配!A:N,6,FALSE)</f>
        <v>有没有姐妹跟我一样被肌肉腿困扰了好久！</v>
      </c>
    </row>
    <row r="923" spans="1:32">
      <c r="A923" s="18" t="s">
        <v>128</v>
      </c>
      <c r="B923" s="18" t="s">
        <v>1245</v>
      </c>
      <c r="C923" s="19">
        <v>20200905</v>
      </c>
      <c r="D923" s="18" t="s">
        <v>209</v>
      </c>
      <c r="E923" s="18" t="s">
        <v>561</v>
      </c>
      <c r="F923" s="18" t="s">
        <v>1246</v>
      </c>
      <c r="G923" s="19">
        <v>4605593</v>
      </c>
      <c r="H923" s="18" t="s">
        <v>1247</v>
      </c>
      <c r="I923" s="19">
        <v>3943057</v>
      </c>
      <c r="J923" s="18" t="s">
        <v>1015</v>
      </c>
      <c r="K923" s="19">
        <v>4.97</v>
      </c>
      <c r="L923" s="19">
        <v>246</v>
      </c>
      <c r="M923" s="19">
        <v>10</v>
      </c>
      <c r="N923" s="20">
        <v>0.0407</v>
      </c>
      <c r="O923" s="19">
        <v>0.5</v>
      </c>
      <c r="P923" s="19">
        <v>20.2</v>
      </c>
      <c r="Q923" s="19">
        <v>1</v>
      </c>
      <c r="R923" s="19">
        <v>0</v>
      </c>
      <c r="S923" s="19">
        <v>2</v>
      </c>
      <c r="T923" s="19">
        <v>0</v>
      </c>
      <c r="U923" s="19">
        <v>0</v>
      </c>
      <c r="V923" s="19">
        <v>3</v>
      </c>
      <c r="W923" s="19">
        <v>1.66</v>
      </c>
      <c r="X923" s="19">
        <v>0</v>
      </c>
      <c r="Y923" s="20">
        <v>0</v>
      </c>
      <c r="Z923" s="19">
        <v>0</v>
      </c>
      <c r="AA923" s="19">
        <v>0</v>
      </c>
      <c r="AB923" t="str">
        <f>VLOOKUP(E:E,笔记匹配!A:N,3,FALSE)</f>
        <v>小小柯尔鸭</v>
      </c>
      <c r="AC923" t="str">
        <f>VLOOKUP(E:E,笔记匹配!A:N,2,FALSE)</f>
        <v>筋膜枪</v>
      </c>
      <c r="AD923" t="str">
        <f>VLOOKUP(E:E,笔记匹配!A:N,4,FALSE)</f>
        <v>云麦筋膜枪PB2</v>
      </c>
      <c r="AE923" t="str">
        <f>VLOOKUP(E:E,笔记匹配!A:N,14,FALSE)</f>
        <v>云麦筋膜枪pb2</v>
      </c>
      <c r="AF923" t="str">
        <f>VLOOKUP(E:E,笔记匹配!A:N,6,FALSE)</f>
        <v>小腿粗的姐妹进！这筋膜枪真能改善肌肉腿啊</v>
      </c>
    </row>
    <row r="924" spans="1:32">
      <c r="A924" s="18" t="s">
        <v>128</v>
      </c>
      <c r="B924" s="18" t="s">
        <v>1248</v>
      </c>
      <c r="C924" s="19">
        <v>20316817</v>
      </c>
      <c r="D924" s="18" t="s">
        <v>209</v>
      </c>
      <c r="E924" s="18" t="s">
        <v>274</v>
      </c>
      <c r="F924" s="18" t="s">
        <v>1249</v>
      </c>
      <c r="G924" s="19">
        <v>4664600</v>
      </c>
      <c r="H924" s="18" t="s">
        <v>1250</v>
      </c>
      <c r="I924" s="19">
        <v>3987468</v>
      </c>
      <c r="J924" s="18" t="s">
        <v>1015</v>
      </c>
      <c r="K924" s="19">
        <v>0</v>
      </c>
      <c r="L924" s="19">
        <v>10</v>
      </c>
      <c r="M924" s="19">
        <v>0</v>
      </c>
      <c r="N924" s="20">
        <v>0</v>
      </c>
      <c r="O924" s="19">
        <v>0</v>
      </c>
      <c r="P924" s="19">
        <v>0</v>
      </c>
      <c r="Q924" s="19">
        <v>0</v>
      </c>
      <c r="R924" s="19">
        <v>0</v>
      </c>
      <c r="S924" s="19">
        <v>0</v>
      </c>
      <c r="T924" s="19">
        <v>0</v>
      </c>
      <c r="U924" s="19">
        <v>0</v>
      </c>
      <c r="V924" s="19">
        <v>0</v>
      </c>
      <c r="W924" s="19">
        <v>0</v>
      </c>
      <c r="X924" s="19">
        <v>0</v>
      </c>
      <c r="Y924" s="20">
        <v>0</v>
      </c>
      <c r="Z924" s="19">
        <v>0</v>
      </c>
      <c r="AA924" s="19">
        <v>0</v>
      </c>
      <c r="AB924" t="str">
        <f>VLOOKUP(E:E,笔记匹配!A:N,3,FALSE)</f>
        <v>西米是个小可爱</v>
      </c>
      <c r="AC924" t="str">
        <f>VLOOKUP(E:E,笔记匹配!A:N,2,FALSE)</f>
        <v>筋膜枪</v>
      </c>
      <c r="AD924" t="str">
        <f>VLOOKUP(E:E,笔记匹配!A:N,4,FALSE)</f>
        <v>云麦筋膜枪PB2</v>
      </c>
      <c r="AE924" t="str">
        <f>VLOOKUP(E:E,笔记匹配!A:N,14,FALSE)</f>
        <v>云麦筋膜枪pb2</v>
      </c>
      <c r="AF924" t="str">
        <f>VLOOKUP(E:E,笔记匹配!A:N,6,FALSE)</f>
        <v>筋膜枪千万不能乱用！正确肩颈使用方法</v>
      </c>
    </row>
    <row r="925" spans="1:32">
      <c r="A925" s="18" t="s">
        <v>128</v>
      </c>
      <c r="B925" s="18" t="s">
        <v>1248</v>
      </c>
      <c r="C925" s="19">
        <v>20317349</v>
      </c>
      <c r="D925" s="18" t="s">
        <v>209</v>
      </c>
      <c r="E925" s="18" t="s">
        <v>559</v>
      </c>
      <c r="F925" s="18" t="s">
        <v>1251</v>
      </c>
      <c r="G925" s="19">
        <v>4664833</v>
      </c>
      <c r="H925" s="18" t="s">
        <v>1251</v>
      </c>
      <c r="I925" s="19">
        <v>3987559</v>
      </c>
      <c r="J925" s="18" t="s">
        <v>1015</v>
      </c>
      <c r="K925" s="19">
        <v>48.83</v>
      </c>
      <c r="L925" s="19">
        <v>2120</v>
      </c>
      <c r="M925" s="19">
        <v>87</v>
      </c>
      <c r="N925" s="20">
        <v>0.041</v>
      </c>
      <c r="O925" s="19">
        <v>0.56</v>
      </c>
      <c r="P925" s="19">
        <v>23.03</v>
      </c>
      <c r="Q925" s="19">
        <v>6</v>
      </c>
      <c r="R925" s="19">
        <v>0</v>
      </c>
      <c r="S925" s="19">
        <v>2</v>
      </c>
      <c r="T925" s="19">
        <v>0</v>
      </c>
      <c r="U925" s="19">
        <v>0</v>
      </c>
      <c r="V925" s="19">
        <v>8</v>
      </c>
      <c r="W925" s="19">
        <v>6.1</v>
      </c>
      <c r="X925" s="19">
        <v>0</v>
      </c>
      <c r="Y925" s="20">
        <v>0</v>
      </c>
      <c r="Z925" s="19">
        <v>0</v>
      </c>
      <c r="AA925" s="19">
        <v>0</v>
      </c>
      <c r="AB925" t="str">
        <f>VLOOKUP(E:E,笔记匹配!A:N,3,FALSE)</f>
        <v>高凯元</v>
      </c>
      <c r="AC925" t="str">
        <f>VLOOKUP(E:E,笔记匹配!A:N,2,FALSE)</f>
        <v>筋膜枪</v>
      </c>
      <c r="AD925" t="str">
        <f>VLOOKUP(E:E,笔记匹配!A:N,4,FALSE)</f>
        <v>云麦筋膜枪PB2</v>
      </c>
      <c r="AE925" t="str">
        <f>VLOOKUP(E:E,笔记匹配!A:N,14,FALSE)</f>
        <v>云麦筋膜枪pb2</v>
      </c>
      <c r="AF925" t="str">
        <f>VLOOKUP(E:E,笔记匹配!A:N,6,FALSE)</f>
        <v>筋膜枪推荐｜明星都在用的健身好物</v>
      </c>
    </row>
    <row r="926" spans="1:32">
      <c r="A926" s="18" t="s">
        <v>128</v>
      </c>
      <c r="B926" s="18" t="s">
        <v>1252</v>
      </c>
      <c r="C926" s="19">
        <v>20323358</v>
      </c>
      <c r="D926" s="18" t="s">
        <v>209</v>
      </c>
      <c r="E926" s="18" t="s">
        <v>274</v>
      </c>
      <c r="F926" s="18" t="s">
        <v>1253</v>
      </c>
      <c r="G926" s="19">
        <v>4667757</v>
      </c>
      <c r="H926" s="18" t="s">
        <v>1254</v>
      </c>
      <c r="I926" s="19">
        <v>3990162</v>
      </c>
      <c r="J926" s="18" t="s">
        <v>1015</v>
      </c>
      <c r="K926" s="19">
        <v>0</v>
      </c>
      <c r="L926" s="19">
        <v>4</v>
      </c>
      <c r="M926" s="19">
        <v>0</v>
      </c>
      <c r="N926" s="20">
        <v>0</v>
      </c>
      <c r="O926" s="19">
        <v>0</v>
      </c>
      <c r="P926" s="19">
        <v>0</v>
      </c>
      <c r="Q926" s="19">
        <v>0</v>
      </c>
      <c r="R926" s="19">
        <v>0</v>
      </c>
      <c r="S926" s="19">
        <v>0</v>
      </c>
      <c r="T926" s="19">
        <v>0</v>
      </c>
      <c r="U926" s="19">
        <v>0</v>
      </c>
      <c r="V926" s="19">
        <v>0</v>
      </c>
      <c r="W926" s="19">
        <v>0</v>
      </c>
      <c r="X926" s="19">
        <v>0</v>
      </c>
      <c r="Y926" s="20">
        <v>0</v>
      </c>
      <c r="Z926" s="19">
        <v>0</v>
      </c>
      <c r="AA926" s="19">
        <v>0</v>
      </c>
      <c r="AB926" t="str">
        <f>VLOOKUP(E:E,笔记匹配!A:N,3,FALSE)</f>
        <v>西米是个小可爱</v>
      </c>
      <c r="AC926" t="str">
        <f>VLOOKUP(E:E,笔记匹配!A:N,2,FALSE)</f>
        <v>筋膜枪</v>
      </c>
      <c r="AD926" t="str">
        <f>VLOOKUP(E:E,笔记匹配!A:N,4,FALSE)</f>
        <v>云麦筋膜枪PB2</v>
      </c>
      <c r="AE926" t="str">
        <f>VLOOKUP(E:E,笔记匹配!A:N,14,FALSE)</f>
        <v>云麦筋膜枪pb2</v>
      </c>
      <c r="AF926" t="str">
        <f>VLOOKUP(E:E,笔记匹配!A:N,6,FALSE)</f>
        <v>筋膜枪千万不能乱用！正确肩颈使用方法</v>
      </c>
    </row>
    <row r="927" spans="1:32">
      <c r="A927" s="18" t="s">
        <v>129</v>
      </c>
      <c r="B927" s="18" t="s">
        <v>1164</v>
      </c>
      <c r="C927" s="19">
        <v>18170615</v>
      </c>
      <c r="D927" s="18" t="s">
        <v>209</v>
      </c>
      <c r="E927" s="18" t="s">
        <v>205</v>
      </c>
      <c r="F927" s="18" t="s">
        <v>1165</v>
      </c>
      <c r="G927" s="19">
        <v>3639848</v>
      </c>
      <c r="H927" s="18" t="s">
        <v>1166</v>
      </c>
      <c r="I927" s="19">
        <v>3024741</v>
      </c>
      <c r="J927" s="18" t="s">
        <v>1015</v>
      </c>
      <c r="K927" s="19">
        <v>0</v>
      </c>
      <c r="L927" s="19">
        <v>0</v>
      </c>
      <c r="M927" s="19">
        <v>0</v>
      </c>
      <c r="N927" s="20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0</v>
      </c>
      <c r="U927" s="19">
        <v>0</v>
      </c>
      <c r="V927" s="19">
        <v>0</v>
      </c>
      <c r="W927" s="19">
        <v>0</v>
      </c>
      <c r="X927" s="19">
        <v>0</v>
      </c>
      <c r="Y927" s="20">
        <v>0</v>
      </c>
      <c r="Z927" s="19">
        <v>0</v>
      </c>
      <c r="AA927" s="19">
        <v>0</v>
      </c>
      <c r="AB927" t="str">
        <f>VLOOKUP(E:E,笔记匹配!A:N,3,FALSE)</f>
        <v>马可乐cora</v>
      </c>
      <c r="AC927" t="str">
        <f>VLOOKUP(E:E,笔记匹配!A:N,2,FALSE)</f>
        <v>筋膜枪</v>
      </c>
      <c r="AD927" t="str">
        <f>VLOOKUP(E:E,笔记匹配!A:N,4,FALSE)</f>
        <v>云麦筋膜枪PB2</v>
      </c>
      <c r="AE927" t="str">
        <f>VLOOKUP(E:E,笔记匹配!A:N,14,FALSE)</f>
        <v>云麦筋膜枪pb2</v>
      </c>
      <c r="AF927" t="str">
        <f>VLOOKUP(E:E,笔记匹配!A:N,6,FALSE)</f>
        <v>跳操的姐妹听我的用筋膜枪放松下肢真的有用</v>
      </c>
    </row>
    <row r="928" spans="1:32">
      <c r="A928" s="18" t="s">
        <v>129</v>
      </c>
      <c r="B928" s="18" t="s">
        <v>1196</v>
      </c>
      <c r="C928" s="19">
        <v>19054497</v>
      </c>
      <c r="D928" s="18" t="s">
        <v>209</v>
      </c>
      <c r="E928" s="18" t="s">
        <v>452</v>
      </c>
      <c r="F928" s="18" t="s">
        <v>1198</v>
      </c>
      <c r="G928" s="19">
        <v>4059827</v>
      </c>
      <c r="H928" s="18" t="s">
        <v>1198</v>
      </c>
      <c r="I928" s="19">
        <v>3442591</v>
      </c>
      <c r="J928" s="18" t="s">
        <v>1015</v>
      </c>
      <c r="K928" s="19">
        <v>0</v>
      </c>
      <c r="L928" s="19">
        <v>0</v>
      </c>
      <c r="M928" s="19">
        <v>0</v>
      </c>
      <c r="N928" s="20">
        <v>0</v>
      </c>
      <c r="O928" s="19">
        <v>0</v>
      </c>
      <c r="P928" s="19">
        <v>0</v>
      </c>
      <c r="Q928" s="19">
        <v>0</v>
      </c>
      <c r="R928" s="19">
        <v>0</v>
      </c>
      <c r="S928" s="19">
        <v>0</v>
      </c>
      <c r="T928" s="19">
        <v>0</v>
      </c>
      <c r="U928" s="19">
        <v>0</v>
      </c>
      <c r="V928" s="19">
        <v>0</v>
      </c>
      <c r="W928" s="19">
        <v>0</v>
      </c>
      <c r="X928" s="19">
        <v>0</v>
      </c>
      <c r="Y928" s="20">
        <v>0</v>
      </c>
      <c r="Z928" s="19">
        <v>0</v>
      </c>
      <c r="AA928" s="19">
        <v>0</v>
      </c>
      <c r="AB928" t="str">
        <f>VLOOKUP(E:E,笔记匹配!A:N,3,FALSE)</f>
        <v>Bruce小厮</v>
      </c>
      <c r="AC928" t="str">
        <f>VLOOKUP(E:E,笔记匹配!A:N,2,FALSE)</f>
        <v>筋膜枪</v>
      </c>
      <c r="AD928" t="str">
        <f>VLOOKUP(E:E,笔记匹配!A:N,4,FALSE)</f>
        <v>云麦筋膜枪PB2</v>
      </c>
      <c r="AE928" t="str">
        <f>VLOOKUP(E:E,笔记匹配!A:N,14,FALSE)</f>
        <v>云麦筋膜枪pb2</v>
      </c>
      <c r="AF928" t="str">
        <f>VLOOKUP(E:E,笔记匹配!A:N,6,FALSE)</f>
        <v>女生练球后如何拉伸按摩，筋膜枪放松！！</v>
      </c>
    </row>
    <row r="929" spans="1:32">
      <c r="A929" s="18" t="s">
        <v>129</v>
      </c>
      <c r="B929" s="18" t="s">
        <v>1233</v>
      </c>
      <c r="C929" s="19">
        <v>19834935</v>
      </c>
      <c r="D929" s="18" t="s">
        <v>209</v>
      </c>
      <c r="E929" s="18" t="s">
        <v>274</v>
      </c>
      <c r="F929" s="18" t="s">
        <v>1234</v>
      </c>
      <c r="G929" s="19">
        <v>4425179</v>
      </c>
      <c r="H929" s="18" t="s">
        <v>1234</v>
      </c>
      <c r="I929" s="19">
        <v>3793911</v>
      </c>
      <c r="J929" s="18" t="s">
        <v>1015</v>
      </c>
      <c r="K929" s="19">
        <v>12.78</v>
      </c>
      <c r="L929" s="19">
        <v>177</v>
      </c>
      <c r="M929" s="19">
        <v>21</v>
      </c>
      <c r="N929" s="20">
        <v>0.1186</v>
      </c>
      <c r="O929" s="19">
        <v>0.61</v>
      </c>
      <c r="P929" s="19">
        <v>72.2</v>
      </c>
      <c r="Q929" s="19">
        <v>3</v>
      </c>
      <c r="R929" s="19">
        <v>0</v>
      </c>
      <c r="S929" s="19">
        <v>1</v>
      </c>
      <c r="T929" s="19">
        <v>0</v>
      </c>
      <c r="U929" s="19">
        <v>0</v>
      </c>
      <c r="V929" s="19">
        <v>4</v>
      </c>
      <c r="W929" s="19">
        <v>3.2</v>
      </c>
      <c r="X929" s="19">
        <v>0</v>
      </c>
      <c r="Y929" s="20">
        <v>0</v>
      </c>
      <c r="Z929" s="19">
        <v>0</v>
      </c>
      <c r="AA929" s="19">
        <v>0</v>
      </c>
      <c r="AB929" t="str">
        <f>VLOOKUP(E:E,笔记匹配!A:N,3,FALSE)</f>
        <v>西米是个小可爱</v>
      </c>
      <c r="AC929" t="str">
        <f>VLOOKUP(E:E,笔记匹配!A:N,2,FALSE)</f>
        <v>筋膜枪</v>
      </c>
      <c r="AD929" t="str">
        <f>VLOOKUP(E:E,笔记匹配!A:N,4,FALSE)</f>
        <v>云麦筋膜枪PB2</v>
      </c>
      <c r="AE929" t="str">
        <f>VLOOKUP(E:E,笔记匹配!A:N,14,FALSE)</f>
        <v>云麦筋膜枪pb2</v>
      </c>
      <c r="AF929" t="str">
        <f>VLOOKUP(E:E,笔记匹配!A:N,6,FALSE)</f>
        <v>筋膜枪千万不能乱用！正确肩颈使用方法</v>
      </c>
    </row>
    <row r="930" spans="1:32">
      <c r="A930" s="18" t="s">
        <v>129</v>
      </c>
      <c r="B930" s="18" t="s">
        <v>1242</v>
      </c>
      <c r="C930" s="19">
        <v>20100228</v>
      </c>
      <c r="D930" s="18" t="s">
        <v>209</v>
      </c>
      <c r="E930" s="18" t="s">
        <v>208</v>
      </c>
      <c r="F930" s="18" t="s">
        <v>1243</v>
      </c>
      <c r="G930" s="19">
        <v>4551147</v>
      </c>
      <c r="H930" s="18" t="s">
        <v>1243</v>
      </c>
      <c r="I930" s="19">
        <v>3901246</v>
      </c>
      <c r="J930" s="18" t="s">
        <v>1015</v>
      </c>
      <c r="K930" s="19">
        <v>0.1</v>
      </c>
      <c r="L930" s="19">
        <v>21</v>
      </c>
      <c r="M930" s="19">
        <v>1</v>
      </c>
      <c r="N930" s="20">
        <v>0.0476</v>
      </c>
      <c r="O930" s="19">
        <v>0.1</v>
      </c>
      <c r="P930" s="19">
        <v>4.76</v>
      </c>
      <c r="Q930" s="19">
        <v>0</v>
      </c>
      <c r="R930" s="19">
        <v>0</v>
      </c>
      <c r="S930" s="19">
        <v>0</v>
      </c>
      <c r="T930" s="19">
        <v>0</v>
      </c>
      <c r="U930" s="19">
        <v>0</v>
      </c>
      <c r="V930" s="19">
        <v>0</v>
      </c>
      <c r="W930" s="19">
        <v>0</v>
      </c>
      <c r="X930" s="19">
        <v>0</v>
      </c>
      <c r="Y930" s="20">
        <v>0</v>
      </c>
      <c r="Z930" s="19">
        <v>0</v>
      </c>
      <c r="AA930" s="19">
        <v>0</v>
      </c>
      <c r="AB930" t="str">
        <f>VLOOKUP(E:E,笔记匹配!A:N,3,FALSE)</f>
        <v>小羊羔崽子</v>
      </c>
      <c r="AC930" t="str">
        <f>VLOOKUP(E:E,笔记匹配!A:N,2,FALSE)</f>
        <v>筋膜枪</v>
      </c>
      <c r="AD930" t="str">
        <f>VLOOKUP(E:E,笔记匹配!A:N,4,FALSE)</f>
        <v>云麦筋膜枪PB2</v>
      </c>
      <c r="AE930" t="str">
        <f>VLOOKUP(E:E,笔记匹配!A:N,14,FALSE)</f>
        <v>云麦筋膜枪pb2</v>
      </c>
      <c r="AF930" t="str">
        <f>VLOOKUP(E:E,笔记匹配!A:N,6,FALSE)</f>
        <v>用了多年泡沫轴，才知道筋膜枪是真的香！！！</v>
      </c>
    </row>
    <row r="931" spans="1:32">
      <c r="A931" s="18" t="s">
        <v>129</v>
      </c>
      <c r="B931" s="18" t="s">
        <v>1248</v>
      </c>
      <c r="C931" s="19">
        <v>20317349</v>
      </c>
      <c r="D931" s="18" t="s">
        <v>209</v>
      </c>
      <c r="E931" s="18" t="s">
        <v>559</v>
      </c>
      <c r="F931" s="18" t="s">
        <v>1251</v>
      </c>
      <c r="G931" s="19">
        <v>4664833</v>
      </c>
      <c r="H931" s="18" t="s">
        <v>1251</v>
      </c>
      <c r="I931" s="19">
        <v>3987559</v>
      </c>
      <c r="J931" s="18" t="s">
        <v>1015</v>
      </c>
      <c r="K931" s="19">
        <v>0</v>
      </c>
      <c r="L931" s="19">
        <v>14</v>
      </c>
      <c r="M931" s="19">
        <v>0</v>
      </c>
      <c r="N931" s="20">
        <v>0</v>
      </c>
      <c r="O931" s="19">
        <v>0</v>
      </c>
      <c r="P931" s="19">
        <v>0</v>
      </c>
      <c r="Q931" s="19">
        <v>0</v>
      </c>
      <c r="R931" s="19">
        <v>0</v>
      </c>
      <c r="S931" s="19">
        <v>0</v>
      </c>
      <c r="T931" s="19">
        <v>0</v>
      </c>
      <c r="U931" s="19">
        <v>0</v>
      </c>
      <c r="V931" s="19">
        <v>0</v>
      </c>
      <c r="W931" s="19">
        <v>0</v>
      </c>
      <c r="X931" s="19">
        <v>0</v>
      </c>
      <c r="Y931" s="20">
        <v>0</v>
      </c>
      <c r="Z931" s="19">
        <v>0</v>
      </c>
      <c r="AA931" s="19">
        <v>0</v>
      </c>
      <c r="AB931" t="str">
        <f>VLOOKUP(E:E,笔记匹配!A:N,3,FALSE)</f>
        <v>高凯元</v>
      </c>
      <c r="AC931" t="str">
        <f>VLOOKUP(E:E,笔记匹配!A:N,2,FALSE)</f>
        <v>筋膜枪</v>
      </c>
      <c r="AD931" t="str">
        <f>VLOOKUP(E:E,笔记匹配!A:N,4,FALSE)</f>
        <v>云麦筋膜枪PB2</v>
      </c>
      <c r="AE931" t="str">
        <f>VLOOKUP(E:E,笔记匹配!A:N,14,FALSE)</f>
        <v>云麦筋膜枪pb2</v>
      </c>
      <c r="AF931" t="str">
        <f>VLOOKUP(E:E,笔记匹配!A:N,6,FALSE)</f>
        <v>筋膜枪推荐｜明星都在用的健身好物</v>
      </c>
    </row>
    <row r="932" spans="1:32">
      <c r="A932" s="18" t="s">
        <v>129</v>
      </c>
      <c r="B932" s="18" t="s">
        <v>1252</v>
      </c>
      <c r="C932" s="19">
        <v>20323358</v>
      </c>
      <c r="D932" s="18" t="s">
        <v>209</v>
      </c>
      <c r="E932" s="18" t="s">
        <v>274</v>
      </c>
      <c r="F932" s="18" t="s">
        <v>1253</v>
      </c>
      <c r="G932" s="19">
        <v>4667757</v>
      </c>
      <c r="H932" s="18" t="s">
        <v>1254</v>
      </c>
      <c r="I932" s="19">
        <v>3990162</v>
      </c>
      <c r="J932" s="18" t="s">
        <v>1015</v>
      </c>
      <c r="K932" s="19">
        <v>0</v>
      </c>
      <c r="L932" s="19">
        <v>0</v>
      </c>
      <c r="M932" s="19">
        <v>0</v>
      </c>
      <c r="N932" s="20">
        <v>0</v>
      </c>
      <c r="O932" s="19">
        <v>0</v>
      </c>
      <c r="P932" s="19">
        <v>0</v>
      </c>
      <c r="Q932" s="19">
        <v>0</v>
      </c>
      <c r="R932" s="19">
        <v>0</v>
      </c>
      <c r="S932" s="19">
        <v>0</v>
      </c>
      <c r="T932" s="19">
        <v>0</v>
      </c>
      <c r="U932" s="19">
        <v>0</v>
      </c>
      <c r="V932" s="19">
        <v>0</v>
      </c>
      <c r="W932" s="19">
        <v>0</v>
      </c>
      <c r="X932" s="19">
        <v>0</v>
      </c>
      <c r="Y932" s="20">
        <v>0</v>
      </c>
      <c r="Z932" s="19">
        <v>0</v>
      </c>
      <c r="AA932" s="19">
        <v>0</v>
      </c>
      <c r="AB932" t="str">
        <f>VLOOKUP(E:E,笔记匹配!A:N,3,FALSE)</f>
        <v>西米是个小可爱</v>
      </c>
      <c r="AC932" t="str">
        <f>VLOOKUP(E:E,笔记匹配!A:N,2,FALSE)</f>
        <v>筋膜枪</v>
      </c>
      <c r="AD932" t="str">
        <f>VLOOKUP(E:E,笔记匹配!A:N,4,FALSE)</f>
        <v>云麦筋膜枪PB2</v>
      </c>
      <c r="AE932" t="str">
        <f>VLOOKUP(E:E,笔记匹配!A:N,14,FALSE)</f>
        <v>云麦筋膜枪pb2</v>
      </c>
      <c r="AF932" t="str">
        <f>VLOOKUP(E:E,笔记匹配!A:N,6,FALSE)</f>
        <v>筋膜枪千万不能乱用！正确肩颈使用方法</v>
      </c>
    </row>
    <row r="933" spans="1:32">
      <c r="A933" s="18" t="s">
        <v>129</v>
      </c>
      <c r="B933" s="18" t="s">
        <v>1255</v>
      </c>
      <c r="C933" s="19">
        <v>20485013</v>
      </c>
      <c r="D933" s="18" t="s">
        <v>196</v>
      </c>
      <c r="E933" s="18" t="s">
        <v>296</v>
      </c>
      <c r="F933" s="18" t="s">
        <v>1256</v>
      </c>
      <c r="G933" s="19">
        <v>4743757</v>
      </c>
      <c r="H933" s="18" t="s">
        <v>1256</v>
      </c>
      <c r="I933" s="19">
        <v>4046764</v>
      </c>
      <c r="J933" s="18" t="s">
        <v>1015</v>
      </c>
      <c r="K933" s="19">
        <v>593.78</v>
      </c>
      <c r="L933" s="19">
        <v>39179</v>
      </c>
      <c r="M933" s="19">
        <v>1686</v>
      </c>
      <c r="N933" s="20">
        <v>0.043</v>
      </c>
      <c r="O933" s="19">
        <v>0.35</v>
      </c>
      <c r="P933" s="19">
        <v>15.16</v>
      </c>
      <c r="Q933" s="19">
        <v>24</v>
      </c>
      <c r="R933" s="19">
        <v>0</v>
      </c>
      <c r="S933" s="19">
        <v>12</v>
      </c>
      <c r="T933" s="19">
        <v>0</v>
      </c>
      <c r="U933" s="19">
        <v>1</v>
      </c>
      <c r="V933" s="19">
        <v>37</v>
      </c>
      <c r="W933" s="19">
        <v>16.05</v>
      </c>
      <c r="X933" s="19">
        <v>52</v>
      </c>
      <c r="Y933" s="20">
        <v>0.0308</v>
      </c>
      <c r="Z933" s="19">
        <v>3</v>
      </c>
      <c r="AA933" s="19">
        <v>0</v>
      </c>
      <c r="AB933" t="str">
        <f>VLOOKUP(E:E,笔记匹配!A:N,3,FALSE)</f>
        <v>元气芥末酱</v>
      </c>
      <c r="AC933" t="str">
        <f>VLOOKUP(E:E,笔记匹配!A:N,2,FALSE)</f>
        <v>筋膜枪</v>
      </c>
      <c r="AD933" t="str">
        <f>VLOOKUP(E:E,笔记匹配!A:N,4,FALSE)</f>
        <v>云麦筋膜枪PB2</v>
      </c>
      <c r="AE933" t="str">
        <f>VLOOKUP(E:E,笔记匹配!A:N,14,FALSE)</f>
        <v>云麦筋膜枪pb2</v>
      </c>
      <c r="AF933" t="str">
        <f>VLOOKUP(E:E,笔记匹配!A:N,6,FALSE)</f>
        <v>小腿粗的姐妹信我！肌肉腿就要这样按！</v>
      </c>
    </row>
    <row r="934" spans="1:32">
      <c r="A934" s="18" t="s">
        <v>129</v>
      </c>
      <c r="B934" s="18" t="s">
        <v>1257</v>
      </c>
      <c r="C934" s="19">
        <v>20485042</v>
      </c>
      <c r="D934" s="18" t="s">
        <v>196</v>
      </c>
      <c r="E934" s="18" t="s">
        <v>296</v>
      </c>
      <c r="F934" s="18" t="s">
        <v>1258</v>
      </c>
      <c r="G934" s="19">
        <v>4743785</v>
      </c>
      <c r="H934" s="18" t="s">
        <v>1258</v>
      </c>
      <c r="I934" s="19">
        <v>4046938</v>
      </c>
      <c r="J934" s="18" t="s">
        <v>1015</v>
      </c>
      <c r="K934" s="19">
        <v>3.93</v>
      </c>
      <c r="L934" s="19">
        <v>262</v>
      </c>
      <c r="M934" s="19">
        <v>11</v>
      </c>
      <c r="N934" s="20">
        <v>0.042</v>
      </c>
      <c r="O934" s="19">
        <v>0.36</v>
      </c>
      <c r="P934" s="19">
        <v>15</v>
      </c>
      <c r="Q934" s="19">
        <v>1</v>
      </c>
      <c r="R934" s="19">
        <v>0</v>
      </c>
      <c r="S934" s="19">
        <v>0</v>
      </c>
      <c r="T934" s="19">
        <v>0</v>
      </c>
      <c r="U934" s="19">
        <v>0</v>
      </c>
      <c r="V934" s="19">
        <v>1</v>
      </c>
      <c r="W934" s="19">
        <v>3.93</v>
      </c>
      <c r="X934" s="19">
        <v>0</v>
      </c>
      <c r="Y934" s="20">
        <v>0</v>
      </c>
      <c r="Z934" s="19">
        <v>0</v>
      </c>
      <c r="AA934" s="19">
        <v>2</v>
      </c>
      <c r="AB934" t="str">
        <f>VLOOKUP(E:E,笔记匹配!A:N,3,FALSE)</f>
        <v>元气芥末酱</v>
      </c>
      <c r="AC934" t="str">
        <f>VLOOKUP(E:E,笔记匹配!A:N,2,FALSE)</f>
        <v>筋膜枪</v>
      </c>
      <c r="AD934" t="str">
        <f>VLOOKUP(E:E,笔记匹配!A:N,4,FALSE)</f>
        <v>云麦筋膜枪PB2</v>
      </c>
      <c r="AE934" t="str">
        <f>VLOOKUP(E:E,笔记匹配!A:N,14,FALSE)</f>
        <v>云麦筋膜枪pb2</v>
      </c>
      <c r="AF934" t="str">
        <f>VLOOKUP(E:E,笔记匹配!A:N,6,FALSE)</f>
        <v>小腿粗的姐妹信我！肌肉腿就要这样按！</v>
      </c>
    </row>
    <row r="935" spans="1:32">
      <c r="A935" s="18" t="s">
        <v>129</v>
      </c>
      <c r="B935" s="18" t="s">
        <v>1255</v>
      </c>
      <c r="C935" s="19">
        <v>20485369</v>
      </c>
      <c r="D935" s="18" t="s">
        <v>196</v>
      </c>
      <c r="E935" s="18" t="s">
        <v>234</v>
      </c>
      <c r="F935" s="18" t="s">
        <v>1258</v>
      </c>
      <c r="G935" s="19">
        <v>4743785</v>
      </c>
      <c r="H935" s="18" t="s">
        <v>1258</v>
      </c>
      <c r="I935" s="19">
        <v>4046938</v>
      </c>
      <c r="J935" s="18" t="s">
        <v>1015</v>
      </c>
      <c r="K935" s="19">
        <v>37.46</v>
      </c>
      <c r="L935" s="19">
        <v>1519</v>
      </c>
      <c r="M935" s="19">
        <v>114</v>
      </c>
      <c r="N935" s="20">
        <v>0.075</v>
      </c>
      <c r="O935" s="19">
        <v>0.33</v>
      </c>
      <c r="P935" s="19">
        <v>24.66</v>
      </c>
      <c r="Q935" s="19">
        <v>-1</v>
      </c>
      <c r="R935" s="19">
        <v>0</v>
      </c>
      <c r="S935" s="19">
        <v>0</v>
      </c>
      <c r="T935" s="19">
        <v>0</v>
      </c>
      <c r="U935" s="19">
        <v>0</v>
      </c>
      <c r="V935" s="19">
        <v>-1</v>
      </c>
      <c r="W935" s="19">
        <v>0</v>
      </c>
      <c r="X935" s="19">
        <v>0</v>
      </c>
      <c r="Y935" s="20">
        <v>0</v>
      </c>
      <c r="Z935" s="19">
        <v>0</v>
      </c>
      <c r="AA935" s="19">
        <v>0</v>
      </c>
      <c r="AB935" t="str">
        <f>VLOOKUP(E:E,笔记匹配!A:N,3,FALSE)</f>
        <v>pp</v>
      </c>
      <c r="AC935" t="str">
        <f>VLOOKUP(E:E,笔记匹配!A:N,2,FALSE)</f>
        <v>体脂秤</v>
      </c>
      <c r="AD935" t="str">
        <f>VLOOKUP(E:E,笔记匹配!A:N,4,FALSE)</f>
        <v>云麦体脂秤3mini</v>
      </c>
      <c r="AE935" t="str">
        <f>VLOOKUP(E:E,笔记匹配!A:N,14,FALSE)</f>
        <v>云麦体脂秤3mini</v>
      </c>
      <c r="AF935" t="str">
        <f>VLOOKUP(E:E,笔记匹配!A:N,6,FALSE)</f>
        <v>110到88 一些减肥小建议｜如何正确运动</v>
      </c>
    </row>
    <row r="936" spans="1:32">
      <c r="A936" s="18" t="s">
        <v>130</v>
      </c>
      <c r="B936" s="18" t="s">
        <v>1164</v>
      </c>
      <c r="C936" s="19">
        <v>18170615</v>
      </c>
      <c r="D936" s="18" t="s">
        <v>209</v>
      </c>
      <c r="E936" s="18" t="s">
        <v>205</v>
      </c>
      <c r="F936" s="18" t="s">
        <v>1165</v>
      </c>
      <c r="G936" s="19">
        <v>3639848</v>
      </c>
      <c r="H936" s="18" t="s">
        <v>1166</v>
      </c>
      <c r="I936" s="19">
        <v>3024741</v>
      </c>
      <c r="J936" s="18" t="s">
        <v>1015</v>
      </c>
      <c r="K936" s="19">
        <v>0</v>
      </c>
      <c r="L936" s="19">
        <v>0</v>
      </c>
      <c r="M936" s="19">
        <v>0</v>
      </c>
      <c r="N936" s="20">
        <v>0</v>
      </c>
      <c r="O936" s="19">
        <v>0</v>
      </c>
      <c r="P936" s="19">
        <v>0</v>
      </c>
      <c r="Q936" s="19">
        <v>0</v>
      </c>
      <c r="R936" s="19">
        <v>0</v>
      </c>
      <c r="S936" s="19">
        <v>0</v>
      </c>
      <c r="T936" s="19">
        <v>0</v>
      </c>
      <c r="U936" s="19">
        <v>0</v>
      </c>
      <c r="V936" s="19">
        <v>0</v>
      </c>
      <c r="W936" s="19">
        <v>0</v>
      </c>
      <c r="X936" s="19">
        <v>0</v>
      </c>
      <c r="Y936" s="20">
        <v>0</v>
      </c>
      <c r="Z936" s="19">
        <v>0</v>
      </c>
      <c r="AA936" s="19">
        <v>0</v>
      </c>
      <c r="AB936" t="str">
        <f>VLOOKUP(E:E,笔记匹配!A:N,3,FALSE)</f>
        <v>马可乐cora</v>
      </c>
      <c r="AC936" t="str">
        <f>VLOOKUP(E:E,笔记匹配!A:N,2,FALSE)</f>
        <v>筋膜枪</v>
      </c>
      <c r="AD936" t="str">
        <f>VLOOKUP(E:E,笔记匹配!A:N,4,FALSE)</f>
        <v>云麦筋膜枪PB2</v>
      </c>
      <c r="AE936" t="str">
        <f>VLOOKUP(E:E,笔记匹配!A:N,14,FALSE)</f>
        <v>云麦筋膜枪pb2</v>
      </c>
      <c r="AF936" t="str">
        <f>VLOOKUP(E:E,笔记匹配!A:N,6,FALSE)</f>
        <v>跳操的姐妹听我的用筋膜枪放松下肢真的有用</v>
      </c>
    </row>
    <row r="937" spans="1:32">
      <c r="A937" s="18" t="s">
        <v>130</v>
      </c>
      <c r="B937" s="18" t="s">
        <v>1167</v>
      </c>
      <c r="C937" s="19">
        <v>18224197</v>
      </c>
      <c r="D937" s="18" t="s">
        <v>209</v>
      </c>
      <c r="E937" s="18" t="s">
        <v>300</v>
      </c>
      <c r="F937" s="18" t="s">
        <v>1168</v>
      </c>
      <c r="G937" s="19">
        <v>3665138</v>
      </c>
      <c r="H937" s="18" t="s">
        <v>1168</v>
      </c>
      <c r="I937" s="19">
        <v>3050231</v>
      </c>
      <c r="J937" s="18" t="s">
        <v>1015</v>
      </c>
      <c r="K937" s="19">
        <v>0</v>
      </c>
      <c r="L937" s="19">
        <v>0</v>
      </c>
      <c r="M937" s="19">
        <v>0</v>
      </c>
      <c r="N937" s="20">
        <v>0</v>
      </c>
      <c r="O937" s="19">
        <v>0</v>
      </c>
      <c r="P937" s="19">
        <v>0</v>
      </c>
      <c r="Q937" s="19">
        <v>0</v>
      </c>
      <c r="R937" s="19">
        <v>0</v>
      </c>
      <c r="S937" s="19">
        <v>0</v>
      </c>
      <c r="T937" s="19">
        <v>0</v>
      </c>
      <c r="U937" s="19">
        <v>0</v>
      </c>
      <c r="V937" s="19">
        <v>0</v>
      </c>
      <c r="W937" s="19">
        <v>0</v>
      </c>
      <c r="X937" s="19">
        <v>0</v>
      </c>
      <c r="Y937" s="20">
        <v>0</v>
      </c>
      <c r="Z937" s="19">
        <v>0</v>
      </c>
      <c r="AA937" s="19">
        <v>0</v>
      </c>
      <c r="AB937" t="str">
        <f>VLOOKUP(E:E,笔记匹配!A:N,3,FALSE)</f>
        <v>朱俊畅</v>
      </c>
      <c r="AC937" t="str">
        <f>VLOOKUP(E:E,笔记匹配!A:N,2,FALSE)</f>
        <v>筋膜枪</v>
      </c>
      <c r="AD937" t="str">
        <f>VLOOKUP(E:E,笔记匹配!A:N,4,FALSE)</f>
        <v>云麦筋膜枪PB2</v>
      </c>
      <c r="AE937" t="str">
        <f>VLOOKUP(E:E,笔记匹配!A:N,14,FALSE)</f>
        <v>云麦筋膜枪pb2</v>
      </c>
      <c r="AF937" t="str">
        <f>VLOOKUP(E:E,笔记匹配!A:N,6,FALSE)</f>
        <v>打球完容易肌肉酸痛，筋膜枪放松更有效！</v>
      </c>
    </row>
    <row r="938" spans="1:32">
      <c r="A938" s="18" t="s">
        <v>130</v>
      </c>
      <c r="B938" s="18" t="s">
        <v>1196</v>
      </c>
      <c r="C938" s="19">
        <v>19054497</v>
      </c>
      <c r="D938" s="18" t="s">
        <v>209</v>
      </c>
      <c r="E938" s="18" t="s">
        <v>452</v>
      </c>
      <c r="F938" s="18" t="s">
        <v>1198</v>
      </c>
      <c r="G938" s="19">
        <v>4059827</v>
      </c>
      <c r="H938" s="18" t="s">
        <v>1198</v>
      </c>
      <c r="I938" s="19">
        <v>3442591</v>
      </c>
      <c r="J938" s="18" t="s">
        <v>1015</v>
      </c>
      <c r="K938" s="19">
        <v>0</v>
      </c>
      <c r="L938" s="19">
        <v>0</v>
      </c>
      <c r="M938" s="19">
        <v>0</v>
      </c>
      <c r="N938" s="20">
        <v>0</v>
      </c>
      <c r="O938" s="19">
        <v>0</v>
      </c>
      <c r="P938" s="19">
        <v>0</v>
      </c>
      <c r="Q938" s="19">
        <v>0</v>
      </c>
      <c r="R938" s="19">
        <v>0</v>
      </c>
      <c r="S938" s="19">
        <v>0</v>
      </c>
      <c r="T938" s="19">
        <v>0</v>
      </c>
      <c r="U938" s="19">
        <v>0</v>
      </c>
      <c r="V938" s="19">
        <v>0</v>
      </c>
      <c r="W938" s="19">
        <v>0</v>
      </c>
      <c r="X938" s="19">
        <v>0</v>
      </c>
      <c r="Y938" s="20">
        <v>0</v>
      </c>
      <c r="Z938" s="19">
        <v>0</v>
      </c>
      <c r="AA938" s="19">
        <v>0</v>
      </c>
      <c r="AB938" t="str">
        <f>VLOOKUP(E:E,笔记匹配!A:N,3,FALSE)</f>
        <v>Bruce小厮</v>
      </c>
      <c r="AC938" t="str">
        <f>VLOOKUP(E:E,笔记匹配!A:N,2,FALSE)</f>
        <v>筋膜枪</v>
      </c>
      <c r="AD938" t="str">
        <f>VLOOKUP(E:E,笔记匹配!A:N,4,FALSE)</f>
        <v>云麦筋膜枪PB2</v>
      </c>
      <c r="AE938" t="str">
        <f>VLOOKUP(E:E,笔记匹配!A:N,14,FALSE)</f>
        <v>云麦筋膜枪pb2</v>
      </c>
      <c r="AF938" t="str">
        <f>VLOOKUP(E:E,笔记匹配!A:N,6,FALSE)</f>
        <v>女生练球后如何拉伸按摩，筋膜枪放松！！</v>
      </c>
    </row>
    <row r="939" spans="1:32">
      <c r="A939" s="18" t="s">
        <v>130</v>
      </c>
      <c r="B939" s="18" t="s">
        <v>1229</v>
      </c>
      <c r="C939" s="19">
        <v>19752470</v>
      </c>
      <c r="D939" s="18" t="s">
        <v>209</v>
      </c>
      <c r="E939" s="18" t="s">
        <v>300</v>
      </c>
      <c r="F939" s="18" t="s">
        <v>1230</v>
      </c>
      <c r="G939" s="19">
        <v>4384092</v>
      </c>
      <c r="H939" s="18" t="s">
        <v>1230</v>
      </c>
      <c r="I939" s="19">
        <v>3756475</v>
      </c>
      <c r="J939" s="18" t="s">
        <v>1015</v>
      </c>
      <c r="K939" s="19">
        <v>0</v>
      </c>
      <c r="L939" s="19">
        <v>0</v>
      </c>
      <c r="M939" s="19">
        <v>0</v>
      </c>
      <c r="N939" s="20">
        <v>0</v>
      </c>
      <c r="O939" s="19">
        <v>0</v>
      </c>
      <c r="P939" s="19">
        <v>0</v>
      </c>
      <c r="Q939" s="19">
        <v>0</v>
      </c>
      <c r="R939" s="19">
        <v>0</v>
      </c>
      <c r="S939" s="19">
        <v>0</v>
      </c>
      <c r="T939" s="19">
        <v>0</v>
      </c>
      <c r="U939" s="19">
        <v>0</v>
      </c>
      <c r="V939" s="19">
        <v>0</v>
      </c>
      <c r="W939" s="19">
        <v>0</v>
      </c>
      <c r="X939" s="19">
        <v>0</v>
      </c>
      <c r="Y939" s="20">
        <v>0</v>
      </c>
      <c r="Z939" s="19">
        <v>0</v>
      </c>
      <c r="AA939" s="19">
        <v>0</v>
      </c>
      <c r="AB939" t="str">
        <f>VLOOKUP(E:E,笔记匹配!A:N,3,FALSE)</f>
        <v>朱俊畅</v>
      </c>
      <c r="AC939" t="str">
        <f>VLOOKUP(E:E,笔记匹配!A:N,2,FALSE)</f>
        <v>筋膜枪</v>
      </c>
      <c r="AD939" t="str">
        <f>VLOOKUP(E:E,笔记匹配!A:N,4,FALSE)</f>
        <v>云麦筋膜枪PB2</v>
      </c>
      <c r="AE939" t="str">
        <f>VLOOKUP(E:E,笔记匹配!A:N,14,FALSE)</f>
        <v>云麦筋膜枪pb2</v>
      </c>
      <c r="AF939" t="str">
        <f>VLOOKUP(E:E,笔记匹配!A:N,6,FALSE)</f>
        <v>打球完容易肌肉酸痛，筋膜枪放松更有效！</v>
      </c>
    </row>
    <row r="940" spans="1:32">
      <c r="A940" s="18" t="s">
        <v>130</v>
      </c>
      <c r="B940" s="18" t="s">
        <v>1233</v>
      </c>
      <c r="C940" s="19">
        <v>19834935</v>
      </c>
      <c r="D940" s="18" t="s">
        <v>209</v>
      </c>
      <c r="E940" s="18" t="s">
        <v>274</v>
      </c>
      <c r="F940" s="18" t="s">
        <v>1234</v>
      </c>
      <c r="G940" s="19">
        <v>4425179</v>
      </c>
      <c r="H940" s="18" t="s">
        <v>1234</v>
      </c>
      <c r="I940" s="19">
        <v>3793911</v>
      </c>
      <c r="J940" s="18" t="s">
        <v>1015</v>
      </c>
      <c r="K940" s="19">
        <v>0</v>
      </c>
      <c r="L940" s="19">
        <v>0</v>
      </c>
      <c r="M940" s="19">
        <v>0</v>
      </c>
      <c r="N940" s="20">
        <v>0</v>
      </c>
      <c r="O940" s="19">
        <v>0</v>
      </c>
      <c r="P940" s="19">
        <v>0</v>
      </c>
      <c r="Q940" s="19">
        <v>0</v>
      </c>
      <c r="R940" s="19">
        <v>0</v>
      </c>
      <c r="S940" s="19">
        <v>0</v>
      </c>
      <c r="T940" s="19">
        <v>0</v>
      </c>
      <c r="U940" s="19">
        <v>0</v>
      </c>
      <c r="V940" s="19">
        <v>0</v>
      </c>
      <c r="W940" s="19">
        <v>0</v>
      </c>
      <c r="X940" s="19">
        <v>0</v>
      </c>
      <c r="Y940" s="20">
        <v>0</v>
      </c>
      <c r="Z940" s="19">
        <v>0</v>
      </c>
      <c r="AA940" s="19">
        <v>0</v>
      </c>
      <c r="AB940" t="str">
        <f>VLOOKUP(E:E,笔记匹配!A:N,3,FALSE)</f>
        <v>西米是个小可爱</v>
      </c>
      <c r="AC940" t="str">
        <f>VLOOKUP(E:E,笔记匹配!A:N,2,FALSE)</f>
        <v>筋膜枪</v>
      </c>
      <c r="AD940" t="str">
        <f>VLOOKUP(E:E,笔记匹配!A:N,4,FALSE)</f>
        <v>云麦筋膜枪PB2</v>
      </c>
      <c r="AE940" t="str">
        <f>VLOOKUP(E:E,笔记匹配!A:N,14,FALSE)</f>
        <v>云麦筋膜枪pb2</v>
      </c>
      <c r="AF940" t="str">
        <f>VLOOKUP(E:E,笔记匹配!A:N,6,FALSE)</f>
        <v>筋膜枪千万不能乱用！正确肩颈使用方法</v>
      </c>
    </row>
    <row r="941" spans="1:32">
      <c r="A941" s="18" t="s">
        <v>130</v>
      </c>
      <c r="B941" s="18" t="s">
        <v>1255</v>
      </c>
      <c r="C941" s="19">
        <v>20485013</v>
      </c>
      <c r="D941" s="18" t="s">
        <v>196</v>
      </c>
      <c r="E941" s="18" t="s">
        <v>296</v>
      </c>
      <c r="F941" s="18" t="s">
        <v>1256</v>
      </c>
      <c r="G941" s="19">
        <v>4743757</v>
      </c>
      <c r="H941" s="18" t="s">
        <v>1256</v>
      </c>
      <c r="I941" s="19">
        <v>4046764</v>
      </c>
      <c r="J941" s="18" t="s">
        <v>1015</v>
      </c>
      <c r="K941" s="19">
        <v>612.24</v>
      </c>
      <c r="L941" s="19">
        <v>35506</v>
      </c>
      <c r="M941" s="19">
        <v>1683</v>
      </c>
      <c r="N941" s="20">
        <v>0.0474</v>
      </c>
      <c r="O941" s="19">
        <v>0.36</v>
      </c>
      <c r="P941" s="19">
        <v>17.24</v>
      </c>
      <c r="Q941" s="19">
        <v>31</v>
      </c>
      <c r="R941" s="19">
        <v>0</v>
      </c>
      <c r="S941" s="19">
        <v>17</v>
      </c>
      <c r="T941" s="19">
        <v>0</v>
      </c>
      <c r="U941" s="19">
        <v>1</v>
      </c>
      <c r="V941" s="19">
        <v>49</v>
      </c>
      <c r="W941" s="19">
        <v>12.49</v>
      </c>
      <c r="X941" s="19">
        <v>31</v>
      </c>
      <c r="Y941" s="20">
        <v>0.0184</v>
      </c>
      <c r="Z941" s="19">
        <v>6</v>
      </c>
      <c r="AA941" s="19">
        <v>1</v>
      </c>
      <c r="AB941" t="str">
        <f>VLOOKUP(E:E,笔记匹配!A:N,3,FALSE)</f>
        <v>元气芥末酱</v>
      </c>
      <c r="AC941" t="str">
        <f>VLOOKUP(E:E,笔记匹配!A:N,2,FALSE)</f>
        <v>筋膜枪</v>
      </c>
      <c r="AD941" t="str">
        <f>VLOOKUP(E:E,笔记匹配!A:N,4,FALSE)</f>
        <v>云麦筋膜枪PB2</v>
      </c>
      <c r="AE941" t="str">
        <f>VLOOKUP(E:E,笔记匹配!A:N,14,FALSE)</f>
        <v>云麦筋膜枪pb2</v>
      </c>
      <c r="AF941" t="str">
        <f>VLOOKUP(E:E,笔记匹配!A:N,6,FALSE)</f>
        <v>小腿粗的姐妹信我！肌肉腿就要这样按！</v>
      </c>
    </row>
    <row r="942" spans="1:32">
      <c r="A942" s="18" t="s">
        <v>130</v>
      </c>
      <c r="B942" s="18" t="s">
        <v>1255</v>
      </c>
      <c r="C942" s="19">
        <v>20485369</v>
      </c>
      <c r="D942" s="18" t="s">
        <v>196</v>
      </c>
      <c r="E942" s="18" t="s">
        <v>234</v>
      </c>
      <c r="F942" s="18" t="s">
        <v>1258</v>
      </c>
      <c r="G942" s="19">
        <v>4743785</v>
      </c>
      <c r="H942" s="18" t="s">
        <v>1258</v>
      </c>
      <c r="I942" s="19">
        <v>4046938</v>
      </c>
      <c r="J942" s="18" t="s">
        <v>1015</v>
      </c>
      <c r="K942" s="19">
        <v>618.93</v>
      </c>
      <c r="L942" s="19">
        <v>33141</v>
      </c>
      <c r="M942" s="19">
        <v>949</v>
      </c>
      <c r="N942" s="20">
        <v>0.0286</v>
      </c>
      <c r="O942" s="19">
        <v>0.65</v>
      </c>
      <c r="P942" s="19">
        <v>18.68</v>
      </c>
      <c r="Q942" s="19">
        <v>13</v>
      </c>
      <c r="R942" s="19">
        <v>0</v>
      </c>
      <c r="S942" s="19">
        <v>4</v>
      </c>
      <c r="T942" s="19">
        <v>0</v>
      </c>
      <c r="U942" s="19">
        <v>1</v>
      </c>
      <c r="V942" s="19">
        <v>18</v>
      </c>
      <c r="W942" s="19">
        <v>34.38</v>
      </c>
      <c r="X942" s="19">
        <v>0</v>
      </c>
      <c r="Y942" s="20">
        <v>0</v>
      </c>
      <c r="Z942" s="19">
        <v>5</v>
      </c>
      <c r="AA942" s="19">
        <v>0</v>
      </c>
      <c r="AB942" t="str">
        <f>VLOOKUP(E:E,笔记匹配!A:N,3,FALSE)</f>
        <v>pp</v>
      </c>
      <c r="AC942" t="str">
        <f>VLOOKUP(E:E,笔记匹配!A:N,2,FALSE)</f>
        <v>体脂秤</v>
      </c>
      <c r="AD942" t="str">
        <f>VLOOKUP(E:E,笔记匹配!A:N,4,FALSE)</f>
        <v>云麦体脂秤3mini</v>
      </c>
      <c r="AE942" t="str">
        <f>VLOOKUP(E:E,笔记匹配!A:N,14,FALSE)</f>
        <v>云麦体脂秤3mini</v>
      </c>
      <c r="AF942" t="str">
        <f>VLOOKUP(E:E,笔记匹配!A:N,6,FALSE)</f>
        <v>110到88 一些减肥小建议｜如何正确运动</v>
      </c>
    </row>
    <row r="943" spans="1:32">
      <c r="A943" s="18" t="s">
        <v>131</v>
      </c>
      <c r="B943" s="18" t="s">
        <v>1164</v>
      </c>
      <c r="C943" s="19">
        <v>18170615</v>
      </c>
      <c r="D943" s="18" t="s">
        <v>209</v>
      </c>
      <c r="E943" s="18" t="s">
        <v>205</v>
      </c>
      <c r="F943" s="18" t="s">
        <v>1165</v>
      </c>
      <c r="G943" s="19">
        <v>3639848</v>
      </c>
      <c r="H943" s="18" t="s">
        <v>1166</v>
      </c>
      <c r="I943" s="19">
        <v>3024741</v>
      </c>
      <c r="J943" s="18" t="s">
        <v>1015</v>
      </c>
      <c r="K943" s="19">
        <v>0</v>
      </c>
      <c r="L943" s="19">
        <v>0</v>
      </c>
      <c r="M943" s="19">
        <v>0</v>
      </c>
      <c r="N943" s="20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20">
        <v>0</v>
      </c>
      <c r="Z943" s="19">
        <v>0</v>
      </c>
      <c r="AA943" s="19">
        <v>0</v>
      </c>
      <c r="AB943" t="str">
        <f>VLOOKUP(E:E,笔记匹配!A:N,3,FALSE)</f>
        <v>马可乐cora</v>
      </c>
      <c r="AC943" t="str">
        <f>VLOOKUP(E:E,笔记匹配!A:N,2,FALSE)</f>
        <v>筋膜枪</v>
      </c>
      <c r="AD943" t="str">
        <f>VLOOKUP(E:E,笔记匹配!A:N,4,FALSE)</f>
        <v>云麦筋膜枪PB2</v>
      </c>
      <c r="AE943" t="str">
        <f>VLOOKUP(E:E,笔记匹配!A:N,14,FALSE)</f>
        <v>云麦筋膜枪pb2</v>
      </c>
      <c r="AF943" t="str">
        <f>VLOOKUP(E:E,笔记匹配!A:N,6,FALSE)</f>
        <v>跳操的姐妹听我的用筋膜枪放松下肢真的有用</v>
      </c>
    </row>
    <row r="944" spans="1:32">
      <c r="A944" s="18" t="s">
        <v>131</v>
      </c>
      <c r="B944" s="18" t="s">
        <v>1229</v>
      </c>
      <c r="C944" s="19">
        <v>19752470</v>
      </c>
      <c r="D944" s="18" t="s">
        <v>209</v>
      </c>
      <c r="E944" s="18" t="s">
        <v>300</v>
      </c>
      <c r="F944" s="18" t="s">
        <v>1230</v>
      </c>
      <c r="G944" s="19">
        <v>4384092</v>
      </c>
      <c r="H944" s="18" t="s">
        <v>1230</v>
      </c>
      <c r="I944" s="19">
        <v>3756475</v>
      </c>
      <c r="J944" s="18" t="s">
        <v>1015</v>
      </c>
      <c r="K944" s="19">
        <v>0</v>
      </c>
      <c r="L944" s="19">
        <v>0</v>
      </c>
      <c r="M944" s="19">
        <v>0</v>
      </c>
      <c r="N944" s="20">
        <v>0</v>
      </c>
      <c r="O944" s="19">
        <v>0</v>
      </c>
      <c r="P944" s="19">
        <v>0</v>
      </c>
      <c r="Q944" s="19">
        <v>0</v>
      </c>
      <c r="R944" s="19">
        <v>0</v>
      </c>
      <c r="S944" s="19">
        <v>0</v>
      </c>
      <c r="T944" s="19">
        <v>0</v>
      </c>
      <c r="U944" s="19">
        <v>0</v>
      </c>
      <c r="V944" s="19">
        <v>0</v>
      </c>
      <c r="W944" s="19">
        <v>0</v>
      </c>
      <c r="X944" s="19">
        <v>0</v>
      </c>
      <c r="Y944" s="20">
        <v>0</v>
      </c>
      <c r="Z944" s="19">
        <v>0</v>
      </c>
      <c r="AA944" s="19">
        <v>0</v>
      </c>
      <c r="AB944" t="str">
        <f>VLOOKUP(E:E,笔记匹配!A:N,3,FALSE)</f>
        <v>朱俊畅</v>
      </c>
      <c r="AC944" t="str">
        <f>VLOOKUP(E:E,笔记匹配!A:N,2,FALSE)</f>
        <v>筋膜枪</v>
      </c>
      <c r="AD944" t="str">
        <f>VLOOKUP(E:E,笔记匹配!A:N,4,FALSE)</f>
        <v>云麦筋膜枪PB2</v>
      </c>
      <c r="AE944" t="str">
        <f>VLOOKUP(E:E,笔记匹配!A:N,14,FALSE)</f>
        <v>云麦筋膜枪pb2</v>
      </c>
      <c r="AF944" t="str">
        <f>VLOOKUP(E:E,笔记匹配!A:N,6,FALSE)</f>
        <v>打球完容易肌肉酸痛，筋膜枪放松更有效！</v>
      </c>
    </row>
    <row r="945" spans="1:32">
      <c r="A945" s="18" t="s">
        <v>131</v>
      </c>
      <c r="B945" s="18" t="s">
        <v>1233</v>
      </c>
      <c r="C945" s="19">
        <v>19834935</v>
      </c>
      <c r="D945" s="18" t="s">
        <v>209</v>
      </c>
      <c r="E945" s="18" t="s">
        <v>274</v>
      </c>
      <c r="F945" s="18" t="s">
        <v>1234</v>
      </c>
      <c r="G945" s="19">
        <v>4425179</v>
      </c>
      <c r="H945" s="18" t="s">
        <v>1234</v>
      </c>
      <c r="I945" s="19">
        <v>3793911</v>
      </c>
      <c r="J945" s="18" t="s">
        <v>1015</v>
      </c>
      <c r="K945" s="19">
        <v>0</v>
      </c>
      <c r="L945" s="19">
        <v>0</v>
      </c>
      <c r="M945" s="19">
        <v>0</v>
      </c>
      <c r="N945" s="20">
        <v>0</v>
      </c>
      <c r="O945" s="19">
        <v>0</v>
      </c>
      <c r="P945" s="19">
        <v>0</v>
      </c>
      <c r="Q945" s="19">
        <v>0</v>
      </c>
      <c r="R945" s="19">
        <v>0</v>
      </c>
      <c r="S945" s="19">
        <v>0</v>
      </c>
      <c r="T945" s="19">
        <v>0</v>
      </c>
      <c r="U945" s="19">
        <v>0</v>
      </c>
      <c r="V945" s="19">
        <v>0</v>
      </c>
      <c r="W945" s="19">
        <v>0</v>
      </c>
      <c r="X945" s="19">
        <v>0</v>
      </c>
      <c r="Y945" s="20">
        <v>0</v>
      </c>
      <c r="Z945" s="19">
        <v>0</v>
      </c>
      <c r="AA945" s="19">
        <v>0</v>
      </c>
      <c r="AB945" t="str">
        <f>VLOOKUP(E:E,笔记匹配!A:N,3,FALSE)</f>
        <v>西米是个小可爱</v>
      </c>
      <c r="AC945" t="str">
        <f>VLOOKUP(E:E,笔记匹配!A:N,2,FALSE)</f>
        <v>筋膜枪</v>
      </c>
      <c r="AD945" t="str">
        <f>VLOOKUP(E:E,笔记匹配!A:N,4,FALSE)</f>
        <v>云麦筋膜枪PB2</v>
      </c>
      <c r="AE945" t="str">
        <f>VLOOKUP(E:E,笔记匹配!A:N,14,FALSE)</f>
        <v>云麦筋膜枪pb2</v>
      </c>
      <c r="AF945" t="str">
        <f>VLOOKUP(E:E,笔记匹配!A:N,6,FALSE)</f>
        <v>筋膜枪千万不能乱用！正确肩颈使用方法</v>
      </c>
    </row>
    <row r="946" spans="1:32">
      <c r="A946" s="18" t="s">
        <v>131</v>
      </c>
      <c r="B946" s="18" t="s">
        <v>1255</v>
      </c>
      <c r="C946" s="19">
        <v>20485013</v>
      </c>
      <c r="D946" s="18" t="s">
        <v>196</v>
      </c>
      <c r="E946" s="18" t="s">
        <v>296</v>
      </c>
      <c r="F946" s="18" t="s">
        <v>1256</v>
      </c>
      <c r="G946" s="19">
        <v>4743757</v>
      </c>
      <c r="H946" s="18" t="s">
        <v>1256</v>
      </c>
      <c r="I946" s="19">
        <v>4046764</v>
      </c>
      <c r="J946" s="18" t="s">
        <v>1015</v>
      </c>
      <c r="K946" s="19">
        <v>615.27</v>
      </c>
      <c r="L946" s="19">
        <v>37154</v>
      </c>
      <c r="M946" s="19">
        <v>1724</v>
      </c>
      <c r="N946" s="20">
        <v>0.0464</v>
      </c>
      <c r="O946" s="19">
        <v>0.36</v>
      </c>
      <c r="P946" s="19">
        <v>16.56</v>
      </c>
      <c r="Q946" s="19">
        <v>27</v>
      </c>
      <c r="R946" s="19">
        <v>0</v>
      </c>
      <c r="S946" s="19">
        <v>10</v>
      </c>
      <c r="T946" s="19">
        <v>1</v>
      </c>
      <c r="U946" s="19">
        <v>0</v>
      </c>
      <c r="V946" s="19">
        <v>38</v>
      </c>
      <c r="W946" s="19">
        <v>16.19</v>
      </c>
      <c r="X946" s="19">
        <v>36</v>
      </c>
      <c r="Y946" s="20">
        <v>0.0209</v>
      </c>
      <c r="Z946" s="19">
        <v>1</v>
      </c>
      <c r="AA946" s="19">
        <v>1</v>
      </c>
      <c r="AB946" t="str">
        <f>VLOOKUP(E:E,笔记匹配!A:N,3,FALSE)</f>
        <v>元气芥末酱</v>
      </c>
      <c r="AC946" t="str">
        <f>VLOOKUP(E:E,笔记匹配!A:N,2,FALSE)</f>
        <v>筋膜枪</v>
      </c>
      <c r="AD946" t="str">
        <f>VLOOKUP(E:E,笔记匹配!A:N,4,FALSE)</f>
        <v>云麦筋膜枪PB2</v>
      </c>
      <c r="AE946" t="str">
        <f>VLOOKUP(E:E,笔记匹配!A:N,14,FALSE)</f>
        <v>云麦筋膜枪pb2</v>
      </c>
      <c r="AF946" t="str">
        <f>VLOOKUP(E:E,笔记匹配!A:N,6,FALSE)</f>
        <v>小腿粗的姐妹信我！肌肉腿就要这样按！</v>
      </c>
    </row>
    <row r="947" spans="1:32">
      <c r="A947" s="18" t="s">
        <v>131</v>
      </c>
      <c r="B947" s="18" t="s">
        <v>1255</v>
      </c>
      <c r="C947" s="19">
        <v>20485369</v>
      </c>
      <c r="D947" s="18" t="s">
        <v>196</v>
      </c>
      <c r="E947" s="18" t="s">
        <v>234</v>
      </c>
      <c r="F947" s="18" t="s">
        <v>1258</v>
      </c>
      <c r="G947" s="19">
        <v>4743785</v>
      </c>
      <c r="H947" s="18" t="s">
        <v>1258</v>
      </c>
      <c r="I947" s="19">
        <v>4046938</v>
      </c>
      <c r="J947" s="18" t="s">
        <v>1015</v>
      </c>
      <c r="K947" s="19">
        <v>616.05</v>
      </c>
      <c r="L947" s="19">
        <v>33243</v>
      </c>
      <c r="M947" s="19">
        <v>928</v>
      </c>
      <c r="N947" s="20">
        <v>0.0279</v>
      </c>
      <c r="O947" s="19">
        <v>0.66</v>
      </c>
      <c r="P947" s="19">
        <v>18.53</v>
      </c>
      <c r="Q947" s="19">
        <v>8</v>
      </c>
      <c r="R947" s="19">
        <v>0</v>
      </c>
      <c r="S947" s="19">
        <v>3</v>
      </c>
      <c r="T947" s="19">
        <v>0</v>
      </c>
      <c r="U947" s="19">
        <v>0</v>
      </c>
      <c r="V947" s="19">
        <v>11</v>
      </c>
      <c r="W947" s="19">
        <v>56</v>
      </c>
      <c r="X947" s="19">
        <v>0</v>
      </c>
      <c r="Y947" s="20">
        <v>0</v>
      </c>
      <c r="Z947" s="19">
        <v>2</v>
      </c>
      <c r="AA947" s="19">
        <v>0</v>
      </c>
      <c r="AB947" t="str">
        <f>VLOOKUP(E:E,笔记匹配!A:N,3,FALSE)</f>
        <v>pp</v>
      </c>
      <c r="AC947" t="str">
        <f>VLOOKUP(E:E,笔记匹配!A:N,2,FALSE)</f>
        <v>体脂秤</v>
      </c>
      <c r="AD947" t="str">
        <f>VLOOKUP(E:E,笔记匹配!A:N,4,FALSE)</f>
        <v>云麦体脂秤3mini</v>
      </c>
      <c r="AE947" t="str">
        <f>VLOOKUP(E:E,笔记匹配!A:N,14,FALSE)</f>
        <v>云麦体脂秤3mini</v>
      </c>
      <c r="AF947" t="str">
        <f>VLOOKUP(E:E,笔记匹配!A:N,6,FALSE)</f>
        <v>110到88 一些减肥小建议｜如何正确运动</v>
      </c>
    </row>
    <row r="948" spans="1:32">
      <c r="A948" s="18" t="s">
        <v>132</v>
      </c>
      <c r="B948" s="18" t="s">
        <v>1164</v>
      </c>
      <c r="C948" s="19">
        <v>18170615</v>
      </c>
      <c r="D948" s="18" t="s">
        <v>209</v>
      </c>
      <c r="E948" s="18" t="s">
        <v>205</v>
      </c>
      <c r="F948" s="18" t="s">
        <v>1165</v>
      </c>
      <c r="G948" s="19">
        <v>3639848</v>
      </c>
      <c r="H948" s="18" t="s">
        <v>1166</v>
      </c>
      <c r="I948" s="19">
        <v>3024741</v>
      </c>
      <c r="J948" s="18" t="s">
        <v>1015</v>
      </c>
      <c r="K948" s="19">
        <v>0</v>
      </c>
      <c r="L948" s="19">
        <v>0</v>
      </c>
      <c r="M948" s="19">
        <v>0</v>
      </c>
      <c r="N948" s="20">
        <v>0</v>
      </c>
      <c r="O948" s="19">
        <v>0</v>
      </c>
      <c r="P948" s="19">
        <v>0</v>
      </c>
      <c r="Q948" s="19">
        <v>0</v>
      </c>
      <c r="R948" s="19">
        <v>0</v>
      </c>
      <c r="S948" s="19">
        <v>0</v>
      </c>
      <c r="T948" s="19">
        <v>0</v>
      </c>
      <c r="U948" s="19">
        <v>0</v>
      </c>
      <c r="V948" s="19">
        <v>0</v>
      </c>
      <c r="W948" s="19">
        <v>0</v>
      </c>
      <c r="X948" s="19">
        <v>0</v>
      </c>
      <c r="Y948" s="20">
        <v>0</v>
      </c>
      <c r="Z948" s="19">
        <v>0</v>
      </c>
      <c r="AA948" s="19">
        <v>0</v>
      </c>
      <c r="AB948" t="str">
        <f>VLOOKUP(E:E,笔记匹配!A:N,3,FALSE)</f>
        <v>马可乐cora</v>
      </c>
      <c r="AC948" t="str">
        <f>VLOOKUP(E:E,笔记匹配!A:N,2,FALSE)</f>
        <v>筋膜枪</v>
      </c>
      <c r="AD948" t="str">
        <f>VLOOKUP(E:E,笔记匹配!A:N,4,FALSE)</f>
        <v>云麦筋膜枪PB2</v>
      </c>
      <c r="AE948" t="str">
        <f>VLOOKUP(E:E,笔记匹配!A:N,14,FALSE)</f>
        <v>云麦筋膜枪pb2</v>
      </c>
      <c r="AF948" t="str">
        <f>VLOOKUP(E:E,笔记匹配!A:N,6,FALSE)</f>
        <v>跳操的姐妹听我的用筋膜枪放松下肢真的有用</v>
      </c>
    </row>
    <row r="949" spans="1:32">
      <c r="A949" s="18" t="s">
        <v>132</v>
      </c>
      <c r="B949" s="18" t="s">
        <v>1196</v>
      </c>
      <c r="C949" s="19">
        <v>19054497</v>
      </c>
      <c r="D949" s="18" t="s">
        <v>209</v>
      </c>
      <c r="E949" s="18" t="s">
        <v>452</v>
      </c>
      <c r="F949" s="18" t="s">
        <v>1198</v>
      </c>
      <c r="G949" s="19">
        <v>4059827</v>
      </c>
      <c r="H949" s="18" t="s">
        <v>1198</v>
      </c>
      <c r="I949" s="19">
        <v>3442591</v>
      </c>
      <c r="J949" s="18" t="s">
        <v>1015</v>
      </c>
      <c r="K949" s="19">
        <v>0</v>
      </c>
      <c r="L949" s="19">
        <v>0</v>
      </c>
      <c r="M949" s="19">
        <v>0</v>
      </c>
      <c r="N949" s="20">
        <v>0</v>
      </c>
      <c r="O949" s="19">
        <v>0</v>
      </c>
      <c r="P949" s="19">
        <v>0</v>
      </c>
      <c r="Q949" s="19">
        <v>0</v>
      </c>
      <c r="R949" s="19">
        <v>0</v>
      </c>
      <c r="S949" s="19">
        <v>0</v>
      </c>
      <c r="T949" s="19">
        <v>0</v>
      </c>
      <c r="U949" s="19">
        <v>0</v>
      </c>
      <c r="V949" s="19">
        <v>0</v>
      </c>
      <c r="W949" s="19">
        <v>0</v>
      </c>
      <c r="X949" s="19">
        <v>0</v>
      </c>
      <c r="Y949" s="20">
        <v>0</v>
      </c>
      <c r="Z949" s="19">
        <v>0</v>
      </c>
      <c r="AA949" s="19">
        <v>0</v>
      </c>
      <c r="AB949" t="str">
        <f>VLOOKUP(E:E,笔记匹配!A:N,3,FALSE)</f>
        <v>Bruce小厮</v>
      </c>
      <c r="AC949" t="str">
        <f>VLOOKUP(E:E,笔记匹配!A:N,2,FALSE)</f>
        <v>筋膜枪</v>
      </c>
      <c r="AD949" t="str">
        <f>VLOOKUP(E:E,笔记匹配!A:N,4,FALSE)</f>
        <v>云麦筋膜枪PB2</v>
      </c>
      <c r="AE949" t="str">
        <f>VLOOKUP(E:E,笔记匹配!A:N,14,FALSE)</f>
        <v>云麦筋膜枪pb2</v>
      </c>
      <c r="AF949" t="str">
        <f>VLOOKUP(E:E,笔记匹配!A:N,6,FALSE)</f>
        <v>女生练球后如何拉伸按摩，筋膜枪放松！！</v>
      </c>
    </row>
    <row r="950" spans="1:32">
      <c r="A950" s="18" t="s">
        <v>132</v>
      </c>
      <c r="B950" s="18" t="s">
        <v>1233</v>
      </c>
      <c r="C950" s="19">
        <v>19834935</v>
      </c>
      <c r="D950" s="18" t="s">
        <v>209</v>
      </c>
      <c r="E950" s="18" t="s">
        <v>274</v>
      </c>
      <c r="F950" s="18" t="s">
        <v>1234</v>
      </c>
      <c r="G950" s="19">
        <v>4425179</v>
      </c>
      <c r="H950" s="18" t="s">
        <v>1234</v>
      </c>
      <c r="I950" s="19">
        <v>3793911</v>
      </c>
      <c r="J950" s="18" t="s">
        <v>1015</v>
      </c>
      <c r="K950" s="19">
        <v>0</v>
      </c>
      <c r="L950" s="19">
        <v>0</v>
      </c>
      <c r="M950" s="19">
        <v>0</v>
      </c>
      <c r="N950" s="20">
        <v>0</v>
      </c>
      <c r="O950" s="19">
        <v>0</v>
      </c>
      <c r="P950" s="19">
        <v>0</v>
      </c>
      <c r="Q950" s="19">
        <v>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20">
        <v>0</v>
      </c>
      <c r="Z950" s="19">
        <v>0</v>
      </c>
      <c r="AA950" s="19">
        <v>0</v>
      </c>
      <c r="AB950" t="str">
        <f>VLOOKUP(E:E,笔记匹配!A:N,3,FALSE)</f>
        <v>西米是个小可爱</v>
      </c>
      <c r="AC950" t="str">
        <f>VLOOKUP(E:E,笔记匹配!A:N,2,FALSE)</f>
        <v>筋膜枪</v>
      </c>
      <c r="AD950" t="str">
        <f>VLOOKUP(E:E,笔记匹配!A:N,4,FALSE)</f>
        <v>云麦筋膜枪PB2</v>
      </c>
      <c r="AE950" t="str">
        <f>VLOOKUP(E:E,笔记匹配!A:N,14,FALSE)</f>
        <v>云麦筋膜枪pb2</v>
      </c>
      <c r="AF950" t="str">
        <f>VLOOKUP(E:E,笔记匹配!A:N,6,FALSE)</f>
        <v>筋膜枪千万不能乱用！正确肩颈使用方法</v>
      </c>
    </row>
    <row r="951" spans="1:32">
      <c r="A951" s="18" t="s">
        <v>132</v>
      </c>
      <c r="B951" s="18" t="s">
        <v>1255</v>
      </c>
      <c r="C951" s="19">
        <v>20485013</v>
      </c>
      <c r="D951" s="18" t="s">
        <v>196</v>
      </c>
      <c r="E951" s="18" t="s">
        <v>296</v>
      </c>
      <c r="F951" s="18" t="s">
        <v>1256</v>
      </c>
      <c r="G951" s="19">
        <v>4743757</v>
      </c>
      <c r="H951" s="18" t="s">
        <v>1256</v>
      </c>
      <c r="I951" s="19">
        <v>4046764</v>
      </c>
      <c r="J951" s="18" t="s">
        <v>1015</v>
      </c>
      <c r="K951" s="19">
        <v>611.37</v>
      </c>
      <c r="L951" s="19">
        <v>37404</v>
      </c>
      <c r="M951" s="19">
        <v>1706</v>
      </c>
      <c r="N951" s="20">
        <v>0.0456</v>
      </c>
      <c r="O951" s="19">
        <v>0.36</v>
      </c>
      <c r="P951" s="19">
        <v>16.35</v>
      </c>
      <c r="Q951" s="19">
        <v>29</v>
      </c>
      <c r="R951" s="19">
        <v>1</v>
      </c>
      <c r="S951" s="19">
        <v>11</v>
      </c>
      <c r="T951" s="19">
        <v>1</v>
      </c>
      <c r="U951" s="19">
        <v>0</v>
      </c>
      <c r="V951" s="19">
        <v>42</v>
      </c>
      <c r="W951" s="19">
        <v>14.56</v>
      </c>
      <c r="X951" s="19">
        <v>51</v>
      </c>
      <c r="Y951" s="20">
        <v>0.0299</v>
      </c>
      <c r="Z951" s="19">
        <v>4</v>
      </c>
      <c r="AA951" s="19">
        <v>2</v>
      </c>
      <c r="AB951" t="str">
        <f>VLOOKUP(E:E,笔记匹配!A:N,3,FALSE)</f>
        <v>元气芥末酱</v>
      </c>
      <c r="AC951" t="str">
        <f>VLOOKUP(E:E,笔记匹配!A:N,2,FALSE)</f>
        <v>筋膜枪</v>
      </c>
      <c r="AD951" t="str">
        <f>VLOOKUP(E:E,笔记匹配!A:N,4,FALSE)</f>
        <v>云麦筋膜枪PB2</v>
      </c>
      <c r="AE951" t="str">
        <f>VLOOKUP(E:E,笔记匹配!A:N,14,FALSE)</f>
        <v>云麦筋膜枪pb2</v>
      </c>
      <c r="AF951" t="str">
        <f>VLOOKUP(E:E,笔记匹配!A:N,6,FALSE)</f>
        <v>小腿粗的姐妹信我！肌肉腿就要这样按！</v>
      </c>
    </row>
    <row r="952" spans="1:32">
      <c r="A952" s="18" t="s">
        <v>132</v>
      </c>
      <c r="B952" s="18" t="s">
        <v>1255</v>
      </c>
      <c r="C952" s="19">
        <v>20485369</v>
      </c>
      <c r="D952" s="18" t="s">
        <v>196</v>
      </c>
      <c r="E952" s="18" t="s">
        <v>234</v>
      </c>
      <c r="F952" s="18" t="s">
        <v>1258</v>
      </c>
      <c r="G952" s="19">
        <v>4743785</v>
      </c>
      <c r="H952" s="18" t="s">
        <v>1258</v>
      </c>
      <c r="I952" s="19">
        <v>4046938</v>
      </c>
      <c r="J952" s="18" t="s">
        <v>1015</v>
      </c>
      <c r="K952" s="19">
        <v>417.31</v>
      </c>
      <c r="L952" s="19">
        <v>26941</v>
      </c>
      <c r="M952" s="19">
        <v>794</v>
      </c>
      <c r="N952" s="20">
        <v>0.0295</v>
      </c>
      <c r="O952" s="19">
        <v>0.53</v>
      </c>
      <c r="P952" s="19">
        <v>15.49</v>
      </c>
      <c r="Q952" s="19">
        <v>13</v>
      </c>
      <c r="R952" s="19">
        <v>0</v>
      </c>
      <c r="S952" s="19">
        <v>2</v>
      </c>
      <c r="T952" s="19">
        <v>0</v>
      </c>
      <c r="U952" s="19">
        <v>0</v>
      </c>
      <c r="V952" s="19">
        <v>15</v>
      </c>
      <c r="W952" s="19">
        <v>27.82</v>
      </c>
      <c r="X952" s="19">
        <v>0</v>
      </c>
      <c r="Y952" s="20">
        <v>0</v>
      </c>
      <c r="Z952" s="19">
        <v>2</v>
      </c>
      <c r="AA952" s="19">
        <v>0</v>
      </c>
      <c r="AB952" t="str">
        <f>VLOOKUP(E:E,笔记匹配!A:N,3,FALSE)</f>
        <v>pp</v>
      </c>
      <c r="AC952" t="str">
        <f>VLOOKUP(E:E,笔记匹配!A:N,2,FALSE)</f>
        <v>体脂秤</v>
      </c>
      <c r="AD952" t="str">
        <f>VLOOKUP(E:E,笔记匹配!A:N,4,FALSE)</f>
        <v>云麦体脂秤3mini</v>
      </c>
      <c r="AE952" t="str">
        <f>VLOOKUP(E:E,笔记匹配!A:N,14,FALSE)</f>
        <v>云麦体脂秤3mini</v>
      </c>
      <c r="AF952" t="str">
        <f>VLOOKUP(E:E,笔记匹配!A:N,6,FALSE)</f>
        <v>110到88 一些减肥小建议｜如何正确运动</v>
      </c>
    </row>
    <row r="953" spans="1:32">
      <c r="A953" s="18" t="s">
        <v>133</v>
      </c>
      <c r="B953" s="18" t="s">
        <v>1167</v>
      </c>
      <c r="C953" s="19">
        <v>18224197</v>
      </c>
      <c r="D953" s="18" t="s">
        <v>209</v>
      </c>
      <c r="E953" s="18" t="s">
        <v>300</v>
      </c>
      <c r="F953" s="18" t="s">
        <v>1168</v>
      </c>
      <c r="G953" s="19">
        <v>3665138</v>
      </c>
      <c r="H953" s="18" t="s">
        <v>1168</v>
      </c>
      <c r="I953" s="19">
        <v>3050231</v>
      </c>
      <c r="J953" s="18" t="s">
        <v>1015</v>
      </c>
      <c r="K953" s="19">
        <v>0</v>
      </c>
      <c r="L953" s="19">
        <v>0</v>
      </c>
      <c r="M953" s="19">
        <v>0</v>
      </c>
      <c r="N953" s="20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20">
        <v>0</v>
      </c>
      <c r="Z953" s="19">
        <v>0</v>
      </c>
      <c r="AA953" s="19">
        <v>0</v>
      </c>
      <c r="AB953" t="str">
        <f>VLOOKUP(E:E,笔记匹配!A:N,3,FALSE)</f>
        <v>朱俊畅</v>
      </c>
      <c r="AC953" t="str">
        <f>VLOOKUP(E:E,笔记匹配!A:N,2,FALSE)</f>
        <v>筋膜枪</v>
      </c>
      <c r="AD953" t="str">
        <f>VLOOKUP(E:E,笔记匹配!A:N,4,FALSE)</f>
        <v>云麦筋膜枪PB2</v>
      </c>
      <c r="AE953" t="str">
        <f>VLOOKUP(E:E,笔记匹配!A:N,14,FALSE)</f>
        <v>云麦筋膜枪pb2</v>
      </c>
      <c r="AF953" t="str">
        <f>VLOOKUP(E:E,笔记匹配!A:N,6,FALSE)</f>
        <v>打球完容易肌肉酸痛，筋膜枪放松更有效！</v>
      </c>
    </row>
    <row r="954" spans="1:32">
      <c r="A954" s="18" t="s">
        <v>133</v>
      </c>
      <c r="B954" s="18" t="s">
        <v>1181</v>
      </c>
      <c r="C954" s="19">
        <v>18606961</v>
      </c>
      <c r="D954" s="18" t="s">
        <v>209</v>
      </c>
      <c r="E954" s="18" t="s">
        <v>289</v>
      </c>
      <c r="F954" s="18" t="s">
        <v>1183</v>
      </c>
      <c r="G954" s="19">
        <v>3851160</v>
      </c>
      <c r="H954" s="18" t="s">
        <v>1183</v>
      </c>
      <c r="I954" s="19">
        <v>3236289</v>
      </c>
      <c r="J954" s="18" t="s">
        <v>1015</v>
      </c>
      <c r="K954" s="19">
        <v>0</v>
      </c>
      <c r="L954" s="19">
        <v>0</v>
      </c>
      <c r="M954" s="19">
        <v>0</v>
      </c>
      <c r="N954" s="20">
        <v>0</v>
      </c>
      <c r="O954" s="19">
        <v>0</v>
      </c>
      <c r="P954" s="19">
        <v>0</v>
      </c>
      <c r="Q954" s="19">
        <v>0</v>
      </c>
      <c r="R954" s="19">
        <v>0</v>
      </c>
      <c r="S954" s="19">
        <v>0</v>
      </c>
      <c r="T954" s="19">
        <v>0</v>
      </c>
      <c r="U954" s="19">
        <v>0</v>
      </c>
      <c r="V954" s="19">
        <v>0</v>
      </c>
      <c r="W954" s="19">
        <v>0</v>
      </c>
      <c r="X954" s="19">
        <v>0</v>
      </c>
      <c r="Y954" s="20">
        <v>0</v>
      </c>
      <c r="Z954" s="19">
        <v>0</v>
      </c>
      <c r="AA954" s="19">
        <v>0</v>
      </c>
      <c r="AB954" t="str">
        <f>VLOOKUP(E:E,笔记匹配!A:N,3,FALSE)</f>
        <v>小蓝今天吃了没</v>
      </c>
      <c r="AC954" t="str">
        <f>VLOOKUP(E:E,笔记匹配!A:N,2,FALSE)</f>
        <v>筋膜枪</v>
      </c>
      <c r="AD954" t="str">
        <f>VLOOKUP(E:E,笔记匹配!A:N,4,FALSE)</f>
        <v>云麦 筋膜枪PB2</v>
      </c>
      <c r="AE954" t="str">
        <f>VLOOKUP(E:E,笔记匹配!A:N,14,FALSE)</f>
        <v>云麦筋膜枪pb2</v>
      </c>
      <c r="AF954" t="str">
        <f>VLOOKUP(E:E,笔记匹配!A:N,6,FALSE)</f>
        <v>筋膜枪正确用法！刘耕宏女孩永不认输</v>
      </c>
    </row>
    <row r="955" spans="1:32">
      <c r="A955" s="18" t="s">
        <v>133</v>
      </c>
      <c r="B955" s="18" t="s">
        <v>1229</v>
      </c>
      <c r="C955" s="19">
        <v>19752470</v>
      </c>
      <c r="D955" s="18" t="s">
        <v>209</v>
      </c>
      <c r="E955" s="18" t="s">
        <v>300</v>
      </c>
      <c r="F955" s="18" t="s">
        <v>1230</v>
      </c>
      <c r="G955" s="19">
        <v>4384092</v>
      </c>
      <c r="H955" s="18" t="s">
        <v>1230</v>
      </c>
      <c r="I955" s="19">
        <v>3756475</v>
      </c>
      <c r="J955" s="18" t="s">
        <v>1015</v>
      </c>
      <c r="K955" s="19">
        <v>0</v>
      </c>
      <c r="L955" s="19">
        <v>0</v>
      </c>
      <c r="M955" s="19">
        <v>0</v>
      </c>
      <c r="N955" s="20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20">
        <v>0</v>
      </c>
      <c r="Z955" s="19">
        <v>0</v>
      </c>
      <c r="AA955" s="19">
        <v>0</v>
      </c>
      <c r="AB955" t="str">
        <f>VLOOKUP(E:E,笔记匹配!A:N,3,FALSE)</f>
        <v>朱俊畅</v>
      </c>
      <c r="AC955" t="str">
        <f>VLOOKUP(E:E,笔记匹配!A:N,2,FALSE)</f>
        <v>筋膜枪</v>
      </c>
      <c r="AD955" t="str">
        <f>VLOOKUP(E:E,笔记匹配!A:N,4,FALSE)</f>
        <v>云麦筋膜枪PB2</v>
      </c>
      <c r="AE955" t="str">
        <f>VLOOKUP(E:E,笔记匹配!A:N,14,FALSE)</f>
        <v>云麦筋膜枪pb2</v>
      </c>
      <c r="AF955" t="str">
        <f>VLOOKUP(E:E,笔记匹配!A:N,6,FALSE)</f>
        <v>打球完容易肌肉酸痛，筋膜枪放松更有效！</v>
      </c>
    </row>
    <row r="956" spans="1:32">
      <c r="A956" s="18" t="s">
        <v>133</v>
      </c>
      <c r="B956" s="18" t="s">
        <v>1255</v>
      </c>
      <c r="C956" s="19">
        <v>20485013</v>
      </c>
      <c r="D956" s="18" t="s">
        <v>196</v>
      </c>
      <c r="E956" s="18" t="s">
        <v>296</v>
      </c>
      <c r="F956" s="18" t="s">
        <v>1256</v>
      </c>
      <c r="G956" s="19">
        <v>4743757</v>
      </c>
      <c r="H956" s="18" t="s">
        <v>1256</v>
      </c>
      <c r="I956" s="19">
        <v>4046764</v>
      </c>
      <c r="J956" s="18" t="s">
        <v>1015</v>
      </c>
      <c r="K956" s="19">
        <v>607.4</v>
      </c>
      <c r="L956" s="19">
        <v>36888</v>
      </c>
      <c r="M956" s="19">
        <v>1687</v>
      </c>
      <c r="N956" s="20">
        <v>0.0457</v>
      </c>
      <c r="O956" s="19">
        <v>0.36</v>
      </c>
      <c r="P956" s="19">
        <v>16.47</v>
      </c>
      <c r="Q956" s="19">
        <v>24</v>
      </c>
      <c r="R956" s="19">
        <v>0</v>
      </c>
      <c r="S956" s="19">
        <v>14</v>
      </c>
      <c r="T956" s="19">
        <v>2</v>
      </c>
      <c r="U956" s="19">
        <v>0</v>
      </c>
      <c r="V956" s="19">
        <v>40</v>
      </c>
      <c r="W956" s="19">
        <v>15.18</v>
      </c>
      <c r="X956" s="19">
        <v>32</v>
      </c>
      <c r="Y956" s="20">
        <v>0.019</v>
      </c>
      <c r="Z956" s="19">
        <v>6</v>
      </c>
      <c r="AA956" s="19">
        <v>2</v>
      </c>
      <c r="AB956" t="str">
        <f>VLOOKUP(E:E,笔记匹配!A:N,3,FALSE)</f>
        <v>元气芥末酱</v>
      </c>
      <c r="AC956" t="str">
        <f>VLOOKUP(E:E,笔记匹配!A:N,2,FALSE)</f>
        <v>筋膜枪</v>
      </c>
      <c r="AD956" t="str">
        <f>VLOOKUP(E:E,笔记匹配!A:N,4,FALSE)</f>
        <v>云麦筋膜枪PB2</v>
      </c>
      <c r="AE956" t="str">
        <f>VLOOKUP(E:E,笔记匹配!A:N,14,FALSE)</f>
        <v>云麦筋膜枪pb2</v>
      </c>
      <c r="AF956" t="str">
        <f>VLOOKUP(E:E,笔记匹配!A:N,6,FALSE)</f>
        <v>小腿粗的姐妹信我！肌肉腿就要这样按！</v>
      </c>
    </row>
    <row r="957" spans="1:32">
      <c r="A957" s="18" t="s">
        <v>133</v>
      </c>
      <c r="B957" s="18" t="s">
        <v>1255</v>
      </c>
      <c r="C957" s="19">
        <v>20485369</v>
      </c>
      <c r="D957" s="18" t="s">
        <v>196</v>
      </c>
      <c r="E957" s="18" t="s">
        <v>234</v>
      </c>
      <c r="F957" s="18" t="s">
        <v>1258</v>
      </c>
      <c r="G957" s="19">
        <v>4743785</v>
      </c>
      <c r="H957" s="18" t="s">
        <v>1258</v>
      </c>
      <c r="I957" s="19">
        <v>4046938</v>
      </c>
      <c r="J957" s="18" t="s">
        <v>1015</v>
      </c>
      <c r="K957" s="19">
        <v>419.14</v>
      </c>
      <c r="L957" s="19">
        <v>30234</v>
      </c>
      <c r="M957" s="19">
        <v>819</v>
      </c>
      <c r="N957" s="20">
        <v>0.0271</v>
      </c>
      <c r="O957" s="19">
        <v>0.51</v>
      </c>
      <c r="P957" s="19">
        <v>13.86</v>
      </c>
      <c r="Q957" s="19">
        <v>5</v>
      </c>
      <c r="R957" s="19">
        <v>0</v>
      </c>
      <c r="S957" s="19">
        <v>3</v>
      </c>
      <c r="T957" s="19">
        <v>0</v>
      </c>
      <c r="U957" s="19">
        <v>0</v>
      </c>
      <c r="V957" s="19">
        <v>8</v>
      </c>
      <c r="W957" s="19">
        <v>52.39</v>
      </c>
      <c r="X957" s="19">
        <v>0</v>
      </c>
      <c r="Y957" s="20">
        <v>0</v>
      </c>
      <c r="Z957" s="19">
        <v>0</v>
      </c>
      <c r="AA957" s="19">
        <v>3</v>
      </c>
      <c r="AB957" t="str">
        <f>VLOOKUP(E:E,笔记匹配!A:N,3,FALSE)</f>
        <v>pp</v>
      </c>
      <c r="AC957" t="str">
        <f>VLOOKUP(E:E,笔记匹配!A:N,2,FALSE)</f>
        <v>体脂秤</v>
      </c>
      <c r="AD957" t="str">
        <f>VLOOKUP(E:E,笔记匹配!A:N,4,FALSE)</f>
        <v>云麦体脂秤3mini</v>
      </c>
      <c r="AE957" t="str">
        <f>VLOOKUP(E:E,笔记匹配!A:N,14,FALSE)</f>
        <v>云麦体脂秤3mini</v>
      </c>
      <c r="AF957" t="str">
        <f>VLOOKUP(E:E,笔记匹配!A:N,6,FALSE)</f>
        <v>110到88 一些减肥小建议｜如何正确运动</v>
      </c>
    </row>
    <row r="958" spans="1:32">
      <c r="A958" s="18" t="s">
        <v>134</v>
      </c>
      <c r="B958" s="18" t="s">
        <v>1184</v>
      </c>
      <c r="C958" s="19">
        <v>18646457</v>
      </c>
      <c r="D958" s="18" t="s">
        <v>209</v>
      </c>
      <c r="E958" s="18" t="s">
        <v>395</v>
      </c>
      <c r="F958" s="18" t="s">
        <v>1186</v>
      </c>
      <c r="G958" s="19">
        <v>3870563</v>
      </c>
      <c r="H958" s="18" t="s">
        <v>1186</v>
      </c>
      <c r="I958" s="19">
        <v>3255634</v>
      </c>
      <c r="J958" s="18" t="s">
        <v>1015</v>
      </c>
      <c r="K958" s="19">
        <v>0</v>
      </c>
      <c r="L958" s="19">
        <v>0</v>
      </c>
      <c r="M958" s="19">
        <v>0</v>
      </c>
      <c r="N958" s="20">
        <v>0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  <c r="T958" s="19">
        <v>0</v>
      </c>
      <c r="U958" s="19">
        <v>0</v>
      </c>
      <c r="V958" s="19">
        <v>0</v>
      </c>
      <c r="W958" s="19">
        <v>0</v>
      </c>
      <c r="X958" s="19">
        <v>0</v>
      </c>
      <c r="Y958" s="20">
        <v>0</v>
      </c>
      <c r="Z958" s="19">
        <v>0</v>
      </c>
      <c r="AA958" s="19">
        <v>0</v>
      </c>
      <c r="AB958" t="str">
        <f>VLOOKUP(E:E,笔记匹配!A:N,3,FALSE)</f>
        <v>月亮起床了</v>
      </c>
      <c r="AC958" t="str">
        <f>VLOOKUP(E:E,笔记匹配!A:N,2,FALSE)</f>
        <v>筋膜枪</v>
      </c>
      <c r="AD958" t="str">
        <f>VLOOKUP(E:E,笔记匹配!A:N,4,FALSE)</f>
        <v>云麦筋膜枪pb2</v>
      </c>
      <c r="AE958" t="str">
        <f>VLOOKUP(E:E,笔记匹配!A:N,14,FALSE)</f>
        <v>云麦筋膜枪pb2</v>
      </c>
      <c r="AF958" t="str">
        <f>VLOOKUP(E:E,笔记匹配!A:N,6,FALSE)</f>
        <v>超强瘦🦵绝招，记得用筋膜枪放松</v>
      </c>
    </row>
    <row r="959" spans="1:32">
      <c r="A959" s="18" t="s">
        <v>134</v>
      </c>
      <c r="B959" s="18" t="s">
        <v>1229</v>
      </c>
      <c r="C959" s="19">
        <v>19752470</v>
      </c>
      <c r="D959" s="18" t="s">
        <v>209</v>
      </c>
      <c r="E959" s="18" t="s">
        <v>300</v>
      </c>
      <c r="F959" s="18" t="s">
        <v>1230</v>
      </c>
      <c r="G959" s="19">
        <v>4384092</v>
      </c>
      <c r="H959" s="18" t="s">
        <v>1230</v>
      </c>
      <c r="I959" s="19">
        <v>3756475</v>
      </c>
      <c r="J959" s="18" t="s">
        <v>1015</v>
      </c>
      <c r="K959" s="19">
        <v>0</v>
      </c>
      <c r="L959" s="19">
        <v>0</v>
      </c>
      <c r="M959" s="19">
        <v>0</v>
      </c>
      <c r="N959" s="20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20">
        <v>0</v>
      </c>
      <c r="Z959" s="19">
        <v>0</v>
      </c>
      <c r="AA959" s="19">
        <v>0</v>
      </c>
      <c r="AB959" t="str">
        <f>VLOOKUP(E:E,笔记匹配!A:N,3,FALSE)</f>
        <v>朱俊畅</v>
      </c>
      <c r="AC959" t="str">
        <f>VLOOKUP(E:E,笔记匹配!A:N,2,FALSE)</f>
        <v>筋膜枪</v>
      </c>
      <c r="AD959" t="str">
        <f>VLOOKUP(E:E,笔记匹配!A:N,4,FALSE)</f>
        <v>云麦筋膜枪PB2</v>
      </c>
      <c r="AE959" t="str">
        <f>VLOOKUP(E:E,笔记匹配!A:N,14,FALSE)</f>
        <v>云麦筋膜枪pb2</v>
      </c>
      <c r="AF959" t="str">
        <f>VLOOKUP(E:E,笔记匹配!A:N,6,FALSE)</f>
        <v>打球完容易肌肉酸痛，筋膜枪放松更有效！</v>
      </c>
    </row>
    <row r="960" spans="1:32">
      <c r="A960" s="18" t="s">
        <v>134</v>
      </c>
      <c r="B960" s="18" t="s">
        <v>1255</v>
      </c>
      <c r="C960" s="19">
        <v>20485013</v>
      </c>
      <c r="D960" s="18" t="s">
        <v>196</v>
      </c>
      <c r="E960" s="18" t="s">
        <v>296</v>
      </c>
      <c r="F960" s="18" t="s">
        <v>1256</v>
      </c>
      <c r="G960" s="19">
        <v>4743757</v>
      </c>
      <c r="H960" s="18" t="s">
        <v>1256</v>
      </c>
      <c r="I960" s="19">
        <v>4046764</v>
      </c>
      <c r="J960" s="18" t="s">
        <v>1015</v>
      </c>
      <c r="K960" s="19">
        <v>610.88</v>
      </c>
      <c r="L960" s="19">
        <v>36934</v>
      </c>
      <c r="M960" s="19">
        <v>1702</v>
      </c>
      <c r="N960" s="20">
        <v>0.0461</v>
      </c>
      <c r="O960" s="19">
        <v>0.36</v>
      </c>
      <c r="P960" s="19">
        <v>16.54</v>
      </c>
      <c r="Q960" s="19">
        <v>22</v>
      </c>
      <c r="R960" s="19">
        <v>0</v>
      </c>
      <c r="S960" s="19">
        <v>7</v>
      </c>
      <c r="T960" s="19">
        <v>0</v>
      </c>
      <c r="U960" s="19">
        <v>1</v>
      </c>
      <c r="V960" s="19">
        <v>30</v>
      </c>
      <c r="W960" s="19">
        <v>20.36</v>
      </c>
      <c r="X960" s="19">
        <v>49</v>
      </c>
      <c r="Y960" s="20">
        <v>0.0288</v>
      </c>
      <c r="Z960" s="19">
        <v>2</v>
      </c>
      <c r="AA960" s="19">
        <v>0</v>
      </c>
      <c r="AB960" t="str">
        <f>VLOOKUP(E:E,笔记匹配!A:N,3,FALSE)</f>
        <v>元气芥末酱</v>
      </c>
      <c r="AC960" t="str">
        <f>VLOOKUP(E:E,笔记匹配!A:N,2,FALSE)</f>
        <v>筋膜枪</v>
      </c>
      <c r="AD960" t="str">
        <f>VLOOKUP(E:E,笔记匹配!A:N,4,FALSE)</f>
        <v>云麦筋膜枪PB2</v>
      </c>
      <c r="AE960" t="str">
        <f>VLOOKUP(E:E,笔记匹配!A:N,14,FALSE)</f>
        <v>云麦筋膜枪pb2</v>
      </c>
      <c r="AF960" t="str">
        <f>VLOOKUP(E:E,笔记匹配!A:N,6,FALSE)</f>
        <v>小腿粗的姐妹信我！肌肉腿就要这样按！</v>
      </c>
    </row>
    <row r="961" spans="1:32">
      <c r="A961" s="18" t="s">
        <v>134</v>
      </c>
      <c r="B961" s="18" t="s">
        <v>1255</v>
      </c>
      <c r="C961" s="19">
        <v>20485369</v>
      </c>
      <c r="D961" s="18" t="s">
        <v>196</v>
      </c>
      <c r="E961" s="18" t="s">
        <v>234</v>
      </c>
      <c r="F961" s="18" t="s">
        <v>1258</v>
      </c>
      <c r="G961" s="19">
        <v>4743785</v>
      </c>
      <c r="H961" s="18" t="s">
        <v>1258</v>
      </c>
      <c r="I961" s="19">
        <v>4046938</v>
      </c>
      <c r="J961" s="18" t="s">
        <v>1015</v>
      </c>
      <c r="K961" s="19">
        <v>409.5</v>
      </c>
      <c r="L961" s="19">
        <v>26124</v>
      </c>
      <c r="M961" s="19">
        <v>814</v>
      </c>
      <c r="N961" s="20">
        <v>0.0312</v>
      </c>
      <c r="O961" s="19">
        <v>0.5</v>
      </c>
      <c r="P961" s="19">
        <v>15.68</v>
      </c>
      <c r="Q961" s="19">
        <v>8</v>
      </c>
      <c r="R961" s="19">
        <v>0</v>
      </c>
      <c r="S961" s="19">
        <v>1</v>
      </c>
      <c r="T961" s="19">
        <v>0</v>
      </c>
      <c r="U961" s="19">
        <v>0</v>
      </c>
      <c r="V961" s="19">
        <v>9</v>
      </c>
      <c r="W961" s="19">
        <v>45.5</v>
      </c>
      <c r="X961" s="19">
        <v>0</v>
      </c>
      <c r="Y961" s="20">
        <v>0</v>
      </c>
      <c r="Z961" s="19">
        <v>2</v>
      </c>
      <c r="AA961" s="19">
        <v>0</v>
      </c>
      <c r="AB961" t="str">
        <f>VLOOKUP(E:E,笔记匹配!A:N,3,FALSE)</f>
        <v>pp</v>
      </c>
      <c r="AC961" t="str">
        <f>VLOOKUP(E:E,笔记匹配!A:N,2,FALSE)</f>
        <v>体脂秤</v>
      </c>
      <c r="AD961" t="str">
        <f>VLOOKUP(E:E,笔记匹配!A:N,4,FALSE)</f>
        <v>云麦体脂秤3mini</v>
      </c>
      <c r="AE961" t="str">
        <f>VLOOKUP(E:E,笔记匹配!A:N,14,FALSE)</f>
        <v>云麦体脂秤3mini</v>
      </c>
      <c r="AF961" t="str">
        <f>VLOOKUP(E:E,笔记匹配!A:N,6,FALSE)</f>
        <v>110到88 一些减肥小建议｜如何正确运动</v>
      </c>
    </row>
    <row r="962" spans="1:32">
      <c r="A962" s="18" t="s">
        <v>135</v>
      </c>
      <c r="B962" s="18" t="s">
        <v>1223</v>
      </c>
      <c r="C962" s="19">
        <v>19607721</v>
      </c>
      <c r="D962" s="18" t="s">
        <v>209</v>
      </c>
      <c r="E962" s="18" t="s">
        <v>575</v>
      </c>
      <c r="F962" s="18" t="s">
        <v>837</v>
      </c>
      <c r="G962" s="19">
        <v>4314821</v>
      </c>
      <c r="H962" s="18" t="s">
        <v>1225</v>
      </c>
      <c r="I962" s="19">
        <v>3692290</v>
      </c>
      <c r="J962" s="18" t="s">
        <v>1015</v>
      </c>
      <c r="K962" s="19">
        <v>0</v>
      </c>
      <c r="L962" s="19">
        <v>0</v>
      </c>
      <c r="M962" s="19">
        <v>0</v>
      </c>
      <c r="N962" s="20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20">
        <v>0</v>
      </c>
      <c r="Z962" s="19">
        <v>0</v>
      </c>
      <c r="AA962" s="19">
        <v>0</v>
      </c>
      <c r="AB962" t="str">
        <f>VLOOKUP(E:E,笔记匹配!A:N,3,FALSE)</f>
        <v>跑酷莫承烽</v>
      </c>
      <c r="AC962" t="str">
        <f>VLOOKUP(E:E,笔记匹配!A:N,2,FALSE)</f>
        <v>筋膜枪</v>
      </c>
      <c r="AD962" t="str">
        <f>VLOOKUP(E:E,笔记匹配!A:N,4,FALSE)</f>
        <v>云麦筋膜枪pb2</v>
      </c>
      <c r="AE962" t="str">
        <f>VLOOKUP(E:E,笔记匹配!A:N,14,FALSE)</f>
        <v>云麦筋膜枪pb2</v>
      </c>
      <c r="AF962" t="str">
        <f>VLOOKUP(E:E,笔记匹配!A:N,6,FALSE)</f>
        <v>职业跑酷运动员|自用筋膜枪推荐</v>
      </c>
    </row>
    <row r="963" spans="1:32">
      <c r="A963" s="18" t="s">
        <v>135</v>
      </c>
      <c r="B963" s="18" t="s">
        <v>1226</v>
      </c>
      <c r="C963" s="19">
        <v>19713077</v>
      </c>
      <c r="D963" s="18" t="s">
        <v>209</v>
      </c>
      <c r="E963" s="18" t="s">
        <v>317</v>
      </c>
      <c r="F963" s="18" t="s">
        <v>1231</v>
      </c>
      <c r="G963" s="19">
        <v>4365044</v>
      </c>
      <c r="H963" s="18" t="s">
        <v>1232</v>
      </c>
      <c r="I963" s="19">
        <v>3739155</v>
      </c>
      <c r="J963" s="18" t="s">
        <v>1015</v>
      </c>
      <c r="K963" s="19">
        <v>0</v>
      </c>
      <c r="L963" s="19">
        <v>0</v>
      </c>
      <c r="M963" s="19">
        <v>0</v>
      </c>
      <c r="N963" s="20">
        <v>0</v>
      </c>
      <c r="O963" s="19">
        <v>0</v>
      </c>
      <c r="P963" s="19">
        <v>0</v>
      </c>
      <c r="Q963" s="19">
        <v>0</v>
      </c>
      <c r="R963" s="19">
        <v>0</v>
      </c>
      <c r="S963" s="19">
        <v>0</v>
      </c>
      <c r="T963" s="19">
        <v>0</v>
      </c>
      <c r="U963" s="19">
        <v>0</v>
      </c>
      <c r="V963" s="19">
        <v>0</v>
      </c>
      <c r="W963" s="19">
        <v>0</v>
      </c>
      <c r="X963" s="19">
        <v>0</v>
      </c>
      <c r="Y963" s="20">
        <v>0</v>
      </c>
      <c r="Z963" s="19">
        <v>0</v>
      </c>
      <c r="AA963" s="19">
        <v>0</v>
      </c>
      <c r="AB963" t="str">
        <f>VLOOKUP(E:E,笔记匹配!A:N,3,FALSE)</f>
        <v>小乔您了</v>
      </c>
      <c r="AC963" t="str">
        <f>VLOOKUP(E:E,笔记匹配!A:N,2,FALSE)</f>
        <v>筋膜枪</v>
      </c>
      <c r="AD963" t="str">
        <f>VLOOKUP(E:E,笔记匹配!A:N,4,FALSE)</f>
        <v>云麦筋膜枪pb2</v>
      </c>
      <c r="AE963" t="str">
        <f>VLOOKUP(E:E,笔记匹配!A:N,14,FALSE)</f>
        <v>云麦筋膜枪pb2</v>
      </c>
      <c r="AF963" t="str">
        <f>VLOOKUP(E:E,笔记匹配!A:N,6,FALSE)</f>
        <v>🆘哭了！筋膜枪细【脂包肌】小腿被我悟明白了！</v>
      </c>
    </row>
    <row r="964" spans="1:32">
      <c r="A964" s="18" t="s">
        <v>135</v>
      </c>
      <c r="B964" s="18" t="s">
        <v>1233</v>
      </c>
      <c r="C964" s="19">
        <v>19834935</v>
      </c>
      <c r="D964" s="18" t="s">
        <v>209</v>
      </c>
      <c r="E964" s="18" t="s">
        <v>274</v>
      </c>
      <c r="F964" s="18" t="s">
        <v>1234</v>
      </c>
      <c r="G964" s="19">
        <v>4425179</v>
      </c>
      <c r="H964" s="18" t="s">
        <v>1234</v>
      </c>
      <c r="I964" s="19">
        <v>3793911</v>
      </c>
      <c r="J964" s="18" t="s">
        <v>1015</v>
      </c>
      <c r="K964" s="19">
        <v>0</v>
      </c>
      <c r="L964" s="19">
        <v>0</v>
      </c>
      <c r="M964" s="19">
        <v>0</v>
      </c>
      <c r="N964" s="20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20">
        <v>0</v>
      </c>
      <c r="Z964" s="19">
        <v>0</v>
      </c>
      <c r="AA964" s="19">
        <v>0</v>
      </c>
      <c r="AB964" t="str">
        <f>VLOOKUP(E:E,笔记匹配!A:N,3,FALSE)</f>
        <v>西米是个小可爱</v>
      </c>
      <c r="AC964" t="str">
        <f>VLOOKUP(E:E,笔记匹配!A:N,2,FALSE)</f>
        <v>筋膜枪</v>
      </c>
      <c r="AD964" t="str">
        <f>VLOOKUP(E:E,笔记匹配!A:N,4,FALSE)</f>
        <v>云麦筋膜枪PB2</v>
      </c>
      <c r="AE964" t="str">
        <f>VLOOKUP(E:E,笔记匹配!A:N,14,FALSE)</f>
        <v>云麦筋膜枪pb2</v>
      </c>
      <c r="AF964" t="str">
        <f>VLOOKUP(E:E,笔记匹配!A:N,6,FALSE)</f>
        <v>筋膜枪千万不能乱用！正确肩颈使用方法</v>
      </c>
    </row>
    <row r="965" spans="1:32">
      <c r="A965" s="18" t="s">
        <v>135</v>
      </c>
      <c r="B965" s="18" t="s">
        <v>1255</v>
      </c>
      <c r="C965" s="19">
        <v>20485013</v>
      </c>
      <c r="D965" s="18" t="s">
        <v>196</v>
      </c>
      <c r="E965" s="18" t="s">
        <v>296</v>
      </c>
      <c r="F965" s="18" t="s">
        <v>1256</v>
      </c>
      <c r="G965" s="19">
        <v>4743757</v>
      </c>
      <c r="H965" s="18" t="s">
        <v>1256</v>
      </c>
      <c r="I965" s="19">
        <v>4046764</v>
      </c>
      <c r="J965" s="18" t="s">
        <v>1015</v>
      </c>
      <c r="K965" s="19">
        <v>609.04</v>
      </c>
      <c r="L965" s="19">
        <v>37755</v>
      </c>
      <c r="M965" s="19">
        <v>1691</v>
      </c>
      <c r="N965" s="20">
        <v>0.0448</v>
      </c>
      <c r="O965" s="19">
        <v>0.36</v>
      </c>
      <c r="P965" s="19">
        <v>16.13</v>
      </c>
      <c r="Q965" s="19">
        <v>26</v>
      </c>
      <c r="R965" s="19">
        <v>0</v>
      </c>
      <c r="S965" s="19">
        <v>10</v>
      </c>
      <c r="T965" s="19">
        <v>0</v>
      </c>
      <c r="U965" s="19">
        <v>0</v>
      </c>
      <c r="V965" s="19">
        <v>36</v>
      </c>
      <c r="W965" s="19">
        <v>16.92</v>
      </c>
      <c r="X965" s="19">
        <v>28</v>
      </c>
      <c r="Y965" s="20">
        <v>0.0166</v>
      </c>
      <c r="Z965" s="19">
        <v>10</v>
      </c>
      <c r="AA965" s="19">
        <v>2</v>
      </c>
      <c r="AB965" t="str">
        <f>VLOOKUP(E:E,笔记匹配!A:N,3,FALSE)</f>
        <v>元气芥末酱</v>
      </c>
      <c r="AC965" t="str">
        <f>VLOOKUP(E:E,笔记匹配!A:N,2,FALSE)</f>
        <v>筋膜枪</v>
      </c>
      <c r="AD965" t="str">
        <f>VLOOKUP(E:E,笔记匹配!A:N,4,FALSE)</f>
        <v>云麦筋膜枪PB2</v>
      </c>
      <c r="AE965" t="str">
        <f>VLOOKUP(E:E,笔记匹配!A:N,14,FALSE)</f>
        <v>云麦筋膜枪pb2</v>
      </c>
      <c r="AF965" t="str">
        <f>VLOOKUP(E:E,笔记匹配!A:N,6,FALSE)</f>
        <v>小腿粗的姐妹信我！肌肉腿就要这样按！</v>
      </c>
    </row>
    <row r="966" spans="1:32">
      <c r="A966" s="18" t="s">
        <v>135</v>
      </c>
      <c r="B966" s="18" t="s">
        <v>1255</v>
      </c>
      <c r="C966" s="19">
        <v>20485369</v>
      </c>
      <c r="D966" s="18" t="s">
        <v>196</v>
      </c>
      <c r="E966" s="18" t="s">
        <v>234</v>
      </c>
      <c r="F966" s="18" t="s">
        <v>1258</v>
      </c>
      <c r="G966" s="19">
        <v>4743785</v>
      </c>
      <c r="H966" s="18" t="s">
        <v>1258</v>
      </c>
      <c r="I966" s="19">
        <v>4046938</v>
      </c>
      <c r="J966" s="18" t="s">
        <v>1015</v>
      </c>
      <c r="K966" s="19">
        <v>409.34</v>
      </c>
      <c r="L966" s="19">
        <v>27176</v>
      </c>
      <c r="M966" s="19">
        <v>787</v>
      </c>
      <c r="N966" s="20">
        <v>0.029</v>
      </c>
      <c r="O966" s="19">
        <v>0.52</v>
      </c>
      <c r="P966" s="19">
        <v>15.06</v>
      </c>
      <c r="Q966" s="19">
        <v>8</v>
      </c>
      <c r="R966" s="19">
        <v>0</v>
      </c>
      <c r="S966" s="19">
        <v>3</v>
      </c>
      <c r="T966" s="19">
        <v>1</v>
      </c>
      <c r="U966" s="19">
        <v>0</v>
      </c>
      <c r="V966" s="19">
        <v>12</v>
      </c>
      <c r="W966" s="19">
        <v>34.11</v>
      </c>
      <c r="X966" s="19">
        <v>0</v>
      </c>
      <c r="Y966" s="20">
        <v>0</v>
      </c>
      <c r="Z966" s="19">
        <v>3</v>
      </c>
      <c r="AA966" s="19">
        <v>2</v>
      </c>
      <c r="AB966" t="str">
        <f>VLOOKUP(E:E,笔记匹配!A:N,3,FALSE)</f>
        <v>pp</v>
      </c>
      <c r="AC966" t="str">
        <f>VLOOKUP(E:E,笔记匹配!A:N,2,FALSE)</f>
        <v>体脂秤</v>
      </c>
      <c r="AD966" t="str">
        <f>VLOOKUP(E:E,笔记匹配!A:N,4,FALSE)</f>
        <v>云麦体脂秤3mini</v>
      </c>
      <c r="AE966" t="str">
        <f>VLOOKUP(E:E,笔记匹配!A:N,14,FALSE)</f>
        <v>云麦体脂秤3mini</v>
      </c>
      <c r="AF966" t="str">
        <f>VLOOKUP(E:E,笔记匹配!A:N,6,FALSE)</f>
        <v>110到88 一些减肥小建议｜如何正确运动</v>
      </c>
    </row>
    <row r="967" spans="1:32">
      <c r="A967" s="18" t="s">
        <v>136</v>
      </c>
      <c r="B967" s="18" t="s">
        <v>1164</v>
      </c>
      <c r="C967" s="19">
        <v>18170615</v>
      </c>
      <c r="D967" s="18" t="s">
        <v>209</v>
      </c>
      <c r="E967" s="18" t="s">
        <v>205</v>
      </c>
      <c r="F967" s="18" t="s">
        <v>1165</v>
      </c>
      <c r="G967" s="19">
        <v>3639848</v>
      </c>
      <c r="H967" s="18" t="s">
        <v>1166</v>
      </c>
      <c r="I967" s="19">
        <v>3024741</v>
      </c>
      <c r="J967" s="18" t="s">
        <v>1015</v>
      </c>
      <c r="K967" s="19">
        <v>0</v>
      </c>
      <c r="L967" s="19">
        <v>0</v>
      </c>
      <c r="M967" s="19">
        <v>0</v>
      </c>
      <c r="N967" s="20">
        <v>0</v>
      </c>
      <c r="O967" s="19">
        <v>0</v>
      </c>
      <c r="P967" s="19">
        <v>0</v>
      </c>
      <c r="Q967" s="19">
        <v>0</v>
      </c>
      <c r="R967" s="19">
        <v>0</v>
      </c>
      <c r="S967" s="19">
        <v>0</v>
      </c>
      <c r="T967" s="19">
        <v>0</v>
      </c>
      <c r="U967" s="19">
        <v>0</v>
      </c>
      <c r="V967" s="19">
        <v>0</v>
      </c>
      <c r="W967" s="19">
        <v>0</v>
      </c>
      <c r="X967" s="19">
        <v>0</v>
      </c>
      <c r="Y967" s="20">
        <v>0</v>
      </c>
      <c r="Z967" s="19">
        <v>0</v>
      </c>
      <c r="AA967" s="19">
        <v>0</v>
      </c>
      <c r="AB967" t="str">
        <f>VLOOKUP(E:E,笔记匹配!A:N,3,FALSE)</f>
        <v>马可乐cora</v>
      </c>
      <c r="AC967" t="str">
        <f>VLOOKUP(E:E,笔记匹配!A:N,2,FALSE)</f>
        <v>筋膜枪</v>
      </c>
      <c r="AD967" t="str">
        <f>VLOOKUP(E:E,笔记匹配!A:N,4,FALSE)</f>
        <v>云麦筋膜枪PB2</v>
      </c>
      <c r="AE967" t="str">
        <f>VLOOKUP(E:E,笔记匹配!A:N,14,FALSE)</f>
        <v>云麦筋膜枪pb2</v>
      </c>
      <c r="AF967" t="str">
        <f>VLOOKUP(E:E,笔记匹配!A:N,6,FALSE)</f>
        <v>跳操的姐妹听我的用筋膜枪放松下肢真的有用</v>
      </c>
    </row>
    <row r="968" spans="1:32">
      <c r="A968" s="18" t="s">
        <v>136</v>
      </c>
      <c r="B968" s="18" t="s">
        <v>1196</v>
      </c>
      <c r="C968" s="19">
        <v>19054497</v>
      </c>
      <c r="D968" s="18" t="s">
        <v>209</v>
      </c>
      <c r="E968" s="18" t="s">
        <v>452</v>
      </c>
      <c r="F968" s="18" t="s">
        <v>1198</v>
      </c>
      <c r="G968" s="19">
        <v>4059827</v>
      </c>
      <c r="H968" s="18" t="s">
        <v>1198</v>
      </c>
      <c r="I968" s="19">
        <v>3442591</v>
      </c>
      <c r="J968" s="18" t="s">
        <v>1015</v>
      </c>
      <c r="K968" s="19">
        <v>0</v>
      </c>
      <c r="L968" s="19">
        <v>0</v>
      </c>
      <c r="M968" s="19">
        <v>0</v>
      </c>
      <c r="N968" s="20">
        <v>0</v>
      </c>
      <c r="O968" s="19">
        <v>0</v>
      </c>
      <c r="P968" s="19">
        <v>0</v>
      </c>
      <c r="Q968" s="19">
        <v>0</v>
      </c>
      <c r="R968" s="19">
        <v>0</v>
      </c>
      <c r="S968" s="19">
        <v>0</v>
      </c>
      <c r="T968" s="19">
        <v>0</v>
      </c>
      <c r="U968" s="19">
        <v>0</v>
      </c>
      <c r="V968" s="19">
        <v>0</v>
      </c>
      <c r="W968" s="19">
        <v>0</v>
      </c>
      <c r="X968" s="19">
        <v>0</v>
      </c>
      <c r="Y968" s="20">
        <v>0</v>
      </c>
      <c r="Z968" s="19">
        <v>0</v>
      </c>
      <c r="AA968" s="19">
        <v>0</v>
      </c>
      <c r="AB968" t="str">
        <f>VLOOKUP(E:E,笔记匹配!A:N,3,FALSE)</f>
        <v>Bruce小厮</v>
      </c>
      <c r="AC968" t="str">
        <f>VLOOKUP(E:E,笔记匹配!A:N,2,FALSE)</f>
        <v>筋膜枪</v>
      </c>
      <c r="AD968" t="str">
        <f>VLOOKUP(E:E,笔记匹配!A:N,4,FALSE)</f>
        <v>云麦筋膜枪PB2</v>
      </c>
      <c r="AE968" t="str">
        <f>VLOOKUP(E:E,笔记匹配!A:N,14,FALSE)</f>
        <v>云麦筋膜枪pb2</v>
      </c>
      <c r="AF968" t="str">
        <f>VLOOKUP(E:E,笔记匹配!A:N,6,FALSE)</f>
        <v>女生练球后如何拉伸按摩，筋膜枪放松！！</v>
      </c>
    </row>
    <row r="969" spans="1:32">
      <c r="A969" s="18" t="s">
        <v>136</v>
      </c>
      <c r="B969" s="18" t="s">
        <v>1207</v>
      </c>
      <c r="C969" s="19">
        <v>19261230</v>
      </c>
      <c r="D969" s="18" t="s">
        <v>209</v>
      </c>
      <c r="E969" s="18" t="s">
        <v>579</v>
      </c>
      <c r="F969" s="18" t="s">
        <v>1208</v>
      </c>
      <c r="G969" s="19">
        <v>4155782</v>
      </c>
      <c r="H969" s="18" t="s">
        <v>1208</v>
      </c>
      <c r="I969" s="19">
        <v>3538615</v>
      </c>
      <c r="J969" s="18" t="s">
        <v>1015</v>
      </c>
      <c r="K969" s="19">
        <v>0</v>
      </c>
      <c r="L969" s="19">
        <v>0</v>
      </c>
      <c r="M969" s="19">
        <v>0</v>
      </c>
      <c r="N969" s="20">
        <v>0</v>
      </c>
      <c r="O969" s="19">
        <v>0</v>
      </c>
      <c r="P969" s="19">
        <v>0</v>
      </c>
      <c r="Q969" s="19">
        <v>0</v>
      </c>
      <c r="R969" s="19">
        <v>0</v>
      </c>
      <c r="S969" s="19">
        <v>0</v>
      </c>
      <c r="T969" s="19">
        <v>0</v>
      </c>
      <c r="U969" s="19">
        <v>0</v>
      </c>
      <c r="V969" s="19">
        <v>0</v>
      </c>
      <c r="W969" s="19">
        <v>0</v>
      </c>
      <c r="X969" s="19">
        <v>0</v>
      </c>
      <c r="Y969" s="20">
        <v>0</v>
      </c>
      <c r="Z969" s="19">
        <v>0</v>
      </c>
      <c r="AA969" s="19">
        <v>0</v>
      </c>
      <c r="AB969" t="str">
        <f>VLOOKUP(E:E,笔记匹配!A:N,3,FALSE)</f>
        <v>Lucas雨田</v>
      </c>
      <c r="AC969" t="str">
        <f>VLOOKUP(E:E,笔记匹配!A:N,2,FALSE)</f>
        <v>筋膜枪</v>
      </c>
      <c r="AD969" t="str">
        <f>VLOOKUP(E:E,笔记匹配!A:N,4,FALSE)</f>
        <v>云麦筋膜枪PB2</v>
      </c>
      <c r="AE969" t="str">
        <f>VLOOKUP(E:E,笔记匹配!A:N,14,FALSE)</f>
        <v>云麦筋膜枪pb2</v>
      </c>
      <c r="AF969" t="str">
        <f>VLOOKUP(E:E,笔记匹配!A:N,6,FALSE)</f>
        <v>2个游泳后的放松技巧⭐️自主拉伸、筋膜枪按摩</v>
      </c>
    </row>
    <row r="970" spans="1:32">
      <c r="A970" s="18" t="s">
        <v>136</v>
      </c>
      <c r="B970" s="18" t="s">
        <v>1255</v>
      </c>
      <c r="C970" s="19">
        <v>20485013</v>
      </c>
      <c r="D970" s="18" t="s">
        <v>196</v>
      </c>
      <c r="E970" s="18" t="s">
        <v>296</v>
      </c>
      <c r="F970" s="18" t="s">
        <v>1256</v>
      </c>
      <c r="G970" s="19">
        <v>4743757</v>
      </c>
      <c r="H970" s="18" t="s">
        <v>1256</v>
      </c>
      <c r="I970" s="19">
        <v>4046764</v>
      </c>
      <c r="J970" s="18" t="s">
        <v>1015</v>
      </c>
      <c r="K970" s="19">
        <v>607.67</v>
      </c>
      <c r="L970" s="19">
        <v>39799</v>
      </c>
      <c r="M970" s="19">
        <v>1737</v>
      </c>
      <c r="N970" s="20">
        <v>0.0436</v>
      </c>
      <c r="O970" s="19">
        <v>0.35</v>
      </c>
      <c r="P970" s="19">
        <v>15.27</v>
      </c>
      <c r="Q970" s="19">
        <v>30</v>
      </c>
      <c r="R970" s="19">
        <v>0</v>
      </c>
      <c r="S970" s="19">
        <v>8</v>
      </c>
      <c r="T970" s="19">
        <v>0</v>
      </c>
      <c r="U970" s="19">
        <v>1</v>
      </c>
      <c r="V970" s="19">
        <v>39</v>
      </c>
      <c r="W970" s="19">
        <v>15.58</v>
      </c>
      <c r="X970" s="19">
        <v>38</v>
      </c>
      <c r="Y970" s="20">
        <v>0.0219</v>
      </c>
      <c r="Z970" s="19">
        <v>6</v>
      </c>
      <c r="AA970" s="19">
        <v>3</v>
      </c>
      <c r="AB970" t="str">
        <f>VLOOKUP(E:E,笔记匹配!A:N,3,FALSE)</f>
        <v>元气芥末酱</v>
      </c>
      <c r="AC970" t="str">
        <f>VLOOKUP(E:E,笔记匹配!A:N,2,FALSE)</f>
        <v>筋膜枪</v>
      </c>
      <c r="AD970" t="str">
        <f>VLOOKUP(E:E,笔记匹配!A:N,4,FALSE)</f>
        <v>云麦筋膜枪PB2</v>
      </c>
      <c r="AE970" t="str">
        <f>VLOOKUP(E:E,笔记匹配!A:N,14,FALSE)</f>
        <v>云麦筋膜枪pb2</v>
      </c>
      <c r="AF970" t="str">
        <f>VLOOKUP(E:E,笔记匹配!A:N,6,FALSE)</f>
        <v>小腿粗的姐妹信我！肌肉腿就要这样按！</v>
      </c>
    </row>
    <row r="971" spans="1:32">
      <c r="A971" s="18" t="s">
        <v>136</v>
      </c>
      <c r="B971" s="18" t="s">
        <v>1255</v>
      </c>
      <c r="C971" s="19">
        <v>20485369</v>
      </c>
      <c r="D971" s="18" t="s">
        <v>196</v>
      </c>
      <c r="E971" s="18" t="s">
        <v>234</v>
      </c>
      <c r="F971" s="18" t="s">
        <v>1258</v>
      </c>
      <c r="G971" s="19">
        <v>4743785</v>
      </c>
      <c r="H971" s="18" t="s">
        <v>1258</v>
      </c>
      <c r="I971" s="19">
        <v>4046938</v>
      </c>
      <c r="J971" s="18" t="s">
        <v>1015</v>
      </c>
      <c r="K971" s="19">
        <v>411.5</v>
      </c>
      <c r="L971" s="19">
        <v>32791</v>
      </c>
      <c r="M971" s="19">
        <v>874</v>
      </c>
      <c r="N971" s="20">
        <v>0.0267</v>
      </c>
      <c r="O971" s="19">
        <v>0.47</v>
      </c>
      <c r="P971" s="19">
        <v>12.55</v>
      </c>
      <c r="Q971" s="19">
        <v>7</v>
      </c>
      <c r="R971" s="19">
        <v>0</v>
      </c>
      <c r="S971" s="19">
        <v>1</v>
      </c>
      <c r="T971" s="19">
        <v>0</v>
      </c>
      <c r="U971" s="19">
        <v>0</v>
      </c>
      <c r="V971" s="19">
        <v>8</v>
      </c>
      <c r="W971" s="19">
        <v>51.44</v>
      </c>
      <c r="X971" s="19">
        <v>0</v>
      </c>
      <c r="Y971" s="20">
        <v>0</v>
      </c>
      <c r="Z971" s="19">
        <v>0</v>
      </c>
      <c r="AA971" s="19">
        <v>0</v>
      </c>
      <c r="AB971" t="str">
        <f>VLOOKUP(E:E,笔记匹配!A:N,3,FALSE)</f>
        <v>pp</v>
      </c>
      <c r="AC971" t="str">
        <f>VLOOKUP(E:E,笔记匹配!A:N,2,FALSE)</f>
        <v>体脂秤</v>
      </c>
      <c r="AD971" t="str">
        <f>VLOOKUP(E:E,笔记匹配!A:N,4,FALSE)</f>
        <v>云麦体脂秤3mini</v>
      </c>
      <c r="AE971" t="str">
        <f>VLOOKUP(E:E,笔记匹配!A:N,14,FALSE)</f>
        <v>云麦体脂秤3mini</v>
      </c>
      <c r="AF971" t="str">
        <f>VLOOKUP(E:E,笔记匹配!A:N,6,FALSE)</f>
        <v>110到88 一些减肥小建议｜如何正确运动</v>
      </c>
    </row>
    <row r="972" spans="1:32">
      <c r="A972" s="18" t="s">
        <v>137</v>
      </c>
      <c r="B972" s="18" t="s">
        <v>1167</v>
      </c>
      <c r="C972" s="19">
        <v>18224197</v>
      </c>
      <c r="D972" s="18" t="s">
        <v>209</v>
      </c>
      <c r="E972" s="18" t="s">
        <v>300</v>
      </c>
      <c r="F972" s="18" t="s">
        <v>1168</v>
      </c>
      <c r="G972" s="19">
        <v>3665138</v>
      </c>
      <c r="H972" s="18" t="s">
        <v>1168</v>
      </c>
      <c r="I972" s="19">
        <v>3050231</v>
      </c>
      <c r="J972" s="18" t="s">
        <v>1015</v>
      </c>
      <c r="K972" s="19">
        <v>0</v>
      </c>
      <c r="L972" s="19">
        <v>0</v>
      </c>
      <c r="M972" s="19">
        <v>0</v>
      </c>
      <c r="N972" s="20">
        <v>0</v>
      </c>
      <c r="O972" s="19">
        <v>0</v>
      </c>
      <c r="P972" s="19">
        <v>0</v>
      </c>
      <c r="Q972" s="19">
        <v>0</v>
      </c>
      <c r="R972" s="19">
        <v>0</v>
      </c>
      <c r="S972" s="19">
        <v>0</v>
      </c>
      <c r="T972" s="19">
        <v>0</v>
      </c>
      <c r="U972" s="19">
        <v>0</v>
      </c>
      <c r="V972" s="19">
        <v>0</v>
      </c>
      <c r="W972" s="19">
        <v>0</v>
      </c>
      <c r="X972" s="19">
        <v>0</v>
      </c>
      <c r="Y972" s="20">
        <v>0</v>
      </c>
      <c r="Z972" s="19">
        <v>0</v>
      </c>
      <c r="AA972" s="19">
        <v>0</v>
      </c>
      <c r="AB972" t="str">
        <f>VLOOKUP(E:E,笔记匹配!A:N,3,FALSE)</f>
        <v>朱俊畅</v>
      </c>
      <c r="AC972" t="str">
        <f>VLOOKUP(E:E,笔记匹配!A:N,2,FALSE)</f>
        <v>筋膜枪</v>
      </c>
      <c r="AD972" t="str">
        <f>VLOOKUP(E:E,笔记匹配!A:N,4,FALSE)</f>
        <v>云麦筋膜枪PB2</v>
      </c>
      <c r="AE972" t="str">
        <f>VLOOKUP(E:E,笔记匹配!A:N,14,FALSE)</f>
        <v>云麦筋膜枪pb2</v>
      </c>
      <c r="AF972" t="str">
        <f>VLOOKUP(E:E,笔记匹配!A:N,6,FALSE)</f>
        <v>打球完容易肌肉酸痛，筋膜枪放松更有效！</v>
      </c>
    </row>
    <row r="973" spans="1:32">
      <c r="A973" s="18" t="s">
        <v>137</v>
      </c>
      <c r="B973" s="18" t="s">
        <v>1196</v>
      </c>
      <c r="C973" s="19">
        <v>19054497</v>
      </c>
      <c r="D973" s="18" t="s">
        <v>209</v>
      </c>
      <c r="E973" s="18" t="s">
        <v>452</v>
      </c>
      <c r="F973" s="18" t="s">
        <v>1198</v>
      </c>
      <c r="G973" s="19">
        <v>4059827</v>
      </c>
      <c r="H973" s="18" t="s">
        <v>1198</v>
      </c>
      <c r="I973" s="19">
        <v>3442591</v>
      </c>
      <c r="J973" s="18" t="s">
        <v>1015</v>
      </c>
      <c r="K973" s="19">
        <v>0</v>
      </c>
      <c r="L973" s="19">
        <v>0</v>
      </c>
      <c r="M973" s="19">
        <v>0</v>
      </c>
      <c r="N973" s="20">
        <v>0</v>
      </c>
      <c r="O973" s="19">
        <v>0</v>
      </c>
      <c r="P973" s="19">
        <v>0</v>
      </c>
      <c r="Q973" s="19">
        <v>0</v>
      </c>
      <c r="R973" s="19">
        <v>0</v>
      </c>
      <c r="S973" s="19">
        <v>0</v>
      </c>
      <c r="T973" s="19">
        <v>0</v>
      </c>
      <c r="U973" s="19">
        <v>0</v>
      </c>
      <c r="V973" s="19">
        <v>0</v>
      </c>
      <c r="W973" s="19">
        <v>0</v>
      </c>
      <c r="X973" s="19">
        <v>0</v>
      </c>
      <c r="Y973" s="20">
        <v>0</v>
      </c>
      <c r="Z973" s="19">
        <v>0</v>
      </c>
      <c r="AA973" s="19">
        <v>0</v>
      </c>
      <c r="AB973" t="str">
        <f>VLOOKUP(E:E,笔记匹配!A:N,3,FALSE)</f>
        <v>Bruce小厮</v>
      </c>
      <c r="AC973" t="str">
        <f>VLOOKUP(E:E,笔记匹配!A:N,2,FALSE)</f>
        <v>筋膜枪</v>
      </c>
      <c r="AD973" t="str">
        <f>VLOOKUP(E:E,笔记匹配!A:N,4,FALSE)</f>
        <v>云麦筋膜枪PB2</v>
      </c>
      <c r="AE973" t="str">
        <f>VLOOKUP(E:E,笔记匹配!A:N,14,FALSE)</f>
        <v>云麦筋膜枪pb2</v>
      </c>
      <c r="AF973" t="str">
        <f>VLOOKUP(E:E,笔记匹配!A:N,6,FALSE)</f>
        <v>女生练球后如何拉伸按摩，筋膜枪放松！！</v>
      </c>
    </row>
    <row r="974" spans="1:32">
      <c r="A974" s="18" t="s">
        <v>137</v>
      </c>
      <c r="B974" s="18" t="s">
        <v>1233</v>
      </c>
      <c r="C974" s="19">
        <v>19834982</v>
      </c>
      <c r="D974" s="18" t="s">
        <v>209</v>
      </c>
      <c r="E974" s="18" t="s">
        <v>565</v>
      </c>
      <c r="F974" s="18" t="s">
        <v>1235</v>
      </c>
      <c r="G974" s="19">
        <v>4425218</v>
      </c>
      <c r="H974" s="18" t="s">
        <v>1235</v>
      </c>
      <c r="I974" s="19">
        <v>3793941</v>
      </c>
      <c r="J974" s="18" t="s">
        <v>1015</v>
      </c>
      <c r="K974" s="19">
        <v>0</v>
      </c>
      <c r="L974" s="19">
        <v>0</v>
      </c>
      <c r="M974" s="19">
        <v>0</v>
      </c>
      <c r="N974" s="20">
        <v>0</v>
      </c>
      <c r="O974" s="19">
        <v>0</v>
      </c>
      <c r="P974" s="19">
        <v>0</v>
      </c>
      <c r="Q974" s="19">
        <v>0</v>
      </c>
      <c r="R974" s="19">
        <v>0</v>
      </c>
      <c r="S974" s="19">
        <v>0</v>
      </c>
      <c r="T974" s="19">
        <v>0</v>
      </c>
      <c r="U974" s="19">
        <v>0</v>
      </c>
      <c r="V974" s="19">
        <v>0</v>
      </c>
      <c r="W974" s="19">
        <v>0</v>
      </c>
      <c r="X974" s="19">
        <v>0</v>
      </c>
      <c r="Y974" s="20">
        <v>0</v>
      </c>
      <c r="Z974" s="19">
        <v>0</v>
      </c>
      <c r="AA974" s="19">
        <v>0</v>
      </c>
      <c r="AB974" t="str">
        <f>VLOOKUP(E:E,笔记匹配!A:N,3,FALSE)</f>
        <v>林然Tolyn</v>
      </c>
      <c r="AC974" t="str">
        <f>VLOOKUP(E:E,笔记匹配!A:N,2,FALSE)</f>
        <v>筋膜枪</v>
      </c>
      <c r="AD974" t="str">
        <f>VLOOKUP(E:E,笔记匹配!A:N,4,FALSE)</f>
        <v>云麦筋膜枪</v>
      </c>
      <c r="AE974" t="str">
        <f>VLOOKUP(E:E,笔记匹配!A:N,14,FALSE)</f>
        <v>云麦筋膜枪pb2</v>
      </c>
      <c r="AF974" t="str">
        <f>VLOOKUP(E:E,笔记匹配!A:N,6,FALSE)</f>
        <v>分享一下我健身后肌肉放松方法&amp;自用筋膜枪</v>
      </c>
    </row>
    <row r="975" spans="1:32">
      <c r="A975" s="18" t="s">
        <v>137</v>
      </c>
      <c r="B975" s="18" t="s">
        <v>1242</v>
      </c>
      <c r="C975" s="19">
        <v>20100228</v>
      </c>
      <c r="D975" s="18" t="s">
        <v>209</v>
      </c>
      <c r="E975" s="18" t="s">
        <v>208</v>
      </c>
      <c r="F975" s="18" t="s">
        <v>1243</v>
      </c>
      <c r="G975" s="19">
        <v>4551147</v>
      </c>
      <c r="H975" s="18" t="s">
        <v>1243</v>
      </c>
      <c r="I975" s="19">
        <v>3901246</v>
      </c>
      <c r="J975" s="18" t="s">
        <v>1015</v>
      </c>
      <c r="K975" s="19">
        <v>0</v>
      </c>
      <c r="L975" s="19">
        <v>0</v>
      </c>
      <c r="M975" s="19">
        <v>0</v>
      </c>
      <c r="N975" s="20">
        <v>0</v>
      </c>
      <c r="O975" s="19">
        <v>0</v>
      </c>
      <c r="P975" s="19">
        <v>0</v>
      </c>
      <c r="Q975" s="19">
        <v>0</v>
      </c>
      <c r="R975" s="19">
        <v>0</v>
      </c>
      <c r="S975" s="19">
        <v>0</v>
      </c>
      <c r="T975" s="19">
        <v>0</v>
      </c>
      <c r="U975" s="19">
        <v>0</v>
      </c>
      <c r="V975" s="19">
        <v>0</v>
      </c>
      <c r="W975" s="19">
        <v>0</v>
      </c>
      <c r="X975" s="19">
        <v>0</v>
      </c>
      <c r="Y975" s="20">
        <v>0</v>
      </c>
      <c r="Z975" s="19">
        <v>0</v>
      </c>
      <c r="AA975" s="19">
        <v>0</v>
      </c>
      <c r="AB975" t="str">
        <f>VLOOKUP(E:E,笔记匹配!A:N,3,FALSE)</f>
        <v>小羊羔崽子</v>
      </c>
      <c r="AC975" t="str">
        <f>VLOOKUP(E:E,笔记匹配!A:N,2,FALSE)</f>
        <v>筋膜枪</v>
      </c>
      <c r="AD975" t="str">
        <f>VLOOKUP(E:E,笔记匹配!A:N,4,FALSE)</f>
        <v>云麦筋膜枪PB2</v>
      </c>
      <c r="AE975" t="str">
        <f>VLOOKUP(E:E,笔记匹配!A:N,14,FALSE)</f>
        <v>云麦筋膜枪pb2</v>
      </c>
      <c r="AF975" t="str">
        <f>VLOOKUP(E:E,笔记匹配!A:N,6,FALSE)</f>
        <v>用了多年泡沫轴，才知道筋膜枪是真的香！！！</v>
      </c>
    </row>
    <row r="976" spans="1:32">
      <c r="A976" s="18" t="s">
        <v>137</v>
      </c>
      <c r="B976" s="18" t="s">
        <v>1255</v>
      </c>
      <c r="C976" s="19">
        <v>20485013</v>
      </c>
      <c r="D976" s="18" t="s">
        <v>196</v>
      </c>
      <c r="E976" s="18" t="s">
        <v>296</v>
      </c>
      <c r="F976" s="18" t="s">
        <v>1256</v>
      </c>
      <c r="G976" s="19">
        <v>4743757</v>
      </c>
      <c r="H976" s="18" t="s">
        <v>1256</v>
      </c>
      <c r="I976" s="19">
        <v>4046764</v>
      </c>
      <c r="J976" s="18" t="s">
        <v>1015</v>
      </c>
      <c r="K976" s="19">
        <v>511.86</v>
      </c>
      <c r="L976" s="19">
        <v>35874</v>
      </c>
      <c r="M976" s="19">
        <v>1602</v>
      </c>
      <c r="N976" s="20">
        <v>0.0447</v>
      </c>
      <c r="O976" s="19">
        <v>0.32</v>
      </c>
      <c r="P976" s="19">
        <v>14.27</v>
      </c>
      <c r="Q976" s="19">
        <v>21</v>
      </c>
      <c r="R976" s="19">
        <v>1</v>
      </c>
      <c r="S976" s="19">
        <v>12</v>
      </c>
      <c r="T976" s="19">
        <v>1</v>
      </c>
      <c r="U976" s="19">
        <v>1</v>
      </c>
      <c r="V976" s="19">
        <v>36</v>
      </c>
      <c r="W976" s="19">
        <v>14.22</v>
      </c>
      <c r="X976" s="19">
        <v>29</v>
      </c>
      <c r="Y976" s="20">
        <v>0.0181</v>
      </c>
      <c r="Z976" s="19">
        <v>4</v>
      </c>
      <c r="AA976" s="19">
        <v>3</v>
      </c>
      <c r="AB976" t="str">
        <f>VLOOKUP(E:E,笔记匹配!A:N,3,FALSE)</f>
        <v>元气芥末酱</v>
      </c>
      <c r="AC976" t="str">
        <f>VLOOKUP(E:E,笔记匹配!A:N,2,FALSE)</f>
        <v>筋膜枪</v>
      </c>
      <c r="AD976" t="str">
        <f>VLOOKUP(E:E,笔记匹配!A:N,4,FALSE)</f>
        <v>云麦筋膜枪PB2</v>
      </c>
      <c r="AE976" t="str">
        <f>VLOOKUP(E:E,笔记匹配!A:N,14,FALSE)</f>
        <v>云麦筋膜枪pb2</v>
      </c>
      <c r="AF976" t="str">
        <f>VLOOKUP(E:E,笔记匹配!A:N,6,FALSE)</f>
        <v>小腿粗的姐妹信我！肌肉腿就要这样按！</v>
      </c>
    </row>
    <row r="977" spans="1:32">
      <c r="A977" s="18" t="s">
        <v>137</v>
      </c>
      <c r="B977" s="18" t="s">
        <v>1255</v>
      </c>
      <c r="C977" s="19">
        <v>20485369</v>
      </c>
      <c r="D977" s="18" t="s">
        <v>196</v>
      </c>
      <c r="E977" s="18" t="s">
        <v>234</v>
      </c>
      <c r="F977" s="18" t="s">
        <v>1258</v>
      </c>
      <c r="G977" s="19">
        <v>4743785</v>
      </c>
      <c r="H977" s="18" t="s">
        <v>1258</v>
      </c>
      <c r="I977" s="19">
        <v>4046938</v>
      </c>
      <c r="J977" s="18" t="s">
        <v>1015</v>
      </c>
      <c r="K977" s="19">
        <v>0</v>
      </c>
      <c r="L977" s="19">
        <v>4</v>
      </c>
      <c r="M977" s="19">
        <v>0</v>
      </c>
      <c r="N977" s="20">
        <v>0</v>
      </c>
      <c r="O977" s="19">
        <v>0</v>
      </c>
      <c r="P977" s="19">
        <v>0</v>
      </c>
      <c r="Q977" s="19">
        <v>0</v>
      </c>
      <c r="R977" s="19">
        <v>0</v>
      </c>
      <c r="S977" s="19">
        <v>0</v>
      </c>
      <c r="T977" s="19">
        <v>0</v>
      </c>
      <c r="U977" s="19">
        <v>0</v>
      </c>
      <c r="V977" s="19">
        <v>0</v>
      </c>
      <c r="W977" s="19">
        <v>0</v>
      </c>
      <c r="X977" s="19">
        <v>0</v>
      </c>
      <c r="Y977" s="20">
        <v>0</v>
      </c>
      <c r="Z977" s="19">
        <v>0</v>
      </c>
      <c r="AA977" s="19">
        <v>0</v>
      </c>
      <c r="AB977" t="str">
        <f>VLOOKUP(E:E,笔记匹配!A:N,3,FALSE)</f>
        <v>pp</v>
      </c>
      <c r="AC977" t="str">
        <f>VLOOKUP(E:E,笔记匹配!A:N,2,FALSE)</f>
        <v>体脂秤</v>
      </c>
      <c r="AD977" t="str">
        <f>VLOOKUP(E:E,笔记匹配!A:N,4,FALSE)</f>
        <v>云麦体脂秤3mini</v>
      </c>
      <c r="AE977" t="str">
        <f>VLOOKUP(E:E,笔记匹配!A:N,14,FALSE)</f>
        <v>云麦体脂秤3mini</v>
      </c>
      <c r="AF977" t="str">
        <f>VLOOKUP(E:E,笔记匹配!A:N,6,FALSE)</f>
        <v>110到88 一些减肥小建议｜如何正确运动</v>
      </c>
    </row>
    <row r="978" spans="1:32">
      <c r="A978" s="18" t="s">
        <v>138</v>
      </c>
      <c r="B978" s="18" t="s">
        <v>1196</v>
      </c>
      <c r="C978" s="19">
        <v>19054497</v>
      </c>
      <c r="D978" s="18" t="s">
        <v>209</v>
      </c>
      <c r="E978" s="18" t="s">
        <v>452</v>
      </c>
      <c r="F978" s="18" t="s">
        <v>1198</v>
      </c>
      <c r="G978" s="19">
        <v>4059827</v>
      </c>
      <c r="H978" s="18" t="s">
        <v>1198</v>
      </c>
      <c r="I978" s="19">
        <v>3442591</v>
      </c>
      <c r="J978" s="18" t="s">
        <v>1015</v>
      </c>
      <c r="K978" s="19">
        <v>0</v>
      </c>
      <c r="L978" s="19">
        <v>0</v>
      </c>
      <c r="M978" s="19">
        <v>0</v>
      </c>
      <c r="N978" s="20">
        <v>0</v>
      </c>
      <c r="O978" s="19">
        <v>0</v>
      </c>
      <c r="P978" s="19">
        <v>0</v>
      </c>
      <c r="Q978" s="19">
        <v>0</v>
      </c>
      <c r="R978" s="19">
        <v>0</v>
      </c>
      <c r="S978" s="19">
        <v>0</v>
      </c>
      <c r="T978" s="19">
        <v>0</v>
      </c>
      <c r="U978" s="19">
        <v>0</v>
      </c>
      <c r="V978" s="19">
        <v>0</v>
      </c>
      <c r="W978" s="19">
        <v>0</v>
      </c>
      <c r="X978" s="19">
        <v>0</v>
      </c>
      <c r="Y978" s="20">
        <v>0</v>
      </c>
      <c r="Z978" s="19">
        <v>0</v>
      </c>
      <c r="AA978" s="19">
        <v>0</v>
      </c>
      <c r="AB978" t="str">
        <f>VLOOKUP(E:E,笔记匹配!A:N,3,FALSE)</f>
        <v>Bruce小厮</v>
      </c>
      <c r="AC978" t="str">
        <f>VLOOKUP(E:E,笔记匹配!A:N,2,FALSE)</f>
        <v>筋膜枪</v>
      </c>
      <c r="AD978" t="str">
        <f>VLOOKUP(E:E,笔记匹配!A:N,4,FALSE)</f>
        <v>云麦筋膜枪PB2</v>
      </c>
      <c r="AE978" t="str">
        <f>VLOOKUP(E:E,笔记匹配!A:N,14,FALSE)</f>
        <v>云麦筋膜枪pb2</v>
      </c>
      <c r="AF978" t="str">
        <f>VLOOKUP(E:E,笔记匹配!A:N,6,FALSE)</f>
        <v>女生练球后如何拉伸按摩，筋膜枪放松！！</v>
      </c>
    </row>
    <row r="979" spans="1:32">
      <c r="A979" s="18" t="s">
        <v>138</v>
      </c>
      <c r="B979" s="18" t="s">
        <v>1233</v>
      </c>
      <c r="C979" s="19">
        <v>19834935</v>
      </c>
      <c r="D979" s="18" t="s">
        <v>209</v>
      </c>
      <c r="E979" s="18" t="s">
        <v>274</v>
      </c>
      <c r="F979" s="18" t="s">
        <v>1234</v>
      </c>
      <c r="G979" s="19">
        <v>4425179</v>
      </c>
      <c r="H979" s="18" t="s">
        <v>1234</v>
      </c>
      <c r="I979" s="19">
        <v>3793911</v>
      </c>
      <c r="J979" s="18" t="s">
        <v>1015</v>
      </c>
      <c r="K979" s="19">
        <v>358.26</v>
      </c>
      <c r="L979" s="19">
        <v>8771</v>
      </c>
      <c r="M979" s="19">
        <v>749</v>
      </c>
      <c r="N979" s="20">
        <v>0.0854</v>
      </c>
      <c r="O979" s="19">
        <v>0.48</v>
      </c>
      <c r="P979" s="19">
        <v>40.85</v>
      </c>
      <c r="Q979" s="19">
        <v>115</v>
      </c>
      <c r="R979" s="19">
        <v>4</v>
      </c>
      <c r="S979" s="19">
        <v>31</v>
      </c>
      <c r="T979" s="19">
        <v>0</v>
      </c>
      <c r="U979" s="19">
        <v>3</v>
      </c>
      <c r="V979" s="19">
        <v>153</v>
      </c>
      <c r="W979" s="19">
        <v>2.34</v>
      </c>
      <c r="X979" s="19">
        <v>0</v>
      </c>
      <c r="Y979" s="20">
        <v>0</v>
      </c>
      <c r="Z979" s="19">
        <v>1</v>
      </c>
      <c r="AA979" s="19">
        <v>4</v>
      </c>
      <c r="AB979" t="str">
        <f>VLOOKUP(E:E,笔记匹配!A:N,3,FALSE)</f>
        <v>西米是个小可爱</v>
      </c>
      <c r="AC979" t="str">
        <f>VLOOKUP(E:E,笔记匹配!A:N,2,FALSE)</f>
        <v>筋膜枪</v>
      </c>
      <c r="AD979" t="str">
        <f>VLOOKUP(E:E,笔记匹配!A:N,4,FALSE)</f>
        <v>云麦筋膜枪PB2</v>
      </c>
      <c r="AE979" t="str">
        <f>VLOOKUP(E:E,笔记匹配!A:N,14,FALSE)</f>
        <v>云麦筋膜枪pb2</v>
      </c>
      <c r="AF979" t="str">
        <f>VLOOKUP(E:E,笔记匹配!A:N,6,FALSE)</f>
        <v>筋膜枪千万不能乱用！正确肩颈使用方法</v>
      </c>
    </row>
    <row r="980" spans="1:32">
      <c r="A980" s="18" t="s">
        <v>138</v>
      </c>
      <c r="B980" s="18" t="s">
        <v>1255</v>
      </c>
      <c r="C980" s="19">
        <v>20485013</v>
      </c>
      <c r="D980" s="18" t="s">
        <v>196</v>
      </c>
      <c r="E980" s="18" t="s">
        <v>296</v>
      </c>
      <c r="F980" s="18" t="s">
        <v>1256</v>
      </c>
      <c r="G980" s="19">
        <v>4743757</v>
      </c>
      <c r="H980" s="18" t="s">
        <v>1256</v>
      </c>
      <c r="I980" s="19">
        <v>4046764</v>
      </c>
      <c r="J980" s="18" t="s">
        <v>1015</v>
      </c>
      <c r="K980" s="19">
        <v>133.43</v>
      </c>
      <c r="L980" s="19">
        <v>9788</v>
      </c>
      <c r="M980" s="19">
        <v>412</v>
      </c>
      <c r="N980" s="20">
        <v>0.0421</v>
      </c>
      <c r="O980" s="19">
        <v>0.32</v>
      </c>
      <c r="P980" s="19">
        <v>13.63</v>
      </c>
      <c r="Q980" s="19">
        <v>4</v>
      </c>
      <c r="R980" s="19">
        <v>0</v>
      </c>
      <c r="S980" s="19">
        <v>2</v>
      </c>
      <c r="T980" s="19">
        <v>0</v>
      </c>
      <c r="U980" s="19">
        <v>0</v>
      </c>
      <c r="V980" s="19">
        <v>6</v>
      </c>
      <c r="W980" s="19">
        <v>22.24</v>
      </c>
      <c r="X980" s="19">
        <v>10</v>
      </c>
      <c r="Y980" s="20">
        <v>0.0243</v>
      </c>
      <c r="Z980" s="19">
        <v>2</v>
      </c>
      <c r="AA980" s="19">
        <v>0</v>
      </c>
      <c r="AB980" t="str">
        <f>VLOOKUP(E:E,笔记匹配!A:N,3,FALSE)</f>
        <v>元气芥末酱</v>
      </c>
      <c r="AC980" t="str">
        <f>VLOOKUP(E:E,笔记匹配!A:N,2,FALSE)</f>
        <v>筋膜枪</v>
      </c>
      <c r="AD980" t="str">
        <f>VLOOKUP(E:E,笔记匹配!A:N,4,FALSE)</f>
        <v>云麦筋膜枪PB2</v>
      </c>
      <c r="AE980" t="str">
        <f>VLOOKUP(E:E,笔记匹配!A:N,14,FALSE)</f>
        <v>云麦筋膜枪pb2</v>
      </c>
      <c r="AF980" t="str">
        <f>VLOOKUP(E:E,笔记匹配!A:N,6,FALSE)</f>
        <v>小腿粗的姐妹信我！肌肉腿就要这样按！</v>
      </c>
    </row>
    <row r="981" spans="1:32">
      <c r="A981" s="18" t="s">
        <v>139</v>
      </c>
      <c r="B981" s="18" t="s">
        <v>1233</v>
      </c>
      <c r="C981" s="19">
        <v>19834935</v>
      </c>
      <c r="D981" s="18" t="s">
        <v>209</v>
      </c>
      <c r="E981" s="18" t="s">
        <v>274</v>
      </c>
      <c r="F981" s="18" t="s">
        <v>1234</v>
      </c>
      <c r="G981" s="19">
        <v>4425179</v>
      </c>
      <c r="H981" s="18" t="s">
        <v>1234</v>
      </c>
      <c r="I981" s="19">
        <v>3793911</v>
      </c>
      <c r="J981" s="18" t="s">
        <v>1015</v>
      </c>
      <c r="K981" s="19">
        <v>9.32</v>
      </c>
      <c r="L981" s="19">
        <v>178</v>
      </c>
      <c r="M981" s="19">
        <v>27</v>
      </c>
      <c r="N981" s="20">
        <v>0.1517</v>
      </c>
      <c r="O981" s="19">
        <v>0.35</v>
      </c>
      <c r="P981" s="19">
        <v>52.36</v>
      </c>
      <c r="Q981" s="19">
        <v>8</v>
      </c>
      <c r="R981" s="19">
        <v>0</v>
      </c>
      <c r="S981" s="19">
        <v>0</v>
      </c>
      <c r="T981" s="19">
        <v>0</v>
      </c>
      <c r="U981" s="19">
        <v>0</v>
      </c>
      <c r="V981" s="19">
        <v>8</v>
      </c>
      <c r="W981" s="19">
        <v>1.16</v>
      </c>
      <c r="X981" s="19">
        <v>0</v>
      </c>
      <c r="Y981" s="20">
        <v>0</v>
      </c>
      <c r="Z981" s="19">
        <v>0</v>
      </c>
      <c r="AA981" s="19">
        <v>0</v>
      </c>
      <c r="AB981" t="str">
        <f>VLOOKUP(E:E,笔记匹配!A:N,3,FALSE)</f>
        <v>西米是个小可爱</v>
      </c>
      <c r="AC981" t="str">
        <f>VLOOKUP(E:E,笔记匹配!A:N,2,FALSE)</f>
        <v>筋膜枪</v>
      </c>
      <c r="AD981" t="str">
        <f>VLOOKUP(E:E,笔记匹配!A:N,4,FALSE)</f>
        <v>云麦筋膜枪PB2</v>
      </c>
      <c r="AE981" t="str">
        <f>VLOOKUP(E:E,笔记匹配!A:N,14,FALSE)</f>
        <v>云麦筋膜枪pb2</v>
      </c>
      <c r="AF981" t="str">
        <f>VLOOKUP(E:E,笔记匹配!A:N,6,FALSE)</f>
        <v>筋膜枪千万不能乱用！正确肩颈使用方法</v>
      </c>
    </row>
    <row r="982" spans="1:32">
      <c r="A982" s="18" t="s">
        <v>140</v>
      </c>
      <c r="B982" s="18" t="s">
        <v>1216</v>
      </c>
      <c r="C982" s="19">
        <v>19428860</v>
      </c>
      <c r="D982" s="18" t="s">
        <v>209</v>
      </c>
      <c r="E982" s="18" t="s">
        <v>573</v>
      </c>
      <c r="F982" s="18" t="s">
        <v>1218</v>
      </c>
      <c r="G982" s="19">
        <v>4228800</v>
      </c>
      <c r="H982" s="18" t="s">
        <v>1218</v>
      </c>
      <c r="I982" s="19">
        <v>3609716</v>
      </c>
      <c r="J982" s="18" t="s">
        <v>1015</v>
      </c>
      <c r="K982" s="19">
        <v>0</v>
      </c>
      <c r="L982" s="19">
        <v>0</v>
      </c>
      <c r="M982" s="19">
        <v>0</v>
      </c>
      <c r="N982" s="20">
        <v>0</v>
      </c>
      <c r="O982" s="19">
        <v>0</v>
      </c>
      <c r="P982" s="19">
        <v>0</v>
      </c>
      <c r="Q982" s="19">
        <v>0</v>
      </c>
      <c r="R982" s="19">
        <v>0</v>
      </c>
      <c r="S982" s="19">
        <v>0</v>
      </c>
      <c r="T982" s="19">
        <v>0</v>
      </c>
      <c r="U982" s="19">
        <v>0</v>
      </c>
      <c r="V982" s="19">
        <v>0</v>
      </c>
      <c r="W982" s="19">
        <v>0</v>
      </c>
      <c r="X982" s="19">
        <v>0</v>
      </c>
      <c r="Y982" s="20">
        <v>0</v>
      </c>
      <c r="Z982" s="19">
        <v>0</v>
      </c>
      <c r="AA982" s="19">
        <v>0</v>
      </c>
      <c r="AB982" t="str">
        <f>VLOOKUP(E:E,笔记匹配!A:N,3,FALSE)</f>
        <v>JJJJackson</v>
      </c>
      <c r="AC982" t="str">
        <f>VLOOKUP(E:E,笔记匹配!A:N,2,FALSE)</f>
        <v>筋膜枪</v>
      </c>
      <c r="AD982" t="str">
        <f>VLOOKUP(E:E,笔记匹配!A:N,4,FALSE)</f>
        <v>云麦筋膜枪PB2</v>
      </c>
      <c r="AE982" t="str">
        <f>VLOOKUP(E:E,笔记匹配!A:N,14,FALSE)</f>
        <v>云麦筋膜枪pb2</v>
      </c>
      <c r="AF982" t="str">
        <f>VLOOKUP(E:E,笔记匹配!A:N,6,FALSE)</f>
        <v>健身好物｜筋膜枪真的是放松神器！</v>
      </c>
    </row>
    <row r="983" spans="1:32">
      <c r="A983" s="18" t="s">
        <v>140</v>
      </c>
      <c r="B983" s="18" t="s">
        <v>1233</v>
      </c>
      <c r="C983" s="19">
        <v>19834935</v>
      </c>
      <c r="D983" s="18" t="s">
        <v>209</v>
      </c>
      <c r="E983" s="18" t="s">
        <v>274</v>
      </c>
      <c r="F983" s="18" t="s">
        <v>1234</v>
      </c>
      <c r="G983" s="19">
        <v>4425179</v>
      </c>
      <c r="H983" s="18" t="s">
        <v>1234</v>
      </c>
      <c r="I983" s="19">
        <v>3793911</v>
      </c>
      <c r="J983" s="18" t="s">
        <v>1015</v>
      </c>
      <c r="K983" s="19">
        <v>0</v>
      </c>
      <c r="L983" s="19">
        <v>0</v>
      </c>
      <c r="M983" s="19">
        <v>0</v>
      </c>
      <c r="N983" s="20">
        <v>0</v>
      </c>
      <c r="O983" s="19">
        <v>0</v>
      </c>
      <c r="P983" s="19">
        <v>0</v>
      </c>
      <c r="Q983" s="19">
        <v>0</v>
      </c>
      <c r="R983" s="19">
        <v>0</v>
      </c>
      <c r="S983" s="19">
        <v>0</v>
      </c>
      <c r="T983" s="19">
        <v>0</v>
      </c>
      <c r="U983" s="19">
        <v>0</v>
      </c>
      <c r="V983" s="19">
        <v>0</v>
      </c>
      <c r="W983" s="19">
        <v>0</v>
      </c>
      <c r="X983" s="19">
        <v>0</v>
      </c>
      <c r="Y983" s="20">
        <v>0</v>
      </c>
      <c r="Z983" s="19">
        <v>0</v>
      </c>
      <c r="AA983" s="19">
        <v>0</v>
      </c>
      <c r="AB983" t="str">
        <f>VLOOKUP(E:E,笔记匹配!A:N,3,FALSE)</f>
        <v>西米是个小可爱</v>
      </c>
      <c r="AC983" t="str">
        <f>VLOOKUP(E:E,笔记匹配!A:N,2,FALSE)</f>
        <v>筋膜枪</v>
      </c>
      <c r="AD983" t="str">
        <f>VLOOKUP(E:E,笔记匹配!A:N,4,FALSE)</f>
        <v>云麦筋膜枪PB2</v>
      </c>
      <c r="AE983" t="str">
        <f>VLOOKUP(E:E,笔记匹配!A:N,14,FALSE)</f>
        <v>云麦筋膜枪pb2</v>
      </c>
      <c r="AF983" t="str">
        <f>VLOOKUP(E:E,笔记匹配!A:N,6,FALSE)</f>
        <v>筋膜枪千万不能乱用！正确肩颈使用方法</v>
      </c>
    </row>
    <row r="984" spans="1:32">
      <c r="A984" s="18" t="s">
        <v>140</v>
      </c>
      <c r="B984" s="18" t="s">
        <v>1255</v>
      </c>
      <c r="C984" s="19">
        <v>20485013</v>
      </c>
      <c r="D984" s="18" t="s">
        <v>196</v>
      </c>
      <c r="E984" s="18" t="s">
        <v>296</v>
      </c>
      <c r="F984" s="18" t="s">
        <v>1256</v>
      </c>
      <c r="G984" s="19">
        <v>4743757</v>
      </c>
      <c r="H984" s="18" t="s">
        <v>1256</v>
      </c>
      <c r="I984" s="19">
        <v>4046764</v>
      </c>
      <c r="J984" s="18" t="s">
        <v>1015</v>
      </c>
      <c r="K984" s="19">
        <v>0</v>
      </c>
      <c r="L984" s="19">
        <v>0</v>
      </c>
      <c r="M984" s="19">
        <v>0</v>
      </c>
      <c r="N984" s="20">
        <v>0</v>
      </c>
      <c r="O984" s="19">
        <v>0</v>
      </c>
      <c r="P984" s="19">
        <v>0</v>
      </c>
      <c r="Q984" s="19">
        <v>0</v>
      </c>
      <c r="R984" s="19">
        <v>0</v>
      </c>
      <c r="S984" s="19">
        <v>0</v>
      </c>
      <c r="T984" s="19">
        <v>0</v>
      </c>
      <c r="U984" s="19">
        <v>0</v>
      </c>
      <c r="V984" s="19">
        <v>0</v>
      </c>
      <c r="W984" s="19">
        <v>0</v>
      </c>
      <c r="X984" s="19">
        <v>0</v>
      </c>
      <c r="Y984" s="20">
        <v>0</v>
      </c>
      <c r="Z984" s="19">
        <v>0</v>
      </c>
      <c r="AA984" s="19">
        <v>0</v>
      </c>
      <c r="AB984" t="str">
        <f>VLOOKUP(E:E,笔记匹配!A:N,3,FALSE)</f>
        <v>元气芥末酱</v>
      </c>
      <c r="AC984" t="str">
        <f>VLOOKUP(E:E,笔记匹配!A:N,2,FALSE)</f>
        <v>筋膜枪</v>
      </c>
      <c r="AD984" t="str">
        <f>VLOOKUP(E:E,笔记匹配!A:N,4,FALSE)</f>
        <v>云麦筋膜枪PB2</v>
      </c>
      <c r="AE984" t="str">
        <f>VLOOKUP(E:E,笔记匹配!A:N,14,FALSE)</f>
        <v>云麦筋膜枪pb2</v>
      </c>
      <c r="AF984" t="str">
        <f>VLOOKUP(E:E,笔记匹配!A:N,6,FALSE)</f>
        <v>小腿粗的姐妹信我！肌肉腿就要这样按！</v>
      </c>
    </row>
    <row r="985" spans="1:32">
      <c r="A985" s="18" t="s">
        <v>140</v>
      </c>
      <c r="B985" s="18" t="s">
        <v>1259</v>
      </c>
      <c r="C985" s="19">
        <v>20978448</v>
      </c>
      <c r="D985" s="18" t="s">
        <v>209</v>
      </c>
      <c r="E985" s="18" t="s">
        <v>558</v>
      </c>
      <c r="F985" s="18" t="s">
        <v>1260</v>
      </c>
      <c r="G985" s="19">
        <v>5010053</v>
      </c>
      <c r="H985" s="18" t="s">
        <v>1260</v>
      </c>
      <c r="I985" s="19">
        <v>4244083</v>
      </c>
      <c r="J985" s="18" t="s">
        <v>1015</v>
      </c>
      <c r="K985" s="19">
        <v>331.02</v>
      </c>
      <c r="L985" s="19">
        <v>21182</v>
      </c>
      <c r="M985" s="19">
        <v>441</v>
      </c>
      <c r="N985" s="20">
        <v>0.0208</v>
      </c>
      <c r="O985" s="19">
        <v>0.75</v>
      </c>
      <c r="P985" s="19">
        <v>15.63</v>
      </c>
      <c r="Q985" s="19">
        <v>30</v>
      </c>
      <c r="R985" s="19">
        <v>0</v>
      </c>
      <c r="S985" s="19">
        <v>14</v>
      </c>
      <c r="T985" s="19">
        <v>0</v>
      </c>
      <c r="U985" s="19">
        <v>0</v>
      </c>
      <c r="V985" s="19">
        <v>44</v>
      </c>
      <c r="W985" s="19">
        <v>7.52</v>
      </c>
      <c r="X985" s="19">
        <v>0</v>
      </c>
      <c r="Y985" s="20">
        <v>0</v>
      </c>
      <c r="Z985" s="19">
        <v>1</v>
      </c>
      <c r="AA985" s="19">
        <v>0</v>
      </c>
      <c r="AB985" t="str">
        <f>VLOOKUP(E:E,笔记匹配!A:N,3,FALSE)</f>
        <v>臃肿大白鹅</v>
      </c>
      <c r="AC985" t="str">
        <f>VLOOKUP(E:E,笔记匹配!A:N,2,FALSE)</f>
        <v>筋膜枪</v>
      </c>
      <c r="AD985" t="str">
        <f>VLOOKUP(E:E,笔记匹配!A:N,4,FALSE)</f>
        <v>云麦筋膜枪PB2</v>
      </c>
      <c r="AE985" t="str">
        <f>VLOOKUP(E:E,笔记匹配!A:N,14,FALSE)</f>
        <v>云麦筋膜枪pb2</v>
      </c>
      <c r="AF985" t="str">
        <f>VLOOKUP(E:E,笔记匹配!A:N,6,FALSE)</f>
        <v>姐妹们都给我用这个筋膜枪！改善小粗腿绝了！</v>
      </c>
    </row>
    <row r="986" spans="1:32">
      <c r="A986" s="18" t="s">
        <v>140</v>
      </c>
      <c r="B986" s="18" t="s">
        <v>1259</v>
      </c>
      <c r="C986" s="19">
        <v>20978571</v>
      </c>
      <c r="D986" s="18" t="s">
        <v>209</v>
      </c>
      <c r="E986" s="18" t="s">
        <v>556</v>
      </c>
      <c r="F986" s="18" t="s">
        <v>1261</v>
      </c>
      <c r="G986" s="19">
        <v>5010131</v>
      </c>
      <c r="H986" s="18" t="s">
        <v>1261</v>
      </c>
      <c r="I986" s="19">
        <v>4244220</v>
      </c>
      <c r="J986" s="18" t="s">
        <v>1015</v>
      </c>
      <c r="K986" s="19">
        <v>509.38</v>
      </c>
      <c r="L986" s="19">
        <v>32418</v>
      </c>
      <c r="M986" s="19">
        <v>1096</v>
      </c>
      <c r="N986" s="20">
        <v>0.0338</v>
      </c>
      <c r="O986" s="19">
        <v>0.46</v>
      </c>
      <c r="P986" s="19">
        <v>15.71</v>
      </c>
      <c r="Q986" s="19">
        <v>39</v>
      </c>
      <c r="R986" s="19">
        <v>1</v>
      </c>
      <c r="S986" s="19">
        <v>12</v>
      </c>
      <c r="T986" s="19">
        <v>0</v>
      </c>
      <c r="U986" s="19">
        <v>1</v>
      </c>
      <c r="V986" s="19">
        <v>53</v>
      </c>
      <c r="W986" s="19">
        <v>9.61</v>
      </c>
      <c r="X986" s="19">
        <v>0</v>
      </c>
      <c r="Y986" s="20">
        <v>0</v>
      </c>
      <c r="Z986" s="19">
        <v>5</v>
      </c>
      <c r="AA986" s="19">
        <v>0</v>
      </c>
      <c r="AB986" t="str">
        <f>VLOOKUP(E:E,笔记匹配!A:N,3,FALSE)</f>
        <v>芋泥团团茶</v>
      </c>
      <c r="AC986" t="str">
        <f>VLOOKUP(E:E,笔记匹配!A:N,2,FALSE)</f>
        <v>筋膜枪</v>
      </c>
      <c r="AD986" t="str">
        <f>VLOOKUP(E:E,笔记匹配!A:N,4,FALSE)</f>
        <v>云麦筋膜枪PB2</v>
      </c>
      <c r="AE986" t="str">
        <f>VLOOKUP(E:E,笔记匹配!A:N,14,FALSE)</f>
        <v>云麦筋膜枪pb2</v>
      </c>
      <c r="AF986" t="str">
        <f>VLOOKUP(E:E,笔记匹配!A:N,6,FALSE)</f>
        <v>每天几分钟！可以和肌肉说拜拜！</v>
      </c>
    </row>
    <row r="987" spans="1:32">
      <c r="A987" s="18" t="s">
        <v>141</v>
      </c>
      <c r="B987" s="18" t="s">
        <v>1164</v>
      </c>
      <c r="C987" s="19">
        <v>18170615</v>
      </c>
      <c r="D987" s="18" t="s">
        <v>209</v>
      </c>
      <c r="E987" s="18" t="s">
        <v>205</v>
      </c>
      <c r="F987" s="18" t="s">
        <v>1165</v>
      </c>
      <c r="G987" s="19">
        <v>3639848</v>
      </c>
      <c r="H987" s="18" t="s">
        <v>1166</v>
      </c>
      <c r="I987" s="19">
        <v>3024741</v>
      </c>
      <c r="J987" s="18" t="s">
        <v>1015</v>
      </c>
      <c r="K987" s="19">
        <v>0</v>
      </c>
      <c r="L987" s="19">
        <v>0</v>
      </c>
      <c r="M987" s="19">
        <v>0</v>
      </c>
      <c r="N987" s="20">
        <v>0</v>
      </c>
      <c r="O987" s="19">
        <v>0</v>
      </c>
      <c r="P987" s="19">
        <v>0</v>
      </c>
      <c r="Q987" s="19">
        <v>0</v>
      </c>
      <c r="R987" s="19">
        <v>0</v>
      </c>
      <c r="S987" s="19">
        <v>0</v>
      </c>
      <c r="T987" s="19">
        <v>0</v>
      </c>
      <c r="U987" s="19">
        <v>0</v>
      </c>
      <c r="V987" s="19">
        <v>0</v>
      </c>
      <c r="W987" s="19">
        <v>0</v>
      </c>
      <c r="X987" s="19">
        <v>0</v>
      </c>
      <c r="Y987" s="20">
        <v>0</v>
      </c>
      <c r="Z987" s="19">
        <v>0</v>
      </c>
      <c r="AA987" s="19">
        <v>0</v>
      </c>
      <c r="AB987" t="str">
        <f>VLOOKUP(E:E,笔记匹配!A:N,3,FALSE)</f>
        <v>马可乐cora</v>
      </c>
      <c r="AC987" t="str">
        <f>VLOOKUP(E:E,笔记匹配!A:N,2,FALSE)</f>
        <v>筋膜枪</v>
      </c>
      <c r="AD987" t="str">
        <f>VLOOKUP(E:E,笔记匹配!A:N,4,FALSE)</f>
        <v>云麦筋膜枪PB2</v>
      </c>
      <c r="AE987" t="str">
        <f>VLOOKUP(E:E,笔记匹配!A:N,14,FALSE)</f>
        <v>云麦筋膜枪pb2</v>
      </c>
      <c r="AF987" t="str">
        <f>VLOOKUP(E:E,笔记匹配!A:N,6,FALSE)</f>
        <v>跳操的姐妹听我的用筋膜枪放松下肢真的有用</v>
      </c>
    </row>
    <row r="988" spans="1:32">
      <c r="A988" s="18" t="s">
        <v>141</v>
      </c>
      <c r="B988" s="18" t="s">
        <v>1181</v>
      </c>
      <c r="C988" s="19">
        <v>18606961</v>
      </c>
      <c r="D988" s="18" t="s">
        <v>209</v>
      </c>
      <c r="E988" s="18" t="s">
        <v>289</v>
      </c>
      <c r="F988" s="18" t="s">
        <v>1183</v>
      </c>
      <c r="G988" s="19">
        <v>3851160</v>
      </c>
      <c r="H988" s="18" t="s">
        <v>1183</v>
      </c>
      <c r="I988" s="19">
        <v>3236289</v>
      </c>
      <c r="J988" s="18" t="s">
        <v>1015</v>
      </c>
      <c r="K988" s="19">
        <v>0</v>
      </c>
      <c r="L988" s="19">
        <v>0</v>
      </c>
      <c r="M988" s="19">
        <v>0</v>
      </c>
      <c r="N988" s="20">
        <v>0</v>
      </c>
      <c r="O988" s="19">
        <v>0</v>
      </c>
      <c r="P988" s="19">
        <v>0</v>
      </c>
      <c r="Q988" s="19">
        <v>0</v>
      </c>
      <c r="R988" s="19">
        <v>0</v>
      </c>
      <c r="S988" s="19">
        <v>0</v>
      </c>
      <c r="T988" s="19">
        <v>0</v>
      </c>
      <c r="U988" s="19">
        <v>0</v>
      </c>
      <c r="V988" s="19">
        <v>0</v>
      </c>
      <c r="W988" s="19">
        <v>0</v>
      </c>
      <c r="X988" s="19">
        <v>0</v>
      </c>
      <c r="Y988" s="20">
        <v>0</v>
      </c>
      <c r="Z988" s="19">
        <v>0</v>
      </c>
      <c r="AA988" s="19">
        <v>0</v>
      </c>
      <c r="AB988" t="str">
        <f>VLOOKUP(E:E,笔记匹配!A:N,3,FALSE)</f>
        <v>小蓝今天吃了没</v>
      </c>
      <c r="AC988" t="str">
        <f>VLOOKUP(E:E,笔记匹配!A:N,2,FALSE)</f>
        <v>筋膜枪</v>
      </c>
      <c r="AD988" t="str">
        <f>VLOOKUP(E:E,笔记匹配!A:N,4,FALSE)</f>
        <v>云麦 筋膜枪PB2</v>
      </c>
      <c r="AE988" t="str">
        <f>VLOOKUP(E:E,笔记匹配!A:N,14,FALSE)</f>
        <v>云麦筋膜枪pb2</v>
      </c>
      <c r="AF988" t="str">
        <f>VLOOKUP(E:E,笔记匹配!A:N,6,FALSE)</f>
        <v>筋膜枪正确用法！刘耕宏女孩永不认输</v>
      </c>
    </row>
    <row r="989" spans="1:32">
      <c r="A989" s="18" t="s">
        <v>141</v>
      </c>
      <c r="B989" s="18" t="s">
        <v>1255</v>
      </c>
      <c r="C989" s="19">
        <v>20485013</v>
      </c>
      <c r="D989" s="18" t="s">
        <v>196</v>
      </c>
      <c r="E989" s="18" t="s">
        <v>296</v>
      </c>
      <c r="F989" s="18" t="s">
        <v>1256</v>
      </c>
      <c r="G989" s="19">
        <v>4743757</v>
      </c>
      <c r="H989" s="18" t="s">
        <v>1256</v>
      </c>
      <c r="I989" s="19">
        <v>4046764</v>
      </c>
      <c r="J989" s="18" t="s">
        <v>1015</v>
      </c>
      <c r="K989" s="19">
        <v>0</v>
      </c>
      <c r="L989" s="19">
        <v>0</v>
      </c>
      <c r="M989" s="19">
        <v>0</v>
      </c>
      <c r="N989" s="20">
        <v>0</v>
      </c>
      <c r="O989" s="19">
        <v>0</v>
      </c>
      <c r="P989" s="19">
        <v>0</v>
      </c>
      <c r="Q989" s="19">
        <v>0</v>
      </c>
      <c r="R989" s="19">
        <v>0</v>
      </c>
      <c r="S989" s="19">
        <v>0</v>
      </c>
      <c r="T989" s="19">
        <v>0</v>
      </c>
      <c r="U989" s="19">
        <v>0</v>
      </c>
      <c r="V989" s="19">
        <v>0</v>
      </c>
      <c r="W989" s="19">
        <v>0</v>
      </c>
      <c r="X989" s="19">
        <v>0</v>
      </c>
      <c r="Y989" s="20">
        <v>0</v>
      </c>
      <c r="Z989" s="19">
        <v>0</v>
      </c>
      <c r="AA989" s="19">
        <v>0</v>
      </c>
      <c r="AB989" t="str">
        <f>VLOOKUP(E:E,笔记匹配!A:N,3,FALSE)</f>
        <v>元气芥末酱</v>
      </c>
      <c r="AC989" t="str">
        <f>VLOOKUP(E:E,笔记匹配!A:N,2,FALSE)</f>
        <v>筋膜枪</v>
      </c>
      <c r="AD989" t="str">
        <f>VLOOKUP(E:E,笔记匹配!A:N,4,FALSE)</f>
        <v>云麦筋膜枪PB2</v>
      </c>
      <c r="AE989" t="str">
        <f>VLOOKUP(E:E,笔记匹配!A:N,14,FALSE)</f>
        <v>云麦筋膜枪pb2</v>
      </c>
      <c r="AF989" t="str">
        <f>VLOOKUP(E:E,笔记匹配!A:N,6,FALSE)</f>
        <v>小腿粗的姐妹信我！肌肉腿就要这样按！</v>
      </c>
    </row>
    <row r="990" spans="1:32">
      <c r="A990" s="18" t="s">
        <v>141</v>
      </c>
      <c r="B990" s="18" t="s">
        <v>1259</v>
      </c>
      <c r="C990" s="19">
        <v>20978448</v>
      </c>
      <c r="D990" s="18" t="s">
        <v>209</v>
      </c>
      <c r="E990" s="18" t="s">
        <v>558</v>
      </c>
      <c r="F990" s="18" t="s">
        <v>1260</v>
      </c>
      <c r="G990" s="19">
        <v>5010053</v>
      </c>
      <c r="H990" s="18" t="s">
        <v>1260</v>
      </c>
      <c r="I990" s="19">
        <v>4244083</v>
      </c>
      <c r="J990" s="18" t="s">
        <v>1015</v>
      </c>
      <c r="K990" s="19">
        <v>109.59</v>
      </c>
      <c r="L990" s="19">
        <v>8371</v>
      </c>
      <c r="M990" s="19">
        <v>214</v>
      </c>
      <c r="N990" s="20">
        <v>0.0256</v>
      </c>
      <c r="O990" s="19">
        <v>0.51</v>
      </c>
      <c r="P990" s="19">
        <v>13.09</v>
      </c>
      <c r="Q990" s="19">
        <v>9</v>
      </c>
      <c r="R990" s="19">
        <v>0</v>
      </c>
      <c r="S990" s="19">
        <v>3</v>
      </c>
      <c r="T990" s="19">
        <v>0</v>
      </c>
      <c r="U990" s="19">
        <v>0</v>
      </c>
      <c r="V990" s="19">
        <v>12</v>
      </c>
      <c r="W990" s="19">
        <v>9.13</v>
      </c>
      <c r="X990" s="19">
        <v>0</v>
      </c>
      <c r="Y990" s="20">
        <v>0</v>
      </c>
      <c r="Z990" s="19">
        <v>0</v>
      </c>
      <c r="AA990" s="19">
        <v>0</v>
      </c>
      <c r="AB990" t="str">
        <f>VLOOKUP(E:E,笔记匹配!A:N,3,FALSE)</f>
        <v>臃肿大白鹅</v>
      </c>
      <c r="AC990" t="str">
        <f>VLOOKUP(E:E,笔记匹配!A:N,2,FALSE)</f>
        <v>筋膜枪</v>
      </c>
      <c r="AD990" t="str">
        <f>VLOOKUP(E:E,笔记匹配!A:N,4,FALSE)</f>
        <v>云麦筋膜枪PB2</v>
      </c>
      <c r="AE990" t="str">
        <f>VLOOKUP(E:E,笔记匹配!A:N,14,FALSE)</f>
        <v>云麦筋膜枪pb2</v>
      </c>
      <c r="AF990" t="str">
        <f>VLOOKUP(E:E,笔记匹配!A:N,6,FALSE)</f>
        <v>姐妹们都给我用这个筋膜枪！改善小粗腿绝了！</v>
      </c>
    </row>
    <row r="991" spans="1:32">
      <c r="A991" s="18" t="s">
        <v>141</v>
      </c>
      <c r="B991" s="18" t="s">
        <v>1259</v>
      </c>
      <c r="C991" s="19">
        <v>20978571</v>
      </c>
      <c r="D991" s="18" t="s">
        <v>209</v>
      </c>
      <c r="E991" s="18" t="s">
        <v>556</v>
      </c>
      <c r="F991" s="18" t="s">
        <v>1261</v>
      </c>
      <c r="G991" s="19">
        <v>5010131</v>
      </c>
      <c r="H991" s="18" t="s">
        <v>1261</v>
      </c>
      <c r="I991" s="19">
        <v>4244220</v>
      </c>
      <c r="J991" s="18" t="s">
        <v>1015</v>
      </c>
      <c r="K991" s="19">
        <v>302.23</v>
      </c>
      <c r="L991" s="19">
        <v>26646</v>
      </c>
      <c r="M991" s="19">
        <v>974</v>
      </c>
      <c r="N991" s="20">
        <v>0.0366</v>
      </c>
      <c r="O991" s="19">
        <v>0.31</v>
      </c>
      <c r="P991" s="19">
        <v>11.34</v>
      </c>
      <c r="Q991" s="19">
        <v>23</v>
      </c>
      <c r="R991" s="19">
        <v>0</v>
      </c>
      <c r="S991" s="19">
        <v>7</v>
      </c>
      <c r="T991" s="19">
        <v>0</v>
      </c>
      <c r="U991" s="19">
        <v>0</v>
      </c>
      <c r="V991" s="19">
        <v>30</v>
      </c>
      <c r="W991" s="19">
        <v>10.07</v>
      </c>
      <c r="X991" s="19">
        <v>0</v>
      </c>
      <c r="Y991" s="20">
        <v>0</v>
      </c>
      <c r="Z991" s="19">
        <v>4</v>
      </c>
      <c r="AA991" s="19">
        <v>1</v>
      </c>
      <c r="AB991" t="str">
        <f>VLOOKUP(E:E,笔记匹配!A:N,3,FALSE)</f>
        <v>芋泥团团茶</v>
      </c>
      <c r="AC991" t="str">
        <f>VLOOKUP(E:E,笔记匹配!A:N,2,FALSE)</f>
        <v>筋膜枪</v>
      </c>
      <c r="AD991" t="str">
        <f>VLOOKUP(E:E,笔记匹配!A:N,4,FALSE)</f>
        <v>云麦筋膜枪PB2</v>
      </c>
      <c r="AE991" t="str">
        <f>VLOOKUP(E:E,笔记匹配!A:N,14,FALSE)</f>
        <v>云麦筋膜枪pb2</v>
      </c>
      <c r="AF991" t="str">
        <f>VLOOKUP(E:E,笔记匹配!A:N,6,FALSE)</f>
        <v>每天几分钟！可以和肌肉说拜拜！</v>
      </c>
    </row>
    <row r="992" spans="1:32">
      <c r="A992" s="18" t="s">
        <v>142</v>
      </c>
      <c r="B992" s="18" t="s">
        <v>1196</v>
      </c>
      <c r="C992" s="19">
        <v>19054497</v>
      </c>
      <c r="D992" s="18" t="s">
        <v>209</v>
      </c>
      <c r="E992" s="18" t="s">
        <v>452</v>
      </c>
      <c r="F992" s="18" t="s">
        <v>1198</v>
      </c>
      <c r="G992" s="19">
        <v>4059827</v>
      </c>
      <c r="H992" s="18" t="s">
        <v>1198</v>
      </c>
      <c r="I992" s="19">
        <v>3442591</v>
      </c>
      <c r="J992" s="18" t="s">
        <v>1015</v>
      </c>
      <c r="K992" s="19">
        <v>0</v>
      </c>
      <c r="L992" s="19">
        <v>0</v>
      </c>
      <c r="M992" s="19">
        <v>0</v>
      </c>
      <c r="N992" s="20">
        <v>0</v>
      </c>
      <c r="O992" s="19">
        <v>0</v>
      </c>
      <c r="P992" s="19">
        <v>0</v>
      </c>
      <c r="Q992" s="19">
        <v>0</v>
      </c>
      <c r="R992" s="19">
        <v>0</v>
      </c>
      <c r="S992" s="19">
        <v>0</v>
      </c>
      <c r="T992" s="19">
        <v>0</v>
      </c>
      <c r="U992" s="19">
        <v>0</v>
      </c>
      <c r="V992" s="19">
        <v>0</v>
      </c>
      <c r="W992" s="19">
        <v>0</v>
      </c>
      <c r="X992" s="19">
        <v>0</v>
      </c>
      <c r="Y992" s="20">
        <v>0</v>
      </c>
      <c r="Z992" s="19">
        <v>0</v>
      </c>
      <c r="AA992" s="19">
        <v>0</v>
      </c>
      <c r="AB992" t="str">
        <f>VLOOKUP(E:E,笔记匹配!A:N,3,FALSE)</f>
        <v>Bruce小厮</v>
      </c>
      <c r="AC992" t="str">
        <f>VLOOKUP(E:E,笔记匹配!A:N,2,FALSE)</f>
        <v>筋膜枪</v>
      </c>
      <c r="AD992" t="str">
        <f>VLOOKUP(E:E,笔记匹配!A:N,4,FALSE)</f>
        <v>云麦筋膜枪PB2</v>
      </c>
      <c r="AE992" t="str">
        <f>VLOOKUP(E:E,笔记匹配!A:N,14,FALSE)</f>
        <v>云麦筋膜枪pb2</v>
      </c>
      <c r="AF992" t="str">
        <f>VLOOKUP(E:E,笔记匹配!A:N,6,FALSE)</f>
        <v>女生练球后如何拉伸按摩，筋膜枪放松！！</v>
      </c>
    </row>
    <row r="993" spans="1:32">
      <c r="A993" s="18" t="s">
        <v>142</v>
      </c>
      <c r="B993" s="18" t="s">
        <v>1259</v>
      </c>
      <c r="C993" s="19">
        <v>20978448</v>
      </c>
      <c r="D993" s="18" t="s">
        <v>209</v>
      </c>
      <c r="E993" s="18" t="s">
        <v>558</v>
      </c>
      <c r="F993" s="18" t="s">
        <v>1260</v>
      </c>
      <c r="G993" s="19">
        <v>5010053</v>
      </c>
      <c r="H993" s="18" t="s">
        <v>1260</v>
      </c>
      <c r="I993" s="19">
        <v>4244083</v>
      </c>
      <c r="J993" s="18" t="s">
        <v>1015</v>
      </c>
      <c r="K993" s="19">
        <v>49.54</v>
      </c>
      <c r="L993" s="19">
        <v>2972</v>
      </c>
      <c r="M993" s="19">
        <v>98</v>
      </c>
      <c r="N993" s="20">
        <v>0.033</v>
      </c>
      <c r="O993" s="19">
        <v>0.51</v>
      </c>
      <c r="P993" s="19">
        <v>16.67</v>
      </c>
      <c r="Q993" s="19">
        <v>2</v>
      </c>
      <c r="R993" s="19">
        <v>0</v>
      </c>
      <c r="S993" s="19">
        <v>1</v>
      </c>
      <c r="T993" s="19">
        <v>0</v>
      </c>
      <c r="U993" s="19">
        <v>0</v>
      </c>
      <c r="V993" s="19">
        <v>3</v>
      </c>
      <c r="W993" s="19">
        <v>16.51</v>
      </c>
      <c r="X993" s="19">
        <v>0</v>
      </c>
      <c r="Y993" s="20">
        <v>0</v>
      </c>
      <c r="Z993" s="19">
        <v>0</v>
      </c>
      <c r="AA993" s="19">
        <v>0</v>
      </c>
      <c r="AB993" t="str">
        <f>VLOOKUP(E:E,笔记匹配!A:N,3,FALSE)</f>
        <v>臃肿大白鹅</v>
      </c>
      <c r="AC993" t="str">
        <f>VLOOKUP(E:E,笔记匹配!A:N,2,FALSE)</f>
        <v>筋膜枪</v>
      </c>
      <c r="AD993" t="str">
        <f>VLOOKUP(E:E,笔记匹配!A:N,4,FALSE)</f>
        <v>云麦筋膜枪PB2</v>
      </c>
      <c r="AE993" t="str">
        <f>VLOOKUP(E:E,笔记匹配!A:N,14,FALSE)</f>
        <v>云麦筋膜枪pb2</v>
      </c>
      <c r="AF993" t="str">
        <f>VLOOKUP(E:E,笔记匹配!A:N,6,FALSE)</f>
        <v>姐妹们都给我用这个筋膜枪！改善小粗腿绝了！</v>
      </c>
    </row>
    <row r="994" spans="1:32">
      <c r="A994" s="18" t="s">
        <v>142</v>
      </c>
      <c r="B994" s="18" t="s">
        <v>1259</v>
      </c>
      <c r="C994" s="19">
        <v>20978571</v>
      </c>
      <c r="D994" s="18" t="s">
        <v>209</v>
      </c>
      <c r="E994" s="18" t="s">
        <v>556</v>
      </c>
      <c r="F994" s="18" t="s">
        <v>1261</v>
      </c>
      <c r="G994" s="19">
        <v>5010131</v>
      </c>
      <c r="H994" s="18" t="s">
        <v>1261</v>
      </c>
      <c r="I994" s="19">
        <v>4244220</v>
      </c>
      <c r="J994" s="18" t="s">
        <v>1015</v>
      </c>
      <c r="K994" s="19">
        <v>302.07</v>
      </c>
      <c r="L994" s="19">
        <v>30080</v>
      </c>
      <c r="M994" s="19">
        <v>1278</v>
      </c>
      <c r="N994" s="20">
        <v>0.0425</v>
      </c>
      <c r="O994" s="19">
        <v>0.24</v>
      </c>
      <c r="P994" s="19">
        <v>10.04</v>
      </c>
      <c r="Q994" s="19">
        <v>21</v>
      </c>
      <c r="R994" s="19">
        <v>1</v>
      </c>
      <c r="S994" s="19">
        <v>7</v>
      </c>
      <c r="T994" s="19">
        <v>0</v>
      </c>
      <c r="U994" s="19">
        <v>1</v>
      </c>
      <c r="V994" s="19">
        <v>30</v>
      </c>
      <c r="W994" s="19">
        <v>10.07</v>
      </c>
      <c r="X994" s="19">
        <v>0</v>
      </c>
      <c r="Y994" s="20">
        <v>0</v>
      </c>
      <c r="Z994" s="19">
        <v>1</v>
      </c>
      <c r="AA994" s="19">
        <v>0</v>
      </c>
      <c r="AB994" t="str">
        <f>VLOOKUP(E:E,笔记匹配!A:N,3,FALSE)</f>
        <v>芋泥团团茶</v>
      </c>
      <c r="AC994" t="str">
        <f>VLOOKUP(E:E,笔记匹配!A:N,2,FALSE)</f>
        <v>筋膜枪</v>
      </c>
      <c r="AD994" t="str">
        <f>VLOOKUP(E:E,笔记匹配!A:N,4,FALSE)</f>
        <v>云麦筋膜枪PB2</v>
      </c>
      <c r="AE994" t="str">
        <f>VLOOKUP(E:E,笔记匹配!A:N,14,FALSE)</f>
        <v>云麦筋膜枪pb2</v>
      </c>
      <c r="AF994" t="str">
        <f>VLOOKUP(E:E,笔记匹配!A:N,6,FALSE)</f>
        <v>每天几分钟！可以和肌肉说拜拜！</v>
      </c>
    </row>
    <row r="995" spans="1:32">
      <c r="A995" s="18" t="s">
        <v>142</v>
      </c>
      <c r="B995" s="18" t="s">
        <v>1262</v>
      </c>
      <c r="C995" s="19">
        <v>21122736</v>
      </c>
      <c r="D995" s="18" t="s">
        <v>209</v>
      </c>
      <c r="E995" s="18" t="s">
        <v>488</v>
      </c>
      <c r="F995" s="18" t="s">
        <v>1263</v>
      </c>
      <c r="G995" s="19">
        <v>5077750</v>
      </c>
      <c r="H995" s="18" t="s">
        <v>1263</v>
      </c>
      <c r="I995" s="19">
        <v>4295042</v>
      </c>
      <c r="J995" s="18" t="s">
        <v>1015</v>
      </c>
      <c r="K995" s="19">
        <v>463.23</v>
      </c>
      <c r="L995" s="19">
        <v>50579</v>
      </c>
      <c r="M995" s="19">
        <v>2256</v>
      </c>
      <c r="N995" s="20">
        <v>0.0446</v>
      </c>
      <c r="O995" s="19">
        <v>0.21</v>
      </c>
      <c r="P995" s="19">
        <v>9.16</v>
      </c>
      <c r="Q995" s="19">
        <v>20</v>
      </c>
      <c r="R995" s="19">
        <v>0</v>
      </c>
      <c r="S995" s="19">
        <v>3</v>
      </c>
      <c r="T995" s="19">
        <v>0</v>
      </c>
      <c r="U995" s="19">
        <v>5</v>
      </c>
      <c r="V995" s="19">
        <v>28</v>
      </c>
      <c r="W995" s="19">
        <v>16.54</v>
      </c>
      <c r="X995" s="19">
        <v>7</v>
      </c>
      <c r="Y995" s="20">
        <v>0.0031</v>
      </c>
      <c r="Z995" s="19">
        <v>1</v>
      </c>
      <c r="AA995" s="19">
        <v>1</v>
      </c>
      <c r="AB995" t="str">
        <f>VLOOKUP(E:E,笔记匹配!A:N,3,FALSE)</f>
        <v>板野友美iii</v>
      </c>
      <c r="AC995" t="str">
        <f>VLOOKUP(E:E,笔记匹配!A:N,2,FALSE)</f>
        <v>筋膜枪</v>
      </c>
      <c r="AD995" t="str">
        <f>VLOOKUP(E:E,笔记匹配!A:N,4,FALSE)</f>
        <v>云麦筋膜枪PB2</v>
      </c>
      <c r="AE995" t="str">
        <f>VLOOKUP(E:E,笔记匹配!A:N,14,FALSE)</f>
        <v>云麦筋膜枪pb2</v>
      </c>
      <c r="AF995" t="str">
        <f>VLOOKUP(E:E,笔记匹配!A:N,6,FALSE)</f>
        <v>这小东西真的可以拯救肩颈酸痛！后悔用晚了！</v>
      </c>
    </row>
    <row r="996" spans="1:32">
      <c r="A996" s="18" t="s">
        <v>143</v>
      </c>
      <c r="B996" s="18" t="s">
        <v>1262</v>
      </c>
      <c r="C996" s="19">
        <v>21122736</v>
      </c>
      <c r="D996" s="18" t="s">
        <v>209</v>
      </c>
      <c r="E996" s="18" t="s">
        <v>488</v>
      </c>
      <c r="F996" s="18" t="s">
        <v>1263</v>
      </c>
      <c r="G996" s="19">
        <v>5077750</v>
      </c>
      <c r="H996" s="18" t="s">
        <v>1263</v>
      </c>
      <c r="I996" s="19">
        <v>4295042</v>
      </c>
      <c r="J996" s="18" t="s">
        <v>1015</v>
      </c>
      <c r="K996" s="19">
        <v>14.67</v>
      </c>
      <c r="L996" s="19">
        <v>1377</v>
      </c>
      <c r="M996" s="19">
        <v>58</v>
      </c>
      <c r="N996" s="20">
        <v>0.0421</v>
      </c>
      <c r="O996" s="19">
        <v>0.25</v>
      </c>
      <c r="P996" s="19">
        <v>10.65</v>
      </c>
      <c r="Q996" s="19">
        <v>2</v>
      </c>
      <c r="R996" s="19">
        <v>0</v>
      </c>
      <c r="S996" s="19">
        <v>0</v>
      </c>
      <c r="T996" s="19">
        <v>0</v>
      </c>
      <c r="U996" s="19">
        <v>0</v>
      </c>
      <c r="V996" s="19">
        <v>2</v>
      </c>
      <c r="W996" s="19">
        <v>7.34</v>
      </c>
      <c r="X996" s="19">
        <v>0</v>
      </c>
      <c r="Y996" s="20">
        <v>0</v>
      </c>
      <c r="Z996" s="19">
        <v>0</v>
      </c>
      <c r="AA996" s="19">
        <v>0</v>
      </c>
      <c r="AB996" t="str">
        <f>VLOOKUP(E:E,笔记匹配!A:N,3,FALSE)</f>
        <v>板野友美iii</v>
      </c>
      <c r="AC996" t="str">
        <f>VLOOKUP(E:E,笔记匹配!A:N,2,FALSE)</f>
        <v>筋膜枪</v>
      </c>
      <c r="AD996" t="str">
        <f>VLOOKUP(E:E,笔记匹配!A:N,4,FALSE)</f>
        <v>云麦筋膜枪PB2</v>
      </c>
      <c r="AE996" t="str">
        <f>VLOOKUP(E:E,笔记匹配!A:N,14,FALSE)</f>
        <v>云麦筋膜枪pb2</v>
      </c>
      <c r="AF996" t="str">
        <f>VLOOKUP(E:E,笔记匹配!A:N,6,FALSE)</f>
        <v>这小东西真的可以拯救肩颈酸痛！后悔用晚了！</v>
      </c>
    </row>
    <row r="997" spans="1:32">
      <c r="A997" s="18" t="s">
        <v>143</v>
      </c>
      <c r="B997" s="18" t="s">
        <v>1264</v>
      </c>
      <c r="C997" s="19">
        <v>21203504</v>
      </c>
      <c r="D997" s="18" t="s">
        <v>209</v>
      </c>
      <c r="E997" s="18" t="s">
        <v>220</v>
      </c>
      <c r="F997" s="18" t="s">
        <v>1265</v>
      </c>
      <c r="G997" s="19">
        <v>5116446</v>
      </c>
      <c r="H997" s="18" t="s">
        <v>1265</v>
      </c>
      <c r="I997" s="19">
        <v>4323752</v>
      </c>
      <c r="J997" s="18" t="s">
        <v>1015</v>
      </c>
      <c r="K997" s="19">
        <v>1510.29</v>
      </c>
      <c r="L997" s="19">
        <v>101010</v>
      </c>
      <c r="M997" s="19">
        <v>4605</v>
      </c>
      <c r="N997" s="20">
        <v>0.0456</v>
      </c>
      <c r="O997" s="19">
        <v>0.33</v>
      </c>
      <c r="P997" s="19">
        <v>14.95</v>
      </c>
      <c r="Q997" s="19">
        <v>185</v>
      </c>
      <c r="R997" s="19">
        <v>2</v>
      </c>
      <c r="S997" s="19">
        <v>107</v>
      </c>
      <c r="T997" s="19">
        <v>1</v>
      </c>
      <c r="U997" s="19">
        <v>6</v>
      </c>
      <c r="V997" s="19">
        <v>301</v>
      </c>
      <c r="W997" s="19">
        <v>5.02</v>
      </c>
      <c r="X997" s="19">
        <v>0</v>
      </c>
      <c r="Y997" s="20">
        <v>0</v>
      </c>
      <c r="Z997" s="19">
        <v>17</v>
      </c>
      <c r="AA997" s="19">
        <v>8</v>
      </c>
      <c r="AB997" t="str">
        <f>VLOOKUP(E:E,笔记匹配!A:N,3,FALSE)</f>
        <v>一颗西兰花fa</v>
      </c>
      <c r="AC997" t="str">
        <f>VLOOKUP(E:E,笔记匹配!A:N,2,FALSE)</f>
        <v>筋膜枪</v>
      </c>
      <c r="AD997" t="str">
        <f>VLOOKUP(E:E,笔记匹配!A:N,4,FALSE)</f>
        <v>云麦筋膜枪PB2</v>
      </c>
      <c r="AE997" t="str">
        <f>VLOOKUP(E:E,笔记匹配!A:N,14,FALSE)</f>
        <v>云麦筋膜枪pb2</v>
      </c>
      <c r="AF997" t="str">
        <f>VLOOKUP(E:E,笔记匹配!A:N,6,FALSE)</f>
        <v>有没有姐妹跟我一样被肌肉腿困扰了好久！</v>
      </c>
    </row>
    <row r="998" spans="1:32">
      <c r="A998" s="18" t="s">
        <v>143</v>
      </c>
      <c r="B998" s="18" t="s">
        <v>1264</v>
      </c>
      <c r="C998" s="19">
        <v>21209031</v>
      </c>
      <c r="D998" s="18" t="s">
        <v>209</v>
      </c>
      <c r="E998" s="18" t="s">
        <v>312</v>
      </c>
      <c r="F998" s="18" t="s">
        <v>1266</v>
      </c>
      <c r="G998" s="19">
        <v>5119266</v>
      </c>
      <c r="H998" s="18" t="s">
        <v>1266</v>
      </c>
      <c r="I998" s="19">
        <v>4325923</v>
      </c>
      <c r="J998" s="18" t="s">
        <v>1015</v>
      </c>
      <c r="K998" s="19">
        <v>0.56</v>
      </c>
      <c r="L998" s="19">
        <v>241</v>
      </c>
      <c r="M998" s="19">
        <v>4</v>
      </c>
      <c r="N998" s="20">
        <v>0.0166</v>
      </c>
      <c r="O998" s="19">
        <v>0.14</v>
      </c>
      <c r="P998" s="19">
        <v>2.32</v>
      </c>
      <c r="Q998" s="19">
        <v>0</v>
      </c>
      <c r="R998" s="19">
        <v>0</v>
      </c>
      <c r="S998" s="19">
        <v>0</v>
      </c>
      <c r="T998" s="19">
        <v>0</v>
      </c>
      <c r="U998" s="19">
        <v>0</v>
      </c>
      <c r="V998" s="19">
        <v>0</v>
      </c>
      <c r="W998" s="19">
        <v>0</v>
      </c>
      <c r="X998" s="19">
        <v>0</v>
      </c>
      <c r="Y998" s="20">
        <v>0</v>
      </c>
      <c r="Z998" s="19">
        <v>0</v>
      </c>
      <c r="AA998" s="19">
        <v>0</v>
      </c>
      <c r="AB998" t="str">
        <f>VLOOKUP(E:E,笔记匹配!A:N,3,FALSE)</f>
        <v>郝有金</v>
      </c>
      <c r="AC998" t="str">
        <f>VLOOKUP(E:E,笔记匹配!A:N,2,FALSE)</f>
        <v>筋膜枪</v>
      </c>
      <c r="AD998" t="str">
        <f>VLOOKUP(E:E,笔记匹配!A:N,4,FALSE)</f>
        <v>云麦cc筋膜枪</v>
      </c>
      <c r="AE998" t="str">
        <f>VLOOKUP(E:E,笔记匹配!A:N,14,FALSE)</f>
        <v>云麦筋膜枪cc</v>
      </c>
      <c r="AF998" t="str">
        <f>VLOOKUP(E:E,笔记匹配!A:N,6,FALSE)</f>
        <v>别用错❗️筋膜枪正确使用方法，不同肌肉部位放松大全</v>
      </c>
    </row>
    <row r="999" spans="1:32">
      <c r="A999" s="18" t="s">
        <v>144</v>
      </c>
      <c r="B999" s="18" t="s">
        <v>1264</v>
      </c>
      <c r="C999" s="19">
        <v>21203504</v>
      </c>
      <c r="D999" s="18" t="s">
        <v>209</v>
      </c>
      <c r="E999" s="18" t="s">
        <v>220</v>
      </c>
      <c r="F999" s="18" t="s">
        <v>1265</v>
      </c>
      <c r="G999" s="19">
        <v>5116446</v>
      </c>
      <c r="H999" s="18" t="s">
        <v>1265</v>
      </c>
      <c r="I999" s="19">
        <v>4323752</v>
      </c>
      <c r="J999" s="18" t="s">
        <v>1015</v>
      </c>
      <c r="K999" s="19">
        <v>1504.8</v>
      </c>
      <c r="L999" s="19">
        <v>136080</v>
      </c>
      <c r="M999" s="19">
        <v>5570</v>
      </c>
      <c r="N999" s="20">
        <v>0.0409</v>
      </c>
      <c r="O999" s="19">
        <v>0.27</v>
      </c>
      <c r="P999" s="19">
        <v>11.06</v>
      </c>
      <c r="Q999" s="19">
        <v>140</v>
      </c>
      <c r="R999" s="19">
        <v>1</v>
      </c>
      <c r="S999" s="19">
        <v>73</v>
      </c>
      <c r="T999" s="19">
        <v>0</v>
      </c>
      <c r="U999" s="19">
        <v>6</v>
      </c>
      <c r="V999" s="19">
        <v>220</v>
      </c>
      <c r="W999" s="19">
        <v>6.84</v>
      </c>
      <c r="X999" s="19">
        <v>0</v>
      </c>
      <c r="Y999" s="20">
        <v>0</v>
      </c>
      <c r="Z999" s="19">
        <v>21</v>
      </c>
      <c r="AA999" s="19">
        <v>8</v>
      </c>
      <c r="AB999" t="str">
        <f>VLOOKUP(E:E,笔记匹配!A:N,3,FALSE)</f>
        <v>一颗西兰花fa</v>
      </c>
      <c r="AC999" t="str">
        <f>VLOOKUP(E:E,笔记匹配!A:N,2,FALSE)</f>
        <v>筋膜枪</v>
      </c>
      <c r="AD999" t="str">
        <f>VLOOKUP(E:E,笔记匹配!A:N,4,FALSE)</f>
        <v>云麦筋膜枪PB2</v>
      </c>
      <c r="AE999" t="str">
        <f>VLOOKUP(E:E,笔记匹配!A:N,14,FALSE)</f>
        <v>云麦筋膜枪pb2</v>
      </c>
      <c r="AF999" t="str">
        <f>VLOOKUP(E:E,笔记匹配!A:N,6,FALSE)</f>
        <v>有没有姐妹跟我一样被肌肉腿困扰了好久！</v>
      </c>
    </row>
    <row r="1000" spans="1:32">
      <c r="A1000" s="18" t="s">
        <v>144</v>
      </c>
      <c r="B1000" s="18" t="s">
        <v>1264</v>
      </c>
      <c r="C1000" s="19">
        <v>21209031</v>
      </c>
      <c r="D1000" s="18" t="s">
        <v>209</v>
      </c>
      <c r="E1000" s="18" t="s">
        <v>312</v>
      </c>
      <c r="F1000" s="18" t="s">
        <v>1266</v>
      </c>
      <c r="G1000" s="19">
        <v>5119266</v>
      </c>
      <c r="H1000" s="18" t="s">
        <v>1266</v>
      </c>
      <c r="I1000" s="19">
        <v>4325923</v>
      </c>
      <c r="J1000" s="18" t="s">
        <v>1015</v>
      </c>
      <c r="K1000" s="19">
        <v>520.92</v>
      </c>
      <c r="L1000" s="19">
        <v>71695</v>
      </c>
      <c r="M1000" s="19">
        <v>3479</v>
      </c>
      <c r="N1000" s="20">
        <v>0.0485</v>
      </c>
      <c r="O1000" s="19">
        <v>0.15</v>
      </c>
      <c r="P1000" s="19">
        <v>7.27</v>
      </c>
      <c r="Q1000" s="19">
        <v>94</v>
      </c>
      <c r="R1000" s="19">
        <v>1</v>
      </c>
      <c r="S1000" s="19">
        <v>53</v>
      </c>
      <c r="T1000" s="19">
        <v>10</v>
      </c>
      <c r="U1000" s="19">
        <v>6</v>
      </c>
      <c r="V1000" s="19">
        <v>164</v>
      </c>
      <c r="W1000" s="19">
        <v>3.18</v>
      </c>
      <c r="X1000" s="19">
        <v>0</v>
      </c>
      <c r="Y1000" s="20">
        <v>0</v>
      </c>
      <c r="Z1000" s="19">
        <v>0</v>
      </c>
      <c r="AA1000" s="19">
        <v>4</v>
      </c>
      <c r="AB1000" t="str">
        <f>VLOOKUP(E:E,笔记匹配!A:N,3,FALSE)</f>
        <v>郝有金</v>
      </c>
      <c r="AC1000" t="str">
        <f>VLOOKUP(E:E,笔记匹配!A:N,2,FALSE)</f>
        <v>筋膜枪</v>
      </c>
      <c r="AD1000" t="str">
        <f>VLOOKUP(E:E,笔记匹配!A:N,4,FALSE)</f>
        <v>云麦cc筋膜枪</v>
      </c>
      <c r="AE1000" t="str">
        <f>VLOOKUP(E:E,笔记匹配!A:N,14,FALSE)</f>
        <v>云麦筋膜枪cc</v>
      </c>
      <c r="AF1000" t="str">
        <f>VLOOKUP(E:E,笔记匹配!A:N,6,FALSE)</f>
        <v>别用错❗️筋膜枪正确使用方法，不同肌肉部位放松大全</v>
      </c>
    </row>
    <row r="1001" spans="1:32">
      <c r="A1001" s="18" t="s">
        <v>145</v>
      </c>
      <c r="B1001" s="18" t="s">
        <v>1264</v>
      </c>
      <c r="C1001" s="19">
        <v>21203504</v>
      </c>
      <c r="D1001" s="18" t="s">
        <v>209</v>
      </c>
      <c r="E1001" s="18" t="s">
        <v>220</v>
      </c>
      <c r="F1001" s="18" t="s">
        <v>1265</v>
      </c>
      <c r="G1001" s="19">
        <v>5116446</v>
      </c>
      <c r="H1001" s="18" t="s">
        <v>1265</v>
      </c>
      <c r="I1001" s="19">
        <v>4323752</v>
      </c>
      <c r="J1001" s="18" t="s">
        <v>1015</v>
      </c>
      <c r="K1001" s="19">
        <v>1507.7</v>
      </c>
      <c r="L1001" s="19">
        <v>163655</v>
      </c>
      <c r="M1001" s="19">
        <v>7214</v>
      </c>
      <c r="N1001" s="20">
        <v>0.0441</v>
      </c>
      <c r="O1001" s="19">
        <v>0.21</v>
      </c>
      <c r="P1001" s="19">
        <v>9.21</v>
      </c>
      <c r="Q1001" s="19">
        <v>278</v>
      </c>
      <c r="R1001" s="19">
        <v>3</v>
      </c>
      <c r="S1001" s="19">
        <v>117</v>
      </c>
      <c r="T1001" s="19">
        <v>1</v>
      </c>
      <c r="U1001" s="19">
        <v>10</v>
      </c>
      <c r="V1001" s="19">
        <v>409</v>
      </c>
      <c r="W1001" s="19">
        <v>3.69</v>
      </c>
      <c r="X1001" s="19">
        <v>0</v>
      </c>
      <c r="Y1001" s="20">
        <v>0</v>
      </c>
      <c r="Z1001" s="19">
        <v>23</v>
      </c>
      <c r="AA1001" s="19">
        <v>8</v>
      </c>
      <c r="AB1001" t="str">
        <f>VLOOKUP(E:E,笔记匹配!A:N,3,FALSE)</f>
        <v>一颗西兰花fa</v>
      </c>
      <c r="AC1001" t="str">
        <f>VLOOKUP(E:E,笔记匹配!A:N,2,FALSE)</f>
        <v>筋膜枪</v>
      </c>
      <c r="AD1001" t="str">
        <f>VLOOKUP(E:E,笔记匹配!A:N,4,FALSE)</f>
        <v>云麦筋膜枪PB2</v>
      </c>
      <c r="AE1001" t="str">
        <f>VLOOKUP(E:E,笔记匹配!A:N,14,FALSE)</f>
        <v>云麦筋膜枪pb2</v>
      </c>
      <c r="AF1001" t="str">
        <f>VLOOKUP(E:E,笔记匹配!A:N,6,FALSE)</f>
        <v>有没有姐妹跟我一样被肌肉腿困扰了好久！</v>
      </c>
    </row>
    <row r="1002" spans="1:32">
      <c r="A1002" s="18" t="s">
        <v>145</v>
      </c>
      <c r="B1002" s="18" t="s">
        <v>1264</v>
      </c>
      <c r="C1002" s="19">
        <v>21209031</v>
      </c>
      <c r="D1002" s="18" t="s">
        <v>209</v>
      </c>
      <c r="E1002" s="18" t="s">
        <v>312</v>
      </c>
      <c r="F1002" s="18" t="s">
        <v>1266</v>
      </c>
      <c r="G1002" s="19">
        <v>5119266</v>
      </c>
      <c r="H1002" s="18" t="s">
        <v>1266</v>
      </c>
      <c r="I1002" s="19">
        <v>4325923</v>
      </c>
      <c r="J1002" s="18" t="s">
        <v>1015</v>
      </c>
      <c r="K1002" s="19">
        <v>508.8</v>
      </c>
      <c r="L1002" s="19">
        <v>40128</v>
      </c>
      <c r="M1002" s="19">
        <v>2655</v>
      </c>
      <c r="N1002" s="20">
        <v>0.0662</v>
      </c>
      <c r="O1002" s="19">
        <v>0.19</v>
      </c>
      <c r="P1002" s="19">
        <v>12.68</v>
      </c>
      <c r="Q1002" s="19">
        <v>76</v>
      </c>
      <c r="R1002" s="19">
        <v>0</v>
      </c>
      <c r="S1002" s="19">
        <v>30</v>
      </c>
      <c r="T1002" s="19">
        <v>14</v>
      </c>
      <c r="U1002" s="19">
        <v>5</v>
      </c>
      <c r="V1002" s="19">
        <v>125</v>
      </c>
      <c r="W1002" s="19">
        <v>4.07</v>
      </c>
      <c r="X1002" s="19">
        <v>0</v>
      </c>
      <c r="Y1002" s="20">
        <v>0</v>
      </c>
      <c r="Z1002" s="19">
        <v>1</v>
      </c>
      <c r="AA1002" s="19">
        <v>1</v>
      </c>
      <c r="AB1002" t="str">
        <f>VLOOKUP(E:E,笔记匹配!A:N,3,FALSE)</f>
        <v>郝有金</v>
      </c>
      <c r="AC1002" t="str">
        <f>VLOOKUP(E:E,笔记匹配!A:N,2,FALSE)</f>
        <v>筋膜枪</v>
      </c>
      <c r="AD1002" t="str">
        <f>VLOOKUP(E:E,笔记匹配!A:N,4,FALSE)</f>
        <v>云麦cc筋膜枪</v>
      </c>
      <c r="AE1002" t="str">
        <f>VLOOKUP(E:E,笔记匹配!A:N,14,FALSE)</f>
        <v>云麦筋膜枪cc</v>
      </c>
      <c r="AF1002" t="str">
        <f>VLOOKUP(E:E,笔记匹配!A:N,6,FALSE)</f>
        <v>别用错❗️筋膜枪正确使用方法，不同肌肉部位放松大全</v>
      </c>
    </row>
    <row r="1003" spans="1:32">
      <c r="A1003" s="18" t="s">
        <v>146</v>
      </c>
      <c r="B1003" s="18" t="s">
        <v>1233</v>
      </c>
      <c r="C1003" s="19">
        <v>19834935</v>
      </c>
      <c r="D1003" s="18" t="s">
        <v>209</v>
      </c>
      <c r="E1003" s="18" t="s">
        <v>274</v>
      </c>
      <c r="F1003" s="18" t="s">
        <v>1234</v>
      </c>
      <c r="G1003" s="19">
        <v>4425179</v>
      </c>
      <c r="H1003" s="18" t="s">
        <v>1234</v>
      </c>
      <c r="I1003" s="19">
        <v>3793911</v>
      </c>
      <c r="J1003" s="18" t="s">
        <v>1015</v>
      </c>
      <c r="K1003" s="19">
        <v>0</v>
      </c>
      <c r="L1003" s="19">
        <v>0</v>
      </c>
      <c r="M1003" s="19">
        <v>0</v>
      </c>
      <c r="N1003" s="20">
        <v>0</v>
      </c>
      <c r="O1003" s="19">
        <v>0</v>
      </c>
      <c r="P1003" s="19">
        <v>0</v>
      </c>
      <c r="Q1003" s="19">
        <v>0</v>
      </c>
      <c r="R1003" s="19">
        <v>0</v>
      </c>
      <c r="S1003" s="19">
        <v>0</v>
      </c>
      <c r="T1003" s="19">
        <v>0</v>
      </c>
      <c r="U1003" s="19">
        <v>0</v>
      </c>
      <c r="V1003" s="19">
        <v>0</v>
      </c>
      <c r="W1003" s="19">
        <v>0</v>
      </c>
      <c r="X1003" s="19">
        <v>0</v>
      </c>
      <c r="Y1003" s="20">
        <v>0</v>
      </c>
      <c r="Z1003" s="19">
        <v>0</v>
      </c>
      <c r="AA1003" s="19">
        <v>0</v>
      </c>
      <c r="AB1003" t="str">
        <f>VLOOKUP(E:E,笔记匹配!A:N,3,FALSE)</f>
        <v>西米是个小可爱</v>
      </c>
      <c r="AC1003" t="str">
        <f>VLOOKUP(E:E,笔记匹配!A:N,2,FALSE)</f>
        <v>筋膜枪</v>
      </c>
      <c r="AD1003" t="str">
        <f>VLOOKUP(E:E,笔记匹配!A:N,4,FALSE)</f>
        <v>云麦筋膜枪PB2</v>
      </c>
      <c r="AE1003" t="str">
        <f>VLOOKUP(E:E,笔记匹配!A:N,14,FALSE)</f>
        <v>云麦筋膜枪pb2</v>
      </c>
      <c r="AF1003" t="str">
        <f>VLOOKUP(E:E,笔记匹配!A:N,6,FALSE)</f>
        <v>筋膜枪千万不能乱用！正确肩颈使用方法</v>
      </c>
    </row>
    <row r="1004" spans="1:32">
      <c r="A1004" s="18" t="s">
        <v>146</v>
      </c>
      <c r="B1004" s="18" t="s">
        <v>1264</v>
      </c>
      <c r="C1004" s="19">
        <v>21203504</v>
      </c>
      <c r="D1004" s="18" t="s">
        <v>209</v>
      </c>
      <c r="E1004" s="18" t="s">
        <v>220</v>
      </c>
      <c r="F1004" s="18" t="s">
        <v>1265</v>
      </c>
      <c r="G1004" s="19">
        <v>5116446</v>
      </c>
      <c r="H1004" s="18" t="s">
        <v>1265</v>
      </c>
      <c r="I1004" s="19">
        <v>4323752</v>
      </c>
      <c r="J1004" s="18" t="s">
        <v>1015</v>
      </c>
      <c r="K1004" s="19">
        <v>567.01</v>
      </c>
      <c r="L1004" s="19">
        <v>55578</v>
      </c>
      <c r="M1004" s="19">
        <v>1702</v>
      </c>
      <c r="N1004" s="20">
        <v>0.0306</v>
      </c>
      <c r="O1004" s="19">
        <v>0.33</v>
      </c>
      <c r="P1004" s="19">
        <v>10.2</v>
      </c>
      <c r="Q1004" s="19">
        <v>63</v>
      </c>
      <c r="R1004" s="19">
        <v>0</v>
      </c>
      <c r="S1004" s="19">
        <v>24</v>
      </c>
      <c r="T1004" s="19">
        <v>4</v>
      </c>
      <c r="U1004" s="19">
        <v>1</v>
      </c>
      <c r="V1004" s="19">
        <v>92</v>
      </c>
      <c r="W1004" s="19">
        <v>6.16</v>
      </c>
      <c r="X1004" s="19">
        <v>0</v>
      </c>
      <c r="Y1004" s="20">
        <v>0</v>
      </c>
      <c r="Z1004" s="19">
        <v>5</v>
      </c>
      <c r="AA1004" s="19">
        <v>2</v>
      </c>
      <c r="AB1004" t="str">
        <f>VLOOKUP(E:E,笔记匹配!A:N,3,FALSE)</f>
        <v>一颗西兰花fa</v>
      </c>
      <c r="AC1004" t="str">
        <f>VLOOKUP(E:E,笔记匹配!A:N,2,FALSE)</f>
        <v>筋膜枪</v>
      </c>
      <c r="AD1004" t="str">
        <f>VLOOKUP(E:E,笔记匹配!A:N,4,FALSE)</f>
        <v>云麦筋膜枪PB2</v>
      </c>
      <c r="AE1004" t="str">
        <f>VLOOKUP(E:E,笔记匹配!A:N,14,FALSE)</f>
        <v>云麦筋膜枪pb2</v>
      </c>
      <c r="AF1004" t="str">
        <f>VLOOKUP(E:E,笔记匹配!A:N,6,FALSE)</f>
        <v>有没有姐妹跟我一样被肌肉腿困扰了好久！</v>
      </c>
    </row>
    <row r="1005" spans="1:32">
      <c r="A1005" s="18" t="s">
        <v>146</v>
      </c>
      <c r="B1005" s="18" t="s">
        <v>1264</v>
      </c>
      <c r="C1005" s="19">
        <v>21209031</v>
      </c>
      <c r="D1005" s="18" t="s">
        <v>209</v>
      </c>
      <c r="E1005" s="18" t="s">
        <v>312</v>
      </c>
      <c r="F1005" s="18" t="s">
        <v>1266</v>
      </c>
      <c r="G1005" s="19">
        <v>5119266</v>
      </c>
      <c r="H1005" s="18" t="s">
        <v>1266</v>
      </c>
      <c r="I1005" s="19">
        <v>4325923</v>
      </c>
      <c r="J1005" s="18" t="s">
        <v>1015</v>
      </c>
      <c r="K1005" s="19">
        <v>0</v>
      </c>
      <c r="L1005" s="19">
        <v>0</v>
      </c>
      <c r="M1005" s="19">
        <v>0</v>
      </c>
      <c r="N1005" s="20">
        <v>0</v>
      </c>
      <c r="O1005" s="19">
        <v>0</v>
      </c>
      <c r="P1005" s="19">
        <v>0</v>
      </c>
      <c r="Q1005" s="19">
        <v>0</v>
      </c>
      <c r="R1005" s="19">
        <v>0</v>
      </c>
      <c r="S1005" s="19">
        <v>0</v>
      </c>
      <c r="T1005" s="19">
        <v>0</v>
      </c>
      <c r="U1005" s="19">
        <v>0</v>
      </c>
      <c r="V1005" s="19">
        <v>0</v>
      </c>
      <c r="W1005" s="19">
        <v>0</v>
      </c>
      <c r="X1005" s="19">
        <v>0</v>
      </c>
      <c r="Y1005" s="20">
        <v>0</v>
      </c>
      <c r="Z1005" s="19">
        <v>0</v>
      </c>
      <c r="AA1005" s="19">
        <v>0</v>
      </c>
      <c r="AB1005" t="str">
        <f>VLOOKUP(E:E,笔记匹配!A:N,3,FALSE)</f>
        <v>郝有金</v>
      </c>
      <c r="AC1005" t="str">
        <f>VLOOKUP(E:E,笔记匹配!A:N,2,FALSE)</f>
        <v>筋膜枪</v>
      </c>
      <c r="AD1005" t="str">
        <f>VLOOKUP(E:E,笔记匹配!A:N,4,FALSE)</f>
        <v>云麦cc筋膜枪</v>
      </c>
      <c r="AE1005" t="str">
        <f>VLOOKUP(E:E,笔记匹配!A:N,14,FALSE)</f>
        <v>云麦筋膜枪cc</v>
      </c>
      <c r="AF1005" t="str">
        <f>VLOOKUP(E:E,笔记匹配!A:N,6,FALSE)</f>
        <v>别用错❗️筋膜枪正确使用方法，不同肌肉部位放松大全</v>
      </c>
    </row>
    <row r="1006" spans="1:32">
      <c r="A1006" s="18" t="s">
        <v>146</v>
      </c>
      <c r="B1006" s="18" t="s">
        <v>1267</v>
      </c>
      <c r="C1006" s="19">
        <v>21360243</v>
      </c>
      <c r="D1006" s="18" t="s">
        <v>209</v>
      </c>
      <c r="E1006" s="18" t="s">
        <v>220</v>
      </c>
      <c r="F1006" s="18" t="s">
        <v>1268</v>
      </c>
      <c r="G1006" s="19">
        <v>5192303</v>
      </c>
      <c r="H1006" s="18" t="s">
        <v>1269</v>
      </c>
      <c r="I1006" s="19">
        <v>4379647</v>
      </c>
      <c r="J1006" s="18" t="s">
        <v>1015</v>
      </c>
      <c r="K1006" s="19">
        <v>1904.92</v>
      </c>
      <c r="L1006" s="19">
        <v>200824</v>
      </c>
      <c r="M1006" s="19">
        <v>6464</v>
      </c>
      <c r="N1006" s="20">
        <v>0.0322</v>
      </c>
      <c r="O1006" s="19">
        <v>0.29</v>
      </c>
      <c r="P1006" s="19">
        <v>9.49</v>
      </c>
      <c r="Q1006" s="19">
        <v>190</v>
      </c>
      <c r="R1006" s="19">
        <v>3</v>
      </c>
      <c r="S1006" s="19">
        <v>74</v>
      </c>
      <c r="T1006" s="19">
        <v>2</v>
      </c>
      <c r="U1006" s="19">
        <v>10</v>
      </c>
      <c r="V1006" s="19">
        <v>279</v>
      </c>
      <c r="W1006" s="19">
        <v>6.83</v>
      </c>
      <c r="X1006" s="19">
        <v>0</v>
      </c>
      <c r="Y1006" s="20">
        <v>0</v>
      </c>
      <c r="Z1006" s="19">
        <v>32</v>
      </c>
      <c r="AA1006" s="19">
        <v>15</v>
      </c>
      <c r="AB1006" t="str">
        <f>VLOOKUP(E:E,笔记匹配!A:N,3,FALSE)</f>
        <v>一颗西兰花fa</v>
      </c>
      <c r="AC1006" t="str">
        <f>VLOOKUP(E:E,笔记匹配!A:N,2,FALSE)</f>
        <v>筋膜枪</v>
      </c>
      <c r="AD1006" t="str">
        <f>VLOOKUP(E:E,笔记匹配!A:N,4,FALSE)</f>
        <v>云麦筋膜枪PB2</v>
      </c>
      <c r="AE1006" t="str">
        <f>VLOOKUP(E:E,笔记匹配!A:N,14,FALSE)</f>
        <v>云麦筋膜枪pb2</v>
      </c>
      <c r="AF1006" t="str">
        <f>VLOOKUP(E:E,笔记匹配!A:N,6,FALSE)</f>
        <v>有没有姐妹跟我一样被肌肉腿困扰了好久！</v>
      </c>
    </row>
    <row r="1007" spans="1:32">
      <c r="A1007" s="18" t="s">
        <v>147</v>
      </c>
      <c r="B1007" s="18" t="s">
        <v>1233</v>
      </c>
      <c r="C1007" s="19">
        <v>19834935</v>
      </c>
      <c r="D1007" s="18" t="s">
        <v>209</v>
      </c>
      <c r="E1007" s="18" t="s">
        <v>274</v>
      </c>
      <c r="F1007" s="18" t="s">
        <v>1234</v>
      </c>
      <c r="G1007" s="19">
        <v>4425179</v>
      </c>
      <c r="H1007" s="18" t="s">
        <v>1234</v>
      </c>
      <c r="I1007" s="19">
        <v>3793911</v>
      </c>
      <c r="J1007" s="18" t="s">
        <v>1015</v>
      </c>
      <c r="K1007" s="19">
        <v>0</v>
      </c>
      <c r="L1007" s="19">
        <v>0</v>
      </c>
      <c r="M1007" s="19">
        <v>0</v>
      </c>
      <c r="N1007" s="20">
        <v>0</v>
      </c>
      <c r="O1007" s="19">
        <v>0</v>
      </c>
      <c r="P1007" s="19">
        <v>0</v>
      </c>
      <c r="Q1007" s="19">
        <v>0</v>
      </c>
      <c r="R1007" s="19">
        <v>0</v>
      </c>
      <c r="S1007" s="19">
        <v>0</v>
      </c>
      <c r="T1007" s="19">
        <v>0</v>
      </c>
      <c r="U1007" s="19">
        <v>0</v>
      </c>
      <c r="V1007" s="19">
        <v>0</v>
      </c>
      <c r="W1007" s="19">
        <v>0</v>
      </c>
      <c r="X1007" s="19">
        <v>0</v>
      </c>
      <c r="Y1007" s="20">
        <v>0</v>
      </c>
      <c r="Z1007" s="19">
        <v>0</v>
      </c>
      <c r="AA1007" s="19">
        <v>0</v>
      </c>
      <c r="AB1007" t="str">
        <f>VLOOKUP(E:E,笔记匹配!A:N,3,FALSE)</f>
        <v>西米是个小可爱</v>
      </c>
      <c r="AC1007" t="str">
        <f>VLOOKUP(E:E,笔记匹配!A:N,2,FALSE)</f>
        <v>筋膜枪</v>
      </c>
      <c r="AD1007" t="str">
        <f>VLOOKUP(E:E,笔记匹配!A:N,4,FALSE)</f>
        <v>云麦筋膜枪PB2</v>
      </c>
      <c r="AE1007" t="str">
        <f>VLOOKUP(E:E,笔记匹配!A:N,14,FALSE)</f>
        <v>云麦筋膜枪pb2</v>
      </c>
      <c r="AF1007" t="str">
        <f>VLOOKUP(E:E,笔记匹配!A:N,6,FALSE)</f>
        <v>筋膜枪千万不能乱用！正确肩颈使用方法</v>
      </c>
    </row>
    <row r="1008" spans="1:32">
      <c r="A1008" s="18" t="s">
        <v>147</v>
      </c>
      <c r="B1008" s="18" t="s">
        <v>1264</v>
      </c>
      <c r="C1008" s="19">
        <v>21203504</v>
      </c>
      <c r="D1008" s="18" t="s">
        <v>209</v>
      </c>
      <c r="E1008" s="18" t="s">
        <v>220</v>
      </c>
      <c r="F1008" s="18" t="s">
        <v>1265</v>
      </c>
      <c r="G1008" s="19">
        <v>5116446</v>
      </c>
      <c r="H1008" s="18" t="s">
        <v>1265</v>
      </c>
      <c r="I1008" s="19">
        <v>4323752</v>
      </c>
      <c r="J1008" s="18" t="s">
        <v>1015</v>
      </c>
      <c r="K1008" s="19">
        <v>32.17</v>
      </c>
      <c r="L1008" s="19">
        <v>2922</v>
      </c>
      <c r="M1008" s="19">
        <v>32</v>
      </c>
      <c r="N1008" s="20">
        <v>0.011</v>
      </c>
      <c r="O1008" s="19">
        <v>1.01</v>
      </c>
      <c r="P1008" s="19">
        <v>11.01</v>
      </c>
      <c r="Q1008" s="19">
        <v>1</v>
      </c>
      <c r="R1008" s="19">
        <v>0</v>
      </c>
      <c r="S1008" s="19">
        <v>1</v>
      </c>
      <c r="T1008" s="19">
        <v>0</v>
      </c>
      <c r="U1008" s="19">
        <v>0</v>
      </c>
      <c r="V1008" s="19">
        <v>2</v>
      </c>
      <c r="W1008" s="19">
        <v>16.08</v>
      </c>
      <c r="X1008" s="19">
        <v>0</v>
      </c>
      <c r="Y1008" s="20">
        <v>0</v>
      </c>
      <c r="Z1008" s="19">
        <v>0</v>
      </c>
      <c r="AA1008" s="19">
        <v>0</v>
      </c>
      <c r="AB1008" t="str">
        <f>VLOOKUP(E:E,笔记匹配!A:N,3,FALSE)</f>
        <v>一颗西兰花fa</v>
      </c>
      <c r="AC1008" t="str">
        <f>VLOOKUP(E:E,笔记匹配!A:N,2,FALSE)</f>
        <v>筋膜枪</v>
      </c>
      <c r="AD1008" t="str">
        <f>VLOOKUP(E:E,笔记匹配!A:N,4,FALSE)</f>
        <v>云麦筋膜枪PB2</v>
      </c>
      <c r="AE1008" t="str">
        <f>VLOOKUP(E:E,笔记匹配!A:N,14,FALSE)</f>
        <v>云麦筋膜枪pb2</v>
      </c>
      <c r="AF1008" t="str">
        <f>VLOOKUP(E:E,笔记匹配!A:N,6,FALSE)</f>
        <v>有没有姐妹跟我一样被肌肉腿困扰了好久！</v>
      </c>
    </row>
    <row r="1009" spans="1:32">
      <c r="A1009" s="18" t="s">
        <v>147</v>
      </c>
      <c r="B1009" s="18" t="s">
        <v>1267</v>
      </c>
      <c r="C1009" s="19">
        <v>21360243</v>
      </c>
      <c r="D1009" s="18" t="s">
        <v>209</v>
      </c>
      <c r="E1009" s="18" t="s">
        <v>220</v>
      </c>
      <c r="F1009" s="18" t="s">
        <v>1268</v>
      </c>
      <c r="G1009" s="19">
        <v>5192303</v>
      </c>
      <c r="H1009" s="18" t="s">
        <v>1269</v>
      </c>
      <c r="I1009" s="19">
        <v>4379647</v>
      </c>
      <c r="J1009" s="18" t="s">
        <v>1015</v>
      </c>
      <c r="K1009" s="19">
        <v>330.78</v>
      </c>
      <c r="L1009" s="19">
        <v>15247</v>
      </c>
      <c r="M1009" s="19">
        <v>276</v>
      </c>
      <c r="N1009" s="20">
        <v>0.0181</v>
      </c>
      <c r="O1009" s="19">
        <v>1.2</v>
      </c>
      <c r="P1009" s="19">
        <v>21.69</v>
      </c>
      <c r="Q1009" s="19">
        <v>20</v>
      </c>
      <c r="R1009" s="19">
        <v>2</v>
      </c>
      <c r="S1009" s="19">
        <v>11</v>
      </c>
      <c r="T1009" s="19">
        <v>0</v>
      </c>
      <c r="U1009" s="19">
        <v>3</v>
      </c>
      <c r="V1009" s="19">
        <v>36</v>
      </c>
      <c r="W1009" s="19">
        <v>9.19</v>
      </c>
      <c r="X1009" s="19">
        <v>0</v>
      </c>
      <c r="Y1009" s="20">
        <v>0</v>
      </c>
      <c r="Z1009" s="19">
        <v>3</v>
      </c>
      <c r="AA1009" s="19">
        <v>2</v>
      </c>
      <c r="AB1009" t="str">
        <f>VLOOKUP(E:E,笔记匹配!A:N,3,FALSE)</f>
        <v>一颗西兰花fa</v>
      </c>
      <c r="AC1009" t="str">
        <f>VLOOKUP(E:E,笔记匹配!A:N,2,FALSE)</f>
        <v>筋膜枪</v>
      </c>
      <c r="AD1009" t="str">
        <f>VLOOKUP(E:E,笔记匹配!A:N,4,FALSE)</f>
        <v>云麦筋膜枪PB2</v>
      </c>
      <c r="AE1009" t="str">
        <f>VLOOKUP(E:E,笔记匹配!A:N,14,FALSE)</f>
        <v>云麦筋膜枪pb2</v>
      </c>
      <c r="AF1009" t="str">
        <f>VLOOKUP(E:E,笔记匹配!A:N,6,FALSE)</f>
        <v>有没有姐妹跟我一样被肌肉腿困扰了好久！</v>
      </c>
    </row>
    <row r="1010" spans="1:32">
      <c r="A1010" s="18" t="s">
        <v>147</v>
      </c>
      <c r="B1010" s="18" t="s">
        <v>1270</v>
      </c>
      <c r="C1010" s="19">
        <v>21414957</v>
      </c>
      <c r="D1010" s="18" t="s">
        <v>209</v>
      </c>
      <c r="E1010" s="18" t="s">
        <v>555</v>
      </c>
      <c r="F1010" s="18" t="s">
        <v>1271</v>
      </c>
      <c r="G1010" s="19">
        <v>5218190</v>
      </c>
      <c r="H1010" s="18" t="s">
        <v>1271</v>
      </c>
      <c r="I1010" s="19">
        <v>4398989</v>
      </c>
      <c r="J1010" s="18" t="s">
        <v>1015</v>
      </c>
      <c r="K1010" s="19">
        <v>104.74</v>
      </c>
      <c r="L1010" s="19">
        <v>14991</v>
      </c>
      <c r="M1010" s="19">
        <v>189</v>
      </c>
      <c r="N1010" s="20">
        <v>0.0126</v>
      </c>
      <c r="O1010" s="19">
        <v>0.55</v>
      </c>
      <c r="P1010" s="19">
        <v>6.99</v>
      </c>
      <c r="Q1010" s="19">
        <v>3</v>
      </c>
      <c r="R1010" s="19">
        <v>0</v>
      </c>
      <c r="S1010" s="19">
        <v>0</v>
      </c>
      <c r="T1010" s="19">
        <v>0</v>
      </c>
      <c r="U1010" s="19">
        <v>1</v>
      </c>
      <c r="V1010" s="19">
        <v>4</v>
      </c>
      <c r="W1010" s="19">
        <v>26.18</v>
      </c>
      <c r="X1010" s="19">
        <v>0</v>
      </c>
      <c r="Y1010" s="20">
        <v>0</v>
      </c>
      <c r="Z1010" s="19">
        <v>0</v>
      </c>
      <c r="AA1010" s="19">
        <v>0</v>
      </c>
      <c r="AB1010" t="str">
        <f>VLOOKUP(E:E,笔记匹配!A:N,3,FALSE)</f>
        <v>蜜桃少女宁小美</v>
      </c>
      <c r="AC1010" t="str">
        <f>VLOOKUP(E:E,笔记匹配!A:N,2,FALSE)</f>
        <v>筋膜枪</v>
      </c>
      <c r="AD1010" t="str">
        <f>VLOOKUP(E:E,笔记匹配!A:N,4,FALSE)</f>
        <v>云麦筋膜枪cc</v>
      </c>
      <c r="AE1010" t="str">
        <f>VLOOKUP(E:E,笔记匹配!A:N,14,FALSE)</f>
        <v>云麦筋膜枪ccgo</v>
      </c>
      <c r="AF1010" t="str">
        <f>VLOOKUP(E:E,笔记匹配!A:N,6,FALSE)</f>
        <v>全款拿下2022宅家按摩神器🔥奶呼呼的巨可爱</v>
      </c>
    </row>
    <row r="1011" spans="1:32">
      <c r="A1011" s="18" t="s">
        <v>147</v>
      </c>
      <c r="B1011" s="18" t="s">
        <v>1270</v>
      </c>
      <c r="C1011" s="19">
        <v>21415048</v>
      </c>
      <c r="D1011" s="18" t="s">
        <v>209</v>
      </c>
      <c r="E1011" s="18" t="s">
        <v>552</v>
      </c>
      <c r="F1011" s="18" t="s">
        <v>1272</v>
      </c>
      <c r="G1011" s="19">
        <v>5218235</v>
      </c>
      <c r="H1011" s="18" t="s">
        <v>1272</v>
      </c>
      <c r="I1011" s="19">
        <v>4399042</v>
      </c>
      <c r="J1011" s="18" t="s">
        <v>1015</v>
      </c>
      <c r="K1011" s="19">
        <v>20.21</v>
      </c>
      <c r="L1011" s="19">
        <v>1644</v>
      </c>
      <c r="M1011" s="19">
        <v>36</v>
      </c>
      <c r="N1011" s="20">
        <v>0.0219</v>
      </c>
      <c r="O1011" s="19">
        <v>0.56</v>
      </c>
      <c r="P1011" s="19">
        <v>12.29</v>
      </c>
      <c r="Q1011" s="19">
        <v>0</v>
      </c>
      <c r="R1011" s="19">
        <v>0</v>
      </c>
      <c r="S1011" s="19">
        <v>0</v>
      </c>
      <c r="T1011" s="19">
        <v>0</v>
      </c>
      <c r="U1011" s="19">
        <v>0</v>
      </c>
      <c r="V1011" s="19">
        <v>0</v>
      </c>
      <c r="W1011" s="19">
        <v>0</v>
      </c>
      <c r="X1011" s="19">
        <v>0</v>
      </c>
      <c r="Y1011" s="20">
        <v>0</v>
      </c>
      <c r="Z1011" s="19">
        <v>0</v>
      </c>
      <c r="AA1011" s="19">
        <v>0</v>
      </c>
      <c r="AB1011" t="str">
        <f>VLOOKUP(E:E,笔记匹配!A:N,3,FALSE)</f>
        <v>thePans.</v>
      </c>
      <c r="AC1011" t="str">
        <f>VLOOKUP(E:E,笔记匹配!A:N,2,FALSE)</f>
        <v>筋膜枪</v>
      </c>
      <c r="AD1011" t="str">
        <f>VLOOKUP(E:E,笔记匹配!A:N,4,FALSE)</f>
        <v> 云麦筋膜枪cc</v>
      </c>
      <c r="AE1011" t="str">
        <f>VLOOKUP(E:E,笔记匹配!A:N,14,FALSE)</f>
        <v>云麦筋膜枪ccgo</v>
      </c>
      <c r="AF1011" t="str">
        <f>VLOOKUP(E:E,笔记匹配!A:N,6,FALSE)</f>
        <v>送闺蜜diy礼物💕要被这筋膜枪可爱晕啦!!~✨</v>
      </c>
    </row>
    <row r="1012" spans="1:32">
      <c r="A1012" s="18" t="s">
        <v>147</v>
      </c>
      <c r="B1012" s="18" t="s">
        <v>1270</v>
      </c>
      <c r="C1012" s="19">
        <v>21440220</v>
      </c>
      <c r="D1012" s="18" t="s">
        <v>209</v>
      </c>
      <c r="E1012" s="18" t="s">
        <v>234</v>
      </c>
      <c r="F1012" s="18" t="s">
        <v>1273</v>
      </c>
      <c r="G1012" s="19">
        <v>5218312</v>
      </c>
      <c r="H1012" s="18" t="s">
        <v>1273</v>
      </c>
      <c r="I1012" s="19">
        <v>4399094</v>
      </c>
      <c r="J1012" s="18" t="s">
        <v>1015</v>
      </c>
      <c r="K1012" s="19">
        <v>205.7</v>
      </c>
      <c r="L1012" s="19">
        <v>23591</v>
      </c>
      <c r="M1012" s="19">
        <v>437</v>
      </c>
      <c r="N1012" s="20">
        <v>0.0185</v>
      </c>
      <c r="O1012" s="19">
        <v>0.47</v>
      </c>
      <c r="P1012" s="19">
        <v>8.72</v>
      </c>
      <c r="Q1012" s="19">
        <v>9</v>
      </c>
      <c r="R1012" s="19">
        <v>0</v>
      </c>
      <c r="S1012" s="19">
        <v>0</v>
      </c>
      <c r="T1012" s="19">
        <v>2</v>
      </c>
      <c r="U1012" s="19">
        <v>0</v>
      </c>
      <c r="V1012" s="19">
        <v>11</v>
      </c>
      <c r="W1012" s="19">
        <v>18.7</v>
      </c>
      <c r="X1012" s="19">
        <v>0</v>
      </c>
      <c r="Y1012" s="20">
        <v>0</v>
      </c>
      <c r="Z1012" s="19">
        <v>1</v>
      </c>
      <c r="AA1012" s="19">
        <v>0</v>
      </c>
      <c r="AB1012" t="str">
        <f>VLOOKUP(E:E,笔记匹配!A:N,3,FALSE)</f>
        <v>pp</v>
      </c>
      <c r="AC1012" t="str">
        <f>VLOOKUP(E:E,笔记匹配!A:N,2,FALSE)</f>
        <v>体脂秤</v>
      </c>
      <c r="AD1012" t="str">
        <f>VLOOKUP(E:E,笔记匹配!A:N,4,FALSE)</f>
        <v>云麦体脂秤3mini</v>
      </c>
      <c r="AE1012" t="str">
        <f>VLOOKUP(E:E,笔记匹配!A:N,14,FALSE)</f>
        <v>云麦体脂秤3mini</v>
      </c>
      <c r="AF1012" t="str">
        <f>VLOOKUP(E:E,笔记匹配!A:N,6,FALSE)</f>
        <v>110到88 一些减肥小建议｜如何正确运动</v>
      </c>
    </row>
    <row r="1013" spans="1:32">
      <c r="A1013" s="18" t="s">
        <v>147</v>
      </c>
      <c r="B1013" s="18" t="s">
        <v>1270</v>
      </c>
      <c r="C1013" s="19">
        <v>21451628</v>
      </c>
      <c r="D1013" s="18" t="s">
        <v>209</v>
      </c>
      <c r="E1013" s="18" t="s">
        <v>234</v>
      </c>
      <c r="F1013" s="18" t="s">
        <v>1274</v>
      </c>
      <c r="G1013" s="19">
        <v>5234903</v>
      </c>
      <c r="H1013" s="18" t="s">
        <v>1274</v>
      </c>
      <c r="I1013" s="19">
        <v>4411839</v>
      </c>
      <c r="J1013" s="18" t="s">
        <v>1015</v>
      </c>
      <c r="K1013" s="19">
        <v>17.11</v>
      </c>
      <c r="L1013" s="19">
        <v>2556</v>
      </c>
      <c r="M1013" s="19">
        <v>60</v>
      </c>
      <c r="N1013" s="20">
        <v>0.0235</v>
      </c>
      <c r="O1013" s="19">
        <v>0.29</v>
      </c>
      <c r="P1013" s="19">
        <v>6.69</v>
      </c>
      <c r="Q1013" s="19">
        <v>0</v>
      </c>
      <c r="R1013" s="19">
        <v>0</v>
      </c>
      <c r="S1013" s="19">
        <v>0</v>
      </c>
      <c r="T1013" s="19">
        <v>0</v>
      </c>
      <c r="U1013" s="19">
        <v>0</v>
      </c>
      <c r="V1013" s="19">
        <v>0</v>
      </c>
      <c r="W1013" s="19">
        <v>0</v>
      </c>
      <c r="X1013" s="19">
        <v>0</v>
      </c>
      <c r="Y1013" s="20">
        <v>0</v>
      </c>
      <c r="Z1013" s="19">
        <v>0</v>
      </c>
      <c r="AA1013" s="19">
        <v>0</v>
      </c>
      <c r="AB1013" t="str">
        <f>VLOOKUP(E:E,笔记匹配!A:N,3,FALSE)</f>
        <v>pp</v>
      </c>
      <c r="AC1013" t="str">
        <f>VLOOKUP(E:E,笔记匹配!A:N,2,FALSE)</f>
        <v>体脂秤</v>
      </c>
      <c r="AD1013" t="str">
        <f>VLOOKUP(E:E,笔记匹配!A:N,4,FALSE)</f>
        <v>云麦体脂秤3mini</v>
      </c>
      <c r="AE1013" t="str">
        <f>VLOOKUP(E:E,笔记匹配!A:N,14,FALSE)</f>
        <v>云麦体脂秤3mini</v>
      </c>
      <c r="AF1013" t="str">
        <f>VLOOKUP(E:E,笔记匹配!A:N,6,FALSE)</f>
        <v>110到88 一些减肥小建议｜如何正确运动</v>
      </c>
    </row>
    <row r="1014" spans="1:32">
      <c r="A1014" s="18" t="s">
        <v>147</v>
      </c>
      <c r="B1014" s="18" t="s">
        <v>1275</v>
      </c>
      <c r="C1014" s="19">
        <v>21451929</v>
      </c>
      <c r="D1014" s="18" t="s">
        <v>209</v>
      </c>
      <c r="E1014" s="18" t="s">
        <v>220</v>
      </c>
      <c r="F1014" s="18" t="s">
        <v>1276</v>
      </c>
      <c r="G1014" s="19">
        <v>5235064</v>
      </c>
      <c r="H1014" s="18" t="s">
        <v>1277</v>
      </c>
      <c r="I1014" s="19">
        <v>4411964</v>
      </c>
      <c r="J1014" s="18" t="s">
        <v>1015</v>
      </c>
      <c r="K1014" s="19">
        <v>0</v>
      </c>
      <c r="L1014" s="19">
        <v>153</v>
      </c>
      <c r="M1014" s="19">
        <v>0</v>
      </c>
      <c r="N1014" s="20">
        <v>0</v>
      </c>
      <c r="O1014" s="19">
        <v>0</v>
      </c>
      <c r="P1014" s="19">
        <v>0</v>
      </c>
      <c r="Q1014" s="19">
        <v>0</v>
      </c>
      <c r="R1014" s="19">
        <v>0</v>
      </c>
      <c r="S1014" s="19">
        <v>0</v>
      </c>
      <c r="T1014" s="19">
        <v>0</v>
      </c>
      <c r="U1014" s="19">
        <v>0</v>
      </c>
      <c r="V1014" s="19">
        <v>0</v>
      </c>
      <c r="W1014" s="19">
        <v>0</v>
      </c>
      <c r="X1014" s="19">
        <v>0</v>
      </c>
      <c r="Y1014" s="20">
        <v>0</v>
      </c>
      <c r="Z1014" s="19">
        <v>0</v>
      </c>
      <c r="AA1014" s="19">
        <v>0</v>
      </c>
      <c r="AB1014" t="str">
        <f>VLOOKUP(E:E,笔记匹配!A:N,3,FALSE)</f>
        <v>一颗西兰花fa</v>
      </c>
      <c r="AC1014" t="str">
        <f>VLOOKUP(E:E,笔记匹配!A:N,2,FALSE)</f>
        <v>筋膜枪</v>
      </c>
      <c r="AD1014" t="str">
        <f>VLOOKUP(E:E,笔记匹配!A:N,4,FALSE)</f>
        <v>云麦筋膜枪PB2</v>
      </c>
      <c r="AE1014" t="str">
        <f>VLOOKUP(E:E,笔记匹配!A:N,14,FALSE)</f>
        <v>云麦筋膜枪pb2</v>
      </c>
      <c r="AF1014" t="str">
        <f>VLOOKUP(E:E,笔记匹配!A:N,6,FALSE)</f>
        <v>有没有姐妹跟我一样被肌肉腿困扰了好久！</v>
      </c>
    </row>
    <row r="1015" spans="1:32">
      <c r="A1015" s="18" t="s">
        <v>147</v>
      </c>
      <c r="B1015" s="18" t="s">
        <v>1278</v>
      </c>
      <c r="C1015" s="19">
        <v>21453398</v>
      </c>
      <c r="D1015" s="18" t="s">
        <v>209</v>
      </c>
      <c r="E1015" s="18" t="s">
        <v>552</v>
      </c>
      <c r="F1015" s="18" t="s">
        <v>1279</v>
      </c>
      <c r="G1015" s="19">
        <v>5235825</v>
      </c>
      <c r="H1015" s="18" t="s">
        <v>1280</v>
      </c>
      <c r="I1015" s="19">
        <v>4412508</v>
      </c>
      <c r="J1015" s="18" t="s">
        <v>1015</v>
      </c>
      <c r="K1015" s="19">
        <v>106.33</v>
      </c>
      <c r="L1015" s="19">
        <v>5307</v>
      </c>
      <c r="M1015" s="19">
        <v>184</v>
      </c>
      <c r="N1015" s="20">
        <v>0.0347</v>
      </c>
      <c r="O1015" s="19">
        <v>0.58</v>
      </c>
      <c r="P1015" s="19">
        <v>20.04</v>
      </c>
      <c r="Q1015" s="19">
        <v>1</v>
      </c>
      <c r="R1015" s="19">
        <v>0</v>
      </c>
      <c r="S1015" s="19">
        <v>0</v>
      </c>
      <c r="T1015" s="19">
        <v>0</v>
      </c>
      <c r="U1015" s="19">
        <v>0</v>
      </c>
      <c r="V1015" s="19">
        <v>1</v>
      </c>
      <c r="W1015" s="19">
        <v>106.33</v>
      </c>
      <c r="X1015" s="19">
        <v>0</v>
      </c>
      <c r="Y1015" s="20">
        <v>0</v>
      </c>
      <c r="Z1015" s="19">
        <v>0</v>
      </c>
      <c r="AA1015" s="19">
        <v>0</v>
      </c>
      <c r="AB1015" t="str">
        <f>VLOOKUP(E:E,笔记匹配!A:N,3,FALSE)</f>
        <v>thePans.</v>
      </c>
      <c r="AC1015" t="str">
        <f>VLOOKUP(E:E,笔记匹配!A:N,2,FALSE)</f>
        <v>筋膜枪</v>
      </c>
      <c r="AD1015" t="str">
        <f>VLOOKUP(E:E,笔记匹配!A:N,4,FALSE)</f>
        <v> 云麦筋膜枪cc</v>
      </c>
      <c r="AE1015" t="str">
        <f>VLOOKUP(E:E,笔记匹配!A:N,14,FALSE)</f>
        <v>云麦筋膜枪ccgo</v>
      </c>
      <c r="AF1015" t="str">
        <f>VLOOKUP(E:E,笔记匹配!A:N,6,FALSE)</f>
        <v>送闺蜜diy礼物💕要被这筋膜枪可爱晕啦!!~✨</v>
      </c>
    </row>
    <row r="1016" spans="1:32">
      <c r="A1016" s="18" t="s">
        <v>148</v>
      </c>
      <c r="B1016" s="18" t="s">
        <v>1164</v>
      </c>
      <c r="C1016" s="19">
        <v>18170615</v>
      </c>
      <c r="D1016" s="18" t="s">
        <v>209</v>
      </c>
      <c r="E1016" s="18" t="s">
        <v>205</v>
      </c>
      <c r="F1016" s="18" t="s">
        <v>1165</v>
      </c>
      <c r="G1016" s="19">
        <v>3639848</v>
      </c>
      <c r="H1016" s="18" t="s">
        <v>1166</v>
      </c>
      <c r="I1016" s="19">
        <v>3024741</v>
      </c>
      <c r="J1016" s="18" t="s">
        <v>1015</v>
      </c>
      <c r="K1016" s="19">
        <v>0</v>
      </c>
      <c r="L1016" s="19">
        <v>0</v>
      </c>
      <c r="M1016" s="19">
        <v>0</v>
      </c>
      <c r="N1016" s="20">
        <v>0</v>
      </c>
      <c r="O1016" s="19">
        <v>0</v>
      </c>
      <c r="P1016" s="19">
        <v>0</v>
      </c>
      <c r="Q1016" s="19">
        <v>0</v>
      </c>
      <c r="R1016" s="19">
        <v>0</v>
      </c>
      <c r="S1016" s="19">
        <v>0</v>
      </c>
      <c r="T1016" s="19">
        <v>0</v>
      </c>
      <c r="U1016" s="19">
        <v>0</v>
      </c>
      <c r="V1016" s="19">
        <v>0</v>
      </c>
      <c r="W1016" s="19">
        <v>0</v>
      </c>
      <c r="X1016" s="19">
        <v>0</v>
      </c>
      <c r="Y1016" s="20">
        <v>0</v>
      </c>
      <c r="Z1016" s="19">
        <v>0</v>
      </c>
      <c r="AA1016" s="19">
        <v>0</v>
      </c>
      <c r="AB1016" t="str">
        <f>VLOOKUP(E:E,笔记匹配!A:N,3,FALSE)</f>
        <v>马可乐cora</v>
      </c>
      <c r="AC1016" t="str">
        <f>VLOOKUP(E:E,笔记匹配!A:N,2,FALSE)</f>
        <v>筋膜枪</v>
      </c>
      <c r="AD1016" t="str">
        <f>VLOOKUP(E:E,笔记匹配!A:N,4,FALSE)</f>
        <v>云麦筋膜枪PB2</v>
      </c>
      <c r="AE1016" t="str">
        <f>VLOOKUP(E:E,笔记匹配!A:N,14,FALSE)</f>
        <v>云麦筋膜枪pb2</v>
      </c>
      <c r="AF1016" t="str">
        <f>VLOOKUP(E:E,笔记匹配!A:N,6,FALSE)</f>
        <v>跳操的姐妹听我的用筋膜枪放松下肢真的有用</v>
      </c>
    </row>
    <row r="1017" spans="1:32">
      <c r="A1017" s="18" t="s">
        <v>148</v>
      </c>
      <c r="B1017" s="18" t="s">
        <v>1264</v>
      </c>
      <c r="C1017" s="19">
        <v>21203504</v>
      </c>
      <c r="D1017" s="18" t="s">
        <v>209</v>
      </c>
      <c r="E1017" s="18" t="s">
        <v>220</v>
      </c>
      <c r="F1017" s="18" t="s">
        <v>1265</v>
      </c>
      <c r="G1017" s="19">
        <v>5116446</v>
      </c>
      <c r="H1017" s="18" t="s">
        <v>1265</v>
      </c>
      <c r="I1017" s="19">
        <v>4323752</v>
      </c>
      <c r="J1017" s="18" t="s">
        <v>1015</v>
      </c>
      <c r="K1017" s="19">
        <v>0</v>
      </c>
      <c r="L1017" s="19">
        <v>0</v>
      </c>
      <c r="M1017" s="19">
        <v>0</v>
      </c>
      <c r="N1017" s="20">
        <v>0</v>
      </c>
      <c r="O1017" s="19">
        <v>0</v>
      </c>
      <c r="P1017" s="19">
        <v>0</v>
      </c>
      <c r="Q1017" s="19">
        <v>0</v>
      </c>
      <c r="R1017" s="19">
        <v>0</v>
      </c>
      <c r="S1017" s="19">
        <v>0</v>
      </c>
      <c r="T1017" s="19">
        <v>0</v>
      </c>
      <c r="U1017" s="19">
        <v>0</v>
      </c>
      <c r="V1017" s="19">
        <v>0</v>
      </c>
      <c r="W1017" s="19">
        <v>0</v>
      </c>
      <c r="X1017" s="19">
        <v>0</v>
      </c>
      <c r="Y1017" s="20">
        <v>0</v>
      </c>
      <c r="Z1017" s="19">
        <v>0</v>
      </c>
      <c r="AA1017" s="19">
        <v>0</v>
      </c>
      <c r="AB1017" t="str">
        <f>VLOOKUP(E:E,笔记匹配!A:N,3,FALSE)</f>
        <v>一颗西兰花fa</v>
      </c>
      <c r="AC1017" t="str">
        <f>VLOOKUP(E:E,笔记匹配!A:N,2,FALSE)</f>
        <v>筋膜枪</v>
      </c>
      <c r="AD1017" t="str">
        <f>VLOOKUP(E:E,笔记匹配!A:N,4,FALSE)</f>
        <v>云麦筋膜枪PB2</v>
      </c>
      <c r="AE1017" t="str">
        <f>VLOOKUP(E:E,笔记匹配!A:N,14,FALSE)</f>
        <v>云麦筋膜枪pb2</v>
      </c>
      <c r="AF1017" t="str">
        <f>VLOOKUP(E:E,笔记匹配!A:N,6,FALSE)</f>
        <v>有没有姐妹跟我一样被肌肉腿困扰了好久！</v>
      </c>
    </row>
    <row r="1018" spans="1:32">
      <c r="A1018" s="18" t="s">
        <v>148</v>
      </c>
      <c r="B1018" s="18" t="s">
        <v>1267</v>
      </c>
      <c r="C1018" s="19">
        <v>21360243</v>
      </c>
      <c r="D1018" s="18" t="s">
        <v>209</v>
      </c>
      <c r="E1018" s="18" t="s">
        <v>220</v>
      </c>
      <c r="F1018" s="18" t="s">
        <v>1268</v>
      </c>
      <c r="G1018" s="19">
        <v>5192303</v>
      </c>
      <c r="H1018" s="18" t="s">
        <v>1269</v>
      </c>
      <c r="I1018" s="19">
        <v>4379647</v>
      </c>
      <c r="J1018" s="18" t="s">
        <v>1015</v>
      </c>
      <c r="K1018" s="19">
        <v>701.36</v>
      </c>
      <c r="L1018" s="19">
        <v>49277</v>
      </c>
      <c r="M1018" s="19">
        <v>2132</v>
      </c>
      <c r="N1018" s="20">
        <v>0.0433</v>
      </c>
      <c r="O1018" s="19">
        <v>0.33</v>
      </c>
      <c r="P1018" s="19">
        <v>14.23</v>
      </c>
      <c r="Q1018" s="19">
        <v>97</v>
      </c>
      <c r="R1018" s="19">
        <v>2</v>
      </c>
      <c r="S1018" s="19">
        <v>43</v>
      </c>
      <c r="T1018" s="19">
        <v>0</v>
      </c>
      <c r="U1018" s="19">
        <v>5</v>
      </c>
      <c r="V1018" s="19">
        <v>147</v>
      </c>
      <c r="W1018" s="19">
        <v>4.77</v>
      </c>
      <c r="X1018" s="19">
        <v>0</v>
      </c>
      <c r="Y1018" s="20">
        <v>0</v>
      </c>
      <c r="Z1018" s="19">
        <v>13</v>
      </c>
      <c r="AA1018" s="19">
        <v>1</v>
      </c>
      <c r="AB1018" t="str">
        <f>VLOOKUP(E:E,笔记匹配!A:N,3,FALSE)</f>
        <v>一颗西兰花fa</v>
      </c>
      <c r="AC1018" t="str">
        <f>VLOOKUP(E:E,笔记匹配!A:N,2,FALSE)</f>
        <v>筋膜枪</v>
      </c>
      <c r="AD1018" t="str">
        <f>VLOOKUP(E:E,笔记匹配!A:N,4,FALSE)</f>
        <v>云麦筋膜枪PB2</v>
      </c>
      <c r="AE1018" t="str">
        <f>VLOOKUP(E:E,笔记匹配!A:N,14,FALSE)</f>
        <v>云麦筋膜枪pb2</v>
      </c>
      <c r="AF1018" t="str">
        <f>VLOOKUP(E:E,笔记匹配!A:N,6,FALSE)</f>
        <v>有没有姐妹跟我一样被肌肉腿困扰了好久！</v>
      </c>
    </row>
    <row r="1019" spans="1:32">
      <c r="A1019" s="18" t="s">
        <v>148</v>
      </c>
      <c r="B1019" s="18" t="s">
        <v>1270</v>
      </c>
      <c r="C1019" s="19">
        <v>21414957</v>
      </c>
      <c r="D1019" s="18" t="s">
        <v>209</v>
      </c>
      <c r="E1019" s="18" t="s">
        <v>555</v>
      </c>
      <c r="F1019" s="18" t="s">
        <v>1271</v>
      </c>
      <c r="G1019" s="19">
        <v>5218190</v>
      </c>
      <c r="H1019" s="18" t="s">
        <v>1271</v>
      </c>
      <c r="I1019" s="19">
        <v>4398989</v>
      </c>
      <c r="J1019" s="18" t="s">
        <v>1015</v>
      </c>
      <c r="K1019" s="19">
        <v>47.68</v>
      </c>
      <c r="L1019" s="19">
        <v>4279</v>
      </c>
      <c r="M1019" s="19">
        <v>98</v>
      </c>
      <c r="N1019" s="20">
        <v>0.0229</v>
      </c>
      <c r="O1019" s="19">
        <v>0.49</v>
      </c>
      <c r="P1019" s="19">
        <v>11.14</v>
      </c>
      <c r="Q1019" s="19">
        <v>2</v>
      </c>
      <c r="R1019" s="19">
        <v>0</v>
      </c>
      <c r="S1019" s="19">
        <v>0</v>
      </c>
      <c r="T1019" s="19">
        <v>0</v>
      </c>
      <c r="U1019" s="19">
        <v>0</v>
      </c>
      <c r="V1019" s="19">
        <v>2</v>
      </c>
      <c r="W1019" s="19">
        <v>23.84</v>
      </c>
      <c r="X1019" s="19">
        <v>0</v>
      </c>
      <c r="Y1019" s="20">
        <v>0</v>
      </c>
      <c r="Z1019" s="19">
        <v>0</v>
      </c>
      <c r="AA1019" s="19">
        <v>0</v>
      </c>
      <c r="AB1019" t="str">
        <f>VLOOKUP(E:E,笔记匹配!A:N,3,FALSE)</f>
        <v>蜜桃少女宁小美</v>
      </c>
      <c r="AC1019" t="str">
        <f>VLOOKUP(E:E,笔记匹配!A:N,2,FALSE)</f>
        <v>筋膜枪</v>
      </c>
      <c r="AD1019" t="str">
        <f>VLOOKUP(E:E,笔记匹配!A:N,4,FALSE)</f>
        <v>云麦筋膜枪cc</v>
      </c>
      <c r="AE1019" t="str">
        <f>VLOOKUP(E:E,笔记匹配!A:N,14,FALSE)</f>
        <v>云麦筋膜枪ccgo</v>
      </c>
      <c r="AF1019" t="str">
        <f>VLOOKUP(E:E,笔记匹配!A:N,6,FALSE)</f>
        <v>全款拿下2022宅家按摩神器🔥奶呼呼的巨可爱</v>
      </c>
    </row>
    <row r="1020" spans="1:32">
      <c r="A1020" s="18" t="s">
        <v>148</v>
      </c>
      <c r="B1020" s="18" t="s">
        <v>1270</v>
      </c>
      <c r="C1020" s="19">
        <v>21440220</v>
      </c>
      <c r="D1020" s="18" t="s">
        <v>209</v>
      </c>
      <c r="E1020" s="18" t="s">
        <v>234</v>
      </c>
      <c r="F1020" s="18" t="s">
        <v>1273</v>
      </c>
      <c r="G1020" s="19">
        <v>5218312</v>
      </c>
      <c r="H1020" s="18" t="s">
        <v>1273</v>
      </c>
      <c r="I1020" s="19">
        <v>4399094</v>
      </c>
      <c r="J1020" s="18" t="s">
        <v>1015</v>
      </c>
      <c r="K1020" s="19">
        <v>308.96</v>
      </c>
      <c r="L1020" s="19">
        <v>63007</v>
      </c>
      <c r="M1020" s="19">
        <v>2377</v>
      </c>
      <c r="N1020" s="20">
        <v>0.0377</v>
      </c>
      <c r="O1020" s="19">
        <v>0.13</v>
      </c>
      <c r="P1020" s="19">
        <v>4.9</v>
      </c>
      <c r="Q1020" s="19">
        <v>12</v>
      </c>
      <c r="R1020" s="19">
        <v>0</v>
      </c>
      <c r="S1020" s="19">
        <v>5</v>
      </c>
      <c r="T1020" s="19">
        <v>-1</v>
      </c>
      <c r="U1020" s="19">
        <v>0</v>
      </c>
      <c r="V1020" s="19">
        <v>16</v>
      </c>
      <c r="W1020" s="19">
        <v>19.31</v>
      </c>
      <c r="X1020" s="19">
        <v>0</v>
      </c>
      <c r="Y1020" s="20">
        <v>0</v>
      </c>
      <c r="Z1020" s="19">
        <v>3</v>
      </c>
      <c r="AA1020" s="19">
        <v>0</v>
      </c>
      <c r="AB1020" t="str">
        <f>VLOOKUP(E:E,笔记匹配!A:N,3,FALSE)</f>
        <v>pp</v>
      </c>
      <c r="AC1020" t="str">
        <f>VLOOKUP(E:E,笔记匹配!A:N,2,FALSE)</f>
        <v>体脂秤</v>
      </c>
      <c r="AD1020" t="str">
        <f>VLOOKUP(E:E,笔记匹配!A:N,4,FALSE)</f>
        <v>云麦体脂秤3mini</v>
      </c>
      <c r="AE1020" t="str">
        <f>VLOOKUP(E:E,笔记匹配!A:N,14,FALSE)</f>
        <v>云麦体脂秤3mini</v>
      </c>
      <c r="AF1020" t="str">
        <f>VLOOKUP(E:E,笔记匹配!A:N,6,FALSE)</f>
        <v>110到88 一些减肥小建议｜如何正确运动</v>
      </c>
    </row>
    <row r="1021" spans="1:32">
      <c r="A1021" s="18" t="s">
        <v>148</v>
      </c>
      <c r="B1021" s="18" t="s">
        <v>1270</v>
      </c>
      <c r="C1021" s="19">
        <v>21451628</v>
      </c>
      <c r="D1021" s="18" t="s">
        <v>209</v>
      </c>
      <c r="E1021" s="18" t="s">
        <v>234</v>
      </c>
      <c r="F1021" s="18" t="s">
        <v>1274</v>
      </c>
      <c r="G1021" s="19">
        <v>5234903</v>
      </c>
      <c r="H1021" s="18" t="s">
        <v>1274</v>
      </c>
      <c r="I1021" s="19">
        <v>4411839</v>
      </c>
      <c r="J1021" s="18" t="s">
        <v>1015</v>
      </c>
      <c r="K1021" s="19">
        <v>0</v>
      </c>
      <c r="L1021" s="19">
        <v>4</v>
      </c>
      <c r="M1021" s="19">
        <v>0</v>
      </c>
      <c r="N1021" s="20">
        <v>0</v>
      </c>
      <c r="O1021" s="19">
        <v>0</v>
      </c>
      <c r="P1021" s="19">
        <v>0</v>
      </c>
      <c r="Q1021" s="19">
        <v>0</v>
      </c>
      <c r="R1021" s="19">
        <v>0</v>
      </c>
      <c r="S1021" s="19">
        <v>0</v>
      </c>
      <c r="T1021" s="19">
        <v>0</v>
      </c>
      <c r="U1021" s="19">
        <v>0</v>
      </c>
      <c r="V1021" s="19">
        <v>0</v>
      </c>
      <c r="W1021" s="19">
        <v>0</v>
      </c>
      <c r="X1021" s="19">
        <v>0</v>
      </c>
      <c r="Y1021" s="20">
        <v>0</v>
      </c>
      <c r="Z1021" s="19">
        <v>0</v>
      </c>
      <c r="AA1021" s="19">
        <v>0</v>
      </c>
      <c r="AB1021" t="str">
        <f>VLOOKUP(E:E,笔记匹配!A:N,3,FALSE)</f>
        <v>pp</v>
      </c>
      <c r="AC1021" t="str">
        <f>VLOOKUP(E:E,笔记匹配!A:N,2,FALSE)</f>
        <v>体脂秤</v>
      </c>
      <c r="AD1021" t="str">
        <f>VLOOKUP(E:E,笔记匹配!A:N,4,FALSE)</f>
        <v>云麦体脂秤3mini</v>
      </c>
      <c r="AE1021" t="str">
        <f>VLOOKUP(E:E,笔记匹配!A:N,14,FALSE)</f>
        <v>云麦体脂秤3mini</v>
      </c>
      <c r="AF1021" t="str">
        <f>VLOOKUP(E:E,笔记匹配!A:N,6,FALSE)</f>
        <v>110到88 一些减肥小建议｜如何正确运动</v>
      </c>
    </row>
    <row r="1022" spans="1:32">
      <c r="A1022" s="18" t="s">
        <v>148</v>
      </c>
      <c r="B1022" s="18" t="s">
        <v>1275</v>
      </c>
      <c r="C1022" s="19">
        <v>21451929</v>
      </c>
      <c r="D1022" s="18" t="s">
        <v>209</v>
      </c>
      <c r="E1022" s="18" t="s">
        <v>220</v>
      </c>
      <c r="F1022" s="18" t="s">
        <v>1276</v>
      </c>
      <c r="G1022" s="19">
        <v>5235064</v>
      </c>
      <c r="H1022" s="18" t="s">
        <v>1277</v>
      </c>
      <c r="I1022" s="19">
        <v>4411964</v>
      </c>
      <c r="J1022" s="18" t="s">
        <v>1015</v>
      </c>
      <c r="K1022" s="19">
        <v>399.34</v>
      </c>
      <c r="L1022" s="19">
        <v>24569</v>
      </c>
      <c r="M1022" s="19">
        <v>1013</v>
      </c>
      <c r="N1022" s="20">
        <v>0.0412</v>
      </c>
      <c r="O1022" s="19">
        <v>0.39</v>
      </c>
      <c r="P1022" s="19">
        <v>16.25</v>
      </c>
      <c r="Q1022" s="19">
        <v>39</v>
      </c>
      <c r="R1022" s="19">
        <v>0</v>
      </c>
      <c r="S1022" s="19">
        <v>20</v>
      </c>
      <c r="T1022" s="19">
        <v>0</v>
      </c>
      <c r="U1022" s="19">
        <v>1</v>
      </c>
      <c r="V1022" s="19">
        <v>60</v>
      </c>
      <c r="W1022" s="19">
        <v>6.66</v>
      </c>
      <c r="X1022" s="19">
        <v>0</v>
      </c>
      <c r="Y1022" s="20">
        <v>0</v>
      </c>
      <c r="Z1022" s="19">
        <v>9</v>
      </c>
      <c r="AA1022" s="19">
        <v>3</v>
      </c>
      <c r="AB1022" t="str">
        <f>VLOOKUP(E:E,笔记匹配!A:N,3,FALSE)</f>
        <v>一颗西兰花fa</v>
      </c>
      <c r="AC1022" t="str">
        <f>VLOOKUP(E:E,笔记匹配!A:N,2,FALSE)</f>
        <v>筋膜枪</v>
      </c>
      <c r="AD1022" t="str">
        <f>VLOOKUP(E:E,笔记匹配!A:N,4,FALSE)</f>
        <v>云麦筋膜枪PB2</v>
      </c>
      <c r="AE1022" t="str">
        <f>VLOOKUP(E:E,笔记匹配!A:N,14,FALSE)</f>
        <v>云麦筋膜枪pb2</v>
      </c>
      <c r="AF1022" t="str">
        <f>VLOOKUP(E:E,笔记匹配!A:N,6,FALSE)</f>
        <v>有没有姐妹跟我一样被肌肉腿困扰了好久！</v>
      </c>
    </row>
    <row r="1023" spans="1:32">
      <c r="A1023" s="18" t="s">
        <v>148</v>
      </c>
      <c r="B1023" s="18" t="s">
        <v>1278</v>
      </c>
      <c r="C1023" s="19">
        <v>21453398</v>
      </c>
      <c r="D1023" s="18" t="s">
        <v>209</v>
      </c>
      <c r="E1023" s="18" t="s">
        <v>552</v>
      </c>
      <c r="F1023" s="18" t="s">
        <v>1279</v>
      </c>
      <c r="G1023" s="19">
        <v>5235825</v>
      </c>
      <c r="H1023" s="18" t="s">
        <v>1280</v>
      </c>
      <c r="I1023" s="19">
        <v>4412508</v>
      </c>
      <c r="J1023" s="18" t="s">
        <v>1015</v>
      </c>
      <c r="K1023" s="19">
        <v>95.43</v>
      </c>
      <c r="L1023" s="19">
        <v>6706</v>
      </c>
      <c r="M1023" s="19">
        <v>319</v>
      </c>
      <c r="N1023" s="20">
        <v>0.0476</v>
      </c>
      <c r="O1023" s="19">
        <v>0.3</v>
      </c>
      <c r="P1023" s="19">
        <v>14.23</v>
      </c>
      <c r="Q1023" s="19">
        <v>13</v>
      </c>
      <c r="R1023" s="19">
        <v>1</v>
      </c>
      <c r="S1023" s="19">
        <v>2</v>
      </c>
      <c r="T1023" s="19">
        <v>0</v>
      </c>
      <c r="U1023" s="19">
        <v>0</v>
      </c>
      <c r="V1023" s="19">
        <v>16</v>
      </c>
      <c r="W1023" s="19">
        <v>5.96</v>
      </c>
      <c r="X1023" s="19">
        <v>0</v>
      </c>
      <c r="Y1023" s="20">
        <v>0</v>
      </c>
      <c r="Z1023" s="19">
        <v>2</v>
      </c>
      <c r="AA1023" s="19">
        <v>0</v>
      </c>
      <c r="AB1023" t="str">
        <f>VLOOKUP(E:E,笔记匹配!A:N,3,FALSE)</f>
        <v>thePans.</v>
      </c>
      <c r="AC1023" t="str">
        <f>VLOOKUP(E:E,笔记匹配!A:N,2,FALSE)</f>
        <v>筋膜枪</v>
      </c>
      <c r="AD1023" t="str">
        <f>VLOOKUP(E:E,笔记匹配!A:N,4,FALSE)</f>
        <v> 云麦筋膜枪cc</v>
      </c>
      <c r="AE1023" t="str">
        <f>VLOOKUP(E:E,笔记匹配!A:N,14,FALSE)</f>
        <v>云麦筋膜枪ccgo</v>
      </c>
      <c r="AF1023" t="str">
        <f>VLOOKUP(E:E,笔记匹配!A:N,6,FALSE)</f>
        <v>送闺蜜diy礼物💕要被这筋膜枪可爱晕啦!!~✨</v>
      </c>
    </row>
    <row r="1024" spans="1:32">
      <c r="A1024" s="18" t="s">
        <v>148</v>
      </c>
      <c r="B1024" s="18" t="s">
        <v>1281</v>
      </c>
      <c r="C1024" s="19">
        <v>21506599</v>
      </c>
      <c r="D1024" s="18" t="s">
        <v>209</v>
      </c>
      <c r="E1024" s="18" t="s">
        <v>439</v>
      </c>
      <c r="F1024" s="18" t="s">
        <v>1282</v>
      </c>
      <c r="G1024" s="19">
        <v>5258337</v>
      </c>
      <c r="H1024" s="18" t="s">
        <v>1282</v>
      </c>
      <c r="I1024" s="19">
        <v>4430183</v>
      </c>
      <c r="J1024" s="18" t="s">
        <v>1015</v>
      </c>
      <c r="K1024" s="19">
        <v>240</v>
      </c>
      <c r="L1024" s="19">
        <v>10002</v>
      </c>
      <c r="M1024" s="19">
        <v>838</v>
      </c>
      <c r="N1024" s="20">
        <v>0.0838</v>
      </c>
      <c r="O1024" s="19">
        <v>0.29</v>
      </c>
      <c r="P1024" s="19">
        <v>24</v>
      </c>
      <c r="Q1024" s="19">
        <v>24</v>
      </c>
      <c r="R1024" s="19">
        <v>1</v>
      </c>
      <c r="S1024" s="19">
        <v>14</v>
      </c>
      <c r="T1024" s="19">
        <v>2</v>
      </c>
      <c r="U1024" s="19">
        <v>1</v>
      </c>
      <c r="V1024" s="19">
        <v>42</v>
      </c>
      <c r="W1024" s="19">
        <v>5.71</v>
      </c>
      <c r="X1024" s="19">
        <v>0</v>
      </c>
      <c r="Y1024" s="20">
        <v>0</v>
      </c>
      <c r="Z1024" s="19">
        <v>1</v>
      </c>
      <c r="AA1024" s="19">
        <v>0</v>
      </c>
      <c r="AB1024" t="str">
        <f>VLOOKUP(E:E,笔记匹配!A:N,3,FALSE)</f>
        <v>索菲亚的冻龄秘密</v>
      </c>
      <c r="AC1024" t="str">
        <f>VLOOKUP(E:E,笔记匹配!A:N,2,FALSE)</f>
        <v>体脂秤</v>
      </c>
      <c r="AD1024" t="str">
        <f>VLOOKUP(E:E,笔记匹配!A:N,4,FALSE)</f>
        <v>云麦体脂秤3mini</v>
      </c>
      <c r="AE1024" t="str">
        <f>VLOOKUP(E:E,笔记匹配!A:N,14,FALSE)</f>
        <v>云麦体脂秤3mini</v>
      </c>
      <c r="AF1024" t="str">
        <f>VLOOKUP(E:E,笔记匹配!A:N,6,FALSE)</f>
        <v>甩6斤纯脂肪我做了这四件事‼｜体脂29到22</v>
      </c>
    </row>
    <row r="1025" spans="1:32">
      <c r="A1025" s="18" t="s">
        <v>148</v>
      </c>
      <c r="B1025" s="18" t="s">
        <v>1281</v>
      </c>
      <c r="C1025" s="19">
        <v>21508062</v>
      </c>
      <c r="D1025" s="18" t="s">
        <v>209</v>
      </c>
      <c r="E1025" s="18" t="s">
        <v>543</v>
      </c>
      <c r="F1025" s="18" t="s">
        <v>1283</v>
      </c>
      <c r="G1025" s="19">
        <v>5258914</v>
      </c>
      <c r="H1025" s="18" t="s">
        <v>1284</v>
      </c>
      <c r="I1025" s="19">
        <v>4430653</v>
      </c>
      <c r="J1025" s="18" t="s">
        <v>1015</v>
      </c>
      <c r="K1025" s="19">
        <v>523.23</v>
      </c>
      <c r="L1025" s="19">
        <v>29650</v>
      </c>
      <c r="M1025" s="19">
        <v>1508</v>
      </c>
      <c r="N1025" s="20">
        <v>0.0509</v>
      </c>
      <c r="O1025" s="19">
        <v>0.35</v>
      </c>
      <c r="P1025" s="19">
        <v>17.65</v>
      </c>
      <c r="Q1025" s="19">
        <v>92</v>
      </c>
      <c r="R1025" s="19">
        <v>0</v>
      </c>
      <c r="S1025" s="19">
        <v>41</v>
      </c>
      <c r="T1025" s="19">
        <v>3</v>
      </c>
      <c r="U1025" s="19">
        <v>1</v>
      </c>
      <c r="V1025" s="19">
        <v>137</v>
      </c>
      <c r="W1025" s="19">
        <v>3.82</v>
      </c>
      <c r="X1025" s="19">
        <v>0</v>
      </c>
      <c r="Y1025" s="20">
        <v>0</v>
      </c>
      <c r="Z1025" s="19">
        <v>6</v>
      </c>
      <c r="AA1025" s="19">
        <v>3</v>
      </c>
      <c r="AB1025" t="str">
        <f>VLOOKUP(E:E,笔记匹配!A:N,3,FALSE)</f>
        <v>健康营养师格格</v>
      </c>
      <c r="AC1025" t="str">
        <f>VLOOKUP(E:E,笔记匹配!A:N,2,FALSE)</f>
        <v>筋膜枪</v>
      </c>
      <c r="AD1025" t="str">
        <f>VLOOKUP(E:E,笔记匹配!A:N,4,FALSE)</f>
        <v>云麦筋膜枪pb2</v>
      </c>
      <c r="AE1025" t="str">
        <f>VLOOKUP(E:E,笔记匹配!A:N,14,FALSE)</f>
        <v>云麦筋膜枪pb2</v>
      </c>
      <c r="AF1025" t="str">
        <f>VLOOKUP(E:E,笔记匹配!A:N,6,FALSE)</f>
        <v>四个动作拉伸瘦腿❗️筋膜枪按摩大腿小腿</v>
      </c>
    </row>
    <row r="1026" spans="1:32">
      <c r="A1026" s="18" t="s">
        <v>148</v>
      </c>
      <c r="B1026" s="18" t="s">
        <v>1281</v>
      </c>
      <c r="C1026" s="19">
        <v>21508319</v>
      </c>
      <c r="D1026" s="18" t="s">
        <v>209</v>
      </c>
      <c r="E1026" s="18" t="s">
        <v>554</v>
      </c>
      <c r="F1026" s="18" t="s">
        <v>1285</v>
      </c>
      <c r="G1026" s="19">
        <v>5259036</v>
      </c>
      <c r="H1026" s="18" t="s">
        <v>1285</v>
      </c>
      <c r="I1026" s="19">
        <v>4430734</v>
      </c>
      <c r="J1026" s="18" t="s">
        <v>1015</v>
      </c>
      <c r="K1026" s="19">
        <v>600</v>
      </c>
      <c r="L1026" s="19">
        <v>27124</v>
      </c>
      <c r="M1026" s="19">
        <v>2456</v>
      </c>
      <c r="N1026" s="20">
        <v>0.0905</v>
      </c>
      <c r="O1026" s="19">
        <v>0.24</v>
      </c>
      <c r="P1026" s="19">
        <v>22.12</v>
      </c>
      <c r="Q1026" s="19">
        <v>78</v>
      </c>
      <c r="R1026" s="19">
        <v>2</v>
      </c>
      <c r="S1026" s="19">
        <v>45</v>
      </c>
      <c r="T1026" s="19">
        <v>5</v>
      </c>
      <c r="U1026" s="19">
        <v>2</v>
      </c>
      <c r="V1026" s="19">
        <v>132</v>
      </c>
      <c r="W1026" s="19">
        <v>4.55</v>
      </c>
      <c r="X1026" s="19">
        <v>0</v>
      </c>
      <c r="Y1026" s="20">
        <v>0</v>
      </c>
      <c r="Z1026" s="19">
        <v>11</v>
      </c>
      <c r="AA1026" s="19">
        <v>27</v>
      </c>
      <c r="AB1026" t="str">
        <f>VLOOKUP(E:E,笔记匹配!A:N,3,FALSE)</f>
        <v>咦同学</v>
      </c>
      <c r="AC1026" t="str">
        <f>VLOOKUP(E:E,笔记匹配!A:N,2,FALSE)</f>
        <v>筋膜枪</v>
      </c>
      <c r="AD1026" t="str">
        <f>VLOOKUP(E:E,笔记匹配!A:N,4,FALSE)</f>
        <v>云麦筋膜枪cc</v>
      </c>
      <c r="AE1026" t="str">
        <f>VLOOKUP(E:E,笔记匹配!A:N,14,FALSE)</f>
        <v>云麦筋膜枪ccgo</v>
      </c>
      <c r="AF1026" t="str">
        <f>VLOOKUP(E:E,笔记匹配!A:N,6,FALSE)</f>
        <v>塌屁股姐妹一定要练上臀！翘臀不粗腿拿捏了！</v>
      </c>
    </row>
    <row r="1027" spans="1:32">
      <c r="A1027" s="18" t="s">
        <v>149</v>
      </c>
      <c r="B1027" s="18" t="s">
        <v>1264</v>
      </c>
      <c r="C1027" s="19">
        <v>21203504</v>
      </c>
      <c r="D1027" s="18" t="s">
        <v>209</v>
      </c>
      <c r="E1027" s="18" t="s">
        <v>220</v>
      </c>
      <c r="F1027" s="18" t="s">
        <v>1265</v>
      </c>
      <c r="G1027" s="19">
        <v>5116446</v>
      </c>
      <c r="H1027" s="18" t="s">
        <v>1265</v>
      </c>
      <c r="I1027" s="19">
        <v>4323752</v>
      </c>
      <c r="J1027" s="18" t="s">
        <v>1015</v>
      </c>
      <c r="K1027" s="19">
        <v>0</v>
      </c>
      <c r="L1027" s="19">
        <v>0</v>
      </c>
      <c r="M1027" s="19">
        <v>0</v>
      </c>
      <c r="N1027" s="20">
        <v>0</v>
      </c>
      <c r="O1027" s="19">
        <v>0</v>
      </c>
      <c r="P1027" s="19">
        <v>0</v>
      </c>
      <c r="Q1027" s="19">
        <v>0</v>
      </c>
      <c r="R1027" s="19">
        <v>0</v>
      </c>
      <c r="S1027" s="19">
        <v>0</v>
      </c>
      <c r="T1027" s="19">
        <v>0</v>
      </c>
      <c r="U1027" s="19">
        <v>0</v>
      </c>
      <c r="V1027" s="19">
        <v>0</v>
      </c>
      <c r="W1027" s="19">
        <v>0</v>
      </c>
      <c r="X1027" s="19">
        <v>0</v>
      </c>
      <c r="Y1027" s="20">
        <v>0</v>
      </c>
      <c r="Z1027" s="19">
        <v>0</v>
      </c>
      <c r="AA1027" s="19">
        <v>0</v>
      </c>
      <c r="AB1027" t="str">
        <f>VLOOKUP(E:E,笔记匹配!A:N,3,FALSE)</f>
        <v>一颗西兰花fa</v>
      </c>
      <c r="AC1027" t="str">
        <f>VLOOKUP(E:E,笔记匹配!A:N,2,FALSE)</f>
        <v>筋膜枪</v>
      </c>
      <c r="AD1027" t="str">
        <f>VLOOKUP(E:E,笔记匹配!A:N,4,FALSE)</f>
        <v>云麦筋膜枪PB2</v>
      </c>
      <c r="AE1027" t="str">
        <f>VLOOKUP(E:E,笔记匹配!A:N,14,FALSE)</f>
        <v>云麦筋膜枪pb2</v>
      </c>
      <c r="AF1027" t="str">
        <f>VLOOKUP(E:E,笔记匹配!A:N,6,FALSE)</f>
        <v>有没有姐妹跟我一样被肌肉腿困扰了好久！</v>
      </c>
    </row>
    <row r="1028" spans="1:32">
      <c r="A1028" s="18" t="s">
        <v>149</v>
      </c>
      <c r="B1028" s="18" t="s">
        <v>1267</v>
      </c>
      <c r="C1028" s="19">
        <v>21360243</v>
      </c>
      <c r="D1028" s="18" t="s">
        <v>209</v>
      </c>
      <c r="E1028" s="18" t="s">
        <v>220</v>
      </c>
      <c r="F1028" s="18" t="s">
        <v>1268</v>
      </c>
      <c r="G1028" s="19">
        <v>5192303</v>
      </c>
      <c r="H1028" s="18" t="s">
        <v>1269</v>
      </c>
      <c r="I1028" s="19">
        <v>4379647</v>
      </c>
      <c r="J1028" s="18" t="s">
        <v>1015</v>
      </c>
      <c r="K1028" s="19">
        <v>942.55</v>
      </c>
      <c r="L1028" s="19">
        <v>63067</v>
      </c>
      <c r="M1028" s="19">
        <v>2724</v>
      </c>
      <c r="N1028" s="20">
        <v>0.0432</v>
      </c>
      <c r="O1028" s="19">
        <v>0.35</v>
      </c>
      <c r="P1028" s="19">
        <v>14.95</v>
      </c>
      <c r="Q1028" s="19">
        <v>117</v>
      </c>
      <c r="R1028" s="19">
        <v>0</v>
      </c>
      <c r="S1028" s="19">
        <v>66</v>
      </c>
      <c r="T1028" s="19">
        <v>1</v>
      </c>
      <c r="U1028" s="19">
        <v>4</v>
      </c>
      <c r="V1028" s="19">
        <v>188</v>
      </c>
      <c r="W1028" s="19">
        <v>5.01</v>
      </c>
      <c r="X1028" s="19">
        <v>0</v>
      </c>
      <c r="Y1028" s="20">
        <v>0</v>
      </c>
      <c r="Z1028" s="19">
        <v>11</v>
      </c>
      <c r="AA1028" s="19">
        <v>2</v>
      </c>
      <c r="AB1028" t="str">
        <f>VLOOKUP(E:E,笔记匹配!A:N,3,FALSE)</f>
        <v>一颗西兰花fa</v>
      </c>
      <c r="AC1028" t="str">
        <f>VLOOKUP(E:E,笔记匹配!A:N,2,FALSE)</f>
        <v>筋膜枪</v>
      </c>
      <c r="AD1028" t="str">
        <f>VLOOKUP(E:E,笔记匹配!A:N,4,FALSE)</f>
        <v>云麦筋膜枪PB2</v>
      </c>
      <c r="AE1028" t="str">
        <f>VLOOKUP(E:E,笔记匹配!A:N,14,FALSE)</f>
        <v>云麦筋膜枪pb2</v>
      </c>
      <c r="AF1028" t="str">
        <f>VLOOKUP(E:E,笔记匹配!A:N,6,FALSE)</f>
        <v>有没有姐妹跟我一样被肌肉腿困扰了好久！</v>
      </c>
    </row>
    <row r="1029" spans="1:32">
      <c r="A1029" s="18" t="s">
        <v>149</v>
      </c>
      <c r="B1029" s="18" t="s">
        <v>1281</v>
      </c>
      <c r="C1029" s="19">
        <v>21506599</v>
      </c>
      <c r="D1029" s="18" t="s">
        <v>209</v>
      </c>
      <c r="E1029" s="18" t="s">
        <v>439</v>
      </c>
      <c r="F1029" s="18" t="s">
        <v>1282</v>
      </c>
      <c r="G1029" s="19">
        <v>5258337</v>
      </c>
      <c r="H1029" s="18" t="s">
        <v>1282</v>
      </c>
      <c r="I1029" s="19">
        <v>4430183</v>
      </c>
      <c r="J1029" s="18" t="s">
        <v>1015</v>
      </c>
      <c r="K1029" s="19">
        <v>600</v>
      </c>
      <c r="L1029" s="19">
        <v>35526</v>
      </c>
      <c r="M1029" s="19">
        <v>3069</v>
      </c>
      <c r="N1029" s="20">
        <v>0.0864</v>
      </c>
      <c r="O1029" s="19">
        <v>0.2</v>
      </c>
      <c r="P1029" s="19">
        <v>16.89</v>
      </c>
      <c r="Q1029" s="19">
        <v>71</v>
      </c>
      <c r="R1029" s="19">
        <v>0</v>
      </c>
      <c r="S1029" s="19">
        <v>23</v>
      </c>
      <c r="T1029" s="19">
        <v>11</v>
      </c>
      <c r="U1029" s="19">
        <v>1</v>
      </c>
      <c r="V1029" s="19">
        <v>106</v>
      </c>
      <c r="W1029" s="19">
        <v>5.66</v>
      </c>
      <c r="X1029" s="19">
        <v>0</v>
      </c>
      <c r="Y1029" s="20">
        <v>0</v>
      </c>
      <c r="Z1029" s="19">
        <v>3</v>
      </c>
      <c r="AA1029" s="19">
        <v>2</v>
      </c>
      <c r="AB1029" t="str">
        <f>VLOOKUP(E:E,笔记匹配!A:N,3,FALSE)</f>
        <v>索菲亚的冻龄秘密</v>
      </c>
      <c r="AC1029" t="str">
        <f>VLOOKUP(E:E,笔记匹配!A:N,2,FALSE)</f>
        <v>体脂秤</v>
      </c>
      <c r="AD1029" t="str">
        <f>VLOOKUP(E:E,笔记匹配!A:N,4,FALSE)</f>
        <v>云麦体脂秤3mini</v>
      </c>
      <c r="AE1029" t="str">
        <f>VLOOKUP(E:E,笔记匹配!A:N,14,FALSE)</f>
        <v>云麦体脂秤3mini</v>
      </c>
      <c r="AF1029" t="str">
        <f>VLOOKUP(E:E,笔记匹配!A:N,6,FALSE)</f>
        <v>甩6斤纯脂肪我做了这四件事‼｜体脂29到22</v>
      </c>
    </row>
    <row r="1030" spans="1:32">
      <c r="A1030" s="18" t="s">
        <v>149</v>
      </c>
      <c r="B1030" s="18" t="s">
        <v>1281</v>
      </c>
      <c r="C1030" s="19">
        <v>21508062</v>
      </c>
      <c r="D1030" s="18" t="s">
        <v>209</v>
      </c>
      <c r="E1030" s="18" t="s">
        <v>543</v>
      </c>
      <c r="F1030" s="18" t="s">
        <v>1283</v>
      </c>
      <c r="G1030" s="19">
        <v>5258914</v>
      </c>
      <c r="H1030" s="18" t="s">
        <v>1284</v>
      </c>
      <c r="I1030" s="19">
        <v>4430653</v>
      </c>
      <c r="J1030" s="18" t="s">
        <v>1015</v>
      </c>
      <c r="K1030" s="19">
        <v>509.01</v>
      </c>
      <c r="L1030" s="19">
        <v>14209</v>
      </c>
      <c r="M1030" s="19">
        <v>740</v>
      </c>
      <c r="N1030" s="20">
        <v>0.0521</v>
      </c>
      <c r="O1030" s="19">
        <v>0.69</v>
      </c>
      <c r="P1030" s="19">
        <v>35.82</v>
      </c>
      <c r="Q1030" s="19">
        <v>68</v>
      </c>
      <c r="R1030" s="19">
        <v>0</v>
      </c>
      <c r="S1030" s="19">
        <v>37</v>
      </c>
      <c r="T1030" s="19">
        <v>3</v>
      </c>
      <c r="U1030" s="19">
        <v>0</v>
      </c>
      <c r="V1030" s="19">
        <v>108</v>
      </c>
      <c r="W1030" s="19">
        <v>4.71</v>
      </c>
      <c r="X1030" s="19">
        <v>0</v>
      </c>
      <c r="Y1030" s="20">
        <v>0</v>
      </c>
      <c r="Z1030" s="19">
        <v>6</v>
      </c>
      <c r="AA1030" s="19">
        <v>0</v>
      </c>
      <c r="AB1030" t="str">
        <f>VLOOKUP(E:E,笔记匹配!A:N,3,FALSE)</f>
        <v>健康营养师格格</v>
      </c>
      <c r="AC1030" t="str">
        <f>VLOOKUP(E:E,笔记匹配!A:N,2,FALSE)</f>
        <v>筋膜枪</v>
      </c>
      <c r="AD1030" t="str">
        <f>VLOOKUP(E:E,笔记匹配!A:N,4,FALSE)</f>
        <v>云麦筋膜枪pb2</v>
      </c>
      <c r="AE1030" t="str">
        <f>VLOOKUP(E:E,笔记匹配!A:N,14,FALSE)</f>
        <v>云麦筋膜枪pb2</v>
      </c>
      <c r="AF1030" t="str">
        <f>VLOOKUP(E:E,笔记匹配!A:N,6,FALSE)</f>
        <v>四个动作拉伸瘦腿❗️筋膜枪按摩大腿小腿</v>
      </c>
    </row>
    <row r="1031" spans="1:32">
      <c r="A1031" s="18" t="s">
        <v>149</v>
      </c>
      <c r="B1031" s="18" t="s">
        <v>1281</v>
      </c>
      <c r="C1031" s="19">
        <v>21508319</v>
      </c>
      <c r="D1031" s="18" t="s">
        <v>209</v>
      </c>
      <c r="E1031" s="18" t="s">
        <v>554</v>
      </c>
      <c r="F1031" s="18" t="s">
        <v>1285</v>
      </c>
      <c r="G1031" s="19">
        <v>5259036</v>
      </c>
      <c r="H1031" s="18" t="s">
        <v>1285</v>
      </c>
      <c r="I1031" s="19">
        <v>4430734</v>
      </c>
      <c r="J1031" s="18" t="s">
        <v>1015</v>
      </c>
      <c r="K1031" s="19">
        <v>360</v>
      </c>
      <c r="L1031" s="19">
        <v>28439</v>
      </c>
      <c r="M1031" s="19">
        <v>2684</v>
      </c>
      <c r="N1031" s="20">
        <v>0.0944</v>
      </c>
      <c r="O1031" s="19">
        <v>0.13</v>
      </c>
      <c r="P1031" s="19">
        <v>12.66</v>
      </c>
      <c r="Q1031" s="19">
        <v>81</v>
      </c>
      <c r="R1031" s="19">
        <v>0</v>
      </c>
      <c r="S1031" s="19">
        <v>58</v>
      </c>
      <c r="T1031" s="19">
        <v>4</v>
      </c>
      <c r="U1031" s="19">
        <v>4</v>
      </c>
      <c r="V1031" s="19">
        <v>147</v>
      </c>
      <c r="W1031" s="19">
        <v>2.45</v>
      </c>
      <c r="X1031" s="19">
        <v>0</v>
      </c>
      <c r="Y1031" s="20">
        <v>0</v>
      </c>
      <c r="Z1031" s="19">
        <v>19</v>
      </c>
      <c r="AA1031" s="19">
        <v>18</v>
      </c>
      <c r="AB1031" t="str">
        <f>VLOOKUP(E:E,笔记匹配!A:N,3,FALSE)</f>
        <v>咦同学</v>
      </c>
      <c r="AC1031" t="str">
        <f>VLOOKUP(E:E,笔记匹配!A:N,2,FALSE)</f>
        <v>筋膜枪</v>
      </c>
      <c r="AD1031" t="str">
        <f>VLOOKUP(E:E,笔记匹配!A:N,4,FALSE)</f>
        <v>云麦筋膜枪cc</v>
      </c>
      <c r="AE1031" t="str">
        <f>VLOOKUP(E:E,笔记匹配!A:N,14,FALSE)</f>
        <v>云麦筋膜枪ccgo</v>
      </c>
      <c r="AF1031" t="str">
        <f>VLOOKUP(E:E,笔记匹配!A:N,6,FALSE)</f>
        <v>塌屁股姐妹一定要练上臀！翘臀不粗腿拿捏了！</v>
      </c>
    </row>
    <row r="1032" spans="1:32">
      <c r="A1032" s="18" t="s">
        <v>149</v>
      </c>
      <c r="B1032" s="18" t="s">
        <v>1286</v>
      </c>
      <c r="C1032" s="19">
        <v>21600313</v>
      </c>
      <c r="D1032" s="18" t="s">
        <v>209</v>
      </c>
      <c r="E1032" s="18" t="s">
        <v>552</v>
      </c>
      <c r="F1032" s="18" t="s">
        <v>1287</v>
      </c>
      <c r="G1032" s="19">
        <v>5300130</v>
      </c>
      <c r="H1032" s="18" t="s">
        <v>1287</v>
      </c>
      <c r="I1032" s="19">
        <v>4462683</v>
      </c>
      <c r="J1032" s="18" t="s">
        <v>1015</v>
      </c>
      <c r="K1032" s="19">
        <v>215.01</v>
      </c>
      <c r="L1032" s="19">
        <v>27829</v>
      </c>
      <c r="M1032" s="19">
        <v>977</v>
      </c>
      <c r="N1032" s="20">
        <v>0.0351</v>
      </c>
      <c r="O1032" s="19">
        <v>0.22</v>
      </c>
      <c r="P1032" s="19">
        <v>7.73</v>
      </c>
      <c r="Q1032" s="19">
        <v>8</v>
      </c>
      <c r="R1032" s="19">
        <v>0</v>
      </c>
      <c r="S1032" s="19">
        <v>4</v>
      </c>
      <c r="T1032" s="19">
        <v>0</v>
      </c>
      <c r="U1032" s="19">
        <v>0</v>
      </c>
      <c r="V1032" s="19">
        <v>12</v>
      </c>
      <c r="W1032" s="19">
        <v>17.92</v>
      </c>
      <c r="X1032" s="19">
        <v>0</v>
      </c>
      <c r="Y1032" s="20">
        <v>0</v>
      </c>
      <c r="Z1032" s="19">
        <v>4</v>
      </c>
      <c r="AA1032" s="19">
        <v>1</v>
      </c>
      <c r="AB1032" t="str">
        <f>VLOOKUP(E:E,笔记匹配!A:N,3,FALSE)</f>
        <v>thePans.</v>
      </c>
      <c r="AC1032" t="str">
        <f>VLOOKUP(E:E,笔记匹配!A:N,2,FALSE)</f>
        <v>筋膜枪</v>
      </c>
      <c r="AD1032" t="str">
        <f>VLOOKUP(E:E,笔记匹配!A:N,4,FALSE)</f>
        <v> 云麦筋膜枪cc</v>
      </c>
      <c r="AE1032" t="str">
        <f>VLOOKUP(E:E,笔记匹配!A:N,14,FALSE)</f>
        <v>云麦筋膜枪ccgo</v>
      </c>
      <c r="AF1032" t="str">
        <f>VLOOKUP(E:E,笔记匹配!A:N,6,FALSE)</f>
        <v>送闺蜜diy礼物💕要被这筋膜枪可爱晕啦!!~✨</v>
      </c>
    </row>
    <row r="1033" spans="1:32">
      <c r="A1033" s="18" t="s">
        <v>149</v>
      </c>
      <c r="B1033" s="18" t="s">
        <v>1286</v>
      </c>
      <c r="C1033" s="19">
        <v>21600849</v>
      </c>
      <c r="D1033" s="18" t="s">
        <v>209</v>
      </c>
      <c r="E1033" s="18" t="s">
        <v>303</v>
      </c>
      <c r="F1033" s="18" t="s">
        <v>1288</v>
      </c>
      <c r="G1033" s="19">
        <v>5300358</v>
      </c>
      <c r="H1033" s="18" t="s">
        <v>1288</v>
      </c>
      <c r="I1033" s="19">
        <v>4462859</v>
      </c>
      <c r="J1033" s="18" t="s">
        <v>1015</v>
      </c>
      <c r="K1033" s="19">
        <v>600</v>
      </c>
      <c r="L1033" s="19">
        <v>18019</v>
      </c>
      <c r="M1033" s="19">
        <v>1393</v>
      </c>
      <c r="N1033" s="20">
        <v>0.0773</v>
      </c>
      <c r="O1033" s="19">
        <v>0.43</v>
      </c>
      <c r="P1033" s="19">
        <v>33.3</v>
      </c>
      <c r="Q1033" s="19">
        <v>64</v>
      </c>
      <c r="R1033" s="19">
        <v>0</v>
      </c>
      <c r="S1033" s="19">
        <v>53</v>
      </c>
      <c r="T1033" s="19">
        <v>8</v>
      </c>
      <c r="U1033" s="19">
        <v>1</v>
      </c>
      <c r="V1033" s="19">
        <v>126</v>
      </c>
      <c r="W1033" s="19">
        <v>4.76</v>
      </c>
      <c r="X1033" s="19">
        <v>0</v>
      </c>
      <c r="Y1033" s="20">
        <v>0</v>
      </c>
      <c r="Z1033" s="19">
        <v>1</v>
      </c>
      <c r="AA1033" s="19">
        <v>0</v>
      </c>
      <c r="AB1033" t="str">
        <f>VLOOKUP(E:E,笔记匹配!A:N,3,FALSE)</f>
        <v>橘子汽水</v>
      </c>
      <c r="AC1033" t="str">
        <f>VLOOKUP(E:E,笔记匹配!A:N,2,FALSE)</f>
        <v>体脂秤</v>
      </c>
      <c r="AD1033" t="str">
        <f>VLOOKUP(E:E,笔记匹配!A:N,4,FALSE)</f>
        <v>云麦体脂秤3mini</v>
      </c>
      <c r="AE1033" t="str">
        <f>VLOOKUP(E:E,笔记匹配!A:N,14,FALSE)</f>
        <v>云麦体脂秤3mini</v>
      </c>
      <c r="AF1033" t="str">
        <f>VLOOKUP(E:E,笔记匹配!A:N,6,FALSE)</f>
        <v>请一定要相信帕梅拉虐腹，效果是真的🉑❗</v>
      </c>
    </row>
    <row r="1034" spans="1:32">
      <c r="A1034" s="18" t="s">
        <v>150</v>
      </c>
      <c r="B1034" s="18" t="s">
        <v>1196</v>
      </c>
      <c r="C1034" s="19">
        <v>19058466</v>
      </c>
      <c r="D1034" s="18" t="s">
        <v>196</v>
      </c>
      <c r="E1034" s="18" t="s">
        <v>296</v>
      </c>
      <c r="F1034" s="18" t="s">
        <v>1199</v>
      </c>
      <c r="G1034" s="19">
        <v>4061725</v>
      </c>
      <c r="H1034" s="18" t="s">
        <v>1199</v>
      </c>
      <c r="I1034" s="19">
        <v>3444458</v>
      </c>
      <c r="J1034" s="18" t="s">
        <v>1015</v>
      </c>
      <c r="K1034" s="19">
        <v>0</v>
      </c>
      <c r="L1034" s="19">
        <v>0</v>
      </c>
      <c r="M1034" s="19">
        <v>0</v>
      </c>
      <c r="N1034" s="20">
        <v>0</v>
      </c>
      <c r="O1034" s="19">
        <v>0</v>
      </c>
      <c r="P1034" s="19">
        <v>0</v>
      </c>
      <c r="Q1034" s="19">
        <v>0</v>
      </c>
      <c r="R1034" s="19">
        <v>0</v>
      </c>
      <c r="S1034" s="19">
        <v>0</v>
      </c>
      <c r="T1034" s="19">
        <v>0</v>
      </c>
      <c r="U1034" s="19">
        <v>0</v>
      </c>
      <c r="V1034" s="19">
        <v>0</v>
      </c>
      <c r="W1034" s="19">
        <v>0</v>
      </c>
      <c r="X1034" s="19">
        <v>0</v>
      </c>
      <c r="Y1034" s="20">
        <v>0</v>
      </c>
      <c r="Z1034" s="19">
        <v>0</v>
      </c>
      <c r="AA1034" s="19">
        <v>0</v>
      </c>
      <c r="AB1034" t="str">
        <f>VLOOKUP(E:E,笔记匹配!A:N,3,FALSE)</f>
        <v>元气芥末酱</v>
      </c>
      <c r="AC1034" t="str">
        <f>VLOOKUP(E:E,笔记匹配!A:N,2,FALSE)</f>
        <v>筋膜枪</v>
      </c>
      <c r="AD1034" t="str">
        <f>VLOOKUP(E:E,笔记匹配!A:N,4,FALSE)</f>
        <v>云麦筋膜枪PB2</v>
      </c>
      <c r="AE1034" t="str">
        <f>VLOOKUP(E:E,笔记匹配!A:N,14,FALSE)</f>
        <v>云麦筋膜枪pb2</v>
      </c>
      <c r="AF1034" t="str">
        <f>VLOOKUP(E:E,笔记匹配!A:N,6,FALSE)</f>
        <v>小腿粗的姐妹信我！肌肉腿就要这样按！</v>
      </c>
    </row>
    <row r="1035" spans="1:32">
      <c r="A1035" s="18" t="s">
        <v>150</v>
      </c>
      <c r="B1035" s="18" t="s">
        <v>1267</v>
      </c>
      <c r="C1035" s="19">
        <v>21360243</v>
      </c>
      <c r="D1035" s="18" t="s">
        <v>209</v>
      </c>
      <c r="E1035" s="18" t="s">
        <v>220</v>
      </c>
      <c r="F1035" s="18" t="s">
        <v>1268</v>
      </c>
      <c r="G1035" s="19">
        <v>5192303</v>
      </c>
      <c r="H1035" s="18" t="s">
        <v>1269</v>
      </c>
      <c r="I1035" s="19">
        <v>4379647</v>
      </c>
      <c r="J1035" s="18" t="s">
        <v>1015</v>
      </c>
      <c r="K1035" s="19">
        <v>1346.83</v>
      </c>
      <c r="L1035" s="19">
        <v>58592</v>
      </c>
      <c r="M1035" s="19">
        <v>2528</v>
      </c>
      <c r="N1035" s="20">
        <v>0.0431</v>
      </c>
      <c r="O1035" s="19">
        <v>0.53</v>
      </c>
      <c r="P1035" s="19">
        <v>22.99</v>
      </c>
      <c r="Q1035" s="19">
        <v>192</v>
      </c>
      <c r="R1035" s="19">
        <v>1</v>
      </c>
      <c r="S1035" s="19">
        <v>82</v>
      </c>
      <c r="T1035" s="19">
        <v>2</v>
      </c>
      <c r="U1035" s="19">
        <v>3</v>
      </c>
      <c r="V1035" s="19">
        <v>280</v>
      </c>
      <c r="W1035" s="19">
        <v>4.81</v>
      </c>
      <c r="X1035" s="19">
        <v>0</v>
      </c>
      <c r="Y1035" s="20">
        <v>0</v>
      </c>
      <c r="Z1035" s="19">
        <v>11</v>
      </c>
      <c r="AA1035" s="19">
        <v>4</v>
      </c>
      <c r="AB1035" t="str">
        <f>VLOOKUP(E:E,笔记匹配!A:N,3,FALSE)</f>
        <v>一颗西兰花fa</v>
      </c>
      <c r="AC1035" t="str">
        <f>VLOOKUP(E:E,笔记匹配!A:N,2,FALSE)</f>
        <v>筋膜枪</v>
      </c>
      <c r="AD1035" t="str">
        <f>VLOOKUP(E:E,笔记匹配!A:N,4,FALSE)</f>
        <v>云麦筋膜枪PB2</v>
      </c>
      <c r="AE1035" t="str">
        <f>VLOOKUP(E:E,笔记匹配!A:N,14,FALSE)</f>
        <v>云麦筋膜枪pb2</v>
      </c>
      <c r="AF1035" t="str">
        <f>VLOOKUP(E:E,笔记匹配!A:N,6,FALSE)</f>
        <v>有没有姐妹跟我一样被肌肉腿困扰了好久！</v>
      </c>
    </row>
    <row r="1036" spans="1:32">
      <c r="A1036" s="18" t="s">
        <v>150</v>
      </c>
      <c r="B1036" s="18" t="s">
        <v>1281</v>
      </c>
      <c r="C1036" s="19">
        <v>21506599</v>
      </c>
      <c r="D1036" s="18" t="s">
        <v>209</v>
      </c>
      <c r="E1036" s="18" t="s">
        <v>439</v>
      </c>
      <c r="F1036" s="18" t="s">
        <v>1282</v>
      </c>
      <c r="G1036" s="19">
        <v>5258337</v>
      </c>
      <c r="H1036" s="18" t="s">
        <v>1282</v>
      </c>
      <c r="I1036" s="19">
        <v>4430183</v>
      </c>
      <c r="J1036" s="18" t="s">
        <v>1015</v>
      </c>
      <c r="K1036" s="19">
        <v>240</v>
      </c>
      <c r="L1036" s="19">
        <v>12284</v>
      </c>
      <c r="M1036" s="19">
        <v>951</v>
      </c>
      <c r="N1036" s="20">
        <v>0.0774</v>
      </c>
      <c r="O1036" s="19">
        <v>0.25</v>
      </c>
      <c r="P1036" s="19">
        <v>19.54</v>
      </c>
      <c r="Q1036" s="19">
        <v>45</v>
      </c>
      <c r="R1036" s="19">
        <v>0</v>
      </c>
      <c r="S1036" s="19">
        <v>12</v>
      </c>
      <c r="T1036" s="19">
        <v>4</v>
      </c>
      <c r="U1036" s="19">
        <v>1</v>
      </c>
      <c r="V1036" s="19">
        <v>62</v>
      </c>
      <c r="W1036" s="19">
        <v>3.87</v>
      </c>
      <c r="X1036" s="19">
        <v>0</v>
      </c>
      <c r="Y1036" s="20">
        <v>0</v>
      </c>
      <c r="Z1036" s="19">
        <v>1</v>
      </c>
      <c r="AA1036" s="19">
        <v>1</v>
      </c>
      <c r="AB1036" t="str">
        <f>VLOOKUP(E:E,笔记匹配!A:N,3,FALSE)</f>
        <v>索菲亚的冻龄秘密</v>
      </c>
      <c r="AC1036" t="str">
        <f>VLOOKUP(E:E,笔记匹配!A:N,2,FALSE)</f>
        <v>体脂秤</v>
      </c>
      <c r="AD1036" t="str">
        <f>VLOOKUP(E:E,笔记匹配!A:N,4,FALSE)</f>
        <v>云麦体脂秤3mini</v>
      </c>
      <c r="AE1036" t="str">
        <f>VLOOKUP(E:E,笔记匹配!A:N,14,FALSE)</f>
        <v>云麦体脂秤3mini</v>
      </c>
      <c r="AF1036" t="str">
        <f>VLOOKUP(E:E,笔记匹配!A:N,6,FALSE)</f>
        <v>甩6斤纯脂肪我做了这四件事‼｜体脂29到22</v>
      </c>
    </row>
    <row r="1037" spans="1:32">
      <c r="A1037" s="18" t="s">
        <v>150</v>
      </c>
      <c r="B1037" s="18" t="s">
        <v>1281</v>
      </c>
      <c r="C1037" s="19">
        <v>21508062</v>
      </c>
      <c r="D1037" s="18" t="s">
        <v>209</v>
      </c>
      <c r="E1037" s="18" t="s">
        <v>543</v>
      </c>
      <c r="F1037" s="18" t="s">
        <v>1283</v>
      </c>
      <c r="G1037" s="19">
        <v>5258914</v>
      </c>
      <c r="H1037" s="18" t="s">
        <v>1284</v>
      </c>
      <c r="I1037" s="19">
        <v>4430653</v>
      </c>
      <c r="J1037" s="18" t="s">
        <v>1015</v>
      </c>
      <c r="K1037" s="19">
        <v>20.65</v>
      </c>
      <c r="L1037" s="19">
        <v>478</v>
      </c>
      <c r="M1037" s="19">
        <v>31</v>
      </c>
      <c r="N1037" s="20">
        <v>0.0649</v>
      </c>
      <c r="O1037" s="19">
        <v>0.67</v>
      </c>
      <c r="P1037" s="19">
        <v>43.2</v>
      </c>
      <c r="Q1037" s="19">
        <v>2</v>
      </c>
      <c r="R1037" s="19">
        <v>0</v>
      </c>
      <c r="S1037" s="19">
        <v>3</v>
      </c>
      <c r="T1037" s="19">
        <v>1</v>
      </c>
      <c r="U1037" s="19">
        <v>0</v>
      </c>
      <c r="V1037" s="19">
        <v>6</v>
      </c>
      <c r="W1037" s="19">
        <v>3.44</v>
      </c>
      <c r="X1037" s="19">
        <v>0</v>
      </c>
      <c r="Y1037" s="20">
        <v>0</v>
      </c>
      <c r="Z1037" s="19">
        <v>0</v>
      </c>
      <c r="AA1037" s="19">
        <v>0</v>
      </c>
      <c r="AB1037" t="str">
        <f>VLOOKUP(E:E,笔记匹配!A:N,3,FALSE)</f>
        <v>健康营养师格格</v>
      </c>
      <c r="AC1037" t="str">
        <f>VLOOKUP(E:E,笔记匹配!A:N,2,FALSE)</f>
        <v>筋膜枪</v>
      </c>
      <c r="AD1037" t="str">
        <f>VLOOKUP(E:E,笔记匹配!A:N,4,FALSE)</f>
        <v>云麦筋膜枪pb2</v>
      </c>
      <c r="AE1037" t="str">
        <f>VLOOKUP(E:E,笔记匹配!A:N,14,FALSE)</f>
        <v>云麦筋膜枪pb2</v>
      </c>
      <c r="AF1037" t="str">
        <f>VLOOKUP(E:E,笔记匹配!A:N,6,FALSE)</f>
        <v>四个动作拉伸瘦腿❗️筋膜枪按摩大腿小腿</v>
      </c>
    </row>
    <row r="1038" spans="1:32">
      <c r="A1038" s="18" t="s">
        <v>150</v>
      </c>
      <c r="B1038" s="18" t="s">
        <v>1281</v>
      </c>
      <c r="C1038" s="19">
        <v>21508319</v>
      </c>
      <c r="D1038" s="18" t="s">
        <v>209</v>
      </c>
      <c r="E1038" s="18" t="s">
        <v>554</v>
      </c>
      <c r="F1038" s="18" t="s">
        <v>1285</v>
      </c>
      <c r="G1038" s="19">
        <v>5259036</v>
      </c>
      <c r="H1038" s="18" t="s">
        <v>1285</v>
      </c>
      <c r="I1038" s="19">
        <v>4430734</v>
      </c>
      <c r="J1038" s="18" t="s">
        <v>1015</v>
      </c>
      <c r="K1038" s="19">
        <v>600</v>
      </c>
      <c r="L1038" s="19">
        <v>31502</v>
      </c>
      <c r="M1038" s="19">
        <v>2791</v>
      </c>
      <c r="N1038" s="20">
        <v>0.0886</v>
      </c>
      <c r="O1038" s="19">
        <v>0.21</v>
      </c>
      <c r="P1038" s="19">
        <v>19.05</v>
      </c>
      <c r="Q1038" s="19">
        <v>169</v>
      </c>
      <c r="R1038" s="19">
        <v>0</v>
      </c>
      <c r="S1038" s="19">
        <v>79</v>
      </c>
      <c r="T1038" s="19">
        <v>2</v>
      </c>
      <c r="U1038" s="19">
        <v>4</v>
      </c>
      <c r="V1038" s="19">
        <v>254</v>
      </c>
      <c r="W1038" s="19">
        <v>2.36</v>
      </c>
      <c r="X1038" s="19">
        <v>0</v>
      </c>
      <c r="Y1038" s="20">
        <v>0</v>
      </c>
      <c r="Z1038" s="19">
        <v>23</v>
      </c>
      <c r="AA1038" s="19">
        <v>21</v>
      </c>
      <c r="AB1038" t="str">
        <f>VLOOKUP(E:E,笔记匹配!A:N,3,FALSE)</f>
        <v>咦同学</v>
      </c>
      <c r="AC1038" t="str">
        <f>VLOOKUP(E:E,笔记匹配!A:N,2,FALSE)</f>
        <v>筋膜枪</v>
      </c>
      <c r="AD1038" t="str">
        <f>VLOOKUP(E:E,笔记匹配!A:N,4,FALSE)</f>
        <v>云麦筋膜枪cc</v>
      </c>
      <c r="AE1038" t="str">
        <f>VLOOKUP(E:E,笔记匹配!A:N,14,FALSE)</f>
        <v>云麦筋膜枪ccgo</v>
      </c>
      <c r="AF1038" t="str">
        <f>VLOOKUP(E:E,笔记匹配!A:N,6,FALSE)</f>
        <v>塌屁股姐妹一定要练上臀！翘臀不粗腿拿捏了！</v>
      </c>
    </row>
    <row r="1039" spans="1:32">
      <c r="A1039" s="18" t="s">
        <v>150</v>
      </c>
      <c r="B1039" s="18" t="s">
        <v>1286</v>
      </c>
      <c r="C1039" s="19">
        <v>21600313</v>
      </c>
      <c r="D1039" s="18" t="s">
        <v>209</v>
      </c>
      <c r="E1039" s="18" t="s">
        <v>552</v>
      </c>
      <c r="F1039" s="18" t="s">
        <v>1287</v>
      </c>
      <c r="G1039" s="19">
        <v>5300130</v>
      </c>
      <c r="H1039" s="18" t="s">
        <v>1287</v>
      </c>
      <c r="I1039" s="19">
        <v>4462683</v>
      </c>
      <c r="J1039" s="18" t="s">
        <v>1015</v>
      </c>
      <c r="K1039" s="19">
        <v>1.05</v>
      </c>
      <c r="L1039" s="19">
        <v>206</v>
      </c>
      <c r="M1039" s="19">
        <v>3</v>
      </c>
      <c r="N1039" s="20">
        <v>0.0146</v>
      </c>
      <c r="O1039" s="19">
        <v>0.35</v>
      </c>
      <c r="P1039" s="19">
        <v>5.1</v>
      </c>
      <c r="Q1039" s="19">
        <v>0</v>
      </c>
      <c r="R1039" s="19">
        <v>0</v>
      </c>
      <c r="S1039" s="19">
        <v>0</v>
      </c>
      <c r="T1039" s="19">
        <v>0</v>
      </c>
      <c r="U1039" s="19">
        <v>0</v>
      </c>
      <c r="V1039" s="19">
        <v>0</v>
      </c>
      <c r="W1039" s="19">
        <v>0</v>
      </c>
      <c r="X1039" s="19">
        <v>0</v>
      </c>
      <c r="Y1039" s="20">
        <v>0</v>
      </c>
      <c r="Z1039" s="19">
        <v>0</v>
      </c>
      <c r="AA1039" s="19">
        <v>0</v>
      </c>
      <c r="AB1039" t="str">
        <f>VLOOKUP(E:E,笔记匹配!A:N,3,FALSE)</f>
        <v>thePans.</v>
      </c>
      <c r="AC1039" t="str">
        <f>VLOOKUP(E:E,笔记匹配!A:N,2,FALSE)</f>
        <v>筋膜枪</v>
      </c>
      <c r="AD1039" t="str">
        <f>VLOOKUP(E:E,笔记匹配!A:N,4,FALSE)</f>
        <v> 云麦筋膜枪cc</v>
      </c>
      <c r="AE1039" t="str">
        <f>VLOOKUP(E:E,笔记匹配!A:N,14,FALSE)</f>
        <v>云麦筋膜枪ccgo</v>
      </c>
      <c r="AF1039" t="str">
        <f>VLOOKUP(E:E,笔记匹配!A:N,6,FALSE)</f>
        <v>送闺蜜diy礼物💕要被这筋膜枪可爱晕啦!!~✨</v>
      </c>
    </row>
    <row r="1040" spans="1:32">
      <c r="A1040" s="18" t="s">
        <v>150</v>
      </c>
      <c r="B1040" s="18" t="s">
        <v>1286</v>
      </c>
      <c r="C1040" s="19">
        <v>21600849</v>
      </c>
      <c r="D1040" s="18" t="s">
        <v>209</v>
      </c>
      <c r="E1040" s="18" t="s">
        <v>303</v>
      </c>
      <c r="F1040" s="18" t="s">
        <v>1288</v>
      </c>
      <c r="G1040" s="19">
        <v>5300358</v>
      </c>
      <c r="H1040" s="18" t="s">
        <v>1288</v>
      </c>
      <c r="I1040" s="19">
        <v>4462859</v>
      </c>
      <c r="J1040" s="18" t="s">
        <v>1015</v>
      </c>
      <c r="K1040" s="19">
        <v>4.72</v>
      </c>
      <c r="L1040" s="19">
        <v>212</v>
      </c>
      <c r="M1040" s="19">
        <v>6</v>
      </c>
      <c r="N1040" s="20">
        <v>0.0283</v>
      </c>
      <c r="O1040" s="19">
        <v>0.79</v>
      </c>
      <c r="P1040" s="19">
        <v>22.26</v>
      </c>
      <c r="Q1040" s="19">
        <v>1</v>
      </c>
      <c r="R1040" s="19">
        <v>0</v>
      </c>
      <c r="S1040" s="19">
        <v>1</v>
      </c>
      <c r="T1040" s="19">
        <v>0</v>
      </c>
      <c r="U1040" s="19">
        <v>0</v>
      </c>
      <c r="V1040" s="19">
        <v>2</v>
      </c>
      <c r="W1040" s="19">
        <v>2.36</v>
      </c>
      <c r="X1040" s="19">
        <v>0</v>
      </c>
      <c r="Y1040" s="20">
        <v>0</v>
      </c>
      <c r="Z1040" s="19">
        <v>0</v>
      </c>
      <c r="AA1040" s="19">
        <v>0</v>
      </c>
      <c r="AB1040" t="str">
        <f>VLOOKUP(E:E,笔记匹配!A:N,3,FALSE)</f>
        <v>橘子汽水</v>
      </c>
      <c r="AC1040" t="str">
        <f>VLOOKUP(E:E,笔记匹配!A:N,2,FALSE)</f>
        <v>体脂秤</v>
      </c>
      <c r="AD1040" t="str">
        <f>VLOOKUP(E:E,笔记匹配!A:N,4,FALSE)</f>
        <v>云麦体脂秤3mini</v>
      </c>
      <c r="AE1040" t="str">
        <f>VLOOKUP(E:E,笔记匹配!A:N,14,FALSE)</f>
        <v>云麦体脂秤3mini</v>
      </c>
      <c r="AF1040" t="str">
        <f>VLOOKUP(E:E,笔记匹配!A:N,6,FALSE)</f>
        <v>请一定要相信帕梅拉虐腹，效果是真的🉑❗</v>
      </c>
    </row>
    <row r="1041" spans="1:32">
      <c r="A1041" s="18" t="s">
        <v>150</v>
      </c>
      <c r="B1041" s="18" t="s">
        <v>1289</v>
      </c>
      <c r="C1041" s="19">
        <v>21674555</v>
      </c>
      <c r="D1041" s="18" t="s">
        <v>209</v>
      </c>
      <c r="E1041" s="18" t="s">
        <v>434</v>
      </c>
      <c r="F1041" s="18" t="s">
        <v>1290</v>
      </c>
      <c r="G1041" s="19">
        <v>5332127</v>
      </c>
      <c r="H1041" s="18" t="s">
        <v>1290</v>
      </c>
      <c r="I1041" s="19">
        <v>4486849</v>
      </c>
      <c r="J1041" s="18" t="s">
        <v>1015</v>
      </c>
      <c r="K1041" s="19">
        <v>304.08</v>
      </c>
      <c r="L1041" s="19">
        <v>24137</v>
      </c>
      <c r="M1041" s="19">
        <v>3603</v>
      </c>
      <c r="N1041" s="20">
        <v>0.1493</v>
      </c>
      <c r="O1041" s="19">
        <v>0.08</v>
      </c>
      <c r="P1041" s="19">
        <v>12.6</v>
      </c>
      <c r="Q1041" s="19">
        <v>23</v>
      </c>
      <c r="R1041" s="19">
        <v>8</v>
      </c>
      <c r="S1041" s="19">
        <v>3</v>
      </c>
      <c r="T1041" s="19">
        <v>1</v>
      </c>
      <c r="U1041" s="19">
        <v>8</v>
      </c>
      <c r="V1041" s="19">
        <v>43</v>
      </c>
      <c r="W1041" s="19">
        <v>7.07</v>
      </c>
      <c r="X1041" s="19">
        <v>0</v>
      </c>
      <c r="Y1041" s="20">
        <v>0</v>
      </c>
      <c r="Z1041" s="19">
        <v>16</v>
      </c>
      <c r="AA1041" s="19">
        <v>3</v>
      </c>
      <c r="AB1041" t="str">
        <f>VLOOKUP(E:E,笔记匹配!A:N,3,FALSE)</f>
        <v>诸葛亮晶晶</v>
      </c>
      <c r="AC1041" t="str">
        <f>VLOOKUP(E:E,笔记匹配!A:N,2,FALSE)</f>
        <v>体脂秤</v>
      </c>
      <c r="AD1041" t="str">
        <f>VLOOKUP(E:E,笔记匹配!A:N,4,FALSE)</f>
        <v>云麦体脂秤3mini</v>
      </c>
      <c r="AE1041" t="str">
        <f>VLOOKUP(E:E,笔记匹配!A:N,14,FALSE)</f>
        <v>云麦体脂秤3mini</v>
      </c>
      <c r="AF1041" t="str">
        <f>VLOOKUP(E:E,笔记匹配!A:N,6,FALSE)</f>
        <v>175 90斤|五年模特三餐真实分享</v>
      </c>
    </row>
    <row r="1042" spans="1:32">
      <c r="A1042" s="18" t="s">
        <v>150</v>
      </c>
      <c r="B1042" s="18" t="s">
        <v>1291</v>
      </c>
      <c r="C1042" s="19">
        <v>21688273</v>
      </c>
      <c r="D1042" s="18" t="s">
        <v>209</v>
      </c>
      <c r="E1042" s="18" t="s">
        <v>220</v>
      </c>
      <c r="F1042" s="18" t="s">
        <v>1292</v>
      </c>
      <c r="G1042" s="19">
        <v>5338035</v>
      </c>
      <c r="H1042" s="18" t="s">
        <v>1293</v>
      </c>
      <c r="I1042" s="19">
        <v>4491537</v>
      </c>
      <c r="J1042" s="18" t="s">
        <v>1015</v>
      </c>
      <c r="K1042" s="19">
        <v>471.53</v>
      </c>
      <c r="L1042" s="19">
        <v>26438</v>
      </c>
      <c r="M1042" s="19">
        <v>1295</v>
      </c>
      <c r="N1042" s="20">
        <v>0.049</v>
      </c>
      <c r="O1042" s="19">
        <v>0.36</v>
      </c>
      <c r="P1042" s="19">
        <v>17.84</v>
      </c>
      <c r="Q1042" s="19">
        <v>43</v>
      </c>
      <c r="R1042" s="19">
        <v>0</v>
      </c>
      <c r="S1042" s="19">
        <v>19</v>
      </c>
      <c r="T1042" s="19">
        <v>0</v>
      </c>
      <c r="U1042" s="19">
        <v>3</v>
      </c>
      <c r="V1042" s="19">
        <v>65</v>
      </c>
      <c r="W1042" s="19">
        <v>7.25</v>
      </c>
      <c r="X1042" s="19">
        <v>0</v>
      </c>
      <c r="Y1042" s="20">
        <v>0</v>
      </c>
      <c r="Z1042" s="19">
        <v>5</v>
      </c>
      <c r="AA1042" s="19">
        <v>1</v>
      </c>
      <c r="AB1042" t="str">
        <f>VLOOKUP(E:E,笔记匹配!A:N,3,FALSE)</f>
        <v>一颗西兰花fa</v>
      </c>
      <c r="AC1042" t="str">
        <f>VLOOKUP(E:E,笔记匹配!A:N,2,FALSE)</f>
        <v>筋膜枪</v>
      </c>
      <c r="AD1042" t="str">
        <f>VLOOKUP(E:E,笔记匹配!A:N,4,FALSE)</f>
        <v>云麦筋膜枪PB2</v>
      </c>
      <c r="AE1042" t="str">
        <f>VLOOKUP(E:E,笔记匹配!A:N,14,FALSE)</f>
        <v>云麦筋膜枪pb2</v>
      </c>
      <c r="AF1042" t="str">
        <f>VLOOKUP(E:E,笔记匹配!A:N,6,FALSE)</f>
        <v>有没有姐妹跟我一样被肌肉腿困扰了好久！</v>
      </c>
    </row>
    <row r="1043" spans="1:32">
      <c r="A1043" s="18" t="s">
        <v>151</v>
      </c>
      <c r="B1043" s="18" t="s">
        <v>1267</v>
      </c>
      <c r="C1043" s="19">
        <v>21360243</v>
      </c>
      <c r="D1043" s="18" t="s">
        <v>209</v>
      </c>
      <c r="E1043" s="18" t="s">
        <v>220</v>
      </c>
      <c r="F1043" s="18" t="s">
        <v>1268</v>
      </c>
      <c r="G1043" s="19">
        <v>5192303</v>
      </c>
      <c r="H1043" s="18" t="s">
        <v>1269</v>
      </c>
      <c r="I1043" s="19">
        <v>4379647</v>
      </c>
      <c r="J1043" s="18" t="s">
        <v>1015</v>
      </c>
      <c r="K1043" s="19">
        <v>15.54</v>
      </c>
      <c r="L1043" s="19">
        <v>739</v>
      </c>
      <c r="M1043" s="19">
        <v>38</v>
      </c>
      <c r="N1043" s="20">
        <v>0.0514</v>
      </c>
      <c r="O1043" s="19">
        <v>0.41</v>
      </c>
      <c r="P1043" s="19">
        <v>21.03</v>
      </c>
      <c r="Q1043" s="19">
        <v>1</v>
      </c>
      <c r="R1043" s="19">
        <v>0</v>
      </c>
      <c r="S1043" s="19">
        <v>1</v>
      </c>
      <c r="T1043" s="19">
        <v>0</v>
      </c>
      <c r="U1043" s="19">
        <v>0</v>
      </c>
      <c r="V1043" s="19">
        <v>2</v>
      </c>
      <c r="W1043" s="19">
        <v>7.77</v>
      </c>
      <c r="X1043" s="19">
        <v>0</v>
      </c>
      <c r="Y1043" s="20">
        <v>0</v>
      </c>
      <c r="Z1043" s="19">
        <v>0</v>
      </c>
      <c r="AA1043" s="19">
        <v>0</v>
      </c>
      <c r="AB1043" t="str">
        <f>VLOOKUP(E:E,笔记匹配!A:N,3,FALSE)</f>
        <v>一颗西兰花fa</v>
      </c>
      <c r="AC1043" t="str">
        <f>VLOOKUP(E:E,笔记匹配!A:N,2,FALSE)</f>
        <v>筋膜枪</v>
      </c>
      <c r="AD1043" t="str">
        <f>VLOOKUP(E:E,笔记匹配!A:N,4,FALSE)</f>
        <v>云麦筋膜枪PB2</v>
      </c>
      <c r="AE1043" t="str">
        <f>VLOOKUP(E:E,笔记匹配!A:N,14,FALSE)</f>
        <v>云麦筋膜枪pb2</v>
      </c>
      <c r="AF1043" t="str">
        <f>VLOOKUP(E:E,笔记匹配!A:N,6,FALSE)</f>
        <v>有没有姐妹跟我一样被肌肉腿困扰了好久！</v>
      </c>
    </row>
    <row r="1044" spans="1:32">
      <c r="A1044" s="18" t="s">
        <v>151</v>
      </c>
      <c r="B1044" s="18" t="s">
        <v>1270</v>
      </c>
      <c r="C1044" s="19">
        <v>21440220</v>
      </c>
      <c r="D1044" s="18" t="s">
        <v>209</v>
      </c>
      <c r="E1044" s="18" t="s">
        <v>234</v>
      </c>
      <c r="F1044" s="18" t="s">
        <v>1273</v>
      </c>
      <c r="G1044" s="19">
        <v>5218312</v>
      </c>
      <c r="H1044" s="18" t="s">
        <v>1273</v>
      </c>
      <c r="I1044" s="19">
        <v>4399094</v>
      </c>
      <c r="J1044" s="18" t="s">
        <v>1015</v>
      </c>
      <c r="K1044" s="19">
        <v>0</v>
      </c>
      <c r="L1044" s="19">
        <v>0</v>
      </c>
      <c r="M1044" s="19">
        <v>0</v>
      </c>
      <c r="N1044" s="20">
        <v>0</v>
      </c>
      <c r="O1044" s="19">
        <v>0</v>
      </c>
      <c r="P1044" s="19">
        <v>0</v>
      </c>
      <c r="Q1044" s="19">
        <v>0</v>
      </c>
      <c r="R1044" s="19">
        <v>0</v>
      </c>
      <c r="S1044" s="19">
        <v>0</v>
      </c>
      <c r="T1044" s="19">
        <v>0</v>
      </c>
      <c r="U1044" s="19">
        <v>0</v>
      </c>
      <c r="V1044" s="19">
        <v>0</v>
      </c>
      <c r="W1044" s="19">
        <v>0</v>
      </c>
      <c r="X1044" s="19">
        <v>0</v>
      </c>
      <c r="Y1044" s="20">
        <v>0</v>
      </c>
      <c r="Z1044" s="19">
        <v>0</v>
      </c>
      <c r="AA1044" s="19">
        <v>0</v>
      </c>
      <c r="AB1044" t="str">
        <f>VLOOKUP(E:E,笔记匹配!A:N,3,FALSE)</f>
        <v>pp</v>
      </c>
      <c r="AC1044" t="str">
        <f>VLOOKUP(E:E,笔记匹配!A:N,2,FALSE)</f>
        <v>体脂秤</v>
      </c>
      <c r="AD1044" t="str">
        <f>VLOOKUP(E:E,笔记匹配!A:N,4,FALSE)</f>
        <v>云麦体脂秤3mini</v>
      </c>
      <c r="AE1044" t="str">
        <f>VLOOKUP(E:E,笔记匹配!A:N,14,FALSE)</f>
        <v>云麦体脂秤3mini</v>
      </c>
      <c r="AF1044" t="str">
        <f>VLOOKUP(E:E,笔记匹配!A:N,6,FALSE)</f>
        <v>110到88 一些减肥小建议｜如何正确运动</v>
      </c>
    </row>
    <row r="1045" spans="1:32">
      <c r="A1045" s="18" t="s">
        <v>151</v>
      </c>
      <c r="B1045" s="18" t="s">
        <v>1281</v>
      </c>
      <c r="C1045" s="19">
        <v>21506599</v>
      </c>
      <c r="D1045" s="18" t="s">
        <v>209</v>
      </c>
      <c r="E1045" s="18" t="s">
        <v>439</v>
      </c>
      <c r="F1045" s="18" t="s">
        <v>1282</v>
      </c>
      <c r="G1045" s="19">
        <v>5258337</v>
      </c>
      <c r="H1045" s="18" t="s">
        <v>1282</v>
      </c>
      <c r="I1045" s="19">
        <v>4430183</v>
      </c>
      <c r="J1045" s="18" t="s">
        <v>1015</v>
      </c>
      <c r="K1045" s="19">
        <v>0</v>
      </c>
      <c r="L1045" s="19">
        <v>0</v>
      </c>
      <c r="M1045" s="19">
        <v>0</v>
      </c>
      <c r="N1045" s="20">
        <v>0</v>
      </c>
      <c r="O1045" s="19">
        <v>0</v>
      </c>
      <c r="P1045" s="19">
        <v>0</v>
      </c>
      <c r="Q1045" s="19">
        <v>0</v>
      </c>
      <c r="R1045" s="19">
        <v>0</v>
      </c>
      <c r="S1045" s="19">
        <v>0</v>
      </c>
      <c r="T1045" s="19">
        <v>0</v>
      </c>
      <c r="U1045" s="19">
        <v>0</v>
      </c>
      <c r="V1045" s="19">
        <v>0</v>
      </c>
      <c r="W1045" s="19">
        <v>0</v>
      </c>
      <c r="X1045" s="19">
        <v>0</v>
      </c>
      <c r="Y1045" s="20">
        <v>0</v>
      </c>
      <c r="Z1045" s="19">
        <v>0</v>
      </c>
      <c r="AA1045" s="19">
        <v>0</v>
      </c>
      <c r="AB1045" t="str">
        <f>VLOOKUP(E:E,笔记匹配!A:N,3,FALSE)</f>
        <v>索菲亚的冻龄秘密</v>
      </c>
      <c r="AC1045" t="str">
        <f>VLOOKUP(E:E,笔记匹配!A:N,2,FALSE)</f>
        <v>体脂秤</v>
      </c>
      <c r="AD1045" t="str">
        <f>VLOOKUP(E:E,笔记匹配!A:N,4,FALSE)</f>
        <v>云麦体脂秤3mini</v>
      </c>
      <c r="AE1045" t="str">
        <f>VLOOKUP(E:E,笔记匹配!A:N,14,FALSE)</f>
        <v>云麦体脂秤3mini</v>
      </c>
      <c r="AF1045" t="str">
        <f>VLOOKUP(E:E,笔记匹配!A:N,6,FALSE)</f>
        <v>甩6斤纯脂肪我做了这四件事‼｜体脂29到22</v>
      </c>
    </row>
    <row r="1046" spans="1:32">
      <c r="A1046" s="18" t="s">
        <v>151</v>
      </c>
      <c r="B1046" s="18" t="s">
        <v>1281</v>
      </c>
      <c r="C1046" s="19">
        <v>21508319</v>
      </c>
      <c r="D1046" s="18" t="s">
        <v>209</v>
      </c>
      <c r="E1046" s="18" t="s">
        <v>554</v>
      </c>
      <c r="F1046" s="18" t="s">
        <v>1285</v>
      </c>
      <c r="G1046" s="19">
        <v>5259036</v>
      </c>
      <c r="H1046" s="18" t="s">
        <v>1285</v>
      </c>
      <c r="I1046" s="19">
        <v>4430734</v>
      </c>
      <c r="J1046" s="18" t="s">
        <v>1015</v>
      </c>
      <c r="K1046" s="19">
        <v>0</v>
      </c>
      <c r="L1046" s="19">
        <v>0</v>
      </c>
      <c r="M1046" s="19">
        <v>0</v>
      </c>
      <c r="N1046" s="20">
        <v>0</v>
      </c>
      <c r="O1046" s="19">
        <v>0</v>
      </c>
      <c r="P1046" s="19">
        <v>0</v>
      </c>
      <c r="Q1046" s="19">
        <v>0</v>
      </c>
      <c r="R1046" s="19">
        <v>0</v>
      </c>
      <c r="S1046" s="19">
        <v>0</v>
      </c>
      <c r="T1046" s="19">
        <v>0</v>
      </c>
      <c r="U1046" s="19">
        <v>0</v>
      </c>
      <c r="V1046" s="19">
        <v>0</v>
      </c>
      <c r="W1046" s="19">
        <v>0</v>
      </c>
      <c r="X1046" s="19">
        <v>0</v>
      </c>
      <c r="Y1046" s="20">
        <v>0</v>
      </c>
      <c r="Z1046" s="19">
        <v>0</v>
      </c>
      <c r="AA1046" s="19">
        <v>0</v>
      </c>
      <c r="AB1046" t="str">
        <f>VLOOKUP(E:E,笔记匹配!A:N,3,FALSE)</f>
        <v>咦同学</v>
      </c>
      <c r="AC1046" t="str">
        <f>VLOOKUP(E:E,笔记匹配!A:N,2,FALSE)</f>
        <v>筋膜枪</v>
      </c>
      <c r="AD1046" t="str">
        <f>VLOOKUP(E:E,笔记匹配!A:N,4,FALSE)</f>
        <v>云麦筋膜枪cc</v>
      </c>
      <c r="AE1046" t="str">
        <f>VLOOKUP(E:E,笔记匹配!A:N,14,FALSE)</f>
        <v>云麦筋膜枪ccgo</v>
      </c>
      <c r="AF1046" t="str">
        <f>VLOOKUP(E:E,笔记匹配!A:N,6,FALSE)</f>
        <v>塌屁股姐妹一定要练上臀！翘臀不粗腿拿捏了！</v>
      </c>
    </row>
    <row r="1047" spans="1:32">
      <c r="A1047" s="18" t="s">
        <v>151</v>
      </c>
      <c r="B1047" s="18" t="s">
        <v>1286</v>
      </c>
      <c r="C1047" s="19">
        <v>21600849</v>
      </c>
      <c r="D1047" s="18" t="s">
        <v>209</v>
      </c>
      <c r="E1047" s="18" t="s">
        <v>303</v>
      </c>
      <c r="F1047" s="18" t="s">
        <v>1288</v>
      </c>
      <c r="G1047" s="19">
        <v>5300358</v>
      </c>
      <c r="H1047" s="18" t="s">
        <v>1288</v>
      </c>
      <c r="I1047" s="19">
        <v>4462859</v>
      </c>
      <c r="J1047" s="18" t="s">
        <v>1015</v>
      </c>
      <c r="K1047" s="19">
        <v>600</v>
      </c>
      <c r="L1047" s="19">
        <v>17195</v>
      </c>
      <c r="M1047" s="19">
        <v>1277</v>
      </c>
      <c r="N1047" s="20">
        <v>0.0743</v>
      </c>
      <c r="O1047" s="19">
        <v>0.47</v>
      </c>
      <c r="P1047" s="19">
        <v>34.89</v>
      </c>
      <c r="Q1047" s="19">
        <v>95</v>
      </c>
      <c r="R1047" s="19">
        <v>1</v>
      </c>
      <c r="S1047" s="19">
        <v>66</v>
      </c>
      <c r="T1047" s="19">
        <v>10</v>
      </c>
      <c r="U1047" s="19">
        <v>2</v>
      </c>
      <c r="V1047" s="19">
        <v>174</v>
      </c>
      <c r="W1047" s="19">
        <v>3.45</v>
      </c>
      <c r="X1047" s="19">
        <v>0</v>
      </c>
      <c r="Y1047" s="20">
        <v>0</v>
      </c>
      <c r="Z1047" s="19">
        <v>1</v>
      </c>
      <c r="AA1047" s="19">
        <v>7</v>
      </c>
      <c r="AB1047" t="str">
        <f>VLOOKUP(E:E,笔记匹配!A:N,3,FALSE)</f>
        <v>橘子汽水</v>
      </c>
      <c r="AC1047" t="str">
        <f>VLOOKUP(E:E,笔记匹配!A:N,2,FALSE)</f>
        <v>体脂秤</v>
      </c>
      <c r="AD1047" t="str">
        <f>VLOOKUP(E:E,笔记匹配!A:N,4,FALSE)</f>
        <v>云麦体脂秤3mini</v>
      </c>
      <c r="AE1047" t="str">
        <f>VLOOKUP(E:E,笔记匹配!A:N,14,FALSE)</f>
        <v>云麦体脂秤3mini</v>
      </c>
      <c r="AF1047" t="str">
        <f>VLOOKUP(E:E,笔记匹配!A:N,6,FALSE)</f>
        <v>请一定要相信帕梅拉虐腹，效果是真的🉑❗</v>
      </c>
    </row>
    <row r="1048" spans="1:32">
      <c r="A1048" s="18" t="s">
        <v>151</v>
      </c>
      <c r="B1048" s="18" t="s">
        <v>1289</v>
      </c>
      <c r="C1048" s="19">
        <v>21674555</v>
      </c>
      <c r="D1048" s="18" t="s">
        <v>209</v>
      </c>
      <c r="E1048" s="18" t="s">
        <v>434</v>
      </c>
      <c r="F1048" s="18" t="s">
        <v>1290</v>
      </c>
      <c r="G1048" s="19">
        <v>5332127</v>
      </c>
      <c r="H1048" s="18" t="s">
        <v>1290</v>
      </c>
      <c r="I1048" s="19">
        <v>4486849</v>
      </c>
      <c r="J1048" s="18" t="s">
        <v>1015</v>
      </c>
      <c r="K1048" s="19">
        <v>0</v>
      </c>
      <c r="L1048" s="19">
        <v>0</v>
      </c>
      <c r="M1048" s="19">
        <v>0</v>
      </c>
      <c r="N1048" s="20">
        <v>0</v>
      </c>
      <c r="O1048" s="19">
        <v>0</v>
      </c>
      <c r="P1048" s="19">
        <v>0</v>
      </c>
      <c r="Q1048" s="19">
        <v>0</v>
      </c>
      <c r="R1048" s="19">
        <v>0</v>
      </c>
      <c r="S1048" s="19">
        <v>0</v>
      </c>
      <c r="T1048" s="19">
        <v>0</v>
      </c>
      <c r="U1048" s="19">
        <v>0</v>
      </c>
      <c r="V1048" s="19">
        <v>0</v>
      </c>
      <c r="W1048" s="19">
        <v>0</v>
      </c>
      <c r="X1048" s="19">
        <v>0</v>
      </c>
      <c r="Y1048" s="20">
        <v>0</v>
      </c>
      <c r="Z1048" s="19">
        <v>0</v>
      </c>
      <c r="AA1048" s="19">
        <v>0</v>
      </c>
      <c r="AB1048" t="str">
        <f>VLOOKUP(E:E,笔记匹配!A:N,3,FALSE)</f>
        <v>诸葛亮晶晶</v>
      </c>
      <c r="AC1048" t="str">
        <f>VLOOKUP(E:E,笔记匹配!A:N,2,FALSE)</f>
        <v>体脂秤</v>
      </c>
      <c r="AD1048" t="str">
        <f>VLOOKUP(E:E,笔记匹配!A:N,4,FALSE)</f>
        <v>云麦体脂秤3mini</v>
      </c>
      <c r="AE1048" t="str">
        <f>VLOOKUP(E:E,笔记匹配!A:N,14,FALSE)</f>
        <v>云麦体脂秤3mini</v>
      </c>
      <c r="AF1048" t="str">
        <f>VLOOKUP(E:E,笔记匹配!A:N,6,FALSE)</f>
        <v>175 90斤|五年模特三餐真实分享</v>
      </c>
    </row>
    <row r="1049" spans="1:32">
      <c r="A1049" s="18" t="s">
        <v>151</v>
      </c>
      <c r="B1049" s="18" t="s">
        <v>1291</v>
      </c>
      <c r="C1049" s="19">
        <v>21688273</v>
      </c>
      <c r="D1049" s="18" t="s">
        <v>209</v>
      </c>
      <c r="E1049" s="18" t="s">
        <v>220</v>
      </c>
      <c r="F1049" s="18" t="s">
        <v>1292</v>
      </c>
      <c r="G1049" s="19">
        <v>5338035</v>
      </c>
      <c r="H1049" s="18" t="s">
        <v>1293</v>
      </c>
      <c r="I1049" s="19">
        <v>4491537</v>
      </c>
      <c r="J1049" s="18" t="s">
        <v>1015</v>
      </c>
      <c r="K1049" s="19">
        <v>2.38</v>
      </c>
      <c r="L1049" s="19">
        <v>279</v>
      </c>
      <c r="M1049" s="19">
        <v>14</v>
      </c>
      <c r="N1049" s="20">
        <v>0.0502</v>
      </c>
      <c r="O1049" s="19">
        <v>0.17</v>
      </c>
      <c r="P1049" s="19">
        <v>8.53</v>
      </c>
      <c r="Q1049" s="19">
        <v>0</v>
      </c>
      <c r="R1049" s="19">
        <v>0</v>
      </c>
      <c r="S1049" s="19">
        <v>0</v>
      </c>
      <c r="T1049" s="19">
        <v>0</v>
      </c>
      <c r="U1049" s="19">
        <v>0</v>
      </c>
      <c r="V1049" s="19">
        <v>0</v>
      </c>
      <c r="W1049" s="19">
        <v>0</v>
      </c>
      <c r="X1049" s="19">
        <v>0</v>
      </c>
      <c r="Y1049" s="20">
        <v>0</v>
      </c>
      <c r="Z1049" s="19">
        <v>0</v>
      </c>
      <c r="AA1049" s="19">
        <v>0</v>
      </c>
      <c r="AB1049" t="str">
        <f>VLOOKUP(E:E,笔记匹配!A:N,3,FALSE)</f>
        <v>一颗西兰花fa</v>
      </c>
      <c r="AC1049" t="str">
        <f>VLOOKUP(E:E,笔记匹配!A:N,2,FALSE)</f>
        <v>筋膜枪</v>
      </c>
      <c r="AD1049" t="str">
        <f>VLOOKUP(E:E,笔记匹配!A:N,4,FALSE)</f>
        <v>云麦筋膜枪PB2</v>
      </c>
      <c r="AE1049" t="str">
        <f>VLOOKUP(E:E,笔记匹配!A:N,14,FALSE)</f>
        <v>云麦筋膜枪pb2</v>
      </c>
      <c r="AF1049" t="str">
        <f>VLOOKUP(E:E,笔记匹配!A:N,6,FALSE)</f>
        <v>有没有姐妹跟我一样被肌肉腿困扰了好久！</v>
      </c>
    </row>
    <row r="1050" spans="1:32">
      <c r="A1050" s="18" t="s">
        <v>151</v>
      </c>
      <c r="B1050" s="18" t="s">
        <v>1294</v>
      </c>
      <c r="C1050" s="19">
        <v>21747929</v>
      </c>
      <c r="D1050" s="18" t="s">
        <v>209</v>
      </c>
      <c r="E1050" s="18" t="s">
        <v>208</v>
      </c>
      <c r="F1050" s="18" t="s">
        <v>1295</v>
      </c>
      <c r="G1050" s="19">
        <v>5366393</v>
      </c>
      <c r="H1050" s="18" t="s">
        <v>1295</v>
      </c>
      <c r="I1050" s="19">
        <v>4512630</v>
      </c>
      <c r="J1050" s="18" t="s">
        <v>1015</v>
      </c>
      <c r="K1050" s="19">
        <v>1521.26</v>
      </c>
      <c r="L1050" s="19">
        <v>137721</v>
      </c>
      <c r="M1050" s="19">
        <v>7256</v>
      </c>
      <c r="N1050" s="20">
        <v>0.0527</v>
      </c>
      <c r="O1050" s="19">
        <v>0.21</v>
      </c>
      <c r="P1050" s="19">
        <v>11.05</v>
      </c>
      <c r="Q1050" s="19">
        <v>131</v>
      </c>
      <c r="R1050" s="19">
        <v>4</v>
      </c>
      <c r="S1050" s="19">
        <v>54</v>
      </c>
      <c r="T1050" s="19">
        <v>3</v>
      </c>
      <c r="U1050" s="19">
        <v>7</v>
      </c>
      <c r="V1050" s="19">
        <v>199</v>
      </c>
      <c r="W1050" s="19">
        <v>7.64</v>
      </c>
      <c r="X1050" s="19">
        <v>0</v>
      </c>
      <c r="Y1050" s="20">
        <v>0</v>
      </c>
      <c r="Z1050" s="19">
        <v>17</v>
      </c>
      <c r="AA1050" s="19">
        <v>2</v>
      </c>
      <c r="AB1050" t="str">
        <f>VLOOKUP(E:E,笔记匹配!A:N,3,FALSE)</f>
        <v>小羊羔崽子</v>
      </c>
      <c r="AC1050" t="str">
        <f>VLOOKUP(E:E,笔记匹配!A:N,2,FALSE)</f>
        <v>筋膜枪</v>
      </c>
      <c r="AD1050" t="str">
        <f>VLOOKUP(E:E,笔记匹配!A:N,4,FALSE)</f>
        <v>云麦筋膜枪PB2</v>
      </c>
      <c r="AE1050" t="str">
        <f>VLOOKUP(E:E,笔记匹配!A:N,14,FALSE)</f>
        <v>云麦筋膜枪pb2</v>
      </c>
      <c r="AF1050" t="str">
        <f>VLOOKUP(E:E,笔记匹配!A:N,6,FALSE)</f>
        <v>用了多年泡沫轴，才知道筋膜枪是真的香！！！</v>
      </c>
    </row>
    <row r="1051" spans="1:32">
      <c r="A1051" s="18" t="s">
        <v>151</v>
      </c>
      <c r="B1051" s="18" t="s">
        <v>1294</v>
      </c>
      <c r="C1051" s="19">
        <v>21747992</v>
      </c>
      <c r="D1051" s="18" t="s">
        <v>209</v>
      </c>
      <c r="E1051" s="18" t="s">
        <v>292</v>
      </c>
      <c r="F1051" s="18" t="s">
        <v>1296</v>
      </c>
      <c r="G1051" s="19">
        <v>5366424</v>
      </c>
      <c r="H1051" s="18" t="s">
        <v>1296</v>
      </c>
      <c r="I1051" s="19">
        <v>4512653</v>
      </c>
      <c r="J1051" s="18" t="s">
        <v>1015</v>
      </c>
      <c r="K1051" s="19">
        <v>1007.4</v>
      </c>
      <c r="L1051" s="19">
        <v>35073</v>
      </c>
      <c r="M1051" s="19">
        <v>2695</v>
      </c>
      <c r="N1051" s="20">
        <v>0.0768</v>
      </c>
      <c r="O1051" s="19">
        <v>0.37</v>
      </c>
      <c r="P1051" s="19">
        <v>28.72</v>
      </c>
      <c r="Q1051" s="19">
        <v>389</v>
      </c>
      <c r="R1051" s="19">
        <v>4</v>
      </c>
      <c r="S1051" s="19">
        <v>323</v>
      </c>
      <c r="T1051" s="19">
        <v>28</v>
      </c>
      <c r="U1051" s="19">
        <v>13</v>
      </c>
      <c r="V1051" s="19">
        <v>757</v>
      </c>
      <c r="W1051" s="19">
        <v>1.33</v>
      </c>
      <c r="X1051" s="19">
        <v>0</v>
      </c>
      <c r="Y1051" s="20">
        <v>0</v>
      </c>
      <c r="Z1051" s="19">
        <v>1</v>
      </c>
      <c r="AA1051" s="19">
        <v>21</v>
      </c>
      <c r="AB1051" t="str">
        <f>VLOOKUP(E:E,笔记匹配!A:N,3,FALSE)</f>
        <v>形体矫正小李</v>
      </c>
      <c r="AC1051" t="str">
        <f>VLOOKUP(E:E,笔记匹配!A:N,2,FALSE)</f>
        <v>筋膜枪</v>
      </c>
      <c r="AD1051" t="str">
        <f>VLOOKUP(E:E,笔记匹配!A:N,4,FALSE)</f>
        <v>云麦筋膜枪PB2</v>
      </c>
      <c r="AE1051" t="str">
        <f>VLOOKUP(E:E,笔记匹配!A:N,14,FALSE)</f>
        <v>云麦筋膜枪pb2</v>
      </c>
      <c r="AF1051" t="str">
        <f>VLOOKUP(E:E,笔记匹配!A:N,6,FALSE)</f>
        <v>大腿内侧赘肉消失术‼️练出细长漫画腿全靠它</v>
      </c>
    </row>
    <row r="1052" spans="1:32">
      <c r="A1052" s="18" t="s">
        <v>152</v>
      </c>
      <c r="B1052" s="18" t="s">
        <v>1264</v>
      </c>
      <c r="C1052" s="19">
        <v>21203504</v>
      </c>
      <c r="D1052" s="18" t="s">
        <v>209</v>
      </c>
      <c r="E1052" s="18" t="s">
        <v>220</v>
      </c>
      <c r="F1052" s="18" t="s">
        <v>1265</v>
      </c>
      <c r="G1052" s="19">
        <v>5116446</v>
      </c>
      <c r="H1052" s="18" t="s">
        <v>1265</v>
      </c>
      <c r="I1052" s="19">
        <v>4323752</v>
      </c>
      <c r="J1052" s="18" t="s">
        <v>1015</v>
      </c>
      <c r="K1052" s="19">
        <v>0</v>
      </c>
      <c r="L1052" s="19">
        <v>0</v>
      </c>
      <c r="M1052" s="19">
        <v>0</v>
      </c>
      <c r="N1052" s="20">
        <v>0</v>
      </c>
      <c r="O1052" s="19">
        <v>0</v>
      </c>
      <c r="P1052" s="19">
        <v>0</v>
      </c>
      <c r="Q1052" s="19">
        <v>0</v>
      </c>
      <c r="R1052" s="19">
        <v>0</v>
      </c>
      <c r="S1052" s="19">
        <v>0</v>
      </c>
      <c r="T1052" s="19">
        <v>0</v>
      </c>
      <c r="U1052" s="19">
        <v>0</v>
      </c>
      <c r="V1052" s="19">
        <v>0</v>
      </c>
      <c r="W1052" s="19">
        <v>0</v>
      </c>
      <c r="X1052" s="19">
        <v>0</v>
      </c>
      <c r="Y1052" s="20">
        <v>0</v>
      </c>
      <c r="Z1052" s="19">
        <v>0</v>
      </c>
      <c r="AA1052" s="19">
        <v>0</v>
      </c>
      <c r="AB1052" t="str">
        <f>VLOOKUP(E:E,笔记匹配!A:N,3,FALSE)</f>
        <v>一颗西兰花fa</v>
      </c>
      <c r="AC1052" t="str">
        <f>VLOOKUP(E:E,笔记匹配!A:N,2,FALSE)</f>
        <v>筋膜枪</v>
      </c>
      <c r="AD1052" t="str">
        <f>VLOOKUP(E:E,笔记匹配!A:N,4,FALSE)</f>
        <v>云麦筋膜枪PB2</v>
      </c>
      <c r="AE1052" t="str">
        <f>VLOOKUP(E:E,笔记匹配!A:N,14,FALSE)</f>
        <v>云麦筋膜枪pb2</v>
      </c>
      <c r="AF1052" t="str">
        <f>VLOOKUP(E:E,笔记匹配!A:N,6,FALSE)</f>
        <v>有没有姐妹跟我一样被肌肉腿困扰了好久！</v>
      </c>
    </row>
    <row r="1053" spans="1:32">
      <c r="A1053" s="18" t="s">
        <v>152</v>
      </c>
      <c r="B1053" s="18" t="s">
        <v>1286</v>
      </c>
      <c r="C1053" s="19">
        <v>21600849</v>
      </c>
      <c r="D1053" s="18" t="s">
        <v>209</v>
      </c>
      <c r="E1053" s="18" t="s">
        <v>303</v>
      </c>
      <c r="F1053" s="18" t="s">
        <v>1288</v>
      </c>
      <c r="G1053" s="19">
        <v>5300358</v>
      </c>
      <c r="H1053" s="18" t="s">
        <v>1288</v>
      </c>
      <c r="I1053" s="19">
        <v>4462859</v>
      </c>
      <c r="J1053" s="18" t="s">
        <v>1015</v>
      </c>
      <c r="K1053" s="19">
        <v>501.14</v>
      </c>
      <c r="L1053" s="19">
        <v>28438</v>
      </c>
      <c r="M1053" s="19">
        <v>3688</v>
      </c>
      <c r="N1053" s="20">
        <v>0.1297</v>
      </c>
      <c r="O1053" s="19">
        <v>0.14</v>
      </c>
      <c r="P1053" s="19">
        <v>17.62</v>
      </c>
      <c r="Q1053" s="19">
        <v>132</v>
      </c>
      <c r="R1053" s="19">
        <v>2</v>
      </c>
      <c r="S1053" s="19">
        <v>117</v>
      </c>
      <c r="T1053" s="19">
        <v>13</v>
      </c>
      <c r="U1053" s="19">
        <v>5</v>
      </c>
      <c r="V1053" s="19">
        <v>269</v>
      </c>
      <c r="W1053" s="19">
        <v>1.86</v>
      </c>
      <c r="X1053" s="19">
        <v>0</v>
      </c>
      <c r="Y1053" s="20">
        <v>0</v>
      </c>
      <c r="Z1053" s="19">
        <v>75</v>
      </c>
      <c r="AA1053" s="19">
        <v>6</v>
      </c>
      <c r="AB1053" t="str">
        <f>VLOOKUP(E:E,笔记匹配!A:N,3,FALSE)</f>
        <v>橘子汽水</v>
      </c>
      <c r="AC1053" t="str">
        <f>VLOOKUP(E:E,笔记匹配!A:N,2,FALSE)</f>
        <v>体脂秤</v>
      </c>
      <c r="AD1053" t="str">
        <f>VLOOKUP(E:E,笔记匹配!A:N,4,FALSE)</f>
        <v>云麦体脂秤3mini</v>
      </c>
      <c r="AE1053" t="str">
        <f>VLOOKUP(E:E,笔记匹配!A:N,14,FALSE)</f>
        <v>云麦体脂秤3mini</v>
      </c>
      <c r="AF1053" t="str">
        <f>VLOOKUP(E:E,笔记匹配!A:N,6,FALSE)</f>
        <v>请一定要相信帕梅拉虐腹，效果是真的🉑❗</v>
      </c>
    </row>
    <row r="1054" spans="1:32">
      <c r="A1054" s="18" t="s">
        <v>152</v>
      </c>
      <c r="B1054" s="18" t="s">
        <v>1294</v>
      </c>
      <c r="C1054" s="19">
        <v>21747929</v>
      </c>
      <c r="D1054" s="18" t="s">
        <v>209</v>
      </c>
      <c r="E1054" s="18" t="s">
        <v>208</v>
      </c>
      <c r="F1054" s="18" t="s">
        <v>1295</v>
      </c>
      <c r="G1054" s="19">
        <v>5366393</v>
      </c>
      <c r="H1054" s="18" t="s">
        <v>1295</v>
      </c>
      <c r="I1054" s="19">
        <v>4512630</v>
      </c>
      <c r="J1054" s="18" t="s">
        <v>1015</v>
      </c>
      <c r="K1054" s="19">
        <v>2010.56</v>
      </c>
      <c r="L1054" s="19">
        <v>161513</v>
      </c>
      <c r="M1054" s="19">
        <v>8319</v>
      </c>
      <c r="N1054" s="20">
        <v>0.0515</v>
      </c>
      <c r="O1054" s="19">
        <v>0.24</v>
      </c>
      <c r="P1054" s="19">
        <v>12.45</v>
      </c>
      <c r="Q1054" s="19">
        <v>164</v>
      </c>
      <c r="R1054" s="19">
        <v>2</v>
      </c>
      <c r="S1054" s="19">
        <v>81</v>
      </c>
      <c r="T1054" s="19">
        <v>1</v>
      </c>
      <c r="U1054" s="19">
        <v>6</v>
      </c>
      <c r="V1054" s="19">
        <v>254</v>
      </c>
      <c r="W1054" s="19">
        <v>7.92</v>
      </c>
      <c r="X1054" s="19">
        <v>0</v>
      </c>
      <c r="Y1054" s="20">
        <v>0</v>
      </c>
      <c r="Z1054" s="19">
        <v>22</v>
      </c>
      <c r="AA1054" s="19">
        <v>6</v>
      </c>
      <c r="AB1054" t="str">
        <f>VLOOKUP(E:E,笔记匹配!A:N,3,FALSE)</f>
        <v>小羊羔崽子</v>
      </c>
      <c r="AC1054" t="str">
        <f>VLOOKUP(E:E,笔记匹配!A:N,2,FALSE)</f>
        <v>筋膜枪</v>
      </c>
      <c r="AD1054" t="str">
        <f>VLOOKUP(E:E,笔记匹配!A:N,4,FALSE)</f>
        <v>云麦筋膜枪PB2</v>
      </c>
      <c r="AE1054" t="str">
        <f>VLOOKUP(E:E,笔记匹配!A:N,14,FALSE)</f>
        <v>云麦筋膜枪pb2</v>
      </c>
      <c r="AF1054" t="str">
        <f>VLOOKUP(E:E,笔记匹配!A:N,6,FALSE)</f>
        <v>用了多年泡沫轴，才知道筋膜枪是真的香！！！</v>
      </c>
    </row>
    <row r="1055" spans="1:32">
      <c r="A1055" s="18" t="s">
        <v>152</v>
      </c>
      <c r="B1055" s="18" t="s">
        <v>1294</v>
      </c>
      <c r="C1055" s="19">
        <v>21747992</v>
      </c>
      <c r="D1055" s="18" t="s">
        <v>209</v>
      </c>
      <c r="E1055" s="18" t="s">
        <v>292</v>
      </c>
      <c r="F1055" s="18" t="s">
        <v>1296</v>
      </c>
      <c r="G1055" s="19">
        <v>5366424</v>
      </c>
      <c r="H1055" s="18" t="s">
        <v>1296</v>
      </c>
      <c r="I1055" s="19">
        <v>4512653</v>
      </c>
      <c r="J1055" s="18" t="s">
        <v>1015</v>
      </c>
      <c r="K1055" s="19">
        <v>501.01</v>
      </c>
      <c r="L1055" s="19">
        <v>33801</v>
      </c>
      <c r="M1055" s="19">
        <v>2787</v>
      </c>
      <c r="N1055" s="20">
        <v>0.0825</v>
      </c>
      <c r="O1055" s="19">
        <v>0.18</v>
      </c>
      <c r="P1055" s="19">
        <v>14.82</v>
      </c>
      <c r="Q1055" s="19">
        <v>234</v>
      </c>
      <c r="R1055" s="19">
        <v>2</v>
      </c>
      <c r="S1055" s="19">
        <v>257</v>
      </c>
      <c r="T1055" s="19">
        <v>22</v>
      </c>
      <c r="U1055" s="19">
        <v>11</v>
      </c>
      <c r="V1055" s="19">
        <v>526</v>
      </c>
      <c r="W1055" s="19">
        <v>0.95</v>
      </c>
      <c r="X1055" s="19">
        <v>0</v>
      </c>
      <c r="Y1055" s="20">
        <v>0</v>
      </c>
      <c r="Z1055" s="19">
        <v>3</v>
      </c>
      <c r="AA1055" s="19">
        <v>15</v>
      </c>
      <c r="AB1055" t="str">
        <f>VLOOKUP(E:E,笔记匹配!A:N,3,FALSE)</f>
        <v>形体矫正小李</v>
      </c>
      <c r="AC1055" t="str">
        <f>VLOOKUP(E:E,笔记匹配!A:N,2,FALSE)</f>
        <v>筋膜枪</v>
      </c>
      <c r="AD1055" t="str">
        <f>VLOOKUP(E:E,笔记匹配!A:N,4,FALSE)</f>
        <v>云麦筋膜枪PB2</v>
      </c>
      <c r="AE1055" t="str">
        <f>VLOOKUP(E:E,笔记匹配!A:N,14,FALSE)</f>
        <v>云麦筋膜枪pb2</v>
      </c>
      <c r="AF1055" t="str">
        <f>VLOOKUP(E:E,笔记匹配!A:N,6,FALSE)</f>
        <v>大腿内侧赘肉消失术‼️练出细长漫画腿全靠它</v>
      </c>
    </row>
    <row r="1056" spans="1:32">
      <c r="A1056" s="18" t="s">
        <v>153</v>
      </c>
      <c r="B1056" s="18" t="s">
        <v>1184</v>
      </c>
      <c r="C1056" s="19">
        <v>18646457</v>
      </c>
      <c r="D1056" s="18" t="s">
        <v>209</v>
      </c>
      <c r="E1056" s="18" t="s">
        <v>395</v>
      </c>
      <c r="F1056" s="18" t="s">
        <v>1186</v>
      </c>
      <c r="G1056" s="19">
        <v>3870563</v>
      </c>
      <c r="H1056" s="18" t="s">
        <v>1186</v>
      </c>
      <c r="I1056" s="19">
        <v>3255634</v>
      </c>
      <c r="J1056" s="18" t="s">
        <v>1015</v>
      </c>
      <c r="K1056" s="19">
        <v>0</v>
      </c>
      <c r="L1056" s="19">
        <v>0</v>
      </c>
      <c r="M1056" s="19">
        <v>0</v>
      </c>
      <c r="N1056" s="20">
        <v>0</v>
      </c>
      <c r="O1056" s="19">
        <v>0</v>
      </c>
      <c r="P1056" s="19">
        <v>0</v>
      </c>
      <c r="Q1056" s="19">
        <v>0</v>
      </c>
      <c r="R1056" s="19">
        <v>0</v>
      </c>
      <c r="S1056" s="19">
        <v>0</v>
      </c>
      <c r="T1056" s="19">
        <v>0</v>
      </c>
      <c r="U1056" s="19">
        <v>0</v>
      </c>
      <c r="V1056" s="19">
        <v>0</v>
      </c>
      <c r="W1056" s="19">
        <v>0</v>
      </c>
      <c r="X1056" s="19">
        <v>0</v>
      </c>
      <c r="Y1056" s="20">
        <v>0</v>
      </c>
      <c r="Z1056" s="19">
        <v>0</v>
      </c>
      <c r="AA1056" s="19">
        <v>0</v>
      </c>
      <c r="AB1056" t="str">
        <f>VLOOKUP(E:E,笔记匹配!A:N,3,FALSE)</f>
        <v>月亮起床了</v>
      </c>
      <c r="AC1056" t="str">
        <f>VLOOKUP(E:E,笔记匹配!A:N,2,FALSE)</f>
        <v>筋膜枪</v>
      </c>
      <c r="AD1056" t="str">
        <f>VLOOKUP(E:E,笔记匹配!A:N,4,FALSE)</f>
        <v>云麦筋膜枪pb2</v>
      </c>
      <c r="AE1056" t="str">
        <f>VLOOKUP(E:E,笔记匹配!A:N,14,FALSE)</f>
        <v>云麦筋膜枪pb2</v>
      </c>
      <c r="AF1056" t="str">
        <f>VLOOKUP(E:E,笔记匹配!A:N,6,FALSE)</f>
        <v>超强瘦🦵绝招，记得用筋膜枪放松</v>
      </c>
    </row>
    <row r="1057" spans="1:32">
      <c r="A1057" s="18" t="s">
        <v>153</v>
      </c>
      <c r="B1057" s="18" t="s">
        <v>1189</v>
      </c>
      <c r="C1057" s="19">
        <v>19010569</v>
      </c>
      <c r="D1057" s="18" t="s">
        <v>209</v>
      </c>
      <c r="E1057" s="18" t="s">
        <v>400</v>
      </c>
      <c r="F1057" s="18" t="s">
        <v>1192</v>
      </c>
      <c r="G1057" s="19">
        <v>4039210</v>
      </c>
      <c r="H1057" s="18" t="s">
        <v>1192</v>
      </c>
      <c r="I1057" s="19">
        <v>3422478</v>
      </c>
      <c r="J1057" s="18" t="s">
        <v>1015</v>
      </c>
      <c r="K1057" s="19">
        <v>0</v>
      </c>
      <c r="L1057" s="19">
        <v>0</v>
      </c>
      <c r="M1057" s="19">
        <v>0</v>
      </c>
      <c r="N1057" s="20">
        <v>0</v>
      </c>
      <c r="O1057" s="19">
        <v>0</v>
      </c>
      <c r="P1057" s="19">
        <v>0</v>
      </c>
      <c r="Q1057" s="19">
        <v>0</v>
      </c>
      <c r="R1057" s="19">
        <v>0</v>
      </c>
      <c r="S1057" s="19">
        <v>0</v>
      </c>
      <c r="T1057" s="19">
        <v>0</v>
      </c>
      <c r="U1057" s="19">
        <v>0</v>
      </c>
      <c r="V1057" s="19">
        <v>0</v>
      </c>
      <c r="W1057" s="19">
        <v>0</v>
      </c>
      <c r="X1057" s="19">
        <v>0</v>
      </c>
      <c r="Y1057" s="20">
        <v>0</v>
      </c>
      <c r="Z1057" s="19">
        <v>0</v>
      </c>
      <c r="AA1057" s="19">
        <v>0</v>
      </c>
      <c r="AB1057" t="str">
        <f>VLOOKUP(E:E,笔记匹配!A:N,3,FALSE)</f>
        <v>小雪教瑜伽</v>
      </c>
      <c r="AC1057" t="str">
        <f>VLOOKUP(E:E,笔记匹配!A:N,2,FALSE)</f>
        <v>筋膜枪</v>
      </c>
      <c r="AD1057" t="str">
        <f>VLOOKUP(E:E,笔记匹配!A:N,4,FALSE)</f>
        <v>云麦筋膜枪cc</v>
      </c>
      <c r="AE1057" t="str">
        <f>VLOOKUP(E:E,笔记匹配!A:N,14,FALSE)</f>
        <v>云麦筋膜枪cc</v>
      </c>
      <c r="AF1057" t="str">
        <f>VLOOKUP(E:E,笔记匹配!A:N,6,FALSE)</f>
        <v>瘦肌肉腿必备&amp;筋膜枪按摩跟练教程</v>
      </c>
    </row>
    <row r="1058" spans="1:32">
      <c r="A1058" s="18" t="s">
        <v>153</v>
      </c>
      <c r="B1058" s="18" t="s">
        <v>1223</v>
      </c>
      <c r="C1058" s="19">
        <v>19607721</v>
      </c>
      <c r="D1058" s="18" t="s">
        <v>209</v>
      </c>
      <c r="E1058" s="18" t="s">
        <v>575</v>
      </c>
      <c r="F1058" s="18" t="s">
        <v>837</v>
      </c>
      <c r="G1058" s="19">
        <v>4314821</v>
      </c>
      <c r="H1058" s="18" t="s">
        <v>1225</v>
      </c>
      <c r="I1058" s="19">
        <v>3692290</v>
      </c>
      <c r="J1058" s="18" t="s">
        <v>1015</v>
      </c>
      <c r="K1058" s="19">
        <v>0</v>
      </c>
      <c r="L1058" s="19">
        <v>0</v>
      </c>
      <c r="M1058" s="19">
        <v>0</v>
      </c>
      <c r="N1058" s="20">
        <v>0</v>
      </c>
      <c r="O1058" s="19">
        <v>0</v>
      </c>
      <c r="P1058" s="19">
        <v>0</v>
      </c>
      <c r="Q1058" s="19">
        <v>0</v>
      </c>
      <c r="R1058" s="19">
        <v>0</v>
      </c>
      <c r="S1058" s="19">
        <v>0</v>
      </c>
      <c r="T1058" s="19">
        <v>0</v>
      </c>
      <c r="U1058" s="19">
        <v>0</v>
      </c>
      <c r="V1058" s="19">
        <v>0</v>
      </c>
      <c r="W1058" s="19">
        <v>0</v>
      </c>
      <c r="X1058" s="19">
        <v>0</v>
      </c>
      <c r="Y1058" s="20">
        <v>0</v>
      </c>
      <c r="Z1058" s="19">
        <v>0</v>
      </c>
      <c r="AA1058" s="19">
        <v>0</v>
      </c>
      <c r="AB1058" t="str">
        <f>VLOOKUP(E:E,笔记匹配!A:N,3,FALSE)</f>
        <v>跑酷莫承烽</v>
      </c>
      <c r="AC1058" t="str">
        <f>VLOOKUP(E:E,笔记匹配!A:N,2,FALSE)</f>
        <v>筋膜枪</v>
      </c>
      <c r="AD1058" t="str">
        <f>VLOOKUP(E:E,笔记匹配!A:N,4,FALSE)</f>
        <v>云麦筋膜枪pb2</v>
      </c>
      <c r="AE1058" t="str">
        <f>VLOOKUP(E:E,笔记匹配!A:N,14,FALSE)</f>
        <v>云麦筋膜枪pb2</v>
      </c>
      <c r="AF1058" t="str">
        <f>VLOOKUP(E:E,笔记匹配!A:N,6,FALSE)</f>
        <v>职业跑酷运动员|自用筋膜枪推荐</v>
      </c>
    </row>
    <row r="1059" spans="1:32">
      <c r="A1059" s="18" t="s">
        <v>153</v>
      </c>
      <c r="B1059" s="18" t="s">
        <v>1267</v>
      </c>
      <c r="C1059" s="19">
        <v>21360243</v>
      </c>
      <c r="D1059" s="18" t="s">
        <v>209</v>
      </c>
      <c r="E1059" s="18" t="s">
        <v>220</v>
      </c>
      <c r="F1059" s="18" t="s">
        <v>1268</v>
      </c>
      <c r="G1059" s="19">
        <v>5192303</v>
      </c>
      <c r="H1059" s="18" t="s">
        <v>1269</v>
      </c>
      <c r="I1059" s="19">
        <v>4379647</v>
      </c>
      <c r="J1059" s="18" t="s">
        <v>1015</v>
      </c>
      <c r="K1059" s="19">
        <v>0</v>
      </c>
      <c r="L1059" s="19">
        <v>0</v>
      </c>
      <c r="M1059" s="19">
        <v>0</v>
      </c>
      <c r="N1059" s="20">
        <v>0</v>
      </c>
      <c r="O1059" s="19">
        <v>0</v>
      </c>
      <c r="P1059" s="19">
        <v>0</v>
      </c>
      <c r="Q1059" s="19">
        <v>0</v>
      </c>
      <c r="R1059" s="19">
        <v>0</v>
      </c>
      <c r="S1059" s="19">
        <v>0</v>
      </c>
      <c r="T1059" s="19">
        <v>0</v>
      </c>
      <c r="U1059" s="19">
        <v>0</v>
      </c>
      <c r="V1059" s="19">
        <v>0</v>
      </c>
      <c r="W1059" s="19">
        <v>0</v>
      </c>
      <c r="X1059" s="19">
        <v>0</v>
      </c>
      <c r="Y1059" s="20">
        <v>0</v>
      </c>
      <c r="Z1059" s="19">
        <v>0</v>
      </c>
      <c r="AA1059" s="19">
        <v>0</v>
      </c>
      <c r="AB1059" t="str">
        <f>VLOOKUP(E:E,笔记匹配!A:N,3,FALSE)</f>
        <v>一颗西兰花fa</v>
      </c>
      <c r="AC1059" t="str">
        <f>VLOOKUP(E:E,笔记匹配!A:N,2,FALSE)</f>
        <v>筋膜枪</v>
      </c>
      <c r="AD1059" t="str">
        <f>VLOOKUP(E:E,笔记匹配!A:N,4,FALSE)</f>
        <v>云麦筋膜枪PB2</v>
      </c>
      <c r="AE1059" t="str">
        <f>VLOOKUP(E:E,笔记匹配!A:N,14,FALSE)</f>
        <v>云麦筋膜枪pb2</v>
      </c>
      <c r="AF1059" t="str">
        <f>VLOOKUP(E:E,笔记匹配!A:N,6,FALSE)</f>
        <v>有没有姐妹跟我一样被肌肉腿困扰了好久！</v>
      </c>
    </row>
    <row r="1060" spans="1:32">
      <c r="A1060" s="18" t="s">
        <v>153</v>
      </c>
      <c r="B1060" s="18" t="s">
        <v>1286</v>
      </c>
      <c r="C1060" s="19">
        <v>21600849</v>
      </c>
      <c r="D1060" s="18" t="s">
        <v>209</v>
      </c>
      <c r="E1060" s="18" t="s">
        <v>303</v>
      </c>
      <c r="F1060" s="18" t="s">
        <v>1288</v>
      </c>
      <c r="G1060" s="19">
        <v>5300358</v>
      </c>
      <c r="H1060" s="18" t="s">
        <v>1288</v>
      </c>
      <c r="I1060" s="19">
        <v>4462859</v>
      </c>
      <c r="J1060" s="18" t="s">
        <v>1015</v>
      </c>
      <c r="K1060" s="19">
        <v>255.9</v>
      </c>
      <c r="L1060" s="19">
        <v>18373</v>
      </c>
      <c r="M1060" s="19">
        <v>2400</v>
      </c>
      <c r="N1060" s="20">
        <v>0.1306</v>
      </c>
      <c r="O1060" s="19">
        <v>0.11</v>
      </c>
      <c r="P1060" s="19">
        <v>13.93</v>
      </c>
      <c r="Q1060" s="19">
        <v>72</v>
      </c>
      <c r="R1060" s="19">
        <v>1</v>
      </c>
      <c r="S1060" s="19">
        <v>88</v>
      </c>
      <c r="T1060" s="19">
        <v>9</v>
      </c>
      <c r="U1060" s="19">
        <v>4</v>
      </c>
      <c r="V1060" s="19">
        <v>174</v>
      </c>
      <c r="W1060" s="19">
        <v>1.47</v>
      </c>
      <c r="X1060" s="19">
        <v>0</v>
      </c>
      <c r="Y1060" s="20">
        <v>0</v>
      </c>
      <c r="Z1060" s="19">
        <v>1</v>
      </c>
      <c r="AA1060" s="19">
        <v>6</v>
      </c>
      <c r="AB1060" t="str">
        <f>VLOOKUP(E:E,笔记匹配!A:N,3,FALSE)</f>
        <v>橘子汽水</v>
      </c>
      <c r="AC1060" t="str">
        <f>VLOOKUP(E:E,笔记匹配!A:N,2,FALSE)</f>
        <v>体脂秤</v>
      </c>
      <c r="AD1060" t="str">
        <f>VLOOKUP(E:E,笔记匹配!A:N,4,FALSE)</f>
        <v>云麦体脂秤3mini</v>
      </c>
      <c r="AE1060" t="str">
        <f>VLOOKUP(E:E,笔记匹配!A:N,14,FALSE)</f>
        <v>云麦体脂秤3mini</v>
      </c>
      <c r="AF1060" t="str">
        <f>VLOOKUP(E:E,笔记匹配!A:N,6,FALSE)</f>
        <v>请一定要相信帕梅拉虐腹，效果是真的🉑❗</v>
      </c>
    </row>
    <row r="1061" spans="1:32">
      <c r="A1061" s="18" t="s">
        <v>153</v>
      </c>
      <c r="B1061" s="18" t="s">
        <v>1294</v>
      </c>
      <c r="C1061" s="19">
        <v>21747929</v>
      </c>
      <c r="D1061" s="18" t="s">
        <v>209</v>
      </c>
      <c r="E1061" s="18" t="s">
        <v>208</v>
      </c>
      <c r="F1061" s="18" t="s">
        <v>1295</v>
      </c>
      <c r="G1061" s="19">
        <v>5366393</v>
      </c>
      <c r="H1061" s="18" t="s">
        <v>1295</v>
      </c>
      <c r="I1061" s="19">
        <v>4512630</v>
      </c>
      <c r="J1061" s="18" t="s">
        <v>1015</v>
      </c>
      <c r="K1061" s="19">
        <v>1507.4</v>
      </c>
      <c r="L1061" s="19">
        <v>111529</v>
      </c>
      <c r="M1061" s="19">
        <v>4743</v>
      </c>
      <c r="N1061" s="20">
        <v>0.0425</v>
      </c>
      <c r="O1061" s="19">
        <v>0.32</v>
      </c>
      <c r="P1061" s="19">
        <v>13.52</v>
      </c>
      <c r="Q1061" s="19">
        <v>95</v>
      </c>
      <c r="R1061" s="19">
        <v>4</v>
      </c>
      <c r="S1061" s="19">
        <v>54</v>
      </c>
      <c r="T1061" s="19">
        <v>0</v>
      </c>
      <c r="U1061" s="19">
        <v>8</v>
      </c>
      <c r="V1061" s="19">
        <v>161</v>
      </c>
      <c r="W1061" s="19">
        <v>9.36</v>
      </c>
      <c r="X1061" s="19">
        <v>0</v>
      </c>
      <c r="Y1061" s="20">
        <v>0</v>
      </c>
      <c r="Z1061" s="19">
        <v>4</v>
      </c>
      <c r="AA1061" s="19">
        <v>1</v>
      </c>
      <c r="AB1061" t="str">
        <f>VLOOKUP(E:E,笔记匹配!A:N,3,FALSE)</f>
        <v>小羊羔崽子</v>
      </c>
      <c r="AC1061" t="str">
        <f>VLOOKUP(E:E,笔记匹配!A:N,2,FALSE)</f>
        <v>筋膜枪</v>
      </c>
      <c r="AD1061" t="str">
        <f>VLOOKUP(E:E,笔记匹配!A:N,4,FALSE)</f>
        <v>云麦筋膜枪PB2</v>
      </c>
      <c r="AE1061" t="str">
        <f>VLOOKUP(E:E,笔记匹配!A:N,14,FALSE)</f>
        <v>云麦筋膜枪pb2</v>
      </c>
      <c r="AF1061" t="str">
        <f>VLOOKUP(E:E,笔记匹配!A:N,6,FALSE)</f>
        <v>用了多年泡沫轴，才知道筋膜枪是真的香！！！</v>
      </c>
    </row>
    <row r="1062" spans="1:32">
      <c r="A1062" s="18" t="s">
        <v>153</v>
      </c>
      <c r="B1062" s="18" t="s">
        <v>1294</v>
      </c>
      <c r="C1062" s="19">
        <v>21747992</v>
      </c>
      <c r="D1062" s="18" t="s">
        <v>209</v>
      </c>
      <c r="E1062" s="18" t="s">
        <v>292</v>
      </c>
      <c r="F1062" s="18" t="s">
        <v>1296</v>
      </c>
      <c r="G1062" s="19">
        <v>5366424</v>
      </c>
      <c r="H1062" s="18" t="s">
        <v>1296</v>
      </c>
      <c r="I1062" s="19">
        <v>4512653</v>
      </c>
      <c r="J1062" s="18" t="s">
        <v>1015</v>
      </c>
      <c r="K1062" s="19">
        <v>851.07</v>
      </c>
      <c r="L1062" s="19">
        <v>71451</v>
      </c>
      <c r="M1062" s="19">
        <v>5018</v>
      </c>
      <c r="N1062" s="20">
        <v>0.0702</v>
      </c>
      <c r="O1062" s="19">
        <v>0.17</v>
      </c>
      <c r="P1062" s="19">
        <v>11.91</v>
      </c>
      <c r="Q1062" s="19">
        <v>456</v>
      </c>
      <c r="R1062" s="19">
        <v>1</v>
      </c>
      <c r="S1062" s="19">
        <v>631</v>
      </c>
      <c r="T1062" s="19">
        <v>39</v>
      </c>
      <c r="U1062" s="19">
        <v>24</v>
      </c>
      <c r="V1062" s="19">
        <v>1151</v>
      </c>
      <c r="W1062" s="19">
        <v>0.74</v>
      </c>
      <c r="X1062" s="19">
        <v>0</v>
      </c>
      <c r="Y1062" s="20">
        <v>0</v>
      </c>
      <c r="Z1062" s="19">
        <v>5</v>
      </c>
      <c r="AA1062" s="19">
        <v>28</v>
      </c>
      <c r="AB1062" t="str">
        <f>VLOOKUP(E:E,笔记匹配!A:N,3,FALSE)</f>
        <v>形体矫正小李</v>
      </c>
      <c r="AC1062" t="str">
        <f>VLOOKUP(E:E,笔记匹配!A:N,2,FALSE)</f>
        <v>筋膜枪</v>
      </c>
      <c r="AD1062" t="str">
        <f>VLOOKUP(E:E,笔记匹配!A:N,4,FALSE)</f>
        <v>云麦筋膜枪PB2</v>
      </c>
      <c r="AE1062" t="str">
        <f>VLOOKUP(E:E,笔记匹配!A:N,14,FALSE)</f>
        <v>云麦筋膜枪pb2</v>
      </c>
      <c r="AF1062" t="str">
        <f>VLOOKUP(E:E,笔记匹配!A:N,6,FALSE)</f>
        <v>大腿内侧赘肉消失术‼️练出细长漫画腿全靠它</v>
      </c>
    </row>
    <row r="1063" spans="1:32">
      <c r="A1063" s="18" t="s">
        <v>153</v>
      </c>
      <c r="B1063" s="18" t="s">
        <v>1297</v>
      </c>
      <c r="C1063" s="19">
        <v>21879174</v>
      </c>
      <c r="D1063" s="18" t="s">
        <v>196</v>
      </c>
      <c r="E1063" s="18" t="s">
        <v>220</v>
      </c>
      <c r="F1063" s="18" t="s">
        <v>1298</v>
      </c>
      <c r="G1063" s="19">
        <v>5428268</v>
      </c>
      <c r="H1063" s="18" t="s">
        <v>1299</v>
      </c>
      <c r="I1063" s="19">
        <v>4559088</v>
      </c>
      <c r="J1063" s="18" t="s">
        <v>1015</v>
      </c>
      <c r="K1063" s="19">
        <v>287.99</v>
      </c>
      <c r="L1063" s="19">
        <v>5846</v>
      </c>
      <c r="M1063" s="19">
        <v>651</v>
      </c>
      <c r="N1063" s="20">
        <v>0.1114</v>
      </c>
      <c r="O1063" s="19">
        <v>0.44</v>
      </c>
      <c r="P1063" s="19">
        <v>49.26</v>
      </c>
      <c r="Q1063" s="19">
        <v>3</v>
      </c>
      <c r="R1063" s="19">
        <v>0</v>
      </c>
      <c r="S1063" s="19">
        <v>0</v>
      </c>
      <c r="T1063" s="19">
        <v>0</v>
      </c>
      <c r="U1063" s="19">
        <v>0</v>
      </c>
      <c r="V1063" s="19">
        <v>3</v>
      </c>
      <c r="W1063" s="19">
        <v>96</v>
      </c>
      <c r="X1063" s="19">
        <v>0</v>
      </c>
      <c r="Y1063" s="20">
        <v>0</v>
      </c>
      <c r="Z1063" s="19">
        <v>1</v>
      </c>
      <c r="AA1063" s="19">
        <v>0</v>
      </c>
      <c r="AB1063" t="str">
        <f>VLOOKUP(E:E,笔记匹配!A:N,3,FALSE)</f>
        <v>一颗西兰花fa</v>
      </c>
      <c r="AC1063" t="str">
        <f>VLOOKUP(E:E,笔记匹配!A:N,2,FALSE)</f>
        <v>筋膜枪</v>
      </c>
      <c r="AD1063" t="str">
        <f>VLOOKUP(E:E,笔记匹配!A:N,4,FALSE)</f>
        <v>云麦筋膜枪PB2</v>
      </c>
      <c r="AE1063" t="str">
        <f>VLOOKUP(E:E,笔记匹配!A:N,14,FALSE)</f>
        <v>云麦筋膜枪pb2</v>
      </c>
      <c r="AF1063" t="str">
        <f>VLOOKUP(E:E,笔记匹配!A:N,6,FALSE)</f>
        <v>有没有姐妹跟我一样被肌肉腿困扰了好久！</v>
      </c>
    </row>
    <row r="1064" spans="1:32">
      <c r="A1064" s="18" t="s">
        <v>153</v>
      </c>
      <c r="B1064" s="18" t="s">
        <v>1300</v>
      </c>
      <c r="C1064" s="19">
        <v>21879909</v>
      </c>
      <c r="D1064" s="18" t="s">
        <v>196</v>
      </c>
      <c r="E1064" s="18" t="s">
        <v>220</v>
      </c>
      <c r="F1064" s="18" t="s">
        <v>1301</v>
      </c>
      <c r="G1064" s="19">
        <v>5428627</v>
      </c>
      <c r="H1064" s="18" t="s">
        <v>1302</v>
      </c>
      <c r="I1064" s="19">
        <v>4559489</v>
      </c>
      <c r="J1064" s="18" t="s">
        <v>1015</v>
      </c>
      <c r="K1064" s="19">
        <v>531.69</v>
      </c>
      <c r="L1064" s="19">
        <v>11976</v>
      </c>
      <c r="M1064" s="19">
        <v>700</v>
      </c>
      <c r="N1064" s="20">
        <v>0.0585</v>
      </c>
      <c r="O1064" s="19">
        <v>0.76</v>
      </c>
      <c r="P1064" s="19">
        <v>44.4</v>
      </c>
      <c r="Q1064" s="19">
        <v>16</v>
      </c>
      <c r="R1064" s="19">
        <v>1</v>
      </c>
      <c r="S1064" s="19">
        <v>3</v>
      </c>
      <c r="T1064" s="19">
        <v>0</v>
      </c>
      <c r="U1064" s="19">
        <v>0</v>
      </c>
      <c r="V1064" s="19">
        <v>20</v>
      </c>
      <c r="W1064" s="19">
        <v>26.58</v>
      </c>
      <c r="X1064" s="19">
        <v>0</v>
      </c>
      <c r="Y1064" s="20">
        <v>0</v>
      </c>
      <c r="Z1064" s="19">
        <v>1</v>
      </c>
      <c r="AA1064" s="19">
        <v>2</v>
      </c>
      <c r="AB1064" t="str">
        <f>VLOOKUP(E:E,笔记匹配!A:N,3,FALSE)</f>
        <v>一颗西兰花fa</v>
      </c>
      <c r="AC1064" t="str">
        <f>VLOOKUP(E:E,笔记匹配!A:N,2,FALSE)</f>
        <v>筋膜枪</v>
      </c>
      <c r="AD1064" t="str">
        <f>VLOOKUP(E:E,笔记匹配!A:N,4,FALSE)</f>
        <v>云麦筋膜枪PB2</v>
      </c>
      <c r="AE1064" t="str">
        <f>VLOOKUP(E:E,笔记匹配!A:N,14,FALSE)</f>
        <v>云麦筋膜枪pb2</v>
      </c>
      <c r="AF1064" t="str">
        <f>VLOOKUP(E:E,笔记匹配!A:N,6,FALSE)</f>
        <v>有没有姐妹跟我一样被肌肉腿困扰了好久！</v>
      </c>
    </row>
    <row r="1065" spans="1:32">
      <c r="A1065" s="18" t="s">
        <v>153</v>
      </c>
      <c r="B1065" s="18" t="s">
        <v>1303</v>
      </c>
      <c r="C1065" s="19">
        <v>21880743</v>
      </c>
      <c r="D1065" s="18" t="s">
        <v>209</v>
      </c>
      <c r="E1065" s="18" t="s">
        <v>234</v>
      </c>
      <c r="F1065" s="18" t="s">
        <v>1304</v>
      </c>
      <c r="G1065" s="19">
        <v>5428999</v>
      </c>
      <c r="H1065" s="18" t="s">
        <v>1304</v>
      </c>
      <c r="I1065" s="19">
        <v>4559759</v>
      </c>
      <c r="J1065" s="18" t="s">
        <v>1015</v>
      </c>
      <c r="K1065" s="19">
        <v>404.6</v>
      </c>
      <c r="L1065" s="19">
        <v>64212</v>
      </c>
      <c r="M1065" s="19">
        <v>3243</v>
      </c>
      <c r="N1065" s="20">
        <v>0.0505</v>
      </c>
      <c r="O1065" s="19">
        <v>0.12</v>
      </c>
      <c r="P1065" s="19">
        <v>6.3</v>
      </c>
      <c r="Q1065" s="19">
        <v>44</v>
      </c>
      <c r="R1065" s="19">
        <v>2</v>
      </c>
      <c r="S1065" s="19">
        <v>5</v>
      </c>
      <c r="T1065" s="19">
        <v>1</v>
      </c>
      <c r="U1065" s="19">
        <v>0</v>
      </c>
      <c r="V1065" s="19">
        <v>52</v>
      </c>
      <c r="W1065" s="19">
        <v>7.78</v>
      </c>
      <c r="X1065" s="19">
        <v>0</v>
      </c>
      <c r="Y1065" s="20">
        <v>0</v>
      </c>
      <c r="Z1065" s="19">
        <v>2</v>
      </c>
      <c r="AA1065" s="19">
        <v>0</v>
      </c>
      <c r="AB1065" t="str">
        <f>VLOOKUP(E:E,笔记匹配!A:N,3,FALSE)</f>
        <v>pp</v>
      </c>
      <c r="AC1065" t="str">
        <f>VLOOKUP(E:E,笔记匹配!A:N,2,FALSE)</f>
        <v>体脂秤</v>
      </c>
      <c r="AD1065" t="str">
        <f>VLOOKUP(E:E,笔记匹配!A:N,4,FALSE)</f>
        <v>云麦体脂秤3mini</v>
      </c>
      <c r="AE1065" t="str">
        <f>VLOOKUP(E:E,笔记匹配!A:N,14,FALSE)</f>
        <v>云麦体脂秤3mini</v>
      </c>
      <c r="AF1065" t="str">
        <f>VLOOKUP(E:E,笔记匹配!A:N,6,FALSE)</f>
        <v>110到88 一些减肥小建议｜如何正确运动</v>
      </c>
    </row>
    <row r="1066" spans="1:32">
      <c r="A1066" s="18" t="s">
        <v>153</v>
      </c>
      <c r="B1066" s="18" t="s">
        <v>1305</v>
      </c>
      <c r="C1066" s="19">
        <v>21880771</v>
      </c>
      <c r="D1066" s="18" t="s">
        <v>196</v>
      </c>
      <c r="E1066" s="18" t="s">
        <v>220</v>
      </c>
      <c r="F1066" s="18" t="s">
        <v>1306</v>
      </c>
      <c r="G1066" s="19">
        <v>5429032</v>
      </c>
      <c r="H1066" s="18" t="s">
        <v>1307</v>
      </c>
      <c r="I1066" s="19">
        <v>4559792</v>
      </c>
      <c r="J1066" s="18" t="s">
        <v>1015</v>
      </c>
      <c r="K1066" s="19">
        <v>0</v>
      </c>
      <c r="L1066" s="19">
        <v>3</v>
      </c>
      <c r="M1066" s="19">
        <v>0</v>
      </c>
      <c r="N1066" s="20">
        <v>0</v>
      </c>
      <c r="O1066" s="19">
        <v>0</v>
      </c>
      <c r="P1066" s="19">
        <v>0</v>
      </c>
      <c r="Q1066" s="19">
        <v>0</v>
      </c>
      <c r="R1066" s="19">
        <v>0</v>
      </c>
      <c r="S1066" s="19">
        <v>0</v>
      </c>
      <c r="T1066" s="19">
        <v>0</v>
      </c>
      <c r="U1066" s="19">
        <v>0</v>
      </c>
      <c r="V1066" s="19">
        <v>0</v>
      </c>
      <c r="W1066" s="19">
        <v>0</v>
      </c>
      <c r="X1066" s="19">
        <v>0</v>
      </c>
      <c r="Y1066" s="20">
        <v>0</v>
      </c>
      <c r="Z1066" s="19">
        <v>0</v>
      </c>
      <c r="AA1066" s="19">
        <v>0</v>
      </c>
      <c r="AB1066" t="str">
        <f>VLOOKUP(E:E,笔记匹配!A:N,3,FALSE)</f>
        <v>一颗西兰花fa</v>
      </c>
      <c r="AC1066" t="str">
        <f>VLOOKUP(E:E,笔记匹配!A:N,2,FALSE)</f>
        <v>筋膜枪</v>
      </c>
      <c r="AD1066" t="str">
        <f>VLOOKUP(E:E,笔记匹配!A:N,4,FALSE)</f>
        <v>云麦筋膜枪PB2</v>
      </c>
      <c r="AE1066" t="str">
        <f>VLOOKUP(E:E,笔记匹配!A:N,14,FALSE)</f>
        <v>云麦筋膜枪pb2</v>
      </c>
      <c r="AF1066" t="str">
        <f>VLOOKUP(E:E,笔记匹配!A:N,6,FALSE)</f>
        <v>有没有姐妹跟我一样被肌肉腿困扰了好久！</v>
      </c>
    </row>
    <row r="1067" spans="1:32">
      <c r="A1067" s="18" t="s">
        <v>153</v>
      </c>
      <c r="B1067" s="18" t="s">
        <v>1297</v>
      </c>
      <c r="C1067" s="19">
        <v>21881635</v>
      </c>
      <c r="D1067" s="18" t="s">
        <v>196</v>
      </c>
      <c r="E1067" s="18" t="s">
        <v>234</v>
      </c>
      <c r="F1067" s="18" t="s">
        <v>1306</v>
      </c>
      <c r="G1067" s="19">
        <v>5429032</v>
      </c>
      <c r="H1067" s="18" t="s">
        <v>1307</v>
      </c>
      <c r="I1067" s="19">
        <v>4559792</v>
      </c>
      <c r="J1067" s="18" t="s">
        <v>1015</v>
      </c>
      <c r="K1067" s="19">
        <v>0.15</v>
      </c>
      <c r="L1067" s="19">
        <v>39</v>
      </c>
      <c r="M1067" s="19">
        <v>1</v>
      </c>
      <c r="N1067" s="20">
        <v>0.0256</v>
      </c>
      <c r="O1067" s="19">
        <v>0.15</v>
      </c>
      <c r="P1067" s="19">
        <v>3.85</v>
      </c>
      <c r="Q1067" s="19">
        <v>0</v>
      </c>
      <c r="R1067" s="19">
        <v>0</v>
      </c>
      <c r="S1067" s="19">
        <v>0</v>
      </c>
      <c r="T1067" s="19">
        <v>0</v>
      </c>
      <c r="U1067" s="19">
        <v>0</v>
      </c>
      <c r="V1067" s="19">
        <v>0</v>
      </c>
      <c r="W1067" s="19">
        <v>0</v>
      </c>
      <c r="X1067" s="19">
        <v>0</v>
      </c>
      <c r="Y1067" s="20">
        <v>0</v>
      </c>
      <c r="Z1067" s="19">
        <v>0</v>
      </c>
      <c r="AA1067" s="19">
        <v>0</v>
      </c>
      <c r="AB1067" t="str">
        <f>VLOOKUP(E:E,笔记匹配!A:N,3,FALSE)</f>
        <v>pp</v>
      </c>
      <c r="AC1067" t="str">
        <f>VLOOKUP(E:E,笔记匹配!A:N,2,FALSE)</f>
        <v>体脂秤</v>
      </c>
      <c r="AD1067" t="str">
        <f>VLOOKUP(E:E,笔记匹配!A:N,4,FALSE)</f>
        <v>云麦体脂秤3mini</v>
      </c>
      <c r="AE1067" t="str">
        <f>VLOOKUP(E:E,笔记匹配!A:N,14,FALSE)</f>
        <v>云麦体脂秤3mini</v>
      </c>
      <c r="AF1067" t="str">
        <f>VLOOKUP(E:E,笔记匹配!A:N,6,FALSE)</f>
        <v>110到88 一些减肥小建议｜如何正确运动</v>
      </c>
    </row>
    <row r="1068" spans="1:32">
      <c r="A1068" s="18" t="s">
        <v>153</v>
      </c>
      <c r="B1068" s="18" t="s">
        <v>1308</v>
      </c>
      <c r="C1068" s="19">
        <v>21881978</v>
      </c>
      <c r="D1068" s="18" t="s">
        <v>196</v>
      </c>
      <c r="E1068" s="18" t="s">
        <v>234</v>
      </c>
      <c r="F1068" s="18" t="s">
        <v>1309</v>
      </c>
      <c r="G1068" s="19">
        <v>5429663</v>
      </c>
      <c r="H1068" s="18" t="s">
        <v>1310</v>
      </c>
      <c r="I1068" s="19">
        <v>4560362</v>
      </c>
      <c r="J1068" s="18" t="s">
        <v>1015</v>
      </c>
      <c r="K1068" s="19">
        <v>126.27</v>
      </c>
      <c r="L1068" s="19">
        <v>3614</v>
      </c>
      <c r="M1068" s="19">
        <v>156</v>
      </c>
      <c r="N1068" s="20">
        <v>0.0432</v>
      </c>
      <c r="O1068" s="19">
        <v>0.81</v>
      </c>
      <c r="P1068" s="19">
        <v>34.94</v>
      </c>
      <c r="Q1068" s="19">
        <v>1</v>
      </c>
      <c r="R1068" s="19">
        <v>0</v>
      </c>
      <c r="S1068" s="19">
        <v>0</v>
      </c>
      <c r="T1068" s="19">
        <v>0</v>
      </c>
      <c r="U1068" s="19">
        <v>0</v>
      </c>
      <c r="V1068" s="19">
        <v>1</v>
      </c>
      <c r="W1068" s="19">
        <v>126.27</v>
      </c>
      <c r="X1068" s="19">
        <v>0</v>
      </c>
      <c r="Y1068" s="20">
        <v>0</v>
      </c>
      <c r="Z1068" s="19">
        <v>0</v>
      </c>
      <c r="AA1068" s="19">
        <v>0</v>
      </c>
      <c r="AB1068" t="str">
        <f>VLOOKUP(E:E,笔记匹配!A:N,3,FALSE)</f>
        <v>pp</v>
      </c>
      <c r="AC1068" t="str">
        <f>VLOOKUP(E:E,笔记匹配!A:N,2,FALSE)</f>
        <v>体脂秤</v>
      </c>
      <c r="AD1068" t="str">
        <f>VLOOKUP(E:E,笔记匹配!A:N,4,FALSE)</f>
        <v>云麦体脂秤3mini</v>
      </c>
      <c r="AE1068" t="str">
        <f>VLOOKUP(E:E,笔记匹配!A:N,14,FALSE)</f>
        <v>云麦体脂秤3mini</v>
      </c>
      <c r="AF1068" t="str">
        <f>VLOOKUP(E:E,笔记匹配!A:N,6,FALSE)</f>
        <v>110到88 一些减肥小建议｜如何正确运动</v>
      </c>
    </row>
    <row r="1069" spans="1:32">
      <c r="A1069" s="18" t="s">
        <v>154</v>
      </c>
      <c r="B1069" s="18" t="s">
        <v>1255</v>
      </c>
      <c r="C1069" s="19">
        <v>20485013</v>
      </c>
      <c r="D1069" s="18" t="s">
        <v>196</v>
      </c>
      <c r="E1069" s="18" t="s">
        <v>296</v>
      </c>
      <c r="F1069" s="18" t="s">
        <v>1256</v>
      </c>
      <c r="G1069" s="19">
        <v>4743757</v>
      </c>
      <c r="H1069" s="18" t="s">
        <v>1256</v>
      </c>
      <c r="I1069" s="19">
        <v>4046764</v>
      </c>
      <c r="J1069" s="18" t="s">
        <v>1015</v>
      </c>
      <c r="K1069" s="19">
        <v>0</v>
      </c>
      <c r="L1069" s="19">
        <v>0</v>
      </c>
      <c r="M1069" s="19">
        <v>0</v>
      </c>
      <c r="N1069" s="20">
        <v>0</v>
      </c>
      <c r="O1069" s="19">
        <v>0</v>
      </c>
      <c r="P1069" s="19">
        <v>0</v>
      </c>
      <c r="Q1069" s="19">
        <v>0</v>
      </c>
      <c r="R1069" s="19">
        <v>0</v>
      </c>
      <c r="S1069" s="19">
        <v>0</v>
      </c>
      <c r="T1069" s="19">
        <v>0</v>
      </c>
      <c r="U1069" s="19">
        <v>0</v>
      </c>
      <c r="V1069" s="19">
        <v>0</v>
      </c>
      <c r="W1069" s="19">
        <v>0</v>
      </c>
      <c r="X1069" s="19">
        <v>0</v>
      </c>
      <c r="Y1069" s="20">
        <v>0</v>
      </c>
      <c r="Z1069" s="19">
        <v>0</v>
      </c>
      <c r="AA1069" s="19">
        <v>0</v>
      </c>
      <c r="AB1069" t="str">
        <f>VLOOKUP(E:E,笔记匹配!A:N,3,FALSE)</f>
        <v>元气芥末酱</v>
      </c>
      <c r="AC1069" t="str">
        <f>VLOOKUP(E:E,笔记匹配!A:N,2,FALSE)</f>
        <v>筋膜枪</v>
      </c>
      <c r="AD1069" t="str">
        <f>VLOOKUP(E:E,笔记匹配!A:N,4,FALSE)</f>
        <v>云麦筋膜枪PB2</v>
      </c>
      <c r="AE1069" t="str">
        <f>VLOOKUP(E:E,笔记匹配!A:N,14,FALSE)</f>
        <v>云麦筋膜枪pb2</v>
      </c>
      <c r="AF1069" t="str">
        <f>VLOOKUP(E:E,笔记匹配!A:N,6,FALSE)</f>
        <v>小腿粗的姐妹信我！肌肉腿就要这样按！</v>
      </c>
    </row>
    <row r="1070" spans="1:32">
      <c r="A1070" s="18" t="s">
        <v>154</v>
      </c>
      <c r="B1070" s="18" t="s">
        <v>1286</v>
      </c>
      <c r="C1070" s="19">
        <v>21600849</v>
      </c>
      <c r="D1070" s="18" t="s">
        <v>209</v>
      </c>
      <c r="E1070" s="18" t="s">
        <v>303</v>
      </c>
      <c r="F1070" s="18" t="s">
        <v>1288</v>
      </c>
      <c r="G1070" s="19">
        <v>5300358</v>
      </c>
      <c r="H1070" s="18" t="s">
        <v>1288</v>
      </c>
      <c r="I1070" s="19">
        <v>4462859</v>
      </c>
      <c r="J1070" s="18" t="s">
        <v>1015</v>
      </c>
      <c r="K1070" s="19">
        <v>1.93</v>
      </c>
      <c r="L1070" s="19">
        <v>266</v>
      </c>
      <c r="M1070" s="19">
        <v>27</v>
      </c>
      <c r="N1070" s="20">
        <v>0.1015</v>
      </c>
      <c r="O1070" s="19">
        <v>0.07</v>
      </c>
      <c r="P1070" s="19">
        <v>7.26</v>
      </c>
      <c r="Q1070" s="19">
        <v>0</v>
      </c>
      <c r="R1070" s="19">
        <v>0</v>
      </c>
      <c r="S1070" s="19">
        <v>1</v>
      </c>
      <c r="T1070" s="19">
        <v>1</v>
      </c>
      <c r="U1070" s="19">
        <v>0</v>
      </c>
      <c r="V1070" s="19">
        <v>2</v>
      </c>
      <c r="W1070" s="19">
        <v>0.96</v>
      </c>
      <c r="X1070" s="19">
        <v>0</v>
      </c>
      <c r="Y1070" s="20">
        <v>0</v>
      </c>
      <c r="Z1070" s="19">
        <v>1</v>
      </c>
      <c r="AA1070" s="19">
        <v>0</v>
      </c>
      <c r="AB1070" t="str">
        <f>VLOOKUP(E:E,笔记匹配!A:N,3,FALSE)</f>
        <v>橘子汽水</v>
      </c>
      <c r="AC1070" t="str">
        <f>VLOOKUP(E:E,笔记匹配!A:N,2,FALSE)</f>
        <v>体脂秤</v>
      </c>
      <c r="AD1070" t="str">
        <f>VLOOKUP(E:E,笔记匹配!A:N,4,FALSE)</f>
        <v>云麦体脂秤3mini</v>
      </c>
      <c r="AE1070" t="str">
        <f>VLOOKUP(E:E,笔记匹配!A:N,14,FALSE)</f>
        <v>云麦体脂秤3mini</v>
      </c>
      <c r="AF1070" t="str">
        <f>VLOOKUP(E:E,笔记匹配!A:N,6,FALSE)</f>
        <v>请一定要相信帕梅拉虐腹，效果是真的🉑❗</v>
      </c>
    </row>
    <row r="1071" spans="1:32">
      <c r="A1071" s="18" t="s">
        <v>154</v>
      </c>
      <c r="B1071" s="18" t="s">
        <v>1294</v>
      </c>
      <c r="C1071" s="19">
        <v>21747929</v>
      </c>
      <c r="D1071" s="18" t="s">
        <v>209</v>
      </c>
      <c r="E1071" s="18" t="s">
        <v>208</v>
      </c>
      <c r="F1071" s="18" t="s">
        <v>1295</v>
      </c>
      <c r="G1071" s="19">
        <v>5366393</v>
      </c>
      <c r="H1071" s="18" t="s">
        <v>1295</v>
      </c>
      <c r="I1071" s="19">
        <v>4512630</v>
      </c>
      <c r="J1071" s="18" t="s">
        <v>1015</v>
      </c>
      <c r="K1071" s="19">
        <v>1619.13</v>
      </c>
      <c r="L1071" s="19">
        <v>94150</v>
      </c>
      <c r="M1071" s="19">
        <v>4345</v>
      </c>
      <c r="N1071" s="20">
        <v>0.0461</v>
      </c>
      <c r="O1071" s="19">
        <v>0.37</v>
      </c>
      <c r="P1071" s="19">
        <v>17.2</v>
      </c>
      <c r="Q1071" s="19">
        <v>108</v>
      </c>
      <c r="R1071" s="19">
        <v>2</v>
      </c>
      <c r="S1071" s="19">
        <v>50</v>
      </c>
      <c r="T1071" s="19">
        <v>2</v>
      </c>
      <c r="U1071" s="19">
        <v>2</v>
      </c>
      <c r="V1071" s="19">
        <v>164</v>
      </c>
      <c r="W1071" s="19">
        <v>9.87</v>
      </c>
      <c r="X1071" s="19">
        <v>0</v>
      </c>
      <c r="Y1071" s="20">
        <v>0</v>
      </c>
      <c r="Z1071" s="19">
        <v>4</v>
      </c>
      <c r="AA1071" s="19">
        <v>2</v>
      </c>
      <c r="AB1071" t="str">
        <f>VLOOKUP(E:E,笔记匹配!A:N,3,FALSE)</f>
        <v>小羊羔崽子</v>
      </c>
      <c r="AC1071" t="str">
        <f>VLOOKUP(E:E,笔记匹配!A:N,2,FALSE)</f>
        <v>筋膜枪</v>
      </c>
      <c r="AD1071" t="str">
        <f>VLOOKUP(E:E,笔记匹配!A:N,4,FALSE)</f>
        <v>云麦筋膜枪PB2</v>
      </c>
      <c r="AE1071" t="str">
        <f>VLOOKUP(E:E,笔记匹配!A:N,14,FALSE)</f>
        <v>云麦筋膜枪pb2</v>
      </c>
      <c r="AF1071" t="str">
        <f>VLOOKUP(E:E,笔记匹配!A:N,6,FALSE)</f>
        <v>用了多年泡沫轴，才知道筋膜枪是真的香！！！</v>
      </c>
    </row>
    <row r="1072" spans="1:32">
      <c r="A1072" s="18" t="s">
        <v>154</v>
      </c>
      <c r="B1072" s="18" t="s">
        <v>1294</v>
      </c>
      <c r="C1072" s="19">
        <v>21747992</v>
      </c>
      <c r="D1072" s="18" t="s">
        <v>209</v>
      </c>
      <c r="E1072" s="18" t="s">
        <v>292</v>
      </c>
      <c r="F1072" s="18" t="s">
        <v>1296</v>
      </c>
      <c r="G1072" s="19">
        <v>5366424</v>
      </c>
      <c r="H1072" s="18" t="s">
        <v>1296</v>
      </c>
      <c r="I1072" s="19">
        <v>4512653</v>
      </c>
      <c r="J1072" s="18" t="s">
        <v>1015</v>
      </c>
      <c r="K1072" s="19">
        <v>9.33</v>
      </c>
      <c r="L1072" s="19">
        <v>960</v>
      </c>
      <c r="M1072" s="19">
        <v>79</v>
      </c>
      <c r="N1072" s="20">
        <v>0.0823</v>
      </c>
      <c r="O1072" s="19">
        <v>0.12</v>
      </c>
      <c r="P1072" s="19">
        <v>9.72</v>
      </c>
      <c r="Q1072" s="19">
        <v>7</v>
      </c>
      <c r="R1072" s="19">
        <v>0</v>
      </c>
      <c r="S1072" s="19">
        <v>11</v>
      </c>
      <c r="T1072" s="19">
        <v>1</v>
      </c>
      <c r="U1072" s="19">
        <v>0</v>
      </c>
      <c r="V1072" s="19">
        <v>19</v>
      </c>
      <c r="W1072" s="19">
        <v>0.49</v>
      </c>
      <c r="X1072" s="19">
        <v>0</v>
      </c>
      <c r="Y1072" s="20">
        <v>0</v>
      </c>
      <c r="Z1072" s="19">
        <v>0</v>
      </c>
      <c r="AA1072" s="19">
        <v>0</v>
      </c>
      <c r="AB1072" t="str">
        <f>VLOOKUP(E:E,笔记匹配!A:N,3,FALSE)</f>
        <v>形体矫正小李</v>
      </c>
      <c r="AC1072" t="str">
        <f>VLOOKUP(E:E,笔记匹配!A:N,2,FALSE)</f>
        <v>筋膜枪</v>
      </c>
      <c r="AD1072" t="str">
        <f>VLOOKUP(E:E,笔记匹配!A:N,4,FALSE)</f>
        <v>云麦筋膜枪PB2</v>
      </c>
      <c r="AE1072" t="str">
        <f>VLOOKUP(E:E,笔记匹配!A:N,14,FALSE)</f>
        <v>云麦筋膜枪pb2</v>
      </c>
      <c r="AF1072" t="str">
        <f>VLOOKUP(E:E,笔记匹配!A:N,6,FALSE)</f>
        <v>大腿内侧赘肉消失术‼️练出细长漫画腿全靠它</v>
      </c>
    </row>
    <row r="1073" spans="1:32">
      <c r="A1073" s="18" t="s">
        <v>154</v>
      </c>
      <c r="B1073" s="18" t="s">
        <v>1297</v>
      </c>
      <c r="C1073" s="19">
        <v>21879174</v>
      </c>
      <c r="D1073" s="18" t="s">
        <v>196</v>
      </c>
      <c r="E1073" s="18" t="s">
        <v>220</v>
      </c>
      <c r="F1073" s="18" t="s">
        <v>1298</v>
      </c>
      <c r="G1073" s="19">
        <v>5428268</v>
      </c>
      <c r="H1073" s="18" t="s">
        <v>1299</v>
      </c>
      <c r="I1073" s="19">
        <v>4559088</v>
      </c>
      <c r="J1073" s="18" t="s">
        <v>1015</v>
      </c>
      <c r="K1073" s="19">
        <v>308.16</v>
      </c>
      <c r="L1073" s="19">
        <v>9742</v>
      </c>
      <c r="M1073" s="19">
        <v>681</v>
      </c>
      <c r="N1073" s="20">
        <v>0.0699</v>
      </c>
      <c r="O1073" s="19">
        <v>0.45</v>
      </c>
      <c r="P1073" s="19">
        <v>31.63</v>
      </c>
      <c r="Q1073" s="19">
        <v>9</v>
      </c>
      <c r="R1073" s="19">
        <v>0</v>
      </c>
      <c r="S1073" s="19">
        <v>1</v>
      </c>
      <c r="T1073" s="19">
        <v>0</v>
      </c>
      <c r="U1073" s="19">
        <v>0</v>
      </c>
      <c r="V1073" s="19">
        <v>10</v>
      </c>
      <c r="W1073" s="19">
        <v>30.82</v>
      </c>
      <c r="X1073" s="19">
        <v>0</v>
      </c>
      <c r="Y1073" s="20">
        <v>0</v>
      </c>
      <c r="Z1073" s="19">
        <v>1</v>
      </c>
      <c r="AA1073" s="19">
        <v>1</v>
      </c>
      <c r="AB1073" t="str">
        <f>VLOOKUP(E:E,笔记匹配!A:N,3,FALSE)</f>
        <v>一颗西兰花fa</v>
      </c>
      <c r="AC1073" t="str">
        <f>VLOOKUP(E:E,笔记匹配!A:N,2,FALSE)</f>
        <v>筋膜枪</v>
      </c>
      <c r="AD1073" t="str">
        <f>VLOOKUP(E:E,笔记匹配!A:N,4,FALSE)</f>
        <v>云麦筋膜枪PB2</v>
      </c>
      <c r="AE1073" t="str">
        <f>VLOOKUP(E:E,笔记匹配!A:N,14,FALSE)</f>
        <v>云麦筋膜枪pb2</v>
      </c>
      <c r="AF1073" t="str">
        <f>VLOOKUP(E:E,笔记匹配!A:N,6,FALSE)</f>
        <v>有没有姐妹跟我一样被肌肉腿困扰了好久！</v>
      </c>
    </row>
    <row r="1074" spans="1:32">
      <c r="A1074" s="18" t="s">
        <v>154</v>
      </c>
      <c r="B1074" s="18" t="s">
        <v>1300</v>
      </c>
      <c r="C1074" s="19">
        <v>21879909</v>
      </c>
      <c r="D1074" s="18" t="s">
        <v>196</v>
      </c>
      <c r="E1074" s="18" t="s">
        <v>220</v>
      </c>
      <c r="F1074" s="18" t="s">
        <v>1301</v>
      </c>
      <c r="G1074" s="19">
        <v>5428627</v>
      </c>
      <c r="H1074" s="18" t="s">
        <v>1302</v>
      </c>
      <c r="I1074" s="19">
        <v>4559489</v>
      </c>
      <c r="J1074" s="18" t="s">
        <v>1015</v>
      </c>
      <c r="K1074" s="19">
        <v>305.83</v>
      </c>
      <c r="L1074" s="19">
        <v>4397</v>
      </c>
      <c r="M1074" s="19">
        <v>362</v>
      </c>
      <c r="N1074" s="20">
        <v>0.0823</v>
      </c>
      <c r="O1074" s="19">
        <v>0.84</v>
      </c>
      <c r="P1074" s="19">
        <v>69.55</v>
      </c>
      <c r="Q1074" s="19">
        <v>8</v>
      </c>
      <c r="R1074" s="19">
        <v>0</v>
      </c>
      <c r="S1074" s="19">
        <v>2</v>
      </c>
      <c r="T1074" s="19">
        <v>0</v>
      </c>
      <c r="U1074" s="19">
        <v>0</v>
      </c>
      <c r="V1074" s="19">
        <v>10</v>
      </c>
      <c r="W1074" s="19">
        <v>30.58</v>
      </c>
      <c r="X1074" s="19">
        <v>0</v>
      </c>
      <c r="Y1074" s="20">
        <v>0</v>
      </c>
      <c r="Z1074" s="19">
        <v>0</v>
      </c>
      <c r="AA1074" s="19">
        <v>0</v>
      </c>
      <c r="AB1074" t="str">
        <f>VLOOKUP(E:E,笔记匹配!A:N,3,FALSE)</f>
        <v>一颗西兰花fa</v>
      </c>
      <c r="AC1074" t="str">
        <f>VLOOKUP(E:E,笔记匹配!A:N,2,FALSE)</f>
        <v>筋膜枪</v>
      </c>
      <c r="AD1074" t="str">
        <f>VLOOKUP(E:E,笔记匹配!A:N,4,FALSE)</f>
        <v>云麦筋膜枪PB2</v>
      </c>
      <c r="AE1074" t="str">
        <f>VLOOKUP(E:E,笔记匹配!A:N,14,FALSE)</f>
        <v>云麦筋膜枪pb2</v>
      </c>
      <c r="AF1074" t="str">
        <f>VLOOKUP(E:E,笔记匹配!A:N,6,FALSE)</f>
        <v>有没有姐妹跟我一样被肌肉腿困扰了好久！</v>
      </c>
    </row>
    <row r="1075" spans="1:32">
      <c r="A1075" s="18" t="s">
        <v>154</v>
      </c>
      <c r="B1075" s="18" t="s">
        <v>1303</v>
      </c>
      <c r="C1075" s="19">
        <v>21880743</v>
      </c>
      <c r="D1075" s="18" t="s">
        <v>209</v>
      </c>
      <c r="E1075" s="18" t="s">
        <v>234</v>
      </c>
      <c r="F1075" s="18" t="s">
        <v>1304</v>
      </c>
      <c r="G1075" s="19">
        <v>5428999</v>
      </c>
      <c r="H1075" s="18" t="s">
        <v>1304</v>
      </c>
      <c r="I1075" s="19">
        <v>4559759</v>
      </c>
      <c r="J1075" s="18" t="s">
        <v>1015</v>
      </c>
      <c r="K1075" s="19">
        <v>492.83</v>
      </c>
      <c r="L1075" s="19">
        <v>49345</v>
      </c>
      <c r="M1075" s="19">
        <v>2754</v>
      </c>
      <c r="N1075" s="20">
        <v>0.0558</v>
      </c>
      <c r="O1075" s="19">
        <v>0.18</v>
      </c>
      <c r="P1075" s="19">
        <v>9.99</v>
      </c>
      <c r="Q1075" s="19">
        <v>47</v>
      </c>
      <c r="R1075" s="19">
        <v>3</v>
      </c>
      <c r="S1075" s="19">
        <v>11</v>
      </c>
      <c r="T1075" s="19">
        <v>2</v>
      </c>
      <c r="U1075" s="19">
        <v>2</v>
      </c>
      <c r="V1075" s="19">
        <v>65</v>
      </c>
      <c r="W1075" s="19">
        <v>7.58</v>
      </c>
      <c r="X1075" s="19">
        <v>0</v>
      </c>
      <c r="Y1075" s="20">
        <v>0</v>
      </c>
      <c r="Z1075" s="19">
        <v>4</v>
      </c>
      <c r="AA1075" s="19">
        <v>0</v>
      </c>
      <c r="AB1075" t="str">
        <f>VLOOKUP(E:E,笔记匹配!A:N,3,FALSE)</f>
        <v>pp</v>
      </c>
      <c r="AC1075" t="str">
        <f>VLOOKUP(E:E,笔记匹配!A:N,2,FALSE)</f>
        <v>体脂秤</v>
      </c>
      <c r="AD1075" t="str">
        <f>VLOOKUP(E:E,笔记匹配!A:N,4,FALSE)</f>
        <v>云麦体脂秤3mini</v>
      </c>
      <c r="AE1075" t="str">
        <f>VLOOKUP(E:E,笔记匹配!A:N,14,FALSE)</f>
        <v>云麦体脂秤3mini</v>
      </c>
      <c r="AF1075" t="str">
        <f>VLOOKUP(E:E,笔记匹配!A:N,6,FALSE)</f>
        <v>110到88 一些减肥小建议｜如何正确运动</v>
      </c>
    </row>
    <row r="1076" spans="1:32">
      <c r="A1076" s="18" t="s">
        <v>154</v>
      </c>
      <c r="B1076" s="18" t="s">
        <v>1297</v>
      </c>
      <c r="C1076" s="19">
        <v>21881635</v>
      </c>
      <c r="D1076" s="18" t="s">
        <v>196</v>
      </c>
      <c r="E1076" s="18" t="s">
        <v>234</v>
      </c>
      <c r="F1076" s="18" t="s">
        <v>1306</v>
      </c>
      <c r="G1076" s="19">
        <v>5429032</v>
      </c>
      <c r="H1076" s="18" t="s">
        <v>1307</v>
      </c>
      <c r="I1076" s="19">
        <v>4559792</v>
      </c>
      <c r="J1076" s="18" t="s">
        <v>1015</v>
      </c>
      <c r="K1076" s="19">
        <v>61.42</v>
      </c>
      <c r="L1076" s="19">
        <v>4906</v>
      </c>
      <c r="M1076" s="19">
        <v>138</v>
      </c>
      <c r="N1076" s="20">
        <v>0.0281</v>
      </c>
      <c r="O1076" s="19">
        <v>0.45</v>
      </c>
      <c r="P1076" s="19">
        <v>12.52</v>
      </c>
      <c r="Q1076" s="19">
        <v>2</v>
      </c>
      <c r="R1076" s="19">
        <v>0</v>
      </c>
      <c r="S1076" s="19">
        <v>0</v>
      </c>
      <c r="T1076" s="19">
        <v>0</v>
      </c>
      <c r="U1076" s="19">
        <v>0</v>
      </c>
      <c r="V1076" s="19">
        <v>2</v>
      </c>
      <c r="W1076" s="19">
        <v>30.71</v>
      </c>
      <c r="X1076" s="19">
        <v>0</v>
      </c>
      <c r="Y1076" s="20">
        <v>0</v>
      </c>
      <c r="Z1076" s="19">
        <v>0</v>
      </c>
      <c r="AA1076" s="19">
        <v>0</v>
      </c>
      <c r="AB1076" t="str">
        <f>VLOOKUP(E:E,笔记匹配!A:N,3,FALSE)</f>
        <v>pp</v>
      </c>
      <c r="AC1076" t="str">
        <f>VLOOKUP(E:E,笔记匹配!A:N,2,FALSE)</f>
        <v>体脂秤</v>
      </c>
      <c r="AD1076" t="str">
        <f>VLOOKUP(E:E,笔记匹配!A:N,4,FALSE)</f>
        <v>云麦体脂秤3mini</v>
      </c>
      <c r="AE1076" t="str">
        <f>VLOOKUP(E:E,笔记匹配!A:N,14,FALSE)</f>
        <v>云麦体脂秤3mini</v>
      </c>
      <c r="AF1076" t="str">
        <f>VLOOKUP(E:E,笔记匹配!A:N,6,FALSE)</f>
        <v>110到88 一些减肥小建议｜如何正确运动</v>
      </c>
    </row>
    <row r="1077" spans="1:32">
      <c r="A1077" s="18" t="s">
        <v>154</v>
      </c>
      <c r="B1077" s="18" t="s">
        <v>1308</v>
      </c>
      <c r="C1077" s="19">
        <v>21881978</v>
      </c>
      <c r="D1077" s="18" t="s">
        <v>196</v>
      </c>
      <c r="E1077" s="18" t="s">
        <v>234</v>
      </c>
      <c r="F1077" s="18" t="s">
        <v>1309</v>
      </c>
      <c r="G1077" s="19">
        <v>5429663</v>
      </c>
      <c r="H1077" s="18" t="s">
        <v>1310</v>
      </c>
      <c r="I1077" s="19">
        <v>4560362</v>
      </c>
      <c r="J1077" s="18" t="s">
        <v>1015</v>
      </c>
      <c r="K1077" s="19">
        <v>323.06</v>
      </c>
      <c r="L1077" s="19">
        <v>16954</v>
      </c>
      <c r="M1077" s="19">
        <v>361</v>
      </c>
      <c r="N1077" s="20">
        <v>0.0213</v>
      </c>
      <c r="O1077" s="19">
        <v>0.89</v>
      </c>
      <c r="P1077" s="19">
        <v>19.06</v>
      </c>
      <c r="Q1077" s="19">
        <v>3</v>
      </c>
      <c r="R1077" s="19">
        <v>0</v>
      </c>
      <c r="S1077" s="19">
        <v>1</v>
      </c>
      <c r="T1077" s="19">
        <v>0</v>
      </c>
      <c r="U1077" s="19">
        <v>0</v>
      </c>
      <c r="V1077" s="19">
        <v>4</v>
      </c>
      <c r="W1077" s="19">
        <v>80.76</v>
      </c>
      <c r="X1077" s="19">
        <v>0</v>
      </c>
      <c r="Y1077" s="20">
        <v>0</v>
      </c>
      <c r="Z1077" s="19">
        <v>0</v>
      </c>
      <c r="AA1077" s="19">
        <v>0</v>
      </c>
      <c r="AB1077" t="str">
        <f>VLOOKUP(E:E,笔记匹配!A:N,3,FALSE)</f>
        <v>pp</v>
      </c>
      <c r="AC1077" t="str">
        <f>VLOOKUP(E:E,笔记匹配!A:N,2,FALSE)</f>
        <v>体脂秤</v>
      </c>
      <c r="AD1077" t="str">
        <f>VLOOKUP(E:E,笔记匹配!A:N,4,FALSE)</f>
        <v>云麦体脂秤3mini</v>
      </c>
      <c r="AE1077" t="str">
        <f>VLOOKUP(E:E,笔记匹配!A:N,14,FALSE)</f>
        <v>云麦体脂秤3mini</v>
      </c>
      <c r="AF1077" t="str">
        <f>VLOOKUP(E:E,笔记匹配!A:N,6,FALSE)</f>
        <v>110到88 一些减肥小建议｜如何正确运动</v>
      </c>
    </row>
    <row r="1078" spans="1:32">
      <c r="A1078" s="18" t="s">
        <v>154</v>
      </c>
      <c r="B1078" s="18" t="s">
        <v>1311</v>
      </c>
      <c r="C1078" s="19">
        <v>21978813</v>
      </c>
      <c r="D1078" s="18" t="s">
        <v>209</v>
      </c>
      <c r="E1078" s="18" t="s">
        <v>252</v>
      </c>
      <c r="F1078" s="18" t="s">
        <v>1312</v>
      </c>
      <c r="G1078" s="19">
        <v>5474004</v>
      </c>
      <c r="H1078" s="18" t="s">
        <v>1312</v>
      </c>
      <c r="I1078" s="19">
        <v>4594476</v>
      </c>
      <c r="J1078" s="18" t="s">
        <v>1015</v>
      </c>
      <c r="K1078" s="19">
        <v>478.87</v>
      </c>
      <c r="L1078" s="19">
        <v>34464</v>
      </c>
      <c r="M1078" s="19">
        <v>1983</v>
      </c>
      <c r="N1078" s="20">
        <v>0.0575</v>
      </c>
      <c r="O1078" s="19">
        <v>0.24</v>
      </c>
      <c r="P1078" s="19">
        <v>13.89</v>
      </c>
      <c r="Q1078" s="19">
        <v>96</v>
      </c>
      <c r="R1078" s="19">
        <v>1</v>
      </c>
      <c r="S1078" s="19">
        <v>62</v>
      </c>
      <c r="T1078" s="19">
        <v>3</v>
      </c>
      <c r="U1078" s="19">
        <v>5</v>
      </c>
      <c r="V1078" s="19">
        <v>167</v>
      </c>
      <c r="W1078" s="19">
        <v>2.87</v>
      </c>
      <c r="X1078" s="19">
        <v>0</v>
      </c>
      <c r="Y1078" s="20">
        <v>0</v>
      </c>
      <c r="Z1078" s="19">
        <v>0</v>
      </c>
      <c r="AA1078" s="19">
        <v>5</v>
      </c>
      <c r="AB1078" t="str">
        <f>VLOOKUP(E:E,笔记匹配!A:N,3,FALSE)</f>
        <v>脆鱼日记</v>
      </c>
      <c r="AC1078" t="str">
        <f>VLOOKUP(E:E,笔记匹配!A:N,2,FALSE)</f>
        <v>筋膜枪</v>
      </c>
      <c r="AD1078" t="str">
        <f>VLOOKUP(E:E,笔记匹配!A:N,4,FALSE)</f>
        <v>云麦筋膜枪cc</v>
      </c>
      <c r="AE1078" t="str">
        <f>VLOOKUP(E:E,笔记匹配!A:N,14,FALSE)</f>
        <v>云麦筋膜枪ccgo</v>
      </c>
      <c r="AF1078" t="str">
        <f>VLOOKUP(E:E,笔记匹配!A:N,6,FALSE)</f>
        <v>每天坚持这4个动作🔥瘦脂包肌小腿‼️已瘦4cm</v>
      </c>
    </row>
    <row r="1079" spans="1:32">
      <c r="A1079" s="18" t="s">
        <v>154</v>
      </c>
      <c r="B1079" s="18" t="s">
        <v>1311</v>
      </c>
      <c r="C1079" s="19">
        <v>21988099</v>
      </c>
      <c r="D1079" s="18" t="s">
        <v>209</v>
      </c>
      <c r="E1079" s="18" t="s">
        <v>555</v>
      </c>
      <c r="F1079" s="18" t="s">
        <v>1313</v>
      </c>
      <c r="G1079" s="19">
        <v>5479098</v>
      </c>
      <c r="H1079" s="18" t="s">
        <v>1313</v>
      </c>
      <c r="I1079" s="19">
        <v>4598049</v>
      </c>
      <c r="J1079" s="18" t="s">
        <v>1015</v>
      </c>
      <c r="K1079" s="19">
        <v>11.76</v>
      </c>
      <c r="L1079" s="19">
        <v>2822</v>
      </c>
      <c r="M1079" s="19">
        <v>79</v>
      </c>
      <c r="N1079" s="20">
        <v>0.028</v>
      </c>
      <c r="O1079" s="19">
        <v>0.15</v>
      </c>
      <c r="P1079" s="19">
        <v>4.17</v>
      </c>
      <c r="Q1079" s="19">
        <v>2</v>
      </c>
      <c r="R1079" s="19">
        <v>0</v>
      </c>
      <c r="S1079" s="19">
        <v>0</v>
      </c>
      <c r="T1079" s="19">
        <v>0</v>
      </c>
      <c r="U1079" s="19">
        <v>0</v>
      </c>
      <c r="V1079" s="19">
        <v>2</v>
      </c>
      <c r="W1079" s="19">
        <v>5.88</v>
      </c>
      <c r="X1079" s="19">
        <v>0</v>
      </c>
      <c r="Y1079" s="20">
        <v>0</v>
      </c>
      <c r="Z1079" s="19">
        <v>0</v>
      </c>
      <c r="AA1079" s="19">
        <v>0</v>
      </c>
      <c r="AB1079" t="str">
        <f>VLOOKUP(E:E,笔记匹配!A:N,3,FALSE)</f>
        <v>蜜桃少女宁小美</v>
      </c>
      <c r="AC1079" t="str">
        <f>VLOOKUP(E:E,笔记匹配!A:N,2,FALSE)</f>
        <v>筋膜枪</v>
      </c>
      <c r="AD1079" t="str">
        <f>VLOOKUP(E:E,笔记匹配!A:N,4,FALSE)</f>
        <v>云麦筋膜枪cc</v>
      </c>
      <c r="AE1079" t="str">
        <f>VLOOKUP(E:E,笔记匹配!A:N,14,FALSE)</f>
        <v>云麦筋膜枪ccgo</v>
      </c>
      <c r="AF1079" t="str">
        <f>VLOOKUP(E:E,笔记匹配!A:N,6,FALSE)</f>
        <v>全款拿下2022宅家按摩神器🔥奶呼呼的巨可爱</v>
      </c>
    </row>
    <row r="1080" spans="1:32">
      <c r="A1080" s="18" t="s">
        <v>155</v>
      </c>
      <c r="B1080" s="18" t="s">
        <v>1286</v>
      </c>
      <c r="C1080" s="19">
        <v>21600849</v>
      </c>
      <c r="D1080" s="18" t="s">
        <v>209</v>
      </c>
      <c r="E1080" s="18" t="s">
        <v>303</v>
      </c>
      <c r="F1080" s="18" t="s">
        <v>1288</v>
      </c>
      <c r="G1080" s="19">
        <v>5300358</v>
      </c>
      <c r="H1080" s="18" t="s">
        <v>1288</v>
      </c>
      <c r="I1080" s="19">
        <v>4462859</v>
      </c>
      <c r="J1080" s="18" t="s">
        <v>1015</v>
      </c>
      <c r="K1080" s="19">
        <v>0</v>
      </c>
      <c r="L1080" s="19">
        <v>0</v>
      </c>
      <c r="M1080" s="19">
        <v>0</v>
      </c>
      <c r="N1080" s="20">
        <v>0</v>
      </c>
      <c r="O1080" s="19">
        <v>0</v>
      </c>
      <c r="P1080" s="19">
        <v>0</v>
      </c>
      <c r="Q1080" s="19">
        <v>0</v>
      </c>
      <c r="R1080" s="19">
        <v>0</v>
      </c>
      <c r="S1080" s="19">
        <v>0</v>
      </c>
      <c r="T1080" s="19">
        <v>0</v>
      </c>
      <c r="U1080" s="19">
        <v>0</v>
      </c>
      <c r="V1080" s="19">
        <v>0</v>
      </c>
      <c r="W1080" s="19">
        <v>0</v>
      </c>
      <c r="X1080" s="19">
        <v>0</v>
      </c>
      <c r="Y1080" s="20">
        <v>0</v>
      </c>
      <c r="Z1080" s="19">
        <v>0</v>
      </c>
      <c r="AA1080" s="19">
        <v>0</v>
      </c>
      <c r="AB1080" t="str">
        <f>VLOOKUP(E:E,笔记匹配!A:N,3,FALSE)</f>
        <v>橘子汽水</v>
      </c>
      <c r="AC1080" t="str">
        <f>VLOOKUP(E:E,笔记匹配!A:N,2,FALSE)</f>
        <v>体脂秤</v>
      </c>
      <c r="AD1080" t="str">
        <f>VLOOKUP(E:E,笔记匹配!A:N,4,FALSE)</f>
        <v>云麦体脂秤3mini</v>
      </c>
      <c r="AE1080" t="str">
        <f>VLOOKUP(E:E,笔记匹配!A:N,14,FALSE)</f>
        <v>云麦体脂秤3mini</v>
      </c>
      <c r="AF1080" t="str">
        <f>VLOOKUP(E:E,笔记匹配!A:N,6,FALSE)</f>
        <v>请一定要相信帕梅拉虐腹，效果是真的🉑❗</v>
      </c>
    </row>
    <row r="1081" spans="1:32">
      <c r="A1081" s="18" t="s">
        <v>155</v>
      </c>
      <c r="B1081" s="18" t="s">
        <v>1294</v>
      </c>
      <c r="C1081" s="19">
        <v>21747929</v>
      </c>
      <c r="D1081" s="18" t="s">
        <v>209</v>
      </c>
      <c r="E1081" s="18" t="s">
        <v>208</v>
      </c>
      <c r="F1081" s="18" t="s">
        <v>1295</v>
      </c>
      <c r="G1081" s="19">
        <v>5366393</v>
      </c>
      <c r="H1081" s="18" t="s">
        <v>1295</v>
      </c>
      <c r="I1081" s="19">
        <v>4512630</v>
      </c>
      <c r="J1081" s="18" t="s">
        <v>1015</v>
      </c>
      <c r="K1081" s="19">
        <v>971.66</v>
      </c>
      <c r="L1081" s="19">
        <v>57717</v>
      </c>
      <c r="M1081" s="19">
        <v>3401</v>
      </c>
      <c r="N1081" s="20">
        <v>0.0589</v>
      </c>
      <c r="O1081" s="19">
        <v>0.29</v>
      </c>
      <c r="P1081" s="19">
        <v>16.83</v>
      </c>
      <c r="Q1081" s="19">
        <v>82</v>
      </c>
      <c r="R1081" s="19">
        <v>3</v>
      </c>
      <c r="S1081" s="19">
        <v>39</v>
      </c>
      <c r="T1081" s="19">
        <v>0</v>
      </c>
      <c r="U1081" s="19">
        <v>2</v>
      </c>
      <c r="V1081" s="19">
        <v>126</v>
      </c>
      <c r="W1081" s="19">
        <v>7.71</v>
      </c>
      <c r="X1081" s="19">
        <v>0</v>
      </c>
      <c r="Y1081" s="20">
        <v>0</v>
      </c>
      <c r="Z1081" s="19">
        <v>6</v>
      </c>
      <c r="AA1081" s="19">
        <v>1</v>
      </c>
      <c r="AB1081" t="str">
        <f>VLOOKUP(E:E,笔记匹配!A:N,3,FALSE)</f>
        <v>小羊羔崽子</v>
      </c>
      <c r="AC1081" t="str">
        <f>VLOOKUP(E:E,笔记匹配!A:N,2,FALSE)</f>
        <v>筋膜枪</v>
      </c>
      <c r="AD1081" t="str">
        <f>VLOOKUP(E:E,笔记匹配!A:N,4,FALSE)</f>
        <v>云麦筋膜枪PB2</v>
      </c>
      <c r="AE1081" t="str">
        <f>VLOOKUP(E:E,笔记匹配!A:N,14,FALSE)</f>
        <v>云麦筋膜枪pb2</v>
      </c>
      <c r="AF1081" t="str">
        <f>VLOOKUP(E:E,笔记匹配!A:N,6,FALSE)</f>
        <v>用了多年泡沫轴，才知道筋膜枪是真的香！！！</v>
      </c>
    </row>
    <row r="1082" spans="1:32">
      <c r="A1082" s="18" t="s">
        <v>155</v>
      </c>
      <c r="B1082" s="18" t="s">
        <v>1294</v>
      </c>
      <c r="C1082" s="19">
        <v>21747992</v>
      </c>
      <c r="D1082" s="18" t="s">
        <v>209</v>
      </c>
      <c r="E1082" s="18" t="s">
        <v>292</v>
      </c>
      <c r="F1082" s="18" t="s">
        <v>1296</v>
      </c>
      <c r="G1082" s="19">
        <v>5366424</v>
      </c>
      <c r="H1082" s="18" t="s">
        <v>1296</v>
      </c>
      <c r="I1082" s="19">
        <v>4512653</v>
      </c>
      <c r="J1082" s="18" t="s">
        <v>1015</v>
      </c>
      <c r="K1082" s="19">
        <v>0</v>
      </c>
      <c r="L1082" s="19">
        <v>0</v>
      </c>
      <c r="M1082" s="19">
        <v>0</v>
      </c>
      <c r="N1082" s="20">
        <v>0</v>
      </c>
      <c r="O1082" s="19">
        <v>0</v>
      </c>
      <c r="P1082" s="19">
        <v>0</v>
      </c>
      <c r="Q1082" s="19">
        <v>0</v>
      </c>
      <c r="R1082" s="19">
        <v>0</v>
      </c>
      <c r="S1082" s="19">
        <v>0</v>
      </c>
      <c r="T1082" s="19">
        <v>0</v>
      </c>
      <c r="U1082" s="19">
        <v>0</v>
      </c>
      <c r="V1082" s="19">
        <v>0</v>
      </c>
      <c r="W1082" s="19">
        <v>0</v>
      </c>
      <c r="X1082" s="19">
        <v>0</v>
      </c>
      <c r="Y1082" s="20">
        <v>0</v>
      </c>
      <c r="Z1082" s="19">
        <v>0</v>
      </c>
      <c r="AA1082" s="19">
        <v>0</v>
      </c>
      <c r="AB1082" t="str">
        <f>VLOOKUP(E:E,笔记匹配!A:N,3,FALSE)</f>
        <v>形体矫正小李</v>
      </c>
      <c r="AC1082" t="str">
        <f>VLOOKUP(E:E,笔记匹配!A:N,2,FALSE)</f>
        <v>筋膜枪</v>
      </c>
      <c r="AD1082" t="str">
        <f>VLOOKUP(E:E,笔记匹配!A:N,4,FALSE)</f>
        <v>云麦筋膜枪PB2</v>
      </c>
      <c r="AE1082" t="str">
        <f>VLOOKUP(E:E,笔记匹配!A:N,14,FALSE)</f>
        <v>云麦筋膜枪pb2</v>
      </c>
      <c r="AF1082" t="str">
        <f>VLOOKUP(E:E,笔记匹配!A:N,6,FALSE)</f>
        <v>大腿内侧赘肉消失术‼️练出细长漫画腿全靠它</v>
      </c>
    </row>
    <row r="1083" spans="1:32">
      <c r="A1083" s="18" t="s">
        <v>155</v>
      </c>
      <c r="B1083" s="18" t="s">
        <v>1297</v>
      </c>
      <c r="C1083" s="19">
        <v>21879174</v>
      </c>
      <c r="D1083" s="18" t="s">
        <v>196</v>
      </c>
      <c r="E1083" s="18" t="s">
        <v>220</v>
      </c>
      <c r="F1083" s="18" t="s">
        <v>1298</v>
      </c>
      <c r="G1083" s="19">
        <v>5428268</v>
      </c>
      <c r="H1083" s="18" t="s">
        <v>1299</v>
      </c>
      <c r="I1083" s="19">
        <v>4559088</v>
      </c>
      <c r="J1083" s="18" t="s">
        <v>1015</v>
      </c>
      <c r="K1083" s="19">
        <v>0</v>
      </c>
      <c r="L1083" s="19">
        <v>24</v>
      </c>
      <c r="M1083" s="19">
        <v>0</v>
      </c>
      <c r="N1083" s="20">
        <v>0</v>
      </c>
      <c r="O1083" s="19">
        <v>0</v>
      </c>
      <c r="P1083" s="19">
        <v>0</v>
      </c>
      <c r="Q1083" s="19">
        <v>0</v>
      </c>
      <c r="R1083" s="19">
        <v>0</v>
      </c>
      <c r="S1083" s="19">
        <v>0</v>
      </c>
      <c r="T1083" s="19">
        <v>0</v>
      </c>
      <c r="U1083" s="19">
        <v>0</v>
      </c>
      <c r="V1083" s="19">
        <v>0</v>
      </c>
      <c r="W1083" s="19">
        <v>0</v>
      </c>
      <c r="X1083" s="19">
        <v>0</v>
      </c>
      <c r="Y1083" s="20">
        <v>0</v>
      </c>
      <c r="Z1083" s="19">
        <v>0</v>
      </c>
      <c r="AA1083" s="19">
        <v>0</v>
      </c>
      <c r="AB1083" t="str">
        <f>VLOOKUP(E:E,笔记匹配!A:N,3,FALSE)</f>
        <v>一颗西兰花fa</v>
      </c>
      <c r="AC1083" t="str">
        <f>VLOOKUP(E:E,笔记匹配!A:N,2,FALSE)</f>
        <v>筋膜枪</v>
      </c>
      <c r="AD1083" t="str">
        <f>VLOOKUP(E:E,笔记匹配!A:N,4,FALSE)</f>
        <v>云麦筋膜枪PB2</v>
      </c>
      <c r="AE1083" t="str">
        <f>VLOOKUP(E:E,笔记匹配!A:N,14,FALSE)</f>
        <v>云麦筋膜枪pb2</v>
      </c>
      <c r="AF1083" t="str">
        <f>VLOOKUP(E:E,笔记匹配!A:N,6,FALSE)</f>
        <v>有没有姐妹跟我一样被肌肉腿困扰了好久！</v>
      </c>
    </row>
    <row r="1084" spans="1:32">
      <c r="A1084" s="18" t="s">
        <v>155</v>
      </c>
      <c r="B1084" s="18" t="s">
        <v>1300</v>
      </c>
      <c r="C1084" s="19">
        <v>21879909</v>
      </c>
      <c r="D1084" s="18" t="s">
        <v>196</v>
      </c>
      <c r="E1084" s="18" t="s">
        <v>220</v>
      </c>
      <c r="F1084" s="18" t="s">
        <v>1301</v>
      </c>
      <c r="G1084" s="19">
        <v>5428627</v>
      </c>
      <c r="H1084" s="18" t="s">
        <v>1302</v>
      </c>
      <c r="I1084" s="19">
        <v>4559489</v>
      </c>
      <c r="J1084" s="18" t="s">
        <v>1015</v>
      </c>
      <c r="K1084" s="19">
        <v>0</v>
      </c>
      <c r="L1084" s="19">
        <v>0</v>
      </c>
      <c r="M1084" s="19">
        <v>0</v>
      </c>
      <c r="N1084" s="20">
        <v>0</v>
      </c>
      <c r="O1084" s="19">
        <v>0</v>
      </c>
      <c r="P1084" s="19">
        <v>0</v>
      </c>
      <c r="Q1084" s="19">
        <v>0</v>
      </c>
      <c r="R1084" s="19">
        <v>0</v>
      </c>
      <c r="S1084" s="19">
        <v>0</v>
      </c>
      <c r="T1084" s="19">
        <v>0</v>
      </c>
      <c r="U1084" s="19">
        <v>0</v>
      </c>
      <c r="V1084" s="19">
        <v>0</v>
      </c>
      <c r="W1084" s="19">
        <v>0</v>
      </c>
      <c r="X1084" s="19">
        <v>0</v>
      </c>
      <c r="Y1084" s="20">
        <v>0</v>
      </c>
      <c r="Z1084" s="19">
        <v>0</v>
      </c>
      <c r="AA1084" s="19">
        <v>0</v>
      </c>
      <c r="AB1084" t="str">
        <f>VLOOKUP(E:E,笔记匹配!A:N,3,FALSE)</f>
        <v>一颗西兰花fa</v>
      </c>
      <c r="AC1084" t="str">
        <f>VLOOKUP(E:E,笔记匹配!A:N,2,FALSE)</f>
        <v>筋膜枪</v>
      </c>
      <c r="AD1084" t="str">
        <f>VLOOKUP(E:E,笔记匹配!A:N,4,FALSE)</f>
        <v>云麦筋膜枪PB2</v>
      </c>
      <c r="AE1084" t="str">
        <f>VLOOKUP(E:E,笔记匹配!A:N,14,FALSE)</f>
        <v>云麦筋膜枪pb2</v>
      </c>
      <c r="AF1084" t="str">
        <f>VLOOKUP(E:E,笔记匹配!A:N,6,FALSE)</f>
        <v>有没有姐妹跟我一样被肌肉腿困扰了好久！</v>
      </c>
    </row>
    <row r="1085" spans="1:32">
      <c r="A1085" s="18" t="s">
        <v>155</v>
      </c>
      <c r="B1085" s="18" t="s">
        <v>1303</v>
      </c>
      <c r="C1085" s="19">
        <v>21880743</v>
      </c>
      <c r="D1085" s="18" t="s">
        <v>209</v>
      </c>
      <c r="E1085" s="18" t="s">
        <v>234</v>
      </c>
      <c r="F1085" s="18" t="s">
        <v>1304</v>
      </c>
      <c r="G1085" s="19">
        <v>5428999</v>
      </c>
      <c r="H1085" s="18" t="s">
        <v>1304</v>
      </c>
      <c r="I1085" s="19">
        <v>4559759</v>
      </c>
      <c r="J1085" s="18" t="s">
        <v>1015</v>
      </c>
      <c r="K1085" s="19">
        <v>307.07</v>
      </c>
      <c r="L1085" s="19">
        <v>37379</v>
      </c>
      <c r="M1085" s="19">
        <v>1961</v>
      </c>
      <c r="N1085" s="20">
        <v>0.0525</v>
      </c>
      <c r="O1085" s="19">
        <v>0.16</v>
      </c>
      <c r="P1085" s="19">
        <v>8.22</v>
      </c>
      <c r="Q1085" s="19">
        <v>23</v>
      </c>
      <c r="R1085" s="19">
        <v>0</v>
      </c>
      <c r="S1085" s="19">
        <v>4</v>
      </c>
      <c r="T1085" s="19">
        <v>0</v>
      </c>
      <c r="U1085" s="19">
        <v>1</v>
      </c>
      <c r="V1085" s="19">
        <v>28</v>
      </c>
      <c r="W1085" s="19">
        <v>10.97</v>
      </c>
      <c r="X1085" s="19">
        <v>0</v>
      </c>
      <c r="Y1085" s="20">
        <v>0</v>
      </c>
      <c r="Z1085" s="19">
        <v>1</v>
      </c>
      <c r="AA1085" s="19">
        <v>1</v>
      </c>
      <c r="AB1085" t="str">
        <f>VLOOKUP(E:E,笔记匹配!A:N,3,FALSE)</f>
        <v>pp</v>
      </c>
      <c r="AC1085" t="str">
        <f>VLOOKUP(E:E,笔记匹配!A:N,2,FALSE)</f>
        <v>体脂秤</v>
      </c>
      <c r="AD1085" t="str">
        <f>VLOOKUP(E:E,笔记匹配!A:N,4,FALSE)</f>
        <v>云麦体脂秤3mini</v>
      </c>
      <c r="AE1085" t="str">
        <f>VLOOKUP(E:E,笔记匹配!A:N,14,FALSE)</f>
        <v>云麦体脂秤3mini</v>
      </c>
      <c r="AF1085" t="str">
        <f>VLOOKUP(E:E,笔记匹配!A:N,6,FALSE)</f>
        <v>110到88 一些减肥小建议｜如何正确运动</v>
      </c>
    </row>
    <row r="1086" spans="1:32">
      <c r="A1086" s="18" t="s">
        <v>155</v>
      </c>
      <c r="B1086" s="18" t="s">
        <v>1297</v>
      </c>
      <c r="C1086" s="19">
        <v>21881635</v>
      </c>
      <c r="D1086" s="18" t="s">
        <v>196</v>
      </c>
      <c r="E1086" s="18" t="s">
        <v>234</v>
      </c>
      <c r="F1086" s="18" t="s">
        <v>1306</v>
      </c>
      <c r="G1086" s="19">
        <v>5429032</v>
      </c>
      <c r="H1086" s="18" t="s">
        <v>1307</v>
      </c>
      <c r="I1086" s="19">
        <v>4559792</v>
      </c>
      <c r="J1086" s="18" t="s">
        <v>1015</v>
      </c>
      <c r="K1086" s="19">
        <v>108.63</v>
      </c>
      <c r="L1086" s="19">
        <v>9158</v>
      </c>
      <c r="M1086" s="19">
        <v>232</v>
      </c>
      <c r="N1086" s="20">
        <v>0.0253</v>
      </c>
      <c r="O1086" s="19">
        <v>0.47</v>
      </c>
      <c r="P1086" s="19">
        <v>11.86</v>
      </c>
      <c r="Q1086" s="19">
        <v>2</v>
      </c>
      <c r="R1086" s="19">
        <v>0</v>
      </c>
      <c r="S1086" s="19">
        <v>2</v>
      </c>
      <c r="T1086" s="19">
        <v>0</v>
      </c>
      <c r="U1086" s="19">
        <v>0</v>
      </c>
      <c r="V1086" s="19">
        <v>4</v>
      </c>
      <c r="W1086" s="19">
        <v>27.16</v>
      </c>
      <c r="X1086" s="19">
        <v>0</v>
      </c>
      <c r="Y1086" s="20">
        <v>0</v>
      </c>
      <c r="Z1086" s="19">
        <v>1</v>
      </c>
      <c r="AA1086" s="19">
        <v>0</v>
      </c>
      <c r="AB1086" t="str">
        <f>VLOOKUP(E:E,笔记匹配!A:N,3,FALSE)</f>
        <v>pp</v>
      </c>
      <c r="AC1086" t="str">
        <f>VLOOKUP(E:E,笔记匹配!A:N,2,FALSE)</f>
        <v>体脂秤</v>
      </c>
      <c r="AD1086" t="str">
        <f>VLOOKUP(E:E,笔记匹配!A:N,4,FALSE)</f>
        <v>云麦体脂秤3mini</v>
      </c>
      <c r="AE1086" t="str">
        <f>VLOOKUP(E:E,笔记匹配!A:N,14,FALSE)</f>
        <v>云麦体脂秤3mini</v>
      </c>
      <c r="AF1086" t="str">
        <f>VLOOKUP(E:E,笔记匹配!A:N,6,FALSE)</f>
        <v>110到88 一些减肥小建议｜如何正确运动</v>
      </c>
    </row>
    <row r="1087" spans="1:32">
      <c r="A1087" s="18" t="s">
        <v>155</v>
      </c>
      <c r="B1087" s="18" t="s">
        <v>1308</v>
      </c>
      <c r="C1087" s="19">
        <v>21881978</v>
      </c>
      <c r="D1087" s="18" t="s">
        <v>196</v>
      </c>
      <c r="E1087" s="18" t="s">
        <v>234</v>
      </c>
      <c r="F1087" s="18" t="s">
        <v>1309</v>
      </c>
      <c r="G1087" s="19">
        <v>5429663</v>
      </c>
      <c r="H1087" s="18" t="s">
        <v>1310</v>
      </c>
      <c r="I1087" s="19">
        <v>4560362</v>
      </c>
      <c r="J1087" s="18" t="s">
        <v>1015</v>
      </c>
      <c r="K1087" s="19">
        <v>320.01</v>
      </c>
      <c r="L1087" s="19">
        <v>15052</v>
      </c>
      <c r="M1087" s="19">
        <v>358</v>
      </c>
      <c r="N1087" s="20">
        <v>0.0238</v>
      </c>
      <c r="O1087" s="19">
        <v>0.89</v>
      </c>
      <c r="P1087" s="19">
        <v>21.26</v>
      </c>
      <c r="Q1087" s="19">
        <v>3</v>
      </c>
      <c r="R1087" s="19">
        <v>0</v>
      </c>
      <c r="S1087" s="19">
        <v>1</v>
      </c>
      <c r="T1087" s="19">
        <v>0</v>
      </c>
      <c r="U1087" s="19">
        <v>0</v>
      </c>
      <c r="V1087" s="19">
        <v>4</v>
      </c>
      <c r="W1087" s="19">
        <v>80</v>
      </c>
      <c r="X1087" s="19">
        <v>0</v>
      </c>
      <c r="Y1087" s="20">
        <v>0</v>
      </c>
      <c r="Z1087" s="19">
        <v>0</v>
      </c>
      <c r="AA1087" s="19">
        <v>0</v>
      </c>
      <c r="AB1087" t="str">
        <f>VLOOKUP(E:E,笔记匹配!A:N,3,FALSE)</f>
        <v>pp</v>
      </c>
      <c r="AC1087" t="str">
        <f>VLOOKUP(E:E,笔记匹配!A:N,2,FALSE)</f>
        <v>体脂秤</v>
      </c>
      <c r="AD1087" t="str">
        <f>VLOOKUP(E:E,笔记匹配!A:N,4,FALSE)</f>
        <v>云麦体脂秤3mini</v>
      </c>
      <c r="AE1087" t="str">
        <f>VLOOKUP(E:E,笔记匹配!A:N,14,FALSE)</f>
        <v>云麦体脂秤3mini</v>
      </c>
      <c r="AF1087" t="str">
        <f>VLOOKUP(E:E,笔记匹配!A:N,6,FALSE)</f>
        <v>110到88 一些减肥小建议｜如何正确运动</v>
      </c>
    </row>
    <row r="1088" spans="1:32">
      <c r="A1088" s="18" t="s">
        <v>155</v>
      </c>
      <c r="B1088" s="18" t="s">
        <v>1311</v>
      </c>
      <c r="C1088" s="19">
        <v>21978813</v>
      </c>
      <c r="D1088" s="18" t="s">
        <v>209</v>
      </c>
      <c r="E1088" s="18" t="s">
        <v>252</v>
      </c>
      <c r="F1088" s="18" t="s">
        <v>1312</v>
      </c>
      <c r="G1088" s="19">
        <v>5474004</v>
      </c>
      <c r="H1088" s="18" t="s">
        <v>1312</v>
      </c>
      <c r="I1088" s="19">
        <v>4594476</v>
      </c>
      <c r="J1088" s="18" t="s">
        <v>1015</v>
      </c>
      <c r="K1088" s="19">
        <v>205.14</v>
      </c>
      <c r="L1088" s="19">
        <v>16382</v>
      </c>
      <c r="M1088" s="19">
        <v>1255</v>
      </c>
      <c r="N1088" s="20">
        <v>0.0766</v>
      </c>
      <c r="O1088" s="19">
        <v>0.16</v>
      </c>
      <c r="P1088" s="19">
        <v>12.52</v>
      </c>
      <c r="Q1088" s="19">
        <v>46</v>
      </c>
      <c r="R1088" s="19">
        <v>1</v>
      </c>
      <c r="S1088" s="19">
        <v>31</v>
      </c>
      <c r="T1088" s="19">
        <v>1</v>
      </c>
      <c r="U1088" s="19">
        <v>0</v>
      </c>
      <c r="V1088" s="19">
        <v>79</v>
      </c>
      <c r="W1088" s="19">
        <v>2.6</v>
      </c>
      <c r="X1088" s="19">
        <v>0</v>
      </c>
      <c r="Y1088" s="20">
        <v>0</v>
      </c>
      <c r="Z1088" s="19">
        <v>0</v>
      </c>
      <c r="AA1088" s="19">
        <v>2</v>
      </c>
      <c r="AB1088" t="str">
        <f>VLOOKUP(E:E,笔记匹配!A:N,3,FALSE)</f>
        <v>脆鱼日记</v>
      </c>
      <c r="AC1088" t="str">
        <f>VLOOKUP(E:E,笔记匹配!A:N,2,FALSE)</f>
        <v>筋膜枪</v>
      </c>
      <c r="AD1088" t="str">
        <f>VLOOKUP(E:E,笔记匹配!A:N,4,FALSE)</f>
        <v>云麦筋膜枪cc</v>
      </c>
      <c r="AE1088" t="str">
        <f>VLOOKUP(E:E,笔记匹配!A:N,14,FALSE)</f>
        <v>云麦筋膜枪ccgo</v>
      </c>
      <c r="AF1088" t="str">
        <f>VLOOKUP(E:E,笔记匹配!A:N,6,FALSE)</f>
        <v>每天坚持这4个动作🔥瘦脂包肌小腿‼️已瘦4cm</v>
      </c>
    </row>
    <row r="1089" spans="1:32">
      <c r="A1089" s="18" t="s">
        <v>155</v>
      </c>
      <c r="B1089" s="18" t="s">
        <v>1311</v>
      </c>
      <c r="C1089" s="19">
        <v>21988099</v>
      </c>
      <c r="D1089" s="18" t="s">
        <v>209</v>
      </c>
      <c r="E1089" s="18" t="s">
        <v>555</v>
      </c>
      <c r="F1089" s="18" t="s">
        <v>1313</v>
      </c>
      <c r="G1089" s="19">
        <v>5479098</v>
      </c>
      <c r="H1089" s="18" t="s">
        <v>1313</v>
      </c>
      <c r="I1089" s="19">
        <v>4598049</v>
      </c>
      <c r="J1089" s="18" t="s">
        <v>1015</v>
      </c>
      <c r="K1089" s="19">
        <v>190.93</v>
      </c>
      <c r="L1089" s="19">
        <v>11403</v>
      </c>
      <c r="M1089" s="19">
        <v>283</v>
      </c>
      <c r="N1089" s="20">
        <v>0.0248</v>
      </c>
      <c r="O1089" s="19">
        <v>0.67</v>
      </c>
      <c r="P1089" s="19">
        <v>16.74</v>
      </c>
      <c r="Q1089" s="19">
        <v>15</v>
      </c>
      <c r="R1089" s="19">
        <v>1</v>
      </c>
      <c r="S1089" s="19">
        <v>4</v>
      </c>
      <c r="T1089" s="19">
        <v>0</v>
      </c>
      <c r="U1089" s="19">
        <v>2</v>
      </c>
      <c r="V1089" s="19">
        <v>22</v>
      </c>
      <c r="W1089" s="19">
        <v>8.68</v>
      </c>
      <c r="X1089" s="19">
        <v>0</v>
      </c>
      <c r="Y1089" s="20">
        <v>0</v>
      </c>
      <c r="Z1089" s="19">
        <v>6</v>
      </c>
      <c r="AA1089" s="19">
        <v>0</v>
      </c>
      <c r="AB1089" t="str">
        <f>VLOOKUP(E:E,笔记匹配!A:N,3,FALSE)</f>
        <v>蜜桃少女宁小美</v>
      </c>
      <c r="AC1089" t="str">
        <f>VLOOKUP(E:E,笔记匹配!A:N,2,FALSE)</f>
        <v>筋膜枪</v>
      </c>
      <c r="AD1089" t="str">
        <f>VLOOKUP(E:E,笔记匹配!A:N,4,FALSE)</f>
        <v>云麦筋膜枪cc</v>
      </c>
      <c r="AE1089" t="str">
        <f>VLOOKUP(E:E,笔记匹配!A:N,14,FALSE)</f>
        <v>云麦筋膜枪ccgo</v>
      </c>
      <c r="AF1089" t="str">
        <f>VLOOKUP(E:E,笔记匹配!A:N,6,FALSE)</f>
        <v>全款拿下2022宅家按摩神器🔥奶呼呼的巨可爱</v>
      </c>
    </row>
    <row r="1090" spans="1:32">
      <c r="A1090" s="18" t="s">
        <v>155</v>
      </c>
      <c r="B1090" s="18" t="s">
        <v>1314</v>
      </c>
      <c r="C1090" s="19">
        <v>22072602</v>
      </c>
      <c r="D1090" s="18" t="s">
        <v>209</v>
      </c>
      <c r="E1090" s="18" t="s">
        <v>274</v>
      </c>
      <c r="F1090" s="18" t="s">
        <v>1315</v>
      </c>
      <c r="G1090" s="19">
        <v>5521266</v>
      </c>
      <c r="H1090" s="18" t="s">
        <v>1315</v>
      </c>
      <c r="I1090" s="19">
        <v>4629783</v>
      </c>
      <c r="J1090" s="18" t="s">
        <v>1015</v>
      </c>
      <c r="K1090" s="19">
        <v>1015.8</v>
      </c>
      <c r="L1090" s="19">
        <v>80157</v>
      </c>
      <c r="M1090" s="19">
        <v>5342</v>
      </c>
      <c r="N1090" s="20">
        <v>0.0666</v>
      </c>
      <c r="O1090" s="19">
        <v>0.19</v>
      </c>
      <c r="P1090" s="19">
        <v>12.67</v>
      </c>
      <c r="Q1090" s="19">
        <v>101</v>
      </c>
      <c r="R1090" s="19">
        <v>3</v>
      </c>
      <c r="S1090" s="19">
        <v>21</v>
      </c>
      <c r="T1090" s="19">
        <v>0</v>
      </c>
      <c r="U1090" s="19">
        <v>6</v>
      </c>
      <c r="V1090" s="19">
        <v>131</v>
      </c>
      <c r="W1090" s="19">
        <v>7.75</v>
      </c>
      <c r="X1090" s="19">
        <v>0</v>
      </c>
      <c r="Y1090" s="20">
        <v>0</v>
      </c>
      <c r="Z1090" s="19">
        <v>7</v>
      </c>
      <c r="AA1090" s="19">
        <v>6</v>
      </c>
      <c r="AB1090" t="str">
        <f>VLOOKUP(E:E,笔记匹配!A:N,3,FALSE)</f>
        <v>西米是个小可爱</v>
      </c>
      <c r="AC1090" t="str">
        <f>VLOOKUP(E:E,笔记匹配!A:N,2,FALSE)</f>
        <v>筋膜枪</v>
      </c>
      <c r="AD1090" t="str">
        <f>VLOOKUP(E:E,笔记匹配!A:N,4,FALSE)</f>
        <v>云麦筋膜枪PB2</v>
      </c>
      <c r="AE1090" t="str">
        <f>VLOOKUP(E:E,笔记匹配!A:N,14,FALSE)</f>
        <v>云麦筋膜枪pb2</v>
      </c>
      <c r="AF1090" t="str">
        <f>VLOOKUP(E:E,笔记匹配!A:N,6,FALSE)</f>
        <v>筋膜枪千万不能乱用！正确肩颈使用方法</v>
      </c>
    </row>
    <row r="1091" spans="1:32">
      <c r="A1091" s="18" t="s">
        <v>155</v>
      </c>
      <c r="B1091" s="18" t="s">
        <v>1316</v>
      </c>
      <c r="C1091" s="19">
        <v>22072814</v>
      </c>
      <c r="D1091" s="18" t="s">
        <v>196</v>
      </c>
      <c r="E1091" s="18" t="s">
        <v>201</v>
      </c>
      <c r="F1091" s="18" t="s">
        <v>1317</v>
      </c>
      <c r="G1091" s="19">
        <v>5521358</v>
      </c>
      <c r="H1091" s="18" t="s">
        <v>1317</v>
      </c>
      <c r="I1091" s="19">
        <v>4629845</v>
      </c>
      <c r="J1091" s="18" t="s">
        <v>1015</v>
      </c>
      <c r="K1091" s="19">
        <v>303.91</v>
      </c>
      <c r="L1091" s="19">
        <v>6759</v>
      </c>
      <c r="M1091" s="19">
        <v>710</v>
      </c>
      <c r="N1091" s="20">
        <v>0.105</v>
      </c>
      <c r="O1091" s="19">
        <v>0.43</v>
      </c>
      <c r="P1091" s="19">
        <v>44.96</v>
      </c>
      <c r="Q1091" s="19">
        <v>2</v>
      </c>
      <c r="R1091" s="19">
        <v>0</v>
      </c>
      <c r="S1091" s="19">
        <v>0</v>
      </c>
      <c r="T1091" s="19">
        <v>0</v>
      </c>
      <c r="U1091" s="19">
        <v>0</v>
      </c>
      <c r="V1091" s="19">
        <v>2</v>
      </c>
      <c r="W1091" s="19">
        <v>151.96</v>
      </c>
      <c r="X1091" s="19">
        <v>7</v>
      </c>
      <c r="Y1091" s="20">
        <v>0.0099</v>
      </c>
      <c r="Z1091" s="19">
        <v>0</v>
      </c>
      <c r="AA1091" s="19">
        <v>1</v>
      </c>
      <c r="AB1091" t="str">
        <f>VLOOKUP(E:E,笔记匹配!A:N,3,FALSE)</f>
        <v>包子熟了</v>
      </c>
      <c r="AC1091" t="str">
        <f>VLOOKUP(E:E,笔记匹配!A:N,2,FALSE)</f>
        <v>筋膜枪</v>
      </c>
      <c r="AD1091" t="str">
        <f>VLOOKUP(E:E,笔记匹配!A:N,4,FALSE)</f>
        <v>云麦筋膜枪</v>
      </c>
      <c r="AE1091" t="str">
        <f>VLOOKUP(E:E,笔记匹配!A:N,14,FALSE)</f>
        <v>云麦筋膜枪pb2</v>
      </c>
      <c r="AF1091" t="str">
        <f>VLOOKUP(E:E,笔记匹配!A:N,6,FALSE)</f>
        <v>筋膜枪测评|健身小白如何挑选筋膜枪？</v>
      </c>
    </row>
    <row r="1092" spans="1:32">
      <c r="A1092" s="18" t="s">
        <v>156</v>
      </c>
      <c r="B1092" s="18" t="s">
        <v>1229</v>
      </c>
      <c r="C1092" s="19">
        <v>19752470</v>
      </c>
      <c r="D1092" s="18" t="s">
        <v>209</v>
      </c>
      <c r="E1092" s="18" t="s">
        <v>300</v>
      </c>
      <c r="F1092" s="18" t="s">
        <v>1230</v>
      </c>
      <c r="G1092" s="19">
        <v>4384092</v>
      </c>
      <c r="H1092" s="18" t="s">
        <v>1230</v>
      </c>
      <c r="I1092" s="19">
        <v>3756475</v>
      </c>
      <c r="J1092" s="18" t="s">
        <v>1015</v>
      </c>
      <c r="K1092" s="19">
        <v>0</v>
      </c>
      <c r="L1092" s="19">
        <v>0</v>
      </c>
      <c r="M1092" s="19">
        <v>0</v>
      </c>
      <c r="N1092" s="20">
        <v>0</v>
      </c>
      <c r="O1092" s="19">
        <v>0</v>
      </c>
      <c r="P1092" s="19">
        <v>0</v>
      </c>
      <c r="Q1092" s="19">
        <v>0</v>
      </c>
      <c r="R1092" s="19">
        <v>0</v>
      </c>
      <c r="S1092" s="19">
        <v>0</v>
      </c>
      <c r="T1092" s="19">
        <v>0</v>
      </c>
      <c r="U1092" s="19">
        <v>0</v>
      </c>
      <c r="V1092" s="19">
        <v>0</v>
      </c>
      <c r="W1092" s="19">
        <v>0</v>
      </c>
      <c r="X1092" s="19">
        <v>0</v>
      </c>
      <c r="Y1092" s="20">
        <v>0</v>
      </c>
      <c r="Z1092" s="19">
        <v>0</v>
      </c>
      <c r="AA1092" s="19">
        <v>0</v>
      </c>
      <c r="AB1092" t="str">
        <f>VLOOKUP(E:E,笔记匹配!A:N,3,FALSE)</f>
        <v>朱俊畅</v>
      </c>
      <c r="AC1092" t="str">
        <f>VLOOKUP(E:E,笔记匹配!A:N,2,FALSE)</f>
        <v>筋膜枪</v>
      </c>
      <c r="AD1092" t="str">
        <f>VLOOKUP(E:E,笔记匹配!A:N,4,FALSE)</f>
        <v>云麦筋膜枪PB2</v>
      </c>
      <c r="AE1092" t="str">
        <f>VLOOKUP(E:E,笔记匹配!A:N,14,FALSE)</f>
        <v>云麦筋膜枪pb2</v>
      </c>
      <c r="AF1092" t="str">
        <f>VLOOKUP(E:E,笔记匹配!A:N,6,FALSE)</f>
        <v>打球完容易肌肉酸痛，筋膜枪放松更有效！</v>
      </c>
    </row>
    <row r="1093" spans="1:32">
      <c r="A1093" s="18" t="s">
        <v>156</v>
      </c>
      <c r="B1093" s="18" t="s">
        <v>1294</v>
      </c>
      <c r="C1093" s="19">
        <v>21747929</v>
      </c>
      <c r="D1093" s="18" t="s">
        <v>209</v>
      </c>
      <c r="E1093" s="18" t="s">
        <v>208</v>
      </c>
      <c r="F1093" s="18" t="s">
        <v>1295</v>
      </c>
      <c r="G1093" s="19">
        <v>5366393</v>
      </c>
      <c r="H1093" s="18" t="s">
        <v>1295</v>
      </c>
      <c r="I1093" s="19">
        <v>4512630</v>
      </c>
      <c r="J1093" s="18" t="s">
        <v>1015</v>
      </c>
      <c r="K1093" s="19">
        <v>10.55</v>
      </c>
      <c r="L1093" s="19">
        <v>718</v>
      </c>
      <c r="M1093" s="19">
        <v>60</v>
      </c>
      <c r="N1093" s="20">
        <v>0.0836</v>
      </c>
      <c r="O1093" s="19">
        <v>0.18</v>
      </c>
      <c r="P1093" s="19">
        <v>14.69</v>
      </c>
      <c r="Q1093" s="19">
        <v>0</v>
      </c>
      <c r="R1093" s="19">
        <v>0</v>
      </c>
      <c r="S1093" s="19">
        <v>0</v>
      </c>
      <c r="T1093" s="19">
        <v>0</v>
      </c>
      <c r="U1093" s="19">
        <v>0</v>
      </c>
      <c r="V1093" s="19">
        <v>0</v>
      </c>
      <c r="W1093" s="19">
        <v>0</v>
      </c>
      <c r="X1093" s="19">
        <v>0</v>
      </c>
      <c r="Y1093" s="20">
        <v>0</v>
      </c>
      <c r="Z1093" s="19">
        <v>0</v>
      </c>
      <c r="AA1093" s="19">
        <v>0</v>
      </c>
      <c r="AB1093" t="str">
        <f>VLOOKUP(E:E,笔记匹配!A:N,3,FALSE)</f>
        <v>小羊羔崽子</v>
      </c>
      <c r="AC1093" t="str">
        <f>VLOOKUP(E:E,笔记匹配!A:N,2,FALSE)</f>
        <v>筋膜枪</v>
      </c>
      <c r="AD1093" t="str">
        <f>VLOOKUP(E:E,笔记匹配!A:N,4,FALSE)</f>
        <v>云麦筋膜枪PB2</v>
      </c>
      <c r="AE1093" t="str">
        <f>VLOOKUP(E:E,笔记匹配!A:N,14,FALSE)</f>
        <v>云麦筋膜枪pb2</v>
      </c>
      <c r="AF1093" t="str">
        <f>VLOOKUP(E:E,笔记匹配!A:N,6,FALSE)</f>
        <v>用了多年泡沫轴，才知道筋膜枪是真的香！！！</v>
      </c>
    </row>
    <row r="1094" spans="1:32">
      <c r="A1094" s="18" t="s">
        <v>156</v>
      </c>
      <c r="B1094" s="18" t="s">
        <v>1294</v>
      </c>
      <c r="C1094" s="19">
        <v>21747992</v>
      </c>
      <c r="D1094" s="18" t="s">
        <v>209</v>
      </c>
      <c r="E1094" s="18" t="s">
        <v>292</v>
      </c>
      <c r="F1094" s="18" t="s">
        <v>1296</v>
      </c>
      <c r="G1094" s="19">
        <v>5366424</v>
      </c>
      <c r="H1094" s="18" t="s">
        <v>1296</v>
      </c>
      <c r="I1094" s="19">
        <v>4512653</v>
      </c>
      <c r="J1094" s="18" t="s">
        <v>1015</v>
      </c>
      <c r="K1094" s="19">
        <v>1643.98</v>
      </c>
      <c r="L1094" s="19">
        <v>116021</v>
      </c>
      <c r="M1094" s="19">
        <v>9745</v>
      </c>
      <c r="N1094" s="20">
        <v>0.084</v>
      </c>
      <c r="O1094" s="19">
        <v>0.17</v>
      </c>
      <c r="P1094" s="19">
        <v>14.17</v>
      </c>
      <c r="Q1094" s="19">
        <v>856</v>
      </c>
      <c r="R1094" s="19">
        <v>3</v>
      </c>
      <c r="S1094" s="19">
        <v>1178</v>
      </c>
      <c r="T1094" s="19">
        <v>62</v>
      </c>
      <c r="U1094" s="19">
        <v>43</v>
      </c>
      <c r="V1094" s="19">
        <v>2142</v>
      </c>
      <c r="W1094" s="19">
        <v>0.77</v>
      </c>
      <c r="X1094" s="19">
        <v>0</v>
      </c>
      <c r="Y1094" s="20">
        <v>0</v>
      </c>
      <c r="Z1094" s="19">
        <v>26</v>
      </c>
      <c r="AA1094" s="19">
        <v>56</v>
      </c>
      <c r="AB1094" t="str">
        <f>VLOOKUP(E:E,笔记匹配!A:N,3,FALSE)</f>
        <v>形体矫正小李</v>
      </c>
      <c r="AC1094" t="str">
        <f>VLOOKUP(E:E,笔记匹配!A:N,2,FALSE)</f>
        <v>筋膜枪</v>
      </c>
      <c r="AD1094" t="str">
        <f>VLOOKUP(E:E,笔记匹配!A:N,4,FALSE)</f>
        <v>云麦筋膜枪PB2</v>
      </c>
      <c r="AE1094" t="str">
        <f>VLOOKUP(E:E,笔记匹配!A:N,14,FALSE)</f>
        <v>云麦筋膜枪pb2</v>
      </c>
      <c r="AF1094" t="str">
        <f>VLOOKUP(E:E,笔记匹配!A:N,6,FALSE)</f>
        <v>大腿内侧赘肉消失术‼️练出细长漫画腿全靠它</v>
      </c>
    </row>
    <row r="1095" spans="1:32">
      <c r="A1095" s="18" t="s">
        <v>156</v>
      </c>
      <c r="B1095" s="18" t="s">
        <v>1303</v>
      </c>
      <c r="C1095" s="19">
        <v>21880743</v>
      </c>
      <c r="D1095" s="18" t="s">
        <v>209</v>
      </c>
      <c r="E1095" s="18" t="s">
        <v>234</v>
      </c>
      <c r="F1095" s="18" t="s">
        <v>1304</v>
      </c>
      <c r="G1095" s="19">
        <v>5428999</v>
      </c>
      <c r="H1095" s="18" t="s">
        <v>1304</v>
      </c>
      <c r="I1095" s="19">
        <v>4559759</v>
      </c>
      <c r="J1095" s="18" t="s">
        <v>1015</v>
      </c>
      <c r="K1095" s="19">
        <v>508.16</v>
      </c>
      <c r="L1095" s="19">
        <v>54101</v>
      </c>
      <c r="M1095" s="19">
        <v>2778</v>
      </c>
      <c r="N1095" s="20">
        <v>0.0513</v>
      </c>
      <c r="O1095" s="19">
        <v>0.18</v>
      </c>
      <c r="P1095" s="19">
        <v>9.39</v>
      </c>
      <c r="Q1095" s="19">
        <v>42</v>
      </c>
      <c r="R1095" s="19">
        <v>2</v>
      </c>
      <c r="S1095" s="19">
        <v>10</v>
      </c>
      <c r="T1095" s="19">
        <v>1</v>
      </c>
      <c r="U1095" s="19">
        <v>1</v>
      </c>
      <c r="V1095" s="19">
        <v>56</v>
      </c>
      <c r="W1095" s="19">
        <v>9.07</v>
      </c>
      <c r="X1095" s="19">
        <v>0</v>
      </c>
      <c r="Y1095" s="20">
        <v>0</v>
      </c>
      <c r="Z1095" s="19">
        <v>4</v>
      </c>
      <c r="AA1095" s="19">
        <v>0</v>
      </c>
      <c r="AB1095" t="str">
        <f>VLOOKUP(E:E,笔记匹配!A:N,3,FALSE)</f>
        <v>pp</v>
      </c>
      <c r="AC1095" t="str">
        <f>VLOOKUP(E:E,笔记匹配!A:N,2,FALSE)</f>
        <v>体脂秤</v>
      </c>
      <c r="AD1095" t="str">
        <f>VLOOKUP(E:E,笔记匹配!A:N,4,FALSE)</f>
        <v>云麦体脂秤3mini</v>
      </c>
      <c r="AE1095" t="str">
        <f>VLOOKUP(E:E,笔记匹配!A:N,14,FALSE)</f>
        <v>云麦体脂秤3mini</v>
      </c>
      <c r="AF1095" t="str">
        <f>VLOOKUP(E:E,笔记匹配!A:N,6,FALSE)</f>
        <v>110到88 一些减肥小建议｜如何正确运动</v>
      </c>
    </row>
    <row r="1096" spans="1:32">
      <c r="A1096" s="18" t="s">
        <v>156</v>
      </c>
      <c r="B1096" s="18" t="s">
        <v>1297</v>
      </c>
      <c r="C1096" s="19">
        <v>21881635</v>
      </c>
      <c r="D1096" s="18" t="s">
        <v>196</v>
      </c>
      <c r="E1096" s="18" t="s">
        <v>234</v>
      </c>
      <c r="F1096" s="18" t="s">
        <v>1306</v>
      </c>
      <c r="G1096" s="19">
        <v>5429032</v>
      </c>
      <c r="H1096" s="18" t="s">
        <v>1307</v>
      </c>
      <c r="I1096" s="19">
        <v>4559792</v>
      </c>
      <c r="J1096" s="18" t="s">
        <v>1015</v>
      </c>
      <c r="K1096" s="19">
        <v>108</v>
      </c>
      <c r="L1096" s="19">
        <v>9736</v>
      </c>
      <c r="M1096" s="19">
        <v>239</v>
      </c>
      <c r="N1096" s="20">
        <v>0.0245</v>
      </c>
      <c r="O1096" s="19">
        <v>0.45</v>
      </c>
      <c r="P1096" s="19">
        <v>11.09</v>
      </c>
      <c r="Q1096" s="19">
        <v>4</v>
      </c>
      <c r="R1096" s="19">
        <v>0</v>
      </c>
      <c r="S1096" s="19">
        <v>1</v>
      </c>
      <c r="T1096" s="19">
        <v>0</v>
      </c>
      <c r="U1096" s="19">
        <v>0</v>
      </c>
      <c r="V1096" s="19">
        <v>5</v>
      </c>
      <c r="W1096" s="19">
        <v>21.6</v>
      </c>
      <c r="X1096" s="19">
        <v>0</v>
      </c>
      <c r="Y1096" s="20">
        <v>0</v>
      </c>
      <c r="Z1096" s="19">
        <v>0</v>
      </c>
      <c r="AA1096" s="19">
        <v>0</v>
      </c>
      <c r="AB1096" t="str">
        <f>VLOOKUP(E:E,笔记匹配!A:N,3,FALSE)</f>
        <v>pp</v>
      </c>
      <c r="AC1096" t="str">
        <f>VLOOKUP(E:E,笔记匹配!A:N,2,FALSE)</f>
        <v>体脂秤</v>
      </c>
      <c r="AD1096" t="str">
        <f>VLOOKUP(E:E,笔记匹配!A:N,4,FALSE)</f>
        <v>云麦体脂秤3mini</v>
      </c>
      <c r="AE1096" t="str">
        <f>VLOOKUP(E:E,笔记匹配!A:N,14,FALSE)</f>
        <v>云麦体脂秤3mini</v>
      </c>
      <c r="AF1096" t="str">
        <f>VLOOKUP(E:E,笔记匹配!A:N,6,FALSE)</f>
        <v>110到88 一些减肥小建议｜如何正确运动</v>
      </c>
    </row>
    <row r="1097" spans="1:32">
      <c r="A1097" s="18" t="s">
        <v>156</v>
      </c>
      <c r="B1097" s="18" t="s">
        <v>1308</v>
      </c>
      <c r="C1097" s="19">
        <v>21881978</v>
      </c>
      <c r="D1097" s="18" t="s">
        <v>196</v>
      </c>
      <c r="E1097" s="18" t="s">
        <v>234</v>
      </c>
      <c r="F1097" s="18" t="s">
        <v>1309</v>
      </c>
      <c r="G1097" s="19">
        <v>5429663</v>
      </c>
      <c r="H1097" s="18" t="s">
        <v>1310</v>
      </c>
      <c r="I1097" s="19">
        <v>4560362</v>
      </c>
      <c r="J1097" s="18" t="s">
        <v>1015</v>
      </c>
      <c r="K1097" s="19">
        <v>325.83</v>
      </c>
      <c r="L1097" s="19">
        <v>14322</v>
      </c>
      <c r="M1097" s="19">
        <v>361</v>
      </c>
      <c r="N1097" s="20">
        <v>0.0252</v>
      </c>
      <c r="O1097" s="19">
        <v>0.9</v>
      </c>
      <c r="P1097" s="19">
        <v>22.75</v>
      </c>
      <c r="Q1097" s="19">
        <v>2</v>
      </c>
      <c r="R1097" s="19">
        <v>0</v>
      </c>
      <c r="S1097" s="19">
        <v>1</v>
      </c>
      <c r="T1097" s="19">
        <v>0</v>
      </c>
      <c r="U1097" s="19">
        <v>0</v>
      </c>
      <c r="V1097" s="19">
        <v>3</v>
      </c>
      <c r="W1097" s="19">
        <v>108.61</v>
      </c>
      <c r="X1097" s="19">
        <v>0</v>
      </c>
      <c r="Y1097" s="20">
        <v>0</v>
      </c>
      <c r="Z1097" s="19">
        <v>1</v>
      </c>
      <c r="AA1097" s="19">
        <v>0</v>
      </c>
      <c r="AB1097" t="str">
        <f>VLOOKUP(E:E,笔记匹配!A:N,3,FALSE)</f>
        <v>pp</v>
      </c>
      <c r="AC1097" t="str">
        <f>VLOOKUP(E:E,笔记匹配!A:N,2,FALSE)</f>
        <v>体脂秤</v>
      </c>
      <c r="AD1097" t="str">
        <f>VLOOKUP(E:E,笔记匹配!A:N,4,FALSE)</f>
        <v>云麦体脂秤3mini</v>
      </c>
      <c r="AE1097" t="str">
        <f>VLOOKUP(E:E,笔记匹配!A:N,14,FALSE)</f>
        <v>云麦体脂秤3mini</v>
      </c>
      <c r="AF1097" t="str">
        <f>VLOOKUP(E:E,笔记匹配!A:N,6,FALSE)</f>
        <v>110到88 一些减肥小建议｜如何正确运动</v>
      </c>
    </row>
    <row r="1098" spans="1:32">
      <c r="A1098" s="18" t="s">
        <v>156</v>
      </c>
      <c r="B1098" s="18" t="s">
        <v>1311</v>
      </c>
      <c r="C1098" s="19">
        <v>21978813</v>
      </c>
      <c r="D1098" s="18" t="s">
        <v>209</v>
      </c>
      <c r="E1098" s="18" t="s">
        <v>252</v>
      </c>
      <c r="F1098" s="18" t="s">
        <v>1312</v>
      </c>
      <c r="G1098" s="19">
        <v>5474004</v>
      </c>
      <c r="H1098" s="18" t="s">
        <v>1312</v>
      </c>
      <c r="I1098" s="19">
        <v>4594476</v>
      </c>
      <c r="J1098" s="18" t="s">
        <v>1015</v>
      </c>
      <c r="K1098" s="19">
        <v>202.72</v>
      </c>
      <c r="L1098" s="19">
        <v>20433</v>
      </c>
      <c r="M1098" s="19">
        <v>1375</v>
      </c>
      <c r="N1098" s="20">
        <v>0.0673</v>
      </c>
      <c r="O1098" s="19">
        <v>0.15</v>
      </c>
      <c r="P1098" s="19">
        <v>9.92</v>
      </c>
      <c r="Q1098" s="19">
        <v>47</v>
      </c>
      <c r="R1098" s="19">
        <v>0</v>
      </c>
      <c r="S1098" s="19">
        <v>24</v>
      </c>
      <c r="T1098" s="19">
        <v>1</v>
      </c>
      <c r="U1098" s="19">
        <v>2</v>
      </c>
      <c r="V1098" s="19">
        <v>74</v>
      </c>
      <c r="W1098" s="19">
        <v>2.74</v>
      </c>
      <c r="X1098" s="19">
        <v>0</v>
      </c>
      <c r="Y1098" s="20">
        <v>0</v>
      </c>
      <c r="Z1098" s="19">
        <v>0</v>
      </c>
      <c r="AA1098" s="19">
        <v>1</v>
      </c>
      <c r="AB1098" t="str">
        <f>VLOOKUP(E:E,笔记匹配!A:N,3,FALSE)</f>
        <v>脆鱼日记</v>
      </c>
      <c r="AC1098" t="str">
        <f>VLOOKUP(E:E,笔记匹配!A:N,2,FALSE)</f>
        <v>筋膜枪</v>
      </c>
      <c r="AD1098" t="str">
        <f>VLOOKUP(E:E,笔记匹配!A:N,4,FALSE)</f>
        <v>云麦筋膜枪cc</v>
      </c>
      <c r="AE1098" t="str">
        <f>VLOOKUP(E:E,笔记匹配!A:N,14,FALSE)</f>
        <v>云麦筋膜枪ccgo</v>
      </c>
      <c r="AF1098" t="str">
        <f>VLOOKUP(E:E,笔记匹配!A:N,6,FALSE)</f>
        <v>每天坚持这4个动作🔥瘦脂包肌小腿‼️已瘦4cm</v>
      </c>
    </row>
    <row r="1099" spans="1:32">
      <c r="A1099" s="18" t="s">
        <v>156</v>
      </c>
      <c r="B1099" s="18" t="s">
        <v>1311</v>
      </c>
      <c r="C1099" s="19">
        <v>21988099</v>
      </c>
      <c r="D1099" s="18" t="s">
        <v>209</v>
      </c>
      <c r="E1099" s="18" t="s">
        <v>555</v>
      </c>
      <c r="F1099" s="18" t="s">
        <v>1313</v>
      </c>
      <c r="G1099" s="19">
        <v>5479098</v>
      </c>
      <c r="H1099" s="18" t="s">
        <v>1313</v>
      </c>
      <c r="I1099" s="19">
        <v>4598049</v>
      </c>
      <c r="J1099" s="18" t="s">
        <v>1015</v>
      </c>
      <c r="K1099" s="19">
        <v>7.41</v>
      </c>
      <c r="L1099" s="19">
        <v>283</v>
      </c>
      <c r="M1099" s="19">
        <v>10</v>
      </c>
      <c r="N1099" s="20">
        <v>0.0353</v>
      </c>
      <c r="O1099" s="19">
        <v>0.74</v>
      </c>
      <c r="P1099" s="19">
        <v>26.18</v>
      </c>
      <c r="Q1099" s="19">
        <v>2</v>
      </c>
      <c r="R1099" s="19">
        <v>0</v>
      </c>
      <c r="S1099" s="19">
        <v>0</v>
      </c>
      <c r="T1099" s="19">
        <v>0</v>
      </c>
      <c r="U1099" s="19">
        <v>0</v>
      </c>
      <c r="V1099" s="19">
        <v>2</v>
      </c>
      <c r="W1099" s="19">
        <v>3.7</v>
      </c>
      <c r="X1099" s="19">
        <v>0</v>
      </c>
      <c r="Y1099" s="20">
        <v>0</v>
      </c>
      <c r="Z1099" s="19">
        <v>1</v>
      </c>
      <c r="AA1099" s="19">
        <v>0</v>
      </c>
      <c r="AB1099" t="str">
        <f>VLOOKUP(E:E,笔记匹配!A:N,3,FALSE)</f>
        <v>蜜桃少女宁小美</v>
      </c>
      <c r="AC1099" t="str">
        <f>VLOOKUP(E:E,笔记匹配!A:N,2,FALSE)</f>
        <v>筋膜枪</v>
      </c>
      <c r="AD1099" t="str">
        <f>VLOOKUP(E:E,笔记匹配!A:N,4,FALSE)</f>
        <v>云麦筋膜枪cc</v>
      </c>
      <c r="AE1099" t="str">
        <f>VLOOKUP(E:E,笔记匹配!A:N,14,FALSE)</f>
        <v>云麦筋膜枪ccgo</v>
      </c>
      <c r="AF1099" t="str">
        <f>VLOOKUP(E:E,笔记匹配!A:N,6,FALSE)</f>
        <v>全款拿下2022宅家按摩神器🔥奶呼呼的巨可爱</v>
      </c>
    </row>
    <row r="1100" spans="1:32">
      <c r="A1100" s="18" t="s">
        <v>156</v>
      </c>
      <c r="B1100" s="18" t="s">
        <v>1314</v>
      </c>
      <c r="C1100" s="19">
        <v>22072602</v>
      </c>
      <c r="D1100" s="18" t="s">
        <v>209</v>
      </c>
      <c r="E1100" s="18" t="s">
        <v>274</v>
      </c>
      <c r="F1100" s="18" t="s">
        <v>1315</v>
      </c>
      <c r="G1100" s="19">
        <v>5521266</v>
      </c>
      <c r="H1100" s="18" t="s">
        <v>1315</v>
      </c>
      <c r="I1100" s="19">
        <v>4629783</v>
      </c>
      <c r="J1100" s="18" t="s">
        <v>1015</v>
      </c>
      <c r="K1100" s="19">
        <v>4.8</v>
      </c>
      <c r="L1100" s="19">
        <v>467</v>
      </c>
      <c r="M1100" s="19">
        <v>25</v>
      </c>
      <c r="N1100" s="20">
        <v>0.0535</v>
      </c>
      <c r="O1100" s="19">
        <v>0.19</v>
      </c>
      <c r="P1100" s="19">
        <v>10.28</v>
      </c>
      <c r="Q1100" s="19">
        <v>0</v>
      </c>
      <c r="R1100" s="19">
        <v>0</v>
      </c>
      <c r="S1100" s="19">
        <v>0</v>
      </c>
      <c r="T1100" s="19">
        <v>0</v>
      </c>
      <c r="U1100" s="19">
        <v>0</v>
      </c>
      <c r="V1100" s="19">
        <v>0</v>
      </c>
      <c r="W1100" s="19">
        <v>0</v>
      </c>
      <c r="X1100" s="19">
        <v>0</v>
      </c>
      <c r="Y1100" s="20">
        <v>0</v>
      </c>
      <c r="Z1100" s="19">
        <v>0</v>
      </c>
      <c r="AA1100" s="19">
        <v>0</v>
      </c>
      <c r="AB1100" t="str">
        <f>VLOOKUP(E:E,笔记匹配!A:N,3,FALSE)</f>
        <v>西米是个小可爱</v>
      </c>
      <c r="AC1100" t="str">
        <f>VLOOKUP(E:E,笔记匹配!A:N,2,FALSE)</f>
        <v>筋膜枪</v>
      </c>
      <c r="AD1100" t="str">
        <f>VLOOKUP(E:E,笔记匹配!A:N,4,FALSE)</f>
        <v>云麦筋膜枪PB2</v>
      </c>
      <c r="AE1100" t="str">
        <f>VLOOKUP(E:E,笔记匹配!A:N,14,FALSE)</f>
        <v>云麦筋膜枪pb2</v>
      </c>
      <c r="AF1100" t="str">
        <f>VLOOKUP(E:E,笔记匹配!A:N,6,FALSE)</f>
        <v>筋膜枪千万不能乱用！正确肩颈使用方法</v>
      </c>
    </row>
    <row r="1101" spans="1:32">
      <c r="A1101" s="18" t="s">
        <v>156</v>
      </c>
      <c r="B1101" s="18" t="s">
        <v>1316</v>
      </c>
      <c r="C1101" s="19">
        <v>22072814</v>
      </c>
      <c r="D1101" s="18" t="s">
        <v>196</v>
      </c>
      <c r="E1101" s="18" t="s">
        <v>201</v>
      </c>
      <c r="F1101" s="18" t="s">
        <v>1317</v>
      </c>
      <c r="G1101" s="19">
        <v>5521358</v>
      </c>
      <c r="H1101" s="18" t="s">
        <v>1317</v>
      </c>
      <c r="I1101" s="19">
        <v>4629845</v>
      </c>
      <c r="J1101" s="18" t="s">
        <v>1015</v>
      </c>
      <c r="K1101" s="19">
        <v>190.29</v>
      </c>
      <c r="L1101" s="19">
        <v>4143</v>
      </c>
      <c r="M1101" s="19">
        <v>416</v>
      </c>
      <c r="N1101" s="20">
        <v>0.1004</v>
      </c>
      <c r="O1101" s="19">
        <v>0.46</v>
      </c>
      <c r="P1101" s="19">
        <v>45.93</v>
      </c>
      <c r="Q1101" s="19">
        <v>1</v>
      </c>
      <c r="R1101" s="19">
        <v>0</v>
      </c>
      <c r="S1101" s="19">
        <v>0</v>
      </c>
      <c r="T1101" s="19">
        <v>0</v>
      </c>
      <c r="U1101" s="19">
        <v>0</v>
      </c>
      <c r="V1101" s="19">
        <v>1</v>
      </c>
      <c r="W1101" s="19">
        <v>190.29</v>
      </c>
      <c r="X1101" s="19">
        <v>5</v>
      </c>
      <c r="Y1101" s="20">
        <v>0.012</v>
      </c>
      <c r="Z1101" s="19">
        <v>0</v>
      </c>
      <c r="AA1101" s="19">
        <v>2</v>
      </c>
      <c r="AB1101" t="str">
        <f>VLOOKUP(E:E,笔记匹配!A:N,3,FALSE)</f>
        <v>包子熟了</v>
      </c>
      <c r="AC1101" t="str">
        <f>VLOOKUP(E:E,笔记匹配!A:N,2,FALSE)</f>
        <v>筋膜枪</v>
      </c>
      <c r="AD1101" t="str">
        <f>VLOOKUP(E:E,笔记匹配!A:N,4,FALSE)</f>
        <v>云麦筋膜枪</v>
      </c>
      <c r="AE1101" t="str">
        <f>VLOOKUP(E:E,笔记匹配!A:N,14,FALSE)</f>
        <v>云麦筋膜枪pb2</v>
      </c>
      <c r="AF1101" t="str">
        <f>VLOOKUP(E:E,笔记匹配!A:N,6,FALSE)</f>
        <v>筋膜枪测评|健身小白如何挑选筋膜枪？</v>
      </c>
    </row>
    <row r="1102" spans="1:32">
      <c r="A1102" s="18" t="s">
        <v>156</v>
      </c>
      <c r="B1102" s="18" t="s">
        <v>1316</v>
      </c>
      <c r="C1102" s="19">
        <v>22072908</v>
      </c>
      <c r="D1102" s="18" t="s">
        <v>196</v>
      </c>
      <c r="E1102" s="18" t="s">
        <v>201</v>
      </c>
      <c r="F1102" s="18" t="s">
        <v>1318</v>
      </c>
      <c r="G1102" s="19">
        <v>5521414</v>
      </c>
      <c r="H1102" s="18" t="s">
        <v>1318</v>
      </c>
      <c r="I1102" s="19">
        <v>4629891</v>
      </c>
      <c r="J1102" s="18" t="s">
        <v>1015</v>
      </c>
      <c r="K1102" s="19">
        <v>313.25</v>
      </c>
      <c r="L1102" s="19">
        <v>3818</v>
      </c>
      <c r="M1102" s="19">
        <v>402</v>
      </c>
      <c r="N1102" s="20">
        <v>0.1053</v>
      </c>
      <c r="O1102" s="19">
        <v>0.78</v>
      </c>
      <c r="P1102" s="19">
        <v>82.05</v>
      </c>
      <c r="Q1102" s="19">
        <v>4</v>
      </c>
      <c r="R1102" s="19">
        <v>0</v>
      </c>
      <c r="S1102" s="19">
        <v>1</v>
      </c>
      <c r="T1102" s="19">
        <v>0</v>
      </c>
      <c r="U1102" s="19">
        <v>2</v>
      </c>
      <c r="V1102" s="19">
        <v>7</v>
      </c>
      <c r="W1102" s="19">
        <v>44.75</v>
      </c>
      <c r="X1102" s="19">
        <v>2</v>
      </c>
      <c r="Y1102" s="20">
        <v>0.005</v>
      </c>
      <c r="Z1102" s="19">
        <v>2</v>
      </c>
      <c r="AA1102" s="19">
        <v>2</v>
      </c>
      <c r="AB1102" t="str">
        <f>VLOOKUP(E:E,笔记匹配!A:N,3,FALSE)</f>
        <v>包子熟了</v>
      </c>
      <c r="AC1102" t="str">
        <f>VLOOKUP(E:E,笔记匹配!A:N,2,FALSE)</f>
        <v>筋膜枪</v>
      </c>
      <c r="AD1102" t="str">
        <f>VLOOKUP(E:E,笔记匹配!A:N,4,FALSE)</f>
        <v>云麦筋膜枪</v>
      </c>
      <c r="AE1102" t="str">
        <f>VLOOKUP(E:E,笔记匹配!A:N,14,FALSE)</f>
        <v>云麦筋膜枪pb2</v>
      </c>
      <c r="AF1102" t="str">
        <f>VLOOKUP(E:E,笔记匹配!A:N,6,FALSE)</f>
        <v>筋膜枪测评|健身小白如何挑选筋膜枪？</v>
      </c>
    </row>
    <row r="1103" spans="1:32">
      <c r="A1103" s="18" t="s">
        <v>157</v>
      </c>
      <c r="B1103" s="18" t="s">
        <v>1286</v>
      </c>
      <c r="C1103" s="19">
        <v>21600849</v>
      </c>
      <c r="D1103" s="18" t="s">
        <v>209</v>
      </c>
      <c r="E1103" s="18" t="s">
        <v>303</v>
      </c>
      <c r="F1103" s="18" t="s">
        <v>1288</v>
      </c>
      <c r="G1103" s="19">
        <v>5300358</v>
      </c>
      <c r="H1103" s="18" t="s">
        <v>1288</v>
      </c>
      <c r="I1103" s="19">
        <v>4462859</v>
      </c>
      <c r="J1103" s="18" t="s">
        <v>1015</v>
      </c>
      <c r="K1103" s="19">
        <v>0</v>
      </c>
      <c r="L1103" s="19">
        <v>0</v>
      </c>
      <c r="M1103" s="19">
        <v>0</v>
      </c>
      <c r="N1103" s="20">
        <v>0</v>
      </c>
      <c r="O1103" s="19">
        <v>0</v>
      </c>
      <c r="P1103" s="19">
        <v>0</v>
      </c>
      <c r="Q1103" s="19">
        <v>0</v>
      </c>
      <c r="R1103" s="19">
        <v>0</v>
      </c>
      <c r="S1103" s="19">
        <v>0</v>
      </c>
      <c r="T1103" s="19">
        <v>0</v>
      </c>
      <c r="U1103" s="19">
        <v>0</v>
      </c>
      <c r="V1103" s="19">
        <v>0</v>
      </c>
      <c r="W1103" s="19">
        <v>0</v>
      </c>
      <c r="X1103" s="19">
        <v>0</v>
      </c>
      <c r="Y1103" s="20">
        <v>0</v>
      </c>
      <c r="Z1103" s="19">
        <v>0</v>
      </c>
      <c r="AA1103" s="19">
        <v>0</v>
      </c>
      <c r="AB1103" t="str">
        <f>VLOOKUP(E:E,笔记匹配!A:N,3,FALSE)</f>
        <v>橘子汽水</v>
      </c>
      <c r="AC1103" t="str">
        <f>VLOOKUP(E:E,笔记匹配!A:N,2,FALSE)</f>
        <v>体脂秤</v>
      </c>
      <c r="AD1103" t="str">
        <f>VLOOKUP(E:E,笔记匹配!A:N,4,FALSE)</f>
        <v>云麦体脂秤3mini</v>
      </c>
      <c r="AE1103" t="str">
        <f>VLOOKUP(E:E,笔记匹配!A:N,14,FALSE)</f>
        <v>云麦体脂秤3mini</v>
      </c>
      <c r="AF1103" t="str">
        <f>VLOOKUP(E:E,笔记匹配!A:N,6,FALSE)</f>
        <v>请一定要相信帕梅拉虐腹，效果是真的🉑❗</v>
      </c>
    </row>
    <row r="1104" spans="1:32">
      <c r="A1104" s="18" t="s">
        <v>157</v>
      </c>
      <c r="B1104" s="18" t="s">
        <v>1294</v>
      </c>
      <c r="C1104" s="19">
        <v>21747929</v>
      </c>
      <c r="D1104" s="18" t="s">
        <v>209</v>
      </c>
      <c r="E1104" s="18" t="s">
        <v>208</v>
      </c>
      <c r="F1104" s="18" t="s">
        <v>1295</v>
      </c>
      <c r="G1104" s="19">
        <v>5366393</v>
      </c>
      <c r="H1104" s="18" t="s">
        <v>1295</v>
      </c>
      <c r="I1104" s="19">
        <v>4512630</v>
      </c>
      <c r="J1104" s="18" t="s">
        <v>1015</v>
      </c>
      <c r="K1104" s="19">
        <v>0</v>
      </c>
      <c r="L1104" s="19">
        <v>0</v>
      </c>
      <c r="M1104" s="19">
        <v>0</v>
      </c>
      <c r="N1104" s="20">
        <v>0</v>
      </c>
      <c r="O1104" s="19">
        <v>0</v>
      </c>
      <c r="P1104" s="19">
        <v>0</v>
      </c>
      <c r="Q1104" s="19">
        <v>0</v>
      </c>
      <c r="R1104" s="19">
        <v>0</v>
      </c>
      <c r="S1104" s="19">
        <v>0</v>
      </c>
      <c r="T1104" s="19">
        <v>0</v>
      </c>
      <c r="U1104" s="19">
        <v>0</v>
      </c>
      <c r="V1104" s="19">
        <v>0</v>
      </c>
      <c r="W1104" s="19">
        <v>0</v>
      </c>
      <c r="X1104" s="19">
        <v>0</v>
      </c>
      <c r="Y1104" s="20">
        <v>0</v>
      </c>
      <c r="Z1104" s="19">
        <v>0</v>
      </c>
      <c r="AA1104" s="19">
        <v>0</v>
      </c>
      <c r="AB1104" t="str">
        <f>VLOOKUP(E:E,笔记匹配!A:N,3,FALSE)</f>
        <v>小羊羔崽子</v>
      </c>
      <c r="AC1104" t="str">
        <f>VLOOKUP(E:E,笔记匹配!A:N,2,FALSE)</f>
        <v>筋膜枪</v>
      </c>
      <c r="AD1104" t="str">
        <f>VLOOKUP(E:E,笔记匹配!A:N,4,FALSE)</f>
        <v>云麦筋膜枪PB2</v>
      </c>
      <c r="AE1104" t="str">
        <f>VLOOKUP(E:E,笔记匹配!A:N,14,FALSE)</f>
        <v>云麦筋膜枪pb2</v>
      </c>
      <c r="AF1104" t="str">
        <f>VLOOKUP(E:E,笔记匹配!A:N,6,FALSE)</f>
        <v>用了多年泡沫轴，才知道筋膜枪是真的香！！！</v>
      </c>
    </row>
    <row r="1105" spans="1:32">
      <c r="A1105" s="18" t="s">
        <v>157</v>
      </c>
      <c r="B1105" s="18" t="s">
        <v>1294</v>
      </c>
      <c r="C1105" s="19">
        <v>21747992</v>
      </c>
      <c r="D1105" s="18" t="s">
        <v>209</v>
      </c>
      <c r="E1105" s="18" t="s">
        <v>292</v>
      </c>
      <c r="F1105" s="18" t="s">
        <v>1296</v>
      </c>
      <c r="G1105" s="19">
        <v>5366424</v>
      </c>
      <c r="H1105" s="18" t="s">
        <v>1296</v>
      </c>
      <c r="I1105" s="19">
        <v>4512653</v>
      </c>
      <c r="J1105" s="18" t="s">
        <v>1015</v>
      </c>
      <c r="K1105" s="19">
        <v>1297.69</v>
      </c>
      <c r="L1105" s="19">
        <v>98851</v>
      </c>
      <c r="M1105" s="19">
        <v>7780</v>
      </c>
      <c r="N1105" s="20">
        <v>0.0787</v>
      </c>
      <c r="O1105" s="19">
        <v>0.17</v>
      </c>
      <c r="P1105" s="19">
        <v>13.13</v>
      </c>
      <c r="Q1105" s="19">
        <v>719</v>
      </c>
      <c r="R1105" s="19">
        <v>1</v>
      </c>
      <c r="S1105" s="19">
        <v>937</v>
      </c>
      <c r="T1105" s="19">
        <v>58</v>
      </c>
      <c r="U1105" s="19">
        <v>43</v>
      </c>
      <c r="V1105" s="19">
        <v>1758</v>
      </c>
      <c r="W1105" s="19">
        <v>0.74</v>
      </c>
      <c r="X1105" s="19">
        <v>0</v>
      </c>
      <c r="Y1105" s="20">
        <v>0</v>
      </c>
      <c r="Z1105" s="19">
        <v>18</v>
      </c>
      <c r="AA1105" s="19">
        <v>52</v>
      </c>
      <c r="AB1105" t="str">
        <f>VLOOKUP(E:E,笔记匹配!A:N,3,FALSE)</f>
        <v>形体矫正小李</v>
      </c>
      <c r="AC1105" t="str">
        <f>VLOOKUP(E:E,笔记匹配!A:N,2,FALSE)</f>
        <v>筋膜枪</v>
      </c>
      <c r="AD1105" t="str">
        <f>VLOOKUP(E:E,笔记匹配!A:N,4,FALSE)</f>
        <v>云麦筋膜枪PB2</v>
      </c>
      <c r="AE1105" t="str">
        <f>VLOOKUP(E:E,笔记匹配!A:N,14,FALSE)</f>
        <v>云麦筋膜枪pb2</v>
      </c>
      <c r="AF1105" t="str">
        <f>VLOOKUP(E:E,笔记匹配!A:N,6,FALSE)</f>
        <v>大腿内侧赘肉消失术‼️练出细长漫画腿全靠它</v>
      </c>
    </row>
    <row r="1106" spans="1:32">
      <c r="A1106" s="18" t="s">
        <v>157</v>
      </c>
      <c r="B1106" s="18" t="s">
        <v>1303</v>
      </c>
      <c r="C1106" s="19">
        <v>21880743</v>
      </c>
      <c r="D1106" s="18" t="s">
        <v>209</v>
      </c>
      <c r="E1106" s="18" t="s">
        <v>234</v>
      </c>
      <c r="F1106" s="18" t="s">
        <v>1304</v>
      </c>
      <c r="G1106" s="19">
        <v>5428999</v>
      </c>
      <c r="H1106" s="18" t="s">
        <v>1304</v>
      </c>
      <c r="I1106" s="19">
        <v>4559759</v>
      </c>
      <c r="J1106" s="18" t="s">
        <v>1015</v>
      </c>
      <c r="K1106" s="19">
        <v>0.27</v>
      </c>
      <c r="L1106" s="19">
        <v>100</v>
      </c>
      <c r="M1106" s="19">
        <v>3</v>
      </c>
      <c r="N1106" s="20">
        <v>0.03</v>
      </c>
      <c r="O1106" s="19">
        <v>0.09</v>
      </c>
      <c r="P1106" s="19">
        <v>2.7</v>
      </c>
      <c r="Q1106" s="19">
        <v>0</v>
      </c>
      <c r="R1106" s="19">
        <v>0</v>
      </c>
      <c r="S1106" s="19">
        <v>0</v>
      </c>
      <c r="T1106" s="19">
        <v>0</v>
      </c>
      <c r="U1106" s="19">
        <v>0</v>
      </c>
      <c r="V1106" s="19">
        <v>0</v>
      </c>
      <c r="W1106" s="19">
        <v>0</v>
      </c>
      <c r="X1106" s="19">
        <v>0</v>
      </c>
      <c r="Y1106" s="20">
        <v>0</v>
      </c>
      <c r="Z1106" s="19">
        <v>0</v>
      </c>
      <c r="AA1106" s="19">
        <v>0</v>
      </c>
      <c r="AB1106" t="str">
        <f>VLOOKUP(E:E,笔记匹配!A:N,3,FALSE)</f>
        <v>pp</v>
      </c>
      <c r="AC1106" t="str">
        <f>VLOOKUP(E:E,笔记匹配!A:N,2,FALSE)</f>
        <v>体脂秤</v>
      </c>
      <c r="AD1106" t="str">
        <f>VLOOKUP(E:E,笔记匹配!A:N,4,FALSE)</f>
        <v>云麦体脂秤3mini</v>
      </c>
      <c r="AE1106" t="str">
        <f>VLOOKUP(E:E,笔记匹配!A:N,14,FALSE)</f>
        <v>云麦体脂秤3mini</v>
      </c>
      <c r="AF1106" t="str">
        <f>VLOOKUP(E:E,笔记匹配!A:N,6,FALSE)</f>
        <v>110到88 一些减肥小建议｜如何正确运动</v>
      </c>
    </row>
    <row r="1107" spans="1:32">
      <c r="A1107" s="18" t="s">
        <v>157</v>
      </c>
      <c r="B1107" s="18" t="s">
        <v>1297</v>
      </c>
      <c r="C1107" s="19">
        <v>21881635</v>
      </c>
      <c r="D1107" s="18" t="s">
        <v>196</v>
      </c>
      <c r="E1107" s="18" t="s">
        <v>234</v>
      </c>
      <c r="F1107" s="18" t="s">
        <v>1306</v>
      </c>
      <c r="G1107" s="19">
        <v>5429032</v>
      </c>
      <c r="H1107" s="18" t="s">
        <v>1307</v>
      </c>
      <c r="I1107" s="19">
        <v>4559792</v>
      </c>
      <c r="J1107" s="18" t="s">
        <v>1015</v>
      </c>
      <c r="K1107" s="19">
        <v>6.59</v>
      </c>
      <c r="L1107" s="19">
        <v>827</v>
      </c>
      <c r="M1107" s="19">
        <v>15</v>
      </c>
      <c r="N1107" s="20">
        <v>0.0181</v>
      </c>
      <c r="O1107" s="19">
        <v>0.44</v>
      </c>
      <c r="P1107" s="19">
        <v>7.97</v>
      </c>
      <c r="Q1107" s="19">
        <v>0</v>
      </c>
      <c r="R1107" s="19">
        <v>0</v>
      </c>
      <c r="S1107" s="19">
        <v>0</v>
      </c>
      <c r="T1107" s="19">
        <v>0</v>
      </c>
      <c r="U1107" s="19">
        <v>0</v>
      </c>
      <c r="V1107" s="19">
        <v>0</v>
      </c>
      <c r="W1107" s="19">
        <v>0</v>
      </c>
      <c r="X1107" s="19">
        <v>0</v>
      </c>
      <c r="Y1107" s="20">
        <v>0</v>
      </c>
      <c r="Z1107" s="19">
        <v>0</v>
      </c>
      <c r="AA1107" s="19">
        <v>0</v>
      </c>
      <c r="AB1107" t="str">
        <f>VLOOKUP(E:E,笔记匹配!A:N,3,FALSE)</f>
        <v>pp</v>
      </c>
      <c r="AC1107" t="str">
        <f>VLOOKUP(E:E,笔记匹配!A:N,2,FALSE)</f>
        <v>体脂秤</v>
      </c>
      <c r="AD1107" t="str">
        <f>VLOOKUP(E:E,笔记匹配!A:N,4,FALSE)</f>
        <v>云麦体脂秤3mini</v>
      </c>
      <c r="AE1107" t="str">
        <f>VLOOKUP(E:E,笔记匹配!A:N,14,FALSE)</f>
        <v>云麦体脂秤3mini</v>
      </c>
      <c r="AF1107" t="str">
        <f>VLOOKUP(E:E,笔记匹配!A:N,6,FALSE)</f>
        <v>110到88 一些减肥小建议｜如何正确运动</v>
      </c>
    </row>
    <row r="1108" spans="1:32">
      <c r="A1108" s="18" t="s">
        <v>157</v>
      </c>
      <c r="B1108" s="18" t="s">
        <v>1308</v>
      </c>
      <c r="C1108" s="19">
        <v>21881978</v>
      </c>
      <c r="D1108" s="18" t="s">
        <v>196</v>
      </c>
      <c r="E1108" s="18" t="s">
        <v>234</v>
      </c>
      <c r="F1108" s="18" t="s">
        <v>1309</v>
      </c>
      <c r="G1108" s="19">
        <v>5429663</v>
      </c>
      <c r="H1108" s="18" t="s">
        <v>1310</v>
      </c>
      <c r="I1108" s="19">
        <v>4560362</v>
      </c>
      <c r="J1108" s="18" t="s">
        <v>1015</v>
      </c>
      <c r="K1108" s="19">
        <v>83.46</v>
      </c>
      <c r="L1108" s="19">
        <v>1458</v>
      </c>
      <c r="M1108" s="19">
        <v>109</v>
      </c>
      <c r="N1108" s="20">
        <v>0.0748</v>
      </c>
      <c r="O1108" s="19">
        <v>0.77</v>
      </c>
      <c r="P1108" s="19">
        <v>57.24</v>
      </c>
      <c r="Q1108" s="19">
        <v>1</v>
      </c>
      <c r="R1108" s="19">
        <v>0</v>
      </c>
      <c r="S1108" s="19">
        <v>2</v>
      </c>
      <c r="T1108" s="19">
        <v>0</v>
      </c>
      <c r="U1108" s="19">
        <v>0</v>
      </c>
      <c r="V1108" s="19">
        <v>3</v>
      </c>
      <c r="W1108" s="19">
        <v>27.82</v>
      </c>
      <c r="X1108" s="19">
        <v>0</v>
      </c>
      <c r="Y1108" s="20">
        <v>0</v>
      </c>
      <c r="Z1108" s="19">
        <v>0</v>
      </c>
      <c r="AA1108" s="19">
        <v>0</v>
      </c>
      <c r="AB1108" t="str">
        <f>VLOOKUP(E:E,笔记匹配!A:N,3,FALSE)</f>
        <v>pp</v>
      </c>
      <c r="AC1108" t="str">
        <f>VLOOKUP(E:E,笔记匹配!A:N,2,FALSE)</f>
        <v>体脂秤</v>
      </c>
      <c r="AD1108" t="str">
        <f>VLOOKUP(E:E,笔记匹配!A:N,4,FALSE)</f>
        <v>云麦体脂秤3mini</v>
      </c>
      <c r="AE1108" t="str">
        <f>VLOOKUP(E:E,笔记匹配!A:N,14,FALSE)</f>
        <v>云麦体脂秤3mini</v>
      </c>
      <c r="AF1108" t="str">
        <f>VLOOKUP(E:E,笔记匹配!A:N,6,FALSE)</f>
        <v>110到88 一些减肥小建议｜如何正确运动</v>
      </c>
    </row>
    <row r="1109" spans="1:32">
      <c r="A1109" s="18" t="s">
        <v>157</v>
      </c>
      <c r="B1109" s="18" t="s">
        <v>1311</v>
      </c>
      <c r="C1109" s="19">
        <v>21978813</v>
      </c>
      <c r="D1109" s="18" t="s">
        <v>209</v>
      </c>
      <c r="E1109" s="18" t="s">
        <v>252</v>
      </c>
      <c r="F1109" s="18" t="s">
        <v>1312</v>
      </c>
      <c r="G1109" s="19">
        <v>5474004</v>
      </c>
      <c r="H1109" s="18" t="s">
        <v>1312</v>
      </c>
      <c r="I1109" s="19">
        <v>4594476</v>
      </c>
      <c r="J1109" s="18" t="s">
        <v>1015</v>
      </c>
      <c r="K1109" s="19">
        <v>468.29</v>
      </c>
      <c r="L1109" s="19">
        <v>25898</v>
      </c>
      <c r="M1109" s="19">
        <v>1861</v>
      </c>
      <c r="N1109" s="20">
        <v>0.0719</v>
      </c>
      <c r="O1109" s="19">
        <v>0.25</v>
      </c>
      <c r="P1109" s="19">
        <v>18.08</v>
      </c>
      <c r="Q1109" s="19">
        <v>102</v>
      </c>
      <c r="R1109" s="19">
        <v>1</v>
      </c>
      <c r="S1109" s="19">
        <v>54</v>
      </c>
      <c r="T1109" s="19">
        <v>4</v>
      </c>
      <c r="U1109" s="19">
        <v>4</v>
      </c>
      <c r="V1109" s="19">
        <v>165</v>
      </c>
      <c r="W1109" s="19">
        <v>2.84</v>
      </c>
      <c r="X1109" s="19">
        <v>0</v>
      </c>
      <c r="Y1109" s="20">
        <v>0</v>
      </c>
      <c r="Z1109" s="19">
        <v>1</v>
      </c>
      <c r="AA1109" s="19">
        <v>2</v>
      </c>
      <c r="AB1109" t="str">
        <f>VLOOKUP(E:E,笔记匹配!A:N,3,FALSE)</f>
        <v>脆鱼日记</v>
      </c>
      <c r="AC1109" t="str">
        <f>VLOOKUP(E:E,笔记匹配!A:N,2,FALSE)</f>
        <v>筋膜枪</v>
      </c>
      <c r="AD1109" t="str">
        <f>VLOOKUP(E:E,笔记匹配!A:N,4,FALSE)</f>
        <v>云麦筋膜枪cc</v>
      </c>
      <c r="AE1109" t="str">
        <f>VLOOKUP(E:E,笔记匹配!A:N,14,FALSE)</f>
        <v>云麦筋膜枪ccgo</v>
      </c>
      <c r="AF1109" t="str">
        <f>VLOOKUP(E:E,笔记匹配!A:N,6,FALSE)</f>
        <v>每天坚持这4个动作🔥瘦脂包肌小腿‼️已瘦4cm</v>
      </c>
    </row>
    <row r="1110" spans="1:32">
      <c r="A1110" s="18" t="s">
        <v>157</v>
      </c>
      <c r="B1110" s="18" t="s">
        <v>1316</v>
      </c>
      <c r="C1110" s="19">
        <v>22072814</v>
      </c>
      <c r="D1110" s="18" t="s">
        <v>196</v>
      </c>
      <c r="E1110" s="18" t="s">
        <v>201</v>
      </c>
      <c r="F1110" s="18" t="s">
        <v>1317</v>
      </c>
      <c r="G1110" s="19">
        <v>5521358</v>
      </c>
      <c r="H1110" s="18" t="s">
        <v>1317</v>
      </c>
      <c r="I1110" s="19">
        <v>4629845</v>
      </c>
      <c r="J1110" s="18" t="s">
        <v>1015</v>
      </c>
      <c r="K1110" s="19">
        <v>35.89</v>
      </c>
      <c r="L1110" s="19">
        <v>800</v>
      </c>
      <c r="M1110" s="19">
        <v>93</v>
      </c>
      <c r="N1110" s="20">
        <v>0.1162</v>
      </c>
      <c r="O1110" s="19">
        <v>0.39</v>
      </c>
      <c r="P1110" s="19">
        <v>44.86</v>
      </c>
      <c r="Q1110" s="19">
        <v>0</v>
      </c>
      <c r="R1110" s="19">
        <v>0</v>
      </c>
      <c r="S1110" s="19">
        <v>0</v>
      </c>
      <c r="T1110" s="19">
        <v>0</v>
      </c>
      <c r="U1110" s="19">
        <v>0</v>
      </c>
      <c r="V1110" s="19">
        <v>0</v>
      </c>
      <c r="W1110" s="19">
        <v>0</v>
      </c>
      <c r="X1110" s="19">
        <v>1</v>
      </c>
      <c r="Y1110" s="20">
        <v>0.0108</v>
      </c>
      <c r="Z1110" s="19">
        <v>0</v>
      </c>
      <c r="AA1110" s="19">
        <v>0</v>
      </c>
      <c r="AB1110" t="str">
        <f>VLOOKUP(E:E,笔记匹配!A:N,3,FALSE)</f>
        <v>包子熟了</v>
      </c>
      <c r="AC1110" t="str">
        <f>VLOOKUP(E:E,笔记匹配!A:N,2,FALSE)</f>
        <v>筋膜枪</v>
      </c>
      <c r="AD1110" t="str">
        <f>VLOOKUP(E:E,笔记匹配!A:N,4,FALSE)</f>
        <v>云麦筋膜枪</v>
      </c>
      <c r="AE1110" t="str">
        <f>VLOOKUP(E:E,笔记匹配!A:N,14,FALSE)</f>
        <v>云麦筋膜枪pb2</v>
      </c>
      <c r="AF1110" t="str">
        <f>VLOOKUP(E:E,笔记匹配!A:N,6,FALSE)</f>
        <v>筋膜枪测评|健身小白如何挑选筋膜枪？</v>
      </c>
    </row>
    <row r="1111" spans="1:32">
      <c r="A1111" s="18" t="s">
        <v>157</v>
      </c>
      <c r="B1111" s="18" t="s">
        <v>1316</v>
      </c>
      <c r="C1111" s="19">
        <v>22072908</v>
      </c>
      <c r="D1111" s="18" t="s">
        <v>196</v>
      </c>
      <c r="E1111" s="18" t="s">
        <v>201</v>
      </c>
      <c r="F1111" s="18" t="s">
        <v>1318</v>
      </c>
      <c r="G1111" s="19">
        <v>5521414</v>
      </c>
      <c r="H1111" s="18" t="s">
        <v>1318</v>
      </c>
      <c r="I1111" s="19">
        <v>4629891</v>
      </c>
      <c r="J1111" s="18" t="s">
        <v>1015</v>
      </c>
      <c r="K1111" s="19">
        <v>504.13</v>
      </c>
      <c r="L1111" s="19">
        <v>4645</v>
      </c>
      <c r="M1111" s="19">
        <v>544</v>
      </c>
      <c r="N1111" s="20">
        <v>0.1171</v>
      </c>
      <c r="O1111" s="19">
        <v>0.93</v>
      </c>
      <c r="P1111" s="19">
        <v>108.53</v>
      </c>
      <c r="Q1111" s="19">
        <v>5</v>
      </c>
      <c r="R1111" s="19">
        <v>0</v>
      </c>
      <c r="S1111" s="19">
        <v>0</v>
      </c>
      <c r="T1111" s="19">
        <v>0</v>
      </c>
      <c r="U1111" s="19">
        <v>0</v>
      </c>
      <c r="V1111" s="19">
        <v>5</v>
      </c>
      <c r="W1111" s="19">
        <v>100.83</v>
      </c>
      <c r="X1111" s="19">
        <v>5</v>
      </c>
      <c r="Y1111" s="20">
        <v>0.0092</v>
      </c>
      <c r="Z1111" s="19">
        <v>4</v>
      </c>
      <c r="AA1111" s="19">
        <v>0</v>
      </c>
      <c r="AB1111" t="str">
        <f>VLOOKUP(E:E,笔记匹配!A:N,3,FALSE)</f>
        <v>包子熟了</v>
      </c>
      <c r="AC1111" t="str">
        <f>VLOOKUP(E:E,笔记匹配!A:N,2,FALSE)</f>
        <v>筋膜枪</v>
      </c>
      <c r="AD1111" t="str">
        <f>VLOOKUP(E:E,笔记匹配!A:N,4,FALSE)</f>
        <v>云麦筋膜枪</v>
      </c>
      <c r="AE1111" t="str">
        <f>VLOOKUP(E:E,笔记匹配!A:N,14,FALSE)</f>
        <v>云麦筋膜枪pb2</v>
      </c>
      <c r="AF1111" t="str">
        <f>VLOOKUP(E:E,笔记匹配!A:N,6,FALSE)</f>
        <v>筋膜枪测评|健身小白如何挑选筋膜枪？</v>
      </c>
    </row>
    <row r="1112" spans="1:32">
      <c r="A1112" s="18" t="s">
        <v>158</v>
      </c>
      <c r="B1112" s="18" t="s">
        <v>1196</v>
      </c>
      <c r="C1112" s="19">
        <v>19054497</v>
      </c>
      <c r="D1112" s="18" t="s">
        <v>209</v>
      </c>
      <c r="E1112" s="18" t="s">
        <v>452</v>
      </c>
      <c r="F1112" s="18" t="s">
        <v>1198</v>
      </c>
      <c r="G1112" s="19">
        <v>4059827</v>
      </c>
      <c r="H1112" s="18" t="s">
        <v>1198</v>
      </c>
      <c r="I1112" s="19">
        <v>3442591</v>
      </c>
      <c r="J1112" s="18" t="s">
        <v>1015</v>
      </c>
      <c r="K1112" s="19">
        <v>0</v>
      </c>
      <c r="L1112" s="19">
        <v>0</v>
      </c>
      <c r="M1112" s="19">
        <v>0</v>
      </c>
      <c r="N1112" s="20">
        <v>0</v>
      </c>
      <c r="O1112" s="19">
        <v>0</v>
      </c>
      <c r="P1112" s="19">
        <v>0</v>
      </c>
      <c r="Q1112" s="19">
        <v>0</v>
      </c>
      <c r="R1112" s="19">
        <v>0</v>
      </c>
      <c r="S1112" s="19">
        <v>0</v>
      </c>
      <c r="T1112" s="19">
        <v>0</v>
      </c>
      <c r="U1112" s="19">
        <v>0</v>
      </c>
      <c r="V1112" s="19">
        <v>0</v>
      </c>
      <c r="W1112" s="19">
        <v>0</v>
      </c>
      <c r="X1112" s="19">
        <v>0</v>
      </c>
      <c r="Y1112" s="20">
        <v>0</v>
      </c>
      <c r="Z1112" s="19">
        <v>0</v>
      </c>
      <c r="AA1112" s="19">
        <v>0</v>
      </c>
      <c r="AB1112" t="str">
        <f>VLOOKUP(E:E,笔记匹配!A:N,3,FALSE)</f>
        <v>Bruce小厮</v>
      </c>
      <c r="AC1112" t="str">
        <f>VLOOKUP(E:E,笔记匹配!A:N,2,FALSE)</f>
        <v>筋膜枪</v>
      </c>
      <c r="AD1112" t="str">
        <f>VLOOKUP(E:E,笔记匹配!A:N,4,FALSE)</f>
        <v>云麦筋膜枪PB2</v>
      </c>
      <c r="AE1112" t="str">
        <f>VLOOKUP(E:E,笔记匹配!A:N,14,FALSE)</f>
        <v>云麦筋膜枪pb2</v>
      </c>
      <c r="AF1112" t="str">
        <f>VLOOKUP(E:E,笔记匹配!A:N,6,FALSE)</f>
        <v>女生练球后如何拉伸按摩，筋膜枪放松！！</v>
      </c>
    </row>
    <row r="1113" spans="1:32">
      <c r="A1113" s="18" t="s">
        <v>158</v>
      </c>
      <c r="B1113" s="18" t="s">
        <v>1294</v>
      </c>
      <c r="C1113" s="19">
        <v>21747992</v>
      </c>
      <c r="D1113" s="18" t="s">
        <v>209</v>
      </c>
      <c r="E1113" s="18" t="s">
        <v>292</v>
      </c>
      <c r="F1113" s="18" t="s">
        <v>1296</v>
      </c>
      <c r="G1113" s="19">
        <v>5366424</v>
      </c>
      <c r="H1113" s="18" t="s">
        <v>1296</v>
      </c>
      <c r="I1113" s="19">
        <v>4512653</v>
      </c>
      <c r="J1113" s="18" t="s">
        <v>1015</v>
      </c>
      <c r="K1113" s="19">
        <v>17.84</v>
      </c>
      <c r="L1113" s="19">
        <v>1644</v>
      </c>
      <c r="M1113" s="19">
        <v>151</v>
      </c>
      <c r="N1113" s="20">
        <v>0.0918</v>
      </c>
      <c r="O1113" s="19">
        <v>0.12</v>
      </c>
      <c r="P1113" s="19">
        <v>10.85</v>
      </c>
      <c r="Q1113" s="19">
        <v>20</v>
      </c>
      <c r="R1113" s="19">
        <v>0</v>
      </c>
      <c r="S1113" s="19">
        <v>23</v>
      </c>
      <c r="T1113" s="19">
        <v>2</v>
      </c>
      <c r="U1113" s="19">
        <v>0</v>
      </c>
      <c r="V1113" s="19">
        <v>45</v>
      </c>
      <c r="W1113" s="19">
        <v>0.4</v>
      </c>
      <c r="X1113" s="19">
        <v>0</v>
      </c>
      <c r="Y1113" s="20">
        <v>0</v>
      </c>
      <c r="Z1113" s="19">
        <v>1</v>
      </c>
      <c r="AA1113" s="19">
        <v>0</v>
      </c>
      <c r="AB1113" t="str">
        <f>VLOOKUP(E:E,笔记匹配!A:N,3,FALSE)</f>
        <v>形体矫正小李</v>
      </c>
      <c r="AC1113" t="str">
        <f>VLOOKUP(E:E,笔记匹配!A:N,2,FALSE)</f>
        <v>筋膜枪</v>
      </c>
      <c r="AD1113" t="str">
        <f>VLOOKUP(E:E,笔记匹配!A:N,4,FALSE)</f>
        <v>云麦筋膜枪PB2</v>
      </c>
      <c r="AE1113" t="str">
        <f>VLOOKUP(E:E,笔记匹配!A:N,14,FALSE)</f>
        <v>云麦筋膜枪pb2</v>
      </c>
      <c r="AF1113" t="str">
        <f>VLOOKUP(E:E,笔记匹配!A:N,6,FALSE)</f>
        <v>大腿内侧赘肉消失术‼️练出细长漫画腿全靠它</v>
      </c>
    </row>
    <row r="1114" spans="1:32">
      <c r="A1114" s="18" t="s">
        <v>158</v>
      </c>
      <c r="B1114" s="18" t="s">
        <v>1303</v>
      </c>
      <c r="C1114" s="19">
        <v>21880743</v>
      </c>
      <c r="D1114" s="18" t="s">
        <v>209</v>
      </c>
      <c r="E1114" s="18" t="s">
        <v>234</v>
      </c>
      <c r="F1114" s="18" t="s">
        <v>1304</v>
      </c>
      <c r="G1114" s="19">
        <v>5428999</v>
      </c>
      <c r="H1114" s="18" t="s">
        <v>1304</v>
      </c>
      <c r="I1114" s="19">
        <v>4559759</v>
      </c>
      <c r="J1114" s="18" t="s">
        <v>1015</v>
      </c>
      <c r="K1114" s="19">
        <v>302.58</v>
      </c>
      <c r="L1114" s="19">
        <v>32475</v>
      </c>
      <c r="M1114" s="19">
        <v>1793</v>
      </c>
      <c r="N1114" s="20">
        <v>0.0552</v>
      </c>
      <c r="O1114" s="19">
        <v>0.17</v>
      </c>
      <c r="P1114" s="19">
        <v>9.32</v>
      </c>
      <c r="Q1114" s="19">
        <v>31</v>
      </c>
      <c r="R1114" s="19">
        <v>1</v>
      </c>
      <c r="S1114" s="19">
        <v>4</v>
      </c>
      <c r="T1114" s="19">
        <v>0</v>
      </c>
      <c r="U1114" s="19">
        <v>0</v>
      </c>
      <c r="V1114" s="19">
        <v>36</v>
      </c>
      <c r="W1114" s="19">
        <v>8.4</v>
      </c>
      <c r="X1114" s="19">
        <v>0</v>
      </c>
      <c r="Y1114" s="20">
        <v>0</v>
      </c>
      <c r="Z1114" s="19">
        <v>1</v>
      </c>
      <c r="AA1114" s="19">
        <v>2</v>
      </c>
      <c r="AB1114" t="str">
        <f>VLOOKUP(E:E,笔记匹配!A:N,3,FALSE)</f>
        <v>pp</v>
      </c>
      <c r="AC1114" t="str">
        <f>VLOOKUP(E:E,笔记匹配!A:N,2,FALSE)</f>
        <v>体脂秤</v>
      </c>
      <c r="AD1114" t="str">
        <f>VLOOKUP(E:E,笔记匹配!A:N,4,FALSE)</f>
        <v>云麦体脂秤3mini</v>
      </c>
      <c r="AE1114" t="str">
        <f>VLOOKUP(E:E,笔记匹配!A:N,14,FALSE)</f>
        <v>云麦体脂秤3mini</v>
      </c>
      <c r="AF1114" t="str">
        <f>VLOOKUP(E:E,笔记匹配!A:N,6,FALSE)</f>
        <v>110到88 一些减肥小建议｜如何正确运动</v>
      </c>
    </row>
    <row r="1115" spans="1:32">
      <c r="A1115" s="18" t="s">
        <v>158</v>
      </c>
      <c r="B1115" s="18" t="s">
        <v>1297</v>
      </c>
      <c r="C1115" s="19">
        <v>21881635</v>
      </c>
      <c r="D1115" s="18" t="s">
        <v>196</v>
      </c>
      <c r="E1115" s="18" t="s">
        <v>234</v>
      </c>
      <c r="F1115" s="18" t="s">
        <v>1306</v>
      </c>
      <c r="G1115" s="19">
        <v>5429032</v>
      </c>
      <c r="H1115" s="18" t="s">
        <v>1307</v>
      </c>
      <c r="I1115" s="19">
        <v>4559792</v>
      </c>
      <c r="J1115" s="18" t="s">
        <v>1015</v>
      </c>
      <c r="K1115" s="19">
        <v>33.53</v>
      </c>
      <c r="L1115" s="19">
        <v>2922</v>
      </c>
      <c r="M1115" s="19">
        <v>73</v>
      </c>
      <c r="N1115" s="20">
        <v>0.025</v>
      </c>
      <c r="O1115" s="19">
        <v>0.46</v>
      </c>
      <c r="P1115" s="19">
        <v>11.48</v>
      </c>
      <c r="Q1115" s="19">
        <v>1</v>
      </c>
      <c r="R1115" s="19">
        <v>0</v>
      </c>
      <c r="S1115" s="19">
        <v>1</v>
      </c>
      <c r="T1115" s="19">
        <v>0</v>
      </c>
      <c r="U1115" s="19">
        <v>0</v>
      </c>
      <c r="V1115" s="19">
        <v>2</v>
      </c>
      <c r="W1115" s="19">
        <v>16.76</v>
      </c>
      <c r="X1115" s="19">
        <v>0</v>
      </c>
      <c r="Y1115" s="20">
        <v>0</v>
      </c>
      <c r="Z1115" s="19">
        <v>0</v>
      </c>
      <c r="AA1115" s="19">
        <v>0</v>
      </c>
      <c r="AB1115" t="str">
        <f>VLOOKUP(E:E,笔记匹配!A:N,3,FALSE)</f>
        <v>pp</v>
      </c>
      <c r="AC1115" t="str">
        <f>VLOOKUP(E:E,笔记匹配!A:N,2,FALSE)</f>
        <v>体脂秤</v>
      </c>
      <c r="AD1115" t="str">
        <f>VLOOKUP(E:E,笔记匹配!A:N,4,FALSE)</f>
        <v>云麦体脂秤3mini</v>
      </c>
      <c r="AE1115" t="str">
        <f>VLOOKUP(E:E,笔记匹配!A:N,14,FALSE)</f>
        <v>云麦体脂秤3mini</v>
      </c>
      <c r="AF1115" t="str">
        <f>VLOOKUP(E:E,笔记匹配!A:N,6,FALSE)</f>
        <v>110到88 一些减肥小建议｜如何正确运动</v>
      </c>
    </row>
    <row r="1116" spans="1:32">
      <c r="A1116" s="18" t="s">
        <v>158</v>
      </c>
      <c r="B1116" s="18" t="s">
        <v>1308</v>
      </c>
      <c r="C1116" s="19">
        <v>21881978</v>
      </c>
      <c r="D1116" s="18" t="s">
        <v>196</v>
      </c>
      <c r="E1116" s="18" t="s">
        <v>234</v>
      </c>
      <c r="F1116" s="18" t="s">
        <v>1309</v>
      </c>
      <c r="G1116" s="19">
        <v>5429663</v>
      </c>
      <c r="H1116" s="18" t="s">
        <v>1310</v>
      </c>
      <c r="I1116" s="19">
        <v>4560362</v>
      </c>
      <c r="J1116" s="18" t="s">
        <v>1015</v>
      </c>
      <c r="K1116" s="19">
        <v>313.97</v>
      </c>
      <c r="L1116" s="19">
        <v>12628</v>
      </c>
      <c r="M1116" s="19">
        <v>359</v>
      </c>
      <c r="N1116" s="20">
        <v>0.0284</v>
      </c>
      <c r="O1116" s="19">
        <v>0.87</v>
      </c>
      <c r="P1116" s="19">
        <v>24.86</v>
      </c>
      <c r="Q1116" s="19">
        <v>6</v>
      </c>
      <c r="R1116" s="19">
        <v>1</v>
      </c>
      <c r="S1116" s="19">
        <v>2</v>
      </c>
      <c r="T1116" s="19">
        <v>0</v>
      </c>
      <c r="U1116" s="19">
        <v>0</v>
      </c>
      <c r="V1116" s="19">
        <v>9</v>
      </c>
      <c r="W1116" s="19">
        <v>34.89</v>
      </c>
      <c r="X1116" s="19">
        <v>0</v>
      </c>
      <c r="Y1116" s="20">
        <v>0</v>
      </c>
      <c r="Z1116" s="19">
        <v>0</v>
      </c>
      <c r="AA1116" s="19">
        <v>0</v>
      </c>
      <c r="AB1116" t="str">
        <f>VLOOKUP(E:E,笔记匹配!A:N,3,FALSE)</f>
        <v>pp</v>
      </c>
      <c r="AC1116" t="str">
        <f>VLOOKUP(E:E,笔记匹配!A:N,2,FALSE)</f>
        <v>体脂秤</v>
      </c>
      <c r="AD1116" t="str">
        <f>VLOOKUP(E:E,笔记匹配!A:N,4,FALSE)</f>
        <v>云麦体脂秤3mini</v>
      </c>
      <c r="AE1116" t="str">
        <f>VLOOKUP(E:E,笔记匹配!A:N,14,FALSE)</f>
        <v>云麦体脂秤3mini</v>
      </c>
      <c r="AF1116" t="str">
        <f>VLOOKUP(E:E,笔记匹配!A:N,6,FALSE)</f>
        <v>110到88 一些减肥小建议｜如何正确运动</v>
      </c>
    </row>
    <row r="1117" spans="1:32">
      <c r="A1117" s="18" t="s">
        <v>158</v>
      </c>
      <c r="B1117" s="18" t="s">
        <v>1311</v>
      </c>
      <c r="C1117" s="19">
        <v>21978813</v>
      </c>
      <c r="D1117" s="18" t="s">
        <v>209</v>
      </c>
      <c r="E1117" s="18" t="s">
        <v>252</v>
      </c>
      <c r="F1117" s="18" t="s">
        <v>1312</v>
      </c>
      <c r="G1117" s="19">
        <v>5474004</v>
      </c>
      <c r="H1117" s="18" t="s">
        <v>1312</v>
      </c>
      <c r="I1117" s="19">
        <v>4594476</v>
      </c>
      <c r="J1117" s="18" t="s">
        <v>1015</v>
      </c>
      <c r="K1117" s="19">
        <v>491.75</v>
      </c>
      <c r="L1117" s="19">
        <v>31797</v>
      </c>
      <c r="M1117" s="19">
        <v>2412</v>
      </c>
      <c r="N1117" s="20">
        <v>0.0759</v>
      </c>
      <c r="O1117" s="19">
        <v>0.2</v>
      </c>
      <c r="P1117" s="19">
        <v>15.47</v>
      </c>
      <c r="Q1117" s="19">
        <v>111</v>
      </c>
      <c r="R1117" s="19">
        <v>0</v>
      </c>
      <c r="S1117" s="19">
        <v>60</v>
      </c>
      <c r="T1117" s="19">
        <v>3</v>
      </c>
      <c r="U1117" s="19">
        <v>1</v>
      </c>
      <c r="V1117" s="19">
        <v>175</v>
      </c>
      <c r="W1117" s="19">
        <v>2.81</v>
      </c>
      <c r="X1117" s="19">
        <v>0</v>
      </c>
      <c r="Y1117" s="20">
        <v>0</v>
      </c>
      <c r="Z1117" s="19">
        <v>3</v>
      </c>
      <c r="AA1117" s="19">
        <v>4</v>
      </c>
      <c r="AB1117" t="str">
        <f>VLOOKUP(E:E,笔记匹配!A:N,3,FALSE)</f>
        <v>脆鱼日记</v>
      </c>
      <c r="AC1117" t="str">
        <f>VLOOKUP(E:E,笔记匹配!A:N,2,FALSE)</f>
        <v>筋膜枪</v>
      </c>
      <c r="AD1117" t="str">
        <f>VLOOKUP(E:E,笔记匹配!A:N,4,FALSE)</f>
        <v>云麦筋膜枪cc</v>
      </c>
      <c r="AE1117" t="str">
        <f>VLOOKUP(E:E,笔记匹配!A:N,14,FALSE)</f>
        <v>云麦筋膜枪ccgo</v>
      </c>
      <c r="AF1117" t="str">
        <f>VLOOKUP(E:E,笔记匹配!A:N,6,FALSE)</f>
        <v>每天坚持这4个动作🔥瘦脂包肌小腿‼️已瘦4cm</v>
      </c>
    </row>
    <row r="1118" spans="1:32">
      <c r="A1118" s="18" t="s">
        <v>158</v>
      </c>
      <c r="B1118" s="18" t="s">
        <v>1316</v>
      </c>
      <c r="C1118" s="19">
        <v>22072814</v>
      </c>
      <c r="D1118" s="18" t="s">
        <v>196</v>
      </c>
      <c r="E1118" s="18" t="s">
        <v>201</v>
      </c>
      <c r="F1118" s="18" t="s">
        <v>1317</v>
      </c>
      <c r="G1118" s="19">
        <v>5521358</v>
      </c>
      <c r="H1118" s="18" t="s">
        <v>1317</v>
      </c>
      <c r="I1118" s="19">
        <v>4629845</v>
      </c>
      <c r="J1118" s="18" t="s">
        <v>1015</v>
      </c>
      <c r="K1118" s="19">
        <v>107.56</v>
      </c>
      <c r="L1118" s="19">
        <v>2444</v>
      </c>
      <c r="M1118" s="19">
        <v>269</v>
      </c>
      <c r="N1118" s="20">
        <v>0.1101</v>
      </c>
      <c r="O1118" s="19">
        <v>0.4</v>
      </c>
      <c r="P1118" s="19">
        <v>44.01</v>
      </c>
      <c r="Q1118" s="19">
        <v>3</v>
      </c>
      <c r="R1118" s="19">
        <v>0</v>
      </c>
      <c r="S1118" s="19">
        <v>1</v>
      </c>
      <c r="T1118" s="19">
        <v>0</v>
      </c>
      <c r="U1118" s="19">
        <v>0</v>
      </c>
      <c r="V1118" s="19">
        <v>4</v>
      </c>
      <c r="W1118" s="19">
        <v>26.89</v>
      </c>
      <c r="X1118" s="19">
        <v>1</v>
      </c>
      <c r="Y1118" s="20">
        <v>0.0037</v>
      </c>
      <c r="Z1118" s="19">
        <v>2</v>
      </c>
      <c r="AA1118" s="19">
        <v>0</v>
      </c>
      <c r="AB1118" t="str">
        <f>VLOOKUP(E:E,笔记匹配!A:N,3,FALSE)</f>
        <v>包子熟了</v>
      </c>
      <c r="AC1118" t="str">
        <f>VLOOKUP(E:E,笔记匹配!A:N,2,FALSE)</f>
        <v>筋膜枪</v>
      </c>
      <c r="AD1118" t="str">
        <f>VLOOKUP(E:E,笔记匹配!A:N,4,FALSE)</f>
        <v>云麦筋膜枪</v>
      </c>
      <c r="AE1118" t="str">
        <f>VLOOKUP(E:E,笔记匹配!A:N,14,FALSE)</f>
        <v>云麦筋膜枪pb2</v>
      </c>
      <c r="AF1118" t="str">
        <f>VLOOKUP(E:E,笔记匹配!A:N,6,FALSE)</f>
        <v>筋膜枪测评|健身小白如何挑选筋膜枪？</v>
      </c>
    </row>
    <row r="1119" spans="1:32">
      <c r="A1119" s="18" t="s">
        <v>158</v>
      </c>
      <c r="B1119" s="18" t="s">
        <v>1316</v>
      </c>
      <c r="C1119" s="19">
        <v>22072908</v>
      </c>
      <c r="D1119" s="18" t="s">
        <v>196</v>
      </c>
      <c r="E1119" s="18" t="s">
        <v>201</v>
      </c>
      <c r="F1119" s="18" t="s">
        <v>1318</v>
      </c>
      <c r="G1119" s="19">
        <v>5521414</v>
      </c>
      <c r="H1119" s="18" t="s">
        <v>1318</v>
      </c>
      <c r="I1119" s="19">
        <v>4629891</v>
      </c>
      <c r="J1119" s="18" t="s">
        <v>1015</v>
      </c>
      <c r="K1119" s="19">
        <v>406.84</v>
      </c>
      <c r="L1119" s="19">
        <v>3686</v>
      </c>
      <c r="M1119" s="19">
        <v>441</v>
      </c>
      <c r="N1119" s="20">
        <v>0.1196</v>
      </c>
      <c r="O1119" s="19">
        <v>0.92</v>
      </c>
      <c r="P1119" s="19">
        <v>110.37</v>
      </c>
      <c r="Q1119" s="19">
        <v>3</v>
      </c>
      <c r="R1119" s="19">
        <v>1</v>
      </c>
      <c r="S1119" s="19">
        <v>2</v>
      </c>
      <c r="T1119" s="19">
        <v>0</v>
      </c>
      <c r="U1119" s="19">
        <v>3</v>
      </c>
      <c r="V1119" s="19">
        <v>9</v>
      </c>
      <c r="W1119" s="19">
        <v>45.2</v>
      </c>
      <c r="X1119" s="19">
        <v>3</v>
      </c>
      <c r="Y1119" s="20">
        <v>0.0068</v>
      </c>
      <c r="Z1119" s="19">
        <v>3</v>
      </c>
      <c r="AA1119" s="19">
        <v>1</v>
      </c>
      <c r="AB1119" t="str">
        <f>VLOOKUP(E:E,笔记匹配!A:N,3,FALSE)</f>
        <v>包子熟了</v>
      </c>
      <c r="AC1119" t="str">
        <f>VLOOKUP(E:E,笔记匹配!A:N,2,FALSE)</f>
        <v>筋膜枪</v>
      </c>
      <c r="AD1119" t="str">
        <f>VLOOKUP(E:E,笔记匹配!A:N,4,FALSE)</f>
        <v>云麦筋膜枪</v>
      </c>
      <c r="AE1119" t="str">
        <f>VLOOKUP(E:E,笔记匹配!A:N,14,FALSE)</f>
        <v>云麦筋膜枪pb2</v>
      </c>
      <c r="AF1119" t="str">
        <f>VLOOKUP(E:E,笔记匹配!A:N,6,FALSE)</f>
        <v>筋膜枪测评|健身小白如何挑选筋膜枪？</v>
      </c>
    </row>
    <row r="1120" spans="1:32">
      <c r="A1120" s="18" t="s">
        <v>158</v>
      </c>
      <c r="B1120" s="18" t="s">
        <v>1319</v>
      </c>
      <c r="C1120" s="19">
        <v>22315363</v>
      </c>
      <c r="D1120" s="18" t="s">
        <v>209</v>
      </c>
      <c r="E1120" s="18" t="s">
        <v>317</v>
      </c>
      <c r="F1120" s="18" t="s">
        <v>1320</v>
      </c>
      <c r="G1120" s="19">
        <v>5634352</v>
      </c>
      <c r="H1120" s="18" t="s">
        <v>1321</v>
      </c>
      <c r="I1120" s="19">
        <v>4716427</v>
      </c>
      <c r="J1120" s="18" t="s">
        <v>1015</v>
      </c>
      <c r="K1120" s="19">
        <v>135.38</v>
      </c>
      <c r="L1120" s="19">
        <v>6600</v>
      </c>
      <c r="M1120" s="19">
        <v>343</v>
      </c>
      <c r="N1120" s="20">
        <v>0.052</v>
      </c>
      <c r="O1120" s="19">
        <v>0.39</v>
      </c>
      <c r="P1120" s="19">
        <v>20.51</v>
      </c>
      <c r="Q1120" s="19">
        <v>31</v>
      </c>
      <c r="R1120" s="19">
        <v>0</v>
      </c>
      <c r="S1120" s="19">
        <v>14</v>
      </c>
      <c r="T1120" s="19">
        <v>0</v>
      </c>
      <c r="U1120" s="19">
        <v>2</v>
      </c>
      <c r="V1120" s="19">
        <v>47</v>
      </c>
      <c r="W1120" s="19">
        <v>2.88</v>
      </c>
      <c r="X1120" s="19">
        <v>0</v>
      </c>
      <c r="Y1120" s="20">
        <v>0</v>
      </c>
      <c r="Z1120" s="19">
        <v>1</v>
      </c>
      <c r="AA1120" s="19">
        <v>1</v>
      </c>
      <c r="AB1120" t="str">
        <f>VLOOKUP(E:E,笔记匹配!A:N,3,FALSE)</f>
        <v>小乔您了</v>
      </c>
      <c r="AC1120" t="str">
        <f>VLOOKUP(E:E,笔记匹配!A:N,2,FALSE)</f>
        <v>筋膜枪</v>
      </c>
      <c r="AD1120" t="str">
        <f>VLOOKUP(E:E,笔记匹配!A:N,4,FALSE)</f>
        <v>云麦筋膜枪pb2</v>
      </c>
      <c r="AE1120" t="str">
        <f>VLOOKUP(E:E,笔记匹配!A:N,14,FALSE)</f>
        <v>云麦筋膜枪pb2</v>
      </c>
      <c r="AF1120" t="str">
        <f>VLOOKUP(E:E,笔记匹配!A:N,6,FALSE)</f>
        <v>🆘哭了！筋膜枪细【脂包肌】小腿被我悟明白了！</v>
      </c>
    </row>
    <row r="1121" spans="1:32">
      <c r="A1121" s="18" t="s">
        <v>159</v>
      </c>
      <c r="B1121" s="18" t="s">
        <v>1294</v>
      </c>
      <c r="C1121" s="19">
        <v>21747929</v>
      </c>
      <c r="D1121" s="18" t="s">
        <v>209</v>
      </c>
      <c r="E1121" s="18" t="s">
        <v>208</v>
      </c>
      <c r="F1121" s="18" t="s">
        <v>1295</v>
      </c>
      <c r="G1121" s="19">
        <v>5366393</v>
      </c>
      <c r="H1121" s="18" t="s">
        <v>1295</v>
      </c>
      <c r="I1121" s="19">
        <v>4512630</v>
      </c>
      <c r="J1121" s="18" t="s">
        <v>1015</v>
      </c>
      <c r="K1121" s="19">
        <v>51.81</v>
      </c>
      <c r="L1121" s="19">
        <v>8227</v>
      </c>
      <c r="M1121" s="19">
        <v>493</v>
      </c>
      <c r="N1121" s="20">
        <v>0.0599</v>
      </c>
      <c r="O1121" s="19">
        <v>0.11</v>
      </c>
      <c r="P1121" s="19">
        <v>6.3</v>
      </c>
      <c r="Q1121" s="19">
        <v>2</v>
      </c>
      <c r="R1121" s="19">
        <v>0</v>
      </c>
      <c r="S1121" s="19">
        <v>1</v>
      </c>
      <c r="T1121" s="19">
        <v>0</v>
      </c>
      <c r="U1121" s="19">
        <v>0</v>
      </c>
      <c r="V1121" s="19">
        <v>3</v>
      </c>
      <c r="W1121" s="19">
        <v>17.27</v>
      </c>
      <c r="X1121" s="19">
        <v>0</v>
      </c>
      <c r="Y1121" s="20">
        <v>0</v>
      </c>
      <c r="Z1121" s="19">
        <v>0</v>
      </c>
      <c r="AA1121" s="19">
        <v>0</v>
      </c>
      <c r="AB1121" t="str">
        <f>VLOOKUP(E:E,笔记匹配!A:N,3,FALSE)</f>
        <v>小羊羔崽子</v>
      </c>
      <c r="AC1121" t="str">
        <f>VLOOKUP(E:E,笔记匹配!A:N,2,FALSE)</f>
        <v>筋膜枪</v>
      </c>
      <c r="AD1121" t="str">
        <f>VLOOKUP(E:E,笔记匹配!A:N,4,FALSE)</f>
        <v>云麦筋膜枪PB2</v>
      </c>
      <c r="AE1121" t="str">
        <f>VLOOKUP(E:E,笔记匹配!A:N,14,FALSE)</f>
        <v>云麦筋膜枪pb2</v>
      </c>
      <c r="AF1121" t="str">
        <f>VLOOKUP(E:E,笔记匹配!A:N,6,FALSE)</f>
        <v>用了多年泡沫轴，才知道筋膜枪是真的香！！！</v>
      </c>
    </row>
    <row r="1122" spans="1:32">
      <c r="A1122" s="18" t="s">
        <v>159</v>
      </c>
      <c r="B1122" s="18" t="s">
        <v>1294</v>
      </c>
      <c r="C1122" s="19">
        <v>21747992</v>
      </c>
      <c r="D1122" s="18" t="s">
        <v>209</v>
      </c>
      <c r="E1122" s="18" t="s">
        <v>292</v>
      </c>
      <c r="F1122" s="18" t="s">
        <v>1296</v>
      </c>
      <c r="G1122" s="19">
        <v>5366424</v>
      </c>
      <c r="H1122" s="18" t="s">
        <v>1296</v>
      </c>
      <c r="I1122" s="19">
        <v>4512653</v>
      </c>
      <c r="J1122" s="18" t="s">
        <v>1015</v>
      </c>
      <c r="K1122" s="19">
        <v>0</v>
      </c>
      <c r="L1122" s="19">
        <v>0</v>
      </c>
      <c r="M1122" s="19">
        <v>0</v>
      </c>
      <c r="N1122" s="20">
        <v>0</v>
      </c>
      <c r="O1122" s="19">
        <v>0</v>
      </c>
      <c r="P1122" s="19">
        <v>0</v>
      </c>
      <c r="Q1122" s="19">
        <v>0</v>
      </c>
      <c r="R1122" s="19">
        <v>0</v>
      </c>
      <c r="S1122" s="19">
        <v>0</v>
      </c>
      <c r="T1122" s="19">
        <v>0</v>
      </c>
      <c r="U1122" s="19">
        <v>0</v>
      </c>
      <c r="V1122" s="19">
        <v>0</v>
      </c>
      <c r="W1122" s="19">
        <v>0</v>
      </c>
      <c r="X1122" s="19">
        <v>0</v>
      </c>
      <c r="Y1122" s="20">
        <v>0</v>
      </c>
      <c r="Z1122" s="19">
        <v>0</v>
      </c>
      <c r="AA1122" s="19">
        <v>0</v>
      </c>
      <c r="AB1122" t="str">
        <f>VLOOKUP(E:E,笔记匹配!A:N,3,FALSE)</f>
        <v>形体矫正小李</v>
      </c>
      <c r="AC1122" t="str">
        <f>VLOOKUP(E:E,笔记匹配!A:N,2,FALSE)</f>
        <v>筋膜枪</v>
      </c>
      <c r="AD1122" t="str">
        <f>VLOOKUP(E:E,笔记匹配!A:N,4,FALSE)</f>
        <v>云麦筋膜枪PB2</v>
      </c>
      <c r="AE1122" t="str">
        <f>VLOOKUP(E:E,笔记匹配!A:N,14,FALSE)</f>
        <v>云麦筋膜枪pb2</v>
      </c>
      <c r="AF1122" t="str">
        <f>VLOOKUP(E:E,笔记匹配!A:N,6,FALSE)</f>
        <v>大腿内侧赘肉消失术‼️练出细长漫画腿全靠它</v>
      </c>
    </row>
    <row r="1123" spans="1:32">
      <c r="A1123" s="18" t="s">
        <v>159</v>
      </c>
      <c r="B1123" s="18" t="s">
        <v>1303</v>
      </c>
      <c r="C1123" s="19">
        <v>21880743</v>
      </c>
      <c r="D1123" s="18" t="s">
        <v>209</v>
      </c>
      <c r="E1123" s="18" t="s">
        <v>234</v>
      </c>
      <c r="F1123" s="18" t="s">
        <v>1304</v>
      </c>
      <c r="G1123" s="19">
        <v>5428999</v>
      </c>
      <c r="H1123" s="18" t="s">
        <v>1304</v>
      </c>
      <c r="I1123" s="19">
        <v>4559759</v>
      </c>
      <c r="J1123" s="18" t="s">
        <v>1015</v>
      </c>
      <c r="K1123" s="19">
        <v>0.12</v>
      </c>
      <c r="L1123" s="19">
        <v>6</v>
      </c>
      <c r="M1123" s="19">
        <v>1</v>
      </c>
      <c r="N1123" s="20">
        <v>0.1667</v>
      </c>
      <c r="O1123" s="19">
        <v>0.12</v>
      </c>
      <c r="P1123" s="19">
        <v>20</v>
      </c>
      <c r="Q1123" s="19">
        <v>0</v>
      </c>
      <c r="R1123" s="19">
        <v>0</v>
      </c>
      <c r="S1123" s="19">
        <v>0</v>
      </c>
      <c r="T1123" s="19">
        <v>0</v>
      </c>
      <c r="U1123" s="19">
        <v>0</v>
      </c>
      <c r="V1123" s="19">
        <v>0</v>
      </c>
      <c r="W1123" s="19">
        <v>0</v>
      </c>
      <c r="X1123" s="19">
        <v>0</v>
      </c>
      <c r="Y1123" s="20">
        <v>0</v>
      </c>
      <c r="Z1123" s="19">
        <v>0</v>
      </c>
      <c r="AA1123" s="19">
        <v>0</v>
      </c>
      <c r="AB1123" t="str">
        <f>VLOOKUP(E:E,笔记匹配!A:N,3,FALSE)</f>
        <v>pp</v>
      </c>
      <c r="AC1123" t="str">
        <f>VLOOKUP(E:E,笔记匹配!A:N,2,FALSE)</f>
        <v>体脂秤</v>
      </c>
      <c r="AD1123" t="str">
        <f>VLOOKUP(E:E,笔记匹配!A:N,4,FALSE)</f>
        <v>云麦体脂秤3mini</v>
      </c>
      <c r="AE1123" t="str">
        <f>VLOOKUP(E:E,笔记匹配!A:N,14,FALSE)</f>
        <v>云麦体脂秤3mini</v>
      </c>
      <c r="AF1123" t="str">
        <f>VLOOKUP(E:E,笔记匹配!A:N,6,FALSE)</f>
        <v>110到88 一些减肥小建议｜如何正确运动</v>
      </c>
    </row>
    <row r="1124" spans="1:32">
      <c r="A1124" s="18" t="s">
        <v>159</v>
      </c>
      <c r="B1124" s="18" t="s">
        <v>1297</v>
      </c>
      <c r="C1124" s="19">
        <v>21881635</v>
      </c>
      <c r="D1124" s="18" t="s">
        <v>196</v>
      </c>
      <c r="E1124" s="18" t="s">
        <v>234</v>
      </c>
      <c r="F1124" s="18" t="s">
        <v>1306</v>
      </c>
      <c r="G1124" s="19">
        <v>5429032</v>
      </c>
      <c r="H1124" s="18" t="s">
        <v>1307</v>
      </c>
      <c r="I1124" s="19">
        <v>4559792</v>
      </c>
      <c r="J1124" s="18" t="s">
        <v>1015</v>
      </c>
      <c r="K1124" s="19">
        <v>105.02</v>
      </c>
      <c r="L1124" s="19">
        <v>8965</v>
      </c>
      <c r="M1124" s="19">
        <v>206</v>
      </c>
      <c r="N1124" s="20">
        <v>0.023</v>
      </c>
      <c r="O1124" s="19">
        <v>0.51</v>
      </c>
      <c r="P1124" s="19">
        <v>11.71</v>
      </c>
      <c r="Q1124" s="19">
        <v>3</v>
      </c>
      <c r="R1124" s="19">
        <v>0</v>
      </c>
      <c r="S1124" s="19">
        <v>1</v>
      </c>
      <c r="T1124" s="19">
        <v>0</v>
      </c>
      <c r="U1124" s="19">
        <v>0</v>
      </c>
      <c r="V1124" s="19">
        <v>4</v>
      </c>
      <c r="W1124" s="19">
        <v>26.26</v>
      </c>
      <c r="X1124" s="19">
        <v>0</v>
      </c>
      <c r="Y1124" s="20">
        <v>0</v>
      </c>
      <c r="Z1124" s="19">
        <v>0</v>
      </c>
      <c r="AA1124" s="19">
        <v>0</v>
      </c>
      <c r="AB1124" t="str">
        <f>VLOOKUP(E:E,笔记匹配!A:N,3,FALSE)</f>
        <v>pp</v>
      </c>
      <c r="AC1124" t="str">
        <f>VLOOKUP(E:E,笔记匹配!A:N,2,FALSE)</f>
        <v>体脂秤</v>
      </c>
      <c r="AD1124" t="str">
        <f>VLOOKUP(E:E,笔记匹配!A:N,4,FALSE)</f>
        <v>云麦体脂秤3mini</v>
      </c>
      <c r="AE1124" t="str">
        <f>VLOOKUP(E:E,笔记匹配!A:N,14,FALSE)</f>
        <v>云麦体脂秤3mini</v>
      </c>
      <c r="AF1124" t="str">
        <f>VLOOKUP(E:E,笔记匹配!A:N,6,FALSE)</f>
        <v>110到88 一些减肥小建议｜如何正确运动</v>
      </c>
    </row>
    <row r="1125" spans="1:32">
      <c r="A1125" s="18" t="s">
        <v>159</v>
      </c>
      <c r="B1125" s="18" t="s">
        <v>1308</v>
      </c>
      <c r="C1125" s="19">
        <v>21881978</v>
      </c>
      <c r="D1125" s="18" t="s">
        <v>196</v>
      </c>
      <c r="E1125" s="18" t="s">
        <v>234</v>
      </c>
      <c r="F1125" s="18" t="s">
        <v>1309</v>
      </c>
      <c r="G1125" s="19">
        <v>5429663</v>
      </c>
      <c r="H1125" s="18" t="s">
        <v>1310</v>
      </c>
      <c r="I1125" s="19">
        <v>4560362</v>
      </c>
      <c r="J1125" s="18" t="s">
        <v>1015</v>
      </c>
      <c r="K1125" s="19">
        <v>311.13</v>
      </c>
      <c r="L1125" s="19">
        <v>25537</v>
      </c>
      <c r="M1125" s="19">
        <v>671</v>
      </c>
      <c r="N1125" s="20">
        <v>0.0263</v>
      </c>
      <c r="O1125" s="19">
        <v>0.46</v>
      </c>
      <c r="P1125" s="19">
        <v>12.18</v>
      </c>
      <c r="Q1125" s="19">
        <v>8</v>
      </c>
      <c r="R1125" s="19">
        <v>0</v>
      </c>
      <c r="S1125" s="19">
        <v>1</v>
      </c>
      <c r="T1125" s="19">
        <v>0</v>
      </c>
      <c r="U1125" s="19">
        <v>0</v>
      </c>
      <c r="V1125" s="19">
        <v>9</v>
      </c>
      <c r="W1125" s="19">
        <v>34.57</v>
      </c>
      <c r="X1125" s="19">
        <v>0</v>
      </c>
      <c r="Y1125" s="20">
        <v>0</v>
      </c>
      <c r="Z1125" s="19">
        <v>0</v>
      </c>
      <c r="AA1125" s="19">
        <v>1</v>
      </c>
      <c r="AB1125" t="str">
        <f>VLOOKUP(E:E,笔记匹配!A:N,3,FALSE)</f>
        <v>pp</v>
      </c>
      <c r="AC1125" t="str">
        <f>VLOOKUP(E:E,笔记匹配!A:N,2,FALSE)</f>
        <v>体脂秤</v>
      </c>
      <c r="AD1125" t="str">
        <f>VLOOKUP(E:E,笔记匹配!A:N,4,FALSE)</f>
        <v>云麦体脂秤3mini</v>
      </c>
      <c r="AE1125" t="str">
        <f>VLOOKUP(E:E,笔记匹配!A:N,14,FALSE)</f>
        <v>云麦体脂秤3mini</v>
      </c>
      <c r="AF1125" t="str">
        <f>VLOOKUP(E:E,笔记匹配!A:N,6,FALSE)</f>
        <v>110到88 一些减肥小建议｜如何正确运动</v>
      </c>
    </row>
    <row r="1126" spans="1:32">
      <c r="A1126" s="18" t="s">
        <v>159</v>
      </c>
      <c r="B1126" s="18" t="s">
        <v>1311</v>
      </c>
      <c r="C1126" s="19">
        <v>21978813</v>
      </c>
      <c r="D1126" s="18" t="s">
        <v>209</v>
      </c>
      <c r="E1126" s="18" t="s">
        <v>252</v>
      </c>
      <c r="F1126" s="18" t="s">
        <v>1312</v>
      </c>
      <c r="G1126" s="19">
        <v>5474004</v>
      </c>
      <c r="H1126" s="18" t="s">
        <v>1312</v>
      </c>
      <c r="I1126" s="19">
        <v>4594476</v>
      </c>
      <c r="J1126" s="18" t="s">
        <v>1015</v>
      </c>
      <c r="K1126" s="19">
        <v>502.21</v>
      </c>
      <c r="L1126" s="19">
        <v>31962</v>
      </c>
      <c r="M1126" s="19">
        <v>2323</v>
      </c>
      <c r="N1126" s="20">
        <v>0.0727</v>
      </c>
      <c r="O1126" s="19">
        <v>0.22</v>
      </c>
      <c r="P1126" s="19">
        <v>15.71</v>
      </c>
      <c r="Q1126" s="19">
        <v>96</v>
      </c>
      <c r="R1126" s="19">
        <v>0</v>
      </c>
      <c r="S1126" s="19">
        <v>65</v>
      </c>
      <c r="T1126" s="19">
        <v>2</v>
      </c>
      <c r="U1126" s="19">
        <v>3</v>
      </c>
      <c r="V1126" s="19">
        <v>166</v>
      </c>
      <c r="W1126" s="19">
        <v>3.03</v>
      </c>
      <c r="X1126" s="19">
        <v>0</v>
      </c>
      <c r="Y1126" s="20">
        <v>0</v>
      </c>
      <c r="Z1126" s="19">
        <v>3</v>
      </c>
      <c r="AA1126" s="19">
        <v>2</v>
      </c>
      <c r="AB1126" t="str">
        <f>VLOOKUP(E:E,笔记匹配!A:N,3,FALSE)</f>
        <v>脆鱼日记</v>
      </c>
      <c r="AC1126" t="str">
        <f>VLOOKUP(E:E,笔记匹配!A:N,2,FALSE)</f>
        <v>筋膜枪</v>
      </c>
      <c r="AD1126" t="str">
        <f>VLOOKUP(E:E,笔记匹配!A:N,4,FALSE)</f>
        <v>云麦筋膜枪cc</v>
      </c>
      <c r="AE1126" t="str">
        <f>VLOOKUP(E:E,笔记匹配!A:N,14,FALSE)</f>
        <v>云麦筋膜枪ccgo</v>
      </c>
      <c r="AF1126" t="str">
        <f>VLOOKUP(E:E,笔记匹配!A:N,6,FALSE)</f>
        <v>每天坚持这4个动作🔥瘦脂包肌小腿‼️已瘦4cm</v>
      </c>
    </row>
    <row r="1127" spans="1:32">
      <c r="A1127" s="18" t="s">
        <v>159</v>
      </c>
      <c r="B1127" s="18" t="s">
        <v>1316</v>
      </c>
      <c r="C1127" s="19">
        <v>22072814</v>
      </c>
      <c r="D1127" s="18" t="s">
        <v>196</v>
      </c>
      <c r="E1127" s="18" t="s">
        <v>201</v>
      </c>
      <c r="F1127" s="18" t="s">
        <v>1317</v>
      </c>
      <c r="G1127" s="19">
        <v>5521358</v>
      </c>
      <c r="H1127" s="18" t="s">
        <v>1317</v>
      </c>
      <c r="I1127" s="19">
        <v>4629845</v>
      </c>
      <c r="J1127" s="18" t="s">
        <v>1015</v>
      </c>
      <c r="K1127" s="19">
        <v>303.39</v>
      </c>
      <c r="L1127" s="19">
        <v>5028</v>
      </c>
      <c r="M1127" s="19">
        <v>678</v>
      </c>
      <c r="N1127" s="20">
        <v>0.1348</v>
      </c>
      <c r="O1127" s="19">
        <v>0.45</v>
      </c>
      <c r="P1127" s="19">
        <v>60.34</v>
      </c>
      <c r="Q1127" s="19">
        <v>2</v>
      </c>
      <c r="R1127" s="19">
        <v>0</v>
      </c>
      <c r="S1127" s="19">
        <v>1</v>
      </c>
      <c r="T1127" s="19">
        <v>0</v>
      </c>
      <c r="U1127" s="19">
        <v>1</v>
      </c>
      <c r="V1127" s="19">
        <v>4</v>
      </c>
      <c r="W1127" s="19">
        <v>75.85</v>
      </c>
      <c r="X1127" s="19">
        <v>2</v>
      </c>
      <c r="Y1127" s="20">
        <v>0.0029</v>
      </c>
      <c r="Z1127" s="19">
        <v>3</v>
      </c>
      <c r="AA1127" s="19">
        <v>0</v>
      </c>
      <c r="AB1127" t="str">
        <f>VLOOKUP(E:E,笔记匹配!A:N,3,FALSE)</f>
        <v>包子熟了</v>
      </c>
      <c r="AC1127" t="str">
        <f>VLOOKUP(E:E,笔记匹配!A:N,2,FALSE)</f>
        <v>筋膜枪</v>
      </c>
      <c r="AD1127" t="str">
        <f>VLOOKUP(E:E,笔记匹配!A:N,4,FALSE)</f>
        <v>云麦筋膜枪</v>
      </c>
      <c r="AE1127" t="str">
        <f>VLOOKUP(E:E,笔记匹配!A:N,14,FALSE)</f>
        <v>云麦筋膜枪pb2</v>
      </c>
      <c r="AF1127" t="str">
        <f>VLOOKUP(E:E,笔记匹配!A:N,6,FALSE)</f>
        <v>筋膜枪测评|健身小白如何挑选筋膜枪？</v>
      </c>
    </row>
    <row r="1128" spans="1:32">
      <c r="A1128" s="18" t="s">
        <v>159</v>
      </c>
      <c r="B1128" s="18" t="s">
        <v>1316</v>
      </c>
      <c r="C1128" s="19">
        <v>22072908</v>
      </c>
      <c r="D1128" s="18" t="s">
        <v>196</v>
      </c>
      <c r="E1128" s="18" t="s">
        <v>201</v>
      </c>
      <c r="F1128" s="18" t="s">
        <v>1318</v>
      </c>
      <c r="G1128" s="19">
        <v>5521414</v>
      </c>
      <c r="H1128" s="18" t="s">
        <v>1318</v>
      </c>
      <c r="I1128" s="19">
        <v>4629891</v>
      </c>
      <c r="J1128" s="18" t="s">
        <v>1015</v>
      </c>
      <c r="K1128" s="19">
        <v>203.01</v>
      </c>
      <c r="L1128" s="19">
        <v>5550</v>
      </c>
      <c r="M1128" s="19">
        <v>553</v>
      </c>
      <c r="N1128" s="20">
        <v>0.0996</v>
      </c>
      <c r="O1128" s="19">
        <v>0.37</v>
      </c>
      <c r="P1128" s="19">
        <v>36.58</v>
      </c>
      <c r="Q1128" s="19">
        <v>4</v>
      </c>
      <c r="R1128" s="19">
        <v>0</v>
      </c>
      <c r="S1128" s="19">
        <v>2</v>
      </c>
      <c r="T1128" s="19">
        <v>0</v>
      </c>
      <c r="U1128" s="19">
        <v>0</v>
      </c>
      <c r="V1128" s="19">
        <v>6</v>
      </c>
      <c r="W1128" s="19">
        <v>33.84</v>
      </c>
      <c r="X1128" s="19">
        <v>4</v>
      </c>
      <c r="Y1128" s="20">
        <v>0.0072</v>
      </c>
      <c r="Z1128" s="19">
        <v>3</v>
      </c>
      <c r="AA1128" s="19">
        <v>0</v>
      </c>
      <c r="AB1128" t="str">
        <f>VLOOKUP(E:E,笔记匹配!A:N,3,FALSE)</f>
        <v>包子熟了</v>
      </c>
      <c r="AC1128" t="str">
        <f>VLOOKUP(E:E,笔记匹配!A:N,2,FALSE)</f>
        <v>筋膜枪</v>
      </c>
      <c r="AD1128" t="str">
        <f>VLOOKUP(E:E,笔记匹配!A:N,4,FALSE)</f>
        <v>云麦筋膜枪</v>
      </c>
      <c r="AE1128" t="str">
        <f>VLOOKUP(E:E,笔记匹配!A:N,14,FALSE)</f>
        <v>云麦筋膜枪pb2</v>
      </c>
      <c r="AF1128" t="str">
        <f>VLOOKUP(E:E,笔记匹配!A:N,6,FALSE)</f>
        <v>筋膜枪测评|健身小白如何挑选筋膜枪？</v>
      </c>
    </row>
    <row r="1129" spans="1:32">
      <c r="A1129" s="18" t="s">
        <v>159</v>
      </c>
      <c r="B1129" s="18" t="s">
        <v>1319</v>
      </c>
      <c r="C1129" s="19">
        <v>22315363</v>
      </c>
      <c r="D1129" s="18" t="s">
        <v>209</v>
      </c>
      <c r="E1129" s="18" t="s">
        <v>317</v>
      </c>
      <c r="F1129" s="18" t="s">
        <v>1320</v>
      </c>
      <c r="G1129" s="19">
        <v>5634352</v>
      </c>
      <c r="H1129" s="18" t="s">
        <v>1321</v>
      </c>
      <c r="I1129" s="19">
        <v>4716427</v>
      </c>
      <c r="J1129" s="18" t="s">
        <v>1015</v>
      </c>
      <c r="K1129" s="19">
        <v>1480.36</v>
      </c>
      <c r="L1129" s="19">
        <v>63034</v>
      </c>
      <c r="M1129" s="19">
        <v>2356</v>
      </c>
      <c r="N1129" s="20">
        <v>0.0374</v>
      </c>
      <c r="O1129" s="19">
        <v>0.63</v>
      </c>
      <c r="P1129" s="19">
        <v>23.49</v>
      </c>
      <c r="Q1129" s="19">
        <v>199</v>
      </c>
      <c r="R1129" s="19">
        <v>1</v>
      </c>
      <c r="S1129" s="19">
        <v>57</v>
      </c>
      <c r="T1129" s="19">
        <v>1</v>
      </c>
      <c r="U1129" s="19">
        <v>2</v>
      </c>
      <c r="V1129" s="19">
        <v>260</v>
      </c>
      <c r="W1129" s="19">
        <v>5.69</v>
      </c>
      <c r="X1129" s="19">
        <v>0</v>
      </c>
      <c r="Y1129" s="20">
        <v>0</v>
      </c>
      <c r="Z1129" s="19">
        <v>6</v>
      </c>
      <c r="AA1129" s="19">
        <v>6</v>
      </c>
      <c r="AB1129" t="str">
        <f>VLOOKUP(E:E,笔记匹配!A:N,3,FALSE)</f>
        <v>小乔您了</v>
      </c>
      <c r="AC1129" t="str">
        <f>VLOOKUP(E:E,笔记匹配!A:N,2,FALSE)</f>
        <v>筋膜枪</v>
      </c>
      <c r="AD1129" t="str">
        <f>VLOOKUP(E:E,笔记匹配!A:N,4,FALSE)</f>
        <v>云麦筋膜枪pb2</v>
      </c>
      <c r="AE1129" t="str">
        <f>VLOOKUP(E:E,笔记匹配!A:N,14,FALSE)</f>
        <v>云麦筋膜枪pb2</v>
      </c>
      <c r="AF1129" t="str">
        <f>VLOOKUP(E:E,笔记匹配!A:N,6,FALSE)</f>
        <v>🆘哭了！筋膜枪细【脂包肌】小腿被我悟明白了！</v>
      </c>
    </row>
    <row r="1130" spans="1:32">
      <c r="A1130" s="18" t="s">
        <v>160</v>
      </c>
      <c r="B1130" s="18" t="s">
        <v>1200</v>
      </c>
      <c r="C1130" s="19">
        <v>19106863</v>
      </c>
      <c r="D1130" s="18" t="s">
        <v>209</v>
      </c>
      <c r="E1130" s="18" t="s">
        <v>201</v>
      </c>
      <c r="F1130" s="18" t="s">
        <v>1202</v>
      </c>
      <c r="G1130" s="19">
        <v>4084168</v>
      </c>
      <c r="H1130" s="18" t="s">
        <v>1202</v>
      </c>
      <c r="I1130" s="19">
        <v>3466674</v>
      </c>
      <c r="J1130" s="18" t="s">
        <v>1015</v>
      </c>
      <c r="K1130" s="19">
        <v>0</v>
      </c>
      <c r="L1130" s="19">
        <v>0</v>
      </c>
      <c r="M1130" s="19">
        <v>0</v>
      </c>
      <c r="N1130" s="20">
        <v>0</v>
      </c>
      <c r="O1130" s="19">
        <v>0</v>
      </c>
      <c r="P1130" s="19">
        <v>0</v>
      </c>
      <c r="Q1130" s="19">
        <v>0</v>
      </c>
      <c r="R1130" s="19">
        <v>0</v>
      </c>
      <c r="S1130" s="19">
        <v>0</v>
      </c>
      <c r="T1130" s="19">
        <v>0</v>
      </c>
      <c r="U1130" s="19">
        <v>0</v>
      </c>
      <c r="V1130" s="19">
        <v>0</v>
      </c>
      <c r="W1130" s="19">
        <v>0</v>
      </c>
      <c r="X1130" s="19">
        <v>0</v>
      </c>
      <c r="Y1130" s="20">
        <v>0</v>
      </c>
      <c r="Z1130" s="19">
        <v>0</v>
      </c>
      <c r="AA1130" s="19">
        <v>0</v>
      </c>
      <c r="AB1130" t="str">
        <f>VLOOKUP(E:E,笔记匹配!A:N,3,FALSE)</f>
        <v>包子熟了</v>
      </c>
      <c r="AC1130" t="str">
        <f>VLOOKUP(E:E,笔记匹配!A:N,2,FALSE)</f>
        <v>筋膜枪</v>
      </c>
      <c r="AD1130" t="str">
        <f>VLOOKUP(E:E,笔记匹配!A:N,4,FALSE)</f>
        <v>云麦筋膜枪</v>
      </c>
      <c r="AE1130" t="str">
        <f>VLOOKUP(E:E,笔记匹配!A:N,14,FALSE)</f>
        <v>云麦筋膜枪pb2</v>
      </c>
      <c r="AF1130" t="str">
        <f>VLOOKUP(E:E,笔记匹配!A:N,6,FALSE)</f>
        <v>筋膜枪测评|健身小白如何挑选筋膜枪？</v>
      </c>
    </row>
    <row r="1131" spans="1:32">
      <c r="A1131" s="18" t="s">
        <v>160</v>
      </c>
      <c r="B1131" s="18" t="s">
        <v>1267</v>
      </c>
      <c r="C1131" s="19">
        <v>21360243</v>
      </c>
      <c r="D1131" s="18" t="s">
        <v>209</v>
      </c>
      <c r="E1131" s="18" t="s">
        <v>220</v>
      </c>
      <c r="F1131" s="18" t="s">
        <v>1268</v>
      </c>
      <c r="G1131" s="19">
        <v>5192303</v>
      </c>
      <c r="H1131" s="18" t="s">
        <v>1269</v>
      </c>
      <c r="I1131" s="19">
        <v>4379647</v>
      </c>
      <c r="J1131" s="18" t="s">
        <v>1015</v>
      </c>
      <c r="K1131" s="19">
        <v>1455.94</v>
      </c>
      <c r="L1131" s="19">
        <v>78937</v>
      </c>
      <c r="M1131" s="19">
        <v>3221</v>
      </c>
      <c r="N1131" s="20">
        <v>0.0408</v>
      </c>
      <c r="O1131" s="19">
        <v>0.45</v>
      </c>
      <c r="P1131" s="19">
        <v>18.44</v>
      </c>
      <c r="Q1131" s="19">
        <v>168</v>
      </c>
      <c r="R1131" s="19">
        <v>2</v>
      </c>
      <c r="S1131" s="19">
        <v>65</v>
      </c>
      <c r="T1131" s="19">
        <v>1</v>
      </c>
      <c r="U1131" s="19">
        <v>3</v>
      </c>
      <c r="V1131" s="19">
        <v>239</v>
      </c>
      <c r="W1131" s="19">
        <v>6.09</v>
      </c>
      <c r="X1131" s="19">
        <v>0</v>
      </c>
      <c r="Y1131" s="20">
        <v>0</v>
      </c>
      <c r="Z1131" s="19">
        <v>12</v>
      </c>
      <c r="AA1131" s="19">
        <v>3</v>
      </c>
      <c r="AB1131" t="str">
        <f>VLOOKUP(E:E,笔记匹配!A:N,3,FALSE)</f>
        <v>一颗西兰花fa</v>
      </c>
      <c r="AC1131" t="str">
        <f>VLOOKUP(E:E,笔记匹配!A:N,2,FALSE)</f>
        <v>筋膜枪</v>
      </c>
      <c r="AD1131" t="str">
        <f>VLOOKUP(E:E,笔记匹配!A:N,4,FALSE)</f>
        <v>云麦筋膜枪PB2</v>
      </c>
      <c r="AE1131" t="str">
        <f>VLOOKUP(E:E,笔记匹配!A:N,14,FALSE)</f>
        <v>云麦筋膜枪pb2</v>
      </c>
      <c r="AF1131" t="str">
        <f>VLOOKUP(E:E,笔记匹配!A:N,6,FALSE)</f>
        <v>有没有姐妹跟我一样被肌肉腿困扰了好久！</v>
      </c>
    </row>
    <row r="1132" spans="1:32">
      <c r="A1132" s="18" t="s">
        <v>160</v>
      </c>
      <c r="B1132" s="18" t="s">
        <v>1294</v>
      </c>
      <c r="C1132" s="19">
        <v>21747929</v>
      </c>
      <c r="D1132" s="18" t="s">
        <v>209</v>
      </c>
      <c r="E1132" s="18" t="s">
        <v>208</v>
      </c>
      <c r="F1132" s="18" t="s">
        <v>1295</v>
      </c>
      <c r="G1132" s="19">
        <v>5366393</v>
      </c>
      <c r="H1132" s="18" t="s">
        <v>1295</v>
      </c>
      <c r="I1132" s="19">
        <v>4512630</v>
      </c>
      <c r="J1132" s="18" t="s">
        <v>1015</v>
      </c>
      <c r="K1132" s="19">
        <v>2020.89</v>
      </c>
      <c r="L1132" s="19">
        <v>84329</v>
      </c>
      <c r="M1132" s="19">
        <v>4115</v>
      </c>
      <c r="N1132" s="20">
        <v>0.0488</v>
      </c>
      <c r="O1132" s="19">
        <v>0.49</v>
      </c>
      <c r="P1132" s="19">
        <v>23.96</v>
      </c>
      <c r="Q1132" s="19">
        <v>121</v>
      </c>
      <c r="R1132" s="19">
        <v>5</v>
      </c>
      <c r="S1132" s="19">
        <v>51</v>
      </c>
      <c r="T1132" s="19">
        <v>1</v>
      </c>
      <c r="U1132" s="19">
        <v>1</v>
      </c>
      <c r="V1132" s="19">
        <v>179</v>
      </c>
      <c r="W1132" s="19">
        <v>11.29</v>
      </c>
      <c r="X1132" s="19">
        <v>0</v>
      </c>
      <c r="Y1132" s="20">
        <v>0</v>
      </c>
      <c r="Z1132" s="19">
        <v>16</v>
      </c>
      <c r="AA1132" s="19">
        <v>1</v>
      </c>
      <c r="AB1132" t="str">
        <f>VLOOKUP(E:E,笔记匹配!A:N,3,FALSE)</f>
        <v>小羊羔崽子</v>
      </c>
      <c r="AC1132" t="str">
        <f>VLOOKUP(E:E,笔记匹配!A:N,2,FALSE)</f>
        <v>筋膜枪</v>
      </c>
      <c r="AD1132" t="str">
        <f>VLOOKUP(E:E,笔记匹配!A:N,4,FALSE)</f>
        <v>云麦筋膜枪PB2</v>
      </c>
      <c r="AE1132" t="str">
        <f>VLOOKUP(E:E,笔记匹配!A:N,14,FALSE)</f>
        <v>云麦筋膜枪pb2</v>
      </c>
      <c r="AF1132" t="str">
        <f>VLOOKUP(E:E,笔记匹配!A:N,6,FALSE)</f>
        <v>用了多年泡沫轴，才知道筋膜枪是真的香！！！</v>
      </c>
    </row>
    <row r="1133" spans="1:32">
      <c r="A1133" s="18" t="s">
        <v>160</v>
      </c>
      <c r="B1133" s="18" t="s">
        <v>1294</v>
      </c>
      <c r="C1133" s="19">
        <v>21747992</v>
      </c>
      <c r="D1133" s="18" t="s">
        <v>209</v>
      </c>
      <c r="E1133" s="18" t="s">
        <v>292</v>
      </c>
      <c r="F1133" s="18" t="s">
        <v>1296</v>
      </c>
      <c r="G1133" s="19">
        <v>5366424</v>
      </c>
      <c r="H1133" s="18" t="s">
        <v>1296</v>
      </c>
      <c r="I1133" s="19">
        <v>4512653</v>
      </c>
      <c r="J1133" s="18" t="s">
        <v>1015</v>
      </c>
      <c r="K1133" s="19">
        <v>0</v>
      </c>
      <c r="L1133" s="19">
        <v>0</v>
      </c>
      <c r="M1133" s="19">
        <v>0</v>
      </c>
      <c r="N1133" s="20">
        <v>0</v>
      </c>
      <c r="O1133" s="19">
        <v>0</v>
      </c>
      <c r="P1133" s="19">
        <v>0</v>
      </c>
      <c r="Q1133" s="19">
        <v>0</v>
      </c>
      <c r="R1133" s="19">
        <v>0</v>
      </c>
      <c r="S1133" s="19">
        <v>0</v>
      </c>
      <c r="T1133" s="19">
        <v>0</v>
      </c>
      <c r="U1133" s="19">
        <v>0</v>
      </c>
      <c r="V1133" s="19">
        <v>0</v>
      </c>
      <c r="W1133" s="19">
        <v>0</v>
      </c>
      <c r="X1133" s="19">
        <v>0</v>
      </c>
      <c r="Y1133" s="20">
        <v>0</v>
      </c>
      <c r="Z1133" s="19">
        <v>0</v>
      </c>
      <c r="AA1133" s="19">
        <v>0</v>
      </c>
      <c r="AB1133" t="str">
        <f>VLOOKUP(E:E,笔记匹配!A:N,3,FALSE)</f>
        <v>形体矫正小李</v>
      </c>
      <c r="AC1133" t="str">
        <f>VLOOKUP(E:E,笔记匹配!A:N,2,FALSE)</f>
        <v>筋膜枪</v>
      </c>
      <c r="AD1133" t="str">
        <f>VLOOKUP(E:E,笔记匹配!A:N,4,FALSE)</f>
        <v>云麦筋膜枪PB2</v>
      </c>
      <c r="AE1133" t="str">
        <f>VLOOKUP(E:E,笔记匹配!A:N,14,FALSE)</f>
        <v>云麦筋膜枪pb2</v>
      </c>
      <c r="AF1133" t="str">
        <f>VLOOKUP(E:E,笔记匹配!A:N,6,FALSE)</f>
        <v>大腿内侧赘肉消失术‼️练出细长漫画腿全靠它</v>
      </c>
    </row>
    <row r="1134" spans="1:32">
      <c r="A1134" s="18" t="s">
        <v>160</v>
      </c>
      <c r="B1134" s="18" t="s">
        <v>1303</v>
      </c>
      <c r="C1134" s="19">
        <v>21880743</v>
      </c>
      <c r="D1134" s="18" t="s">
        <v>209</v>
      </c>
      <c r="E1134" s="18" t="s">
        <v>234</v>
      </c>
      <c r="F1134" s="18" t="s">
        <v>1304</v>
      </c>
      <c r="G1134" s="19">
        <v>5428999</v>
      </c>
      <c r="H1134" s="18" t="s">
        <v>1304</v>
      </c>
      <c r="I1134" s="19">
        <v>4559759</v>
      </c>
      <c r="J1134" s="18" t="s">
        <v>1015</v>
      </c>
      <c r="K1134" s="19">
        <v>506.47</v>
      </c>
      <c r="L1134" s="19">
        <v>32640</v>
      </c>
      <c r="M1134" s="19">
        <v>1489</v>
      </c>
      <c r="N1134" s="20">
        <v>0.0456</v>
      </c>
      <c r="O1134" s="19">
        <v>0.34</v>
      </c>
      <c r="P1134" s="19">
        <v>15.52</v>
      </c>
      <c r="Q1134" s="19">
        <v>34</v>
      </c>
      <c r="R1134" s="19">
        <v>0</v>
      </c>
      <c r="S1134" s="19">
        <v>8</v>
      </c>
      <c r="T1134" s="19">
        <v>0</v>
      </c>
      <c r="U1134" s="19">
        <v>0</v>
      </c>
      <c r="V1134" s="19">
        <v>42</v>
      </c>
      <c r="W1134" s="19">
        <v>12.06</v>
      </c>
      <c r="X1134" s="19">
        <v>0</v>
      </c>
      <c r="Y1134" s="20">
        <v>0</v>
      </c>
      <c r="Z1134" s="19">
        <v>0</v>
      </c>
      <c r="AA1134" s="19">
        <v>0</v>
      </c>
      <c r="AB1134" t="str">
        <f>VLOOKUP(E:E,笔记匹配!A:N,3,FALSE)</f>
        <v>pp</v>
      </c>
      <c r="AC1134" t="str">
        <f>VLOOKUP(E:E,笔记匹配!A:N,2,FALSE)</f>
        <v>体脂秤</v>
      </c>
      <c r="AD1134" t="str">
        <f>VLOOKUP(E:E,笔记匹配!A:N,4,FALSE)</f>
        <v>云麦体脂秤3mini</v>
      </c>
      <c r="AE1134" t="str">
        <f>VLOOKUP(E:E,笔记匹配!A:N,14,FALSE)</f>
        <v>云麦体脂秤3mini</v>
      </c>
      <c r="AF1134" t="str">
        <f>VLOOKUP(E:E,笔记匹配!A:N,6,FALSE)</f>
        <v>110到88 一些减肥小建议｜如何正确运动</v>
      </c>
    </row>
    <row r="1135" spans="1:32">
      <c r="A1135" s="18" t="s">
        <v>160</v>
      </c>
      <c r="B1135" s="18" t="s">
        <v>1297</v>
      </c>
      <c r="C1135" s="19">
        <v>21881635</v>
      </c>
      <c r="D1135" s="18" t="s">
        <v>196</v>
      </c>
      <c r="E1135" s="18" t="s">
        <v>234</v>
      </c>
      <c r="F1135" s="18" t="s">
        <v>1306</v>
      </c>
      <c r="G1135" s="19">
        <v>5429032</v>
      </c>
      <c r="H1135" s="18" t="s">
        <v>1307</v>
      </c>
      <c r="I1135" s="19">
        <v>4559792</v>
      </c>
      <c r="J1135" s="18" t="s">
        <v>1015</v>
      </c>
      <c r="K1135" s="19">
        <v>14.36</v>
      </c>
      <c r="L1135" s="19">
        <v>998</v>
      </c>
      <c r="M1135" s="19">
        <v>31</v>
      </c>
      <c r="N1135" s="20">
        <v>0.0311</v>
      </c>
      <c r="O1135" s="19">
        <v>0.46</v>
      </c>
      <c r="P1135" s="19">
        <v>14.39</v>
      </c>
      <c r="Q1135" s="19">
        <v>0</v>
      </c>
      <c r="R1135" s="19">
        <v>0</v>
      </c>
      <c r="S1135" s="19">
        <v>0</v>
      </c>
      <c r="T1135" s="19">
        <v>0</v>
      </c>
      <c r="U1135" s="19">
        <v>0</v>
      </c>
      <c r="V1135" s="19">
        <v>0</v>
      </c>
      <c r="W1135" s="19">
        <v>0</v>
      </c>
      <c r="X1135" s="19">
        <v>0</v>
      </c>
      <c r="Y1135" s="20">
        <v>0</v>
      </c>
      <c r="Z1135" s="19">
        <v>0</v>
      </c>
      <c r="AA1135" s="19">
        <v>0</v>
      </c>
      <c r="AB1135" t="str">
        <f>VLOOKUP(E:E,笔记匹配!A:N,3,FALSE)</f>
        <v>pp</v>
      </c>
      <c r="AC1135" t="str">
        <f>VLOOKUP(E:E,笔记匹配!A:N,2,FALSE)</f>
        <v>体脂秤</v>
      </c>
      <c r="AD1135" t="str">
        <f>VLOOKUP(E:E,笔记匹配!A:N,4,FALSE)</f>
        <v>云麦体脂秤3mini</v>
      </c>
      <c r="AE1135" t="str">
        <f>VLOOKUP(E:E,笔记匹配!A:N,14,FALSE)</f>
        <v>云麦体脂秤3mini</v>
      </c>
      <c r="AF1135" t="str">
        <f>VLOOKUP(E:E,笔记匹配!A:N,6,FALSE)</f>
        <v>110到88 一些减肥小建议｜如何正确运动</v>
      </c>
    </row>
    <row r="1136" spans="1:32">
      <c r="A1136" s="18" t="s">
        <v>160</v>
      </c>
      <c r="B1136" s="18" t="s">
        <v>1308</v>
      </c>
      <c r="C1136" s="19">
        <v>21881978</v>
      </c>
      <c r="D1136" s="18" t="s">
        <v>196</v>
      </c>
      <c r="E1136" s="18" t="s">
        <v>234</v>
      </c>
      <c r="F1136" s="18" t="s">
        <v>1309</v>
      </c>
      <c r="G1136" s="19">
        <v>5429663</v>
      </c>
      <c r="H1136" s="18" t="s">
        <v>1310</v>
      </c>
      <c r="I1136" s="19">
        <v>4560362</v>
      </c>
      <c r="J1136" s="18" t="s">
        <v>1015</v>
      </c>
      <c r="K1136" s="19">
        <v>119.04</v>
      </c>
      <c r="L1136" s="19">
        <v>2677</v>
      </c>
      <c r="M1136" s="19">
        <v>162</v>
      </c>
      <c r="N1136" s="20">
        <v>0.0605</v>
      </c>
      <c r="O1136" s="19">
        <v>0.73</v>
      </c>
      <c r="P1136" s="19">
        <v>44.47</v>
      </c>
      <c r="Q1136" s="19">
        <v>1</v>
      </c>
      <c r="R1136" s="19">
        <v>0</v>
      </c>
      <c r="S1136" s="19">
        <v>0</v>
      </c>
      <c r="T1136" s="19">
        <v>0</v>
      </c>
      <c r="U1136" s="19">
        <v>0</v>
      </c>
      <c r="V1136" s="19">
        <v>1</v>
      </c>
      <c r="W1136" s="19">
        <v>119.04</v>
      </c>
      <c r="X1136" s="19">
        <v>0</v>
      </c>
      <c r="Y1136" s="20">
        <v>0</v>
      </c>
      <c r="Z1136" s="19">
        <v>0</v>
      </c>
      <c r="AA1136" s="19">
        <v>0</v>
      </c>
      <c r="AB1136" t="str">
        <f>VLOOKUP(E:E,笔记匹配!A:N,3,FALSE)</f>
        <v>pp</v>
      </c>
      <c r="AC1136" t="str">
        <f>VLOOKUP(E:E,笔记匹配!A:N,2,FALSE)</f>
        <v>体脂秤</v>
      </c>
      <c r="AD1136" t="str">
        <f>VLOOKUP(E:E,笔记匹配!A:N,4,FALSE)</f>
        <v>云麦体脂秤3mini</v>
      </c>
      <c r="AE1136" t="str">
        <f>VLOOKUP(E:E,笔记匹配!A:N,14,FALSE)</f>
        <v>云麦体脂秤3mini</v>
      </c>
      <c r="AF1136" t="str">
        <f>VLOOKUP(E:E,笔记匹配!A:N,6,FALSE)</f>
        <v>110到88 一些减肥小建议｜如何正确运动</v>
      </c>
    </row>
    <row r="1137" spans="1:32">
      <c r="A1137" s="18" t="s">
        <v>160</v>
      </c>
      <c r="B1137" s="18" t="s">
        <v>1311</v>
      </c>
      <c r="C1137" s="19">
        <v>21978813</v>
      </c>
      <c r="D1137" s="18" t="s">
        <v>209</v>
      </c>
      <c r="E1137" s="18" t="s">
        <v>252</v>
      </c>
      <c r="F1137" s="18" t="s">
        <v>1312</v>
      </c>
      <c r="G1137" s="19">
        <v>5474004</v>
      </c>
      <c r="H1137" s="18" t="s">
        <v>1312</v>
      </c>
      <c r="I1137" s="19">
        <v>4594476</v>
      </c>
      <c r="J1137" s="18" t="s">
        <v>1015</v>
      </c>
      <c r="K1137" s="19">
        <v>0</v>
      </c>
      <c r="L1137" s="19">
        <v>8</v>
      </c>
      <c r="M1137" s="19">
        <v>0</v>
      </c>
      <c r="N1137" s="20">
        <v>0</v>
      </c>
      <c r="O1137" s="19">
        <v>0</v>
      </c>
      <c r="P1137" s="19">
        <v>0</v>
      </c>
      <c r="Q1137" s="19">
        <v>0</v>
      </c>
      <c r="R1137" s="19">
        <v>0</v>
      </c>
      <c r="S1137" s="19">
        <v>0</v>
      </c>
      <c r="T1137" s="19">
        <v>0</v>
      </c>
      <c r="U1137" s="19">
        <v>0</v>
      </c>
      <c r="V1137" s="19">
        <v>0</v>
      </c>
      <c r="W1137" s="19">
        <v>0</v>
      </c>
      <c r="X1137" s="19">
        <v>0</v>
      </c>
      <c r="Y1137" s="20">
        <v>0</v>
      </c>
      <c r="Z1137" s="19">
        <v>0</v>
      </c>
      <c r="AA1137" s="19">
        <v>0</v>
      </c>
      <c r="AB1137" t="str">
        <f>VLOOKUP(E:E,笔记匹配!A:N,3,FALSE)</f>
        <v>脆鱼日记</v>
      </c>
      <c r="AC1137" t="str">
        <f>VLOOKUP(E:E,笔记匹配!A:N,2,FALSE)</f>
        <v>筋膜枪</v>
      </c>
      <c r="AD1137" t="str">
        <f>VLOOKUP(E:E,笔记匹配!A:N,4,FALSE)</f>
        <v>云麦筋膜枪cc</v>
      </c>
      <c r="AE1137" t="str">
        <f>VLOOKUP(E:E,笔记匹配!A:N,14,FALSE)</f>
        <v>云麦筋膜枪ccgo</v>
      </c>
      <c r="AF1137" t="str">
        <f>VLOOKUP(E:E,笔记匹配!A:N,6,FALSE)</f>
        <v>每天坚持这4个动作🔥瘦脂包肌小腿‼️已瘦4cm</v>
      </c>
    </row>
    <row r="1138" spans="1:32">
      <c r="A1138" s="18" t="s">
        <v>160</v>
      </c>
      <c r="B1138" s="18" t="s">
        <v>1314</v>
      </c>
      <c r="C1138" s="19">
        <v>22072602</v>
      </c>
      <c r="D1138" s="18" t="s">
        <v>209</v>
      </c>
      <c r="E1138" s="18" t="s">
        <v>274</v>
      </c>
      <c r="F1138" s="18" t="s">
        <v>1315</v>
      </c>
      <c r="G1138" s="19">
        <v>5521266</v>
      </c>
      <c r="H1138" s="18" t="s">
        <v>1315</v>
      </c>
      <c r="I1138" s="19">
        <v>4629783</v>
      </c>
      <c r="J1138" s="18" t="s">
        <v>1015</v>
      </c>
      <c r="K1138" s="19">
        <v>2072.94</v>
      </c>
      <c r="L1138" s="19">
        <v>108516</v>
      </c>
      <c r="M1138" s="19">
        <v>5662</v>
      </c>
      <c r="N1138" s="20">
        <v>0.0522</v>
      </c>
      <c r="O1138" s="19">
        <v>0.37</v>
      </c>
      <c r="P1138" s="19">
        <v>19.1</v>
      </c>
      <c r="Q1138" s="19">
        <v>182</v>
      </c>
      <c r="R1138" s="19">
        <v>7</v>
      </c>
      <c r="S1138" s="19">
        <v>36</v>
      </c>
      <c r="T1138" s="19">
        <v>2</v>
      </c>
      <c r="U1138" s="19">
        <v>2</v>
      </c>
      <c r="V1138" s="19">
        <v>229</v>
      </c>
      <c r="W1138" s="19">
        <v>9.05</v>
      </c>
      <c r="X1138" s="19">
        <v>0</v>
      </c>
      <c r="Y1138" s="20">
        <v>0</v>
      </c>
      <c r="Z1138" s="19">
        <v>5</v>
      </c>
      <c r="AA1138" s="19">
        <v>7</v>
      </c>
      <c r="AB1138" t="str">
        <f>VLOOKUP(E:E,笔记匹配!A:N,3,FALSE)</f>
        <v>西米是个小可爱</v>
      </c>
      <c r="AC1138" t="str">
        <f>VLOOKUP(E:E,笔记匹配!A:N,2,FALSE)</f>
        <v>筋膜枪</v>
      </c>
      <c r="AD1138" t="str">
        <f>VLOOKUP(E:E,笔记匹配!A:N,4,FALSE)</f>
        <v>云麦筋膜枪PB2</v>
      </c>
      <c r="AE1138" t="str">
        <f>VLOOKUP(E:E,笔记匹配!A:N,14,FALSE)</f>
        <v>云麦筋膜枪pb2</v>
      </c>
      <c r="AF1138" t="str">
        <f>VLOOKUP(E:E,笔记匹配!A:N,6,FALSE)</f>
        <v>筋膜枪千万不能乱用！正确肩颈使用方法</v>
      </c>
    </row>
    <row r="1139" spans="1:32">
      <c r="A1139" s="18" t="s">
        <v>160</v>
      </c>
      <c r="B1139" s="18" t="s">
        <v>1316</v>
      </c>
      <c r="C1139" s="19">
        <v>22072814</v>
      </c>
      <c r="D1139" s="18" t="s">
        <v>196</v>
      </c>
      <c r="E1139" s="18" t="s">
        <v>201</v>
      </c>
      <c r="F1139" s="18" t="s">
        <v>1317</v>
      </c>
      <c r="G1139" s="19">
        <v>5521358</v>
      </c>
      <c r="H1139" s="18" t="s">
        <v>1317</v>
      </c>
      <c r="I1139" s="19">
        <v>4629845</v>
      </c>
      <c r="J1139" s="18" t="s">
        <v>1015</v>
      </c>
      <c r="K1139" s="19">
        <v>489.09</v>
      </c>
      <c r="L1139" s="19">
        <v>6905</v>
      </c>
      <c r="M1139" s="19">
        <v>1042</v>
      </c>
      <c r="N1139" s="20">
        <v>0.1509</v>
      </c>
      <c r="O1139" s="19">
        <v>0.47</v>
      </c>
      <c r="P1139" s="19">
        <v>70.83</v>
      </c>
      <c r="Q1139" s="19">
        <v>1</v>
      </c>
      <c r="R1139" s="19">
        <v>1</v>
      </c>
      <c r="S1139" s="19">
        <v>1</v>
      </c>
      <c r="T1139" s="19">
        <v>0</v>
      </c>
      <c r="U1139" s="19">
        <v>0</v>
      </c>
      <c r="V1139" s="19">
        <v>3</v>
      </c>
      <c r="W1139" s="19">
        <v>163.03</v>
      </c>
      <c r="X1139" s="19">
        <v>8</v>
      </c>
      <c r="Y1139" s="20">
        <v>0.0077</v>
      </c>
      <c r="Z1139" s="19">
        <v>7</v>
      </c>
      <c r="AA1139" s="19">
        <v>3</v>
      </c>
      <c r="AB1139" t="str">
        <f>VLOOKUP(E:E,笔记匹配!A:N,3,FALSE)</f>
        <v>包子熟了</v>
      </c>
      <c r="AC1139" t="str">
        <f>VLOOKUP(E:E,笔记匹配!A:N,2,FALSE)</f>
        <v>筋膜枪</v>
      </c>
      <c r="AD1139" t="str">
        <f>VLOOKUP(E:E,笔记匹配!A:N,4,FALSE)</f>
        <v>云麦筋膜枪</v>
      </c>
      <c r="AE1139" t="str">
        <f>VLOOKUP(E:E,笔记匹配!A:N,14,FALSE)</f>
        <v>云麦筋膜枪pb2</v>
      </c>
      <c r="AF1139" t="str">
        <f>VLOOKUP(E:E,笔记匹配!A:N,6,FALSE)</f>
        <v>筋膜枪测评|健身小白如何挑选筋膜枪？</v>
      </c>
    </row>
    <row r="1140" spans="1:32">
      <c r="A1140" s="18" t="s">
        <v>160</v>
      </c>
      <c r="B1140" s="18" t="s">
        <v>1316</v>
      </c>
      <c r="C1140" s="19">
        <v>22072908</v>
      </c>
      <c r="D1140" s="18" t="s">
        <v>196</v>
      </c>
      <c r="E1140" s="18" t="s">
        <v>201</v>
      </c>
      <c r="F1140" s="18" t="s">
        <v>1318</v>
      </c>
      <c r="G1140" s="19">
        <v>5521414</v>
      </c>
      <c r="H1140" s="18" t="s">
        <v>1318</v>
      </c>
      <c r="I1140" s="19">
        <v>4629891</v>
      </c>
      <c r="J1140" s="18" t="s">
        <v>1015</v>
      </c>
      <c r="K1140" s="19">
        <v>124.4</v>
      </c>
      <c r="L1140" s="19">
        <v>6559</v>
      </c>
      <c r="M1140" s="19">
        <v>317</v>
      </c>
      <c r="N1140" s="20">
        <v>0.0483</v>
      </c>
      <c r="O1140" s="19">
        <v>0.39</v>
      </c>
      <c r="P1140" s="19">
        <v>18.97</v>
      </c>
      <c r="Q1140" s="19">
        <v>1</v>
      </c>
      <c r="R1140" s="19">
        <v>0</v>
      </c>
      <c r="S1140" s="19">
        <v>1</v>
      </c>
      <c r="T1140" s="19">
        <v>0</v>
      </c>
      <c r="U1140" s="19">
        <v>0</v>
      </c>
      <c r="V1140" s="19">
        <v>2</v>
      </c>
      <c r="W1140" s="19">
        <v>62.2</v>
      </c>
      <c r="X1140" s="19">
        <v>4</v>
      </c>
      <c r="Y1140" s="20">
        <v>0.0126</v>
      </c>
      <c r="Z1140" s="19">
        <v>0</v>
      </c>
      <c r="AA1140" s="19">
        <v>0</v>
      </c>
      <c r="AB1140" t="str">
        <f>VLOOKUP(E:E,笔记匹配!A:N,3,FALSE)</f>
        <v>包子熟了</v>
      </c>
      <c r="AC1140" t="str">
        <f>VLOOKUP(E:E,笔记匹配!A:N,2,FALSE)</f>
        <v>筋膜枪</v>
      </c>
      <c r="AD1140" t="str">
        <f>VLOOKUP(E:E,笔记匹配!A:N,4,FALSE)</f>
        <v>云麦筋膜枪</v>
      </c>
      <c r="AE1140" t="str">
        <f>VLOOKUP(E:E,笔记匹配!A:N,14,FALSE)</f>
        <v>云麦筋膜枪pb2</v>
      </c>
      <c r="AF1140" t="str">
        <f>VLOOKUP(E:E,笔记匹配!A:N,6,FALSE)</f>
        <v>筋膜枪测评|健身小白如何挑选筋膜枪？</v>
      </c>
    </row>
    <row r="1141" spans="1:32">
      <c r="A1141" s="18" t="s">
        <v>160</v>
      </c>
      <c r="B1141" s="18" t="s">
        <v>1319</v>
      </c>
      <c r="C1141" s="19">
        <v>22315363</v>
      </c>
      <c r="D1141" s="18" t="s">
        <v>209</v>
      </c>
      <c r="E1141" s="18" t="s">
        <v>317</v>
      </c>
      <c r="F1141" s="18" t="s">
        <v>1320</v>
      </c>
      <c r="G1141" s="19">
        <v>5634352</v>
      </c>
      <c r="H1141" s="18" t="s">
        <v>1321</v>
      </c>
      <c r="I1141" s="19">
        <v>4716427</v>
      </c>
      <c r="J1141" s="18" t="s">
        <v>1015</v>
      </c>
      <c r="K1141" s="19">
        <v>6.12</v>
      </c>
      <c r="L1141" s="19">
        <v>259</v>
      </c>
      <c r="M1141" s="19">
        <v>8</v>
      </c>
      <c r="N1141" s="20">
        <v>0.0309</v>
      </c>
      <c r="O1141" s="19">
        <v>0.76</v>
      </c>
      <c r="P1141" s="19">
        <v>23.63</v>
      </c>
      <c r="Q1141" s="19">
        <v>4</v>
      </c>
      <c r="R1141" s="19">
        <v>0</v>
      </c>
      <c r="S1141" s="19">
        <v>0</v>
      </c>
      <c r="T1141" s="19">
        <v>0</v>
      </c>
      <c r="U1141" s="19">
        <v>0</v>
      </c>
      <c r="V1141" s="19">
        <v>4</v>
      </c>
      <c r="W1141" s="19">
        <v>1.53</v>
      </c>
      <c r="X1141" s="19">
        <v>0</v>
      </c>
      <c r="Y1141" s="20">
        <v>0</v>
      </c>
      <c r="Z1141" s="19">
        <v>0</v>
      </c>
      <c r="AA1141" s="19">
        <v>0</v>
      </c>
      <c r="AB1141" t="str">
        <f>VLOOKUP(E:E,笔记匹配!A:N,3,FALSE)</f>
        <v>小乔您了</v>
      </c>
      <c r="AC1141" t="str">
        <f>VLOOKUP(E:E,笔记匹配!A:N,2,FALSE)</f>
        <v>筋膜枪</v>
      </c>
      <c r="AD1141" t="str">
        <f>VLOOKUP(E:E,笔记匹配!A:N,4,FALSE)</f>
        <v>云麦筋膜枪pb2</v>
      </c>
      <c r="AE1141" t="str">
        <f>VLOOKUP(E:E,笔记匹配!A:N,14,FALSE)</f>
        <v>云麦筋膜枪pb2</v>
      </c>
      <c r="AF1141" t="str">
        <f>VLOOKUP(E:E,笔记匹配!A:N,6,FALSE)</f>
        <v>🆘哭了！筋膜枪细【脂包肌】小腿被我悟明白了！</v>
      </c>
    </row>
    <row r="1142" spans="1:32">
      <c r="A1142" s="18" t="s">
        <v>160</v>
      </c>
      <c r="B1142" s="18" t="s">
        <v>1322</v>
      </c>
      <c r="C1142" s="19">
        <v>22437894</v>
      </c>
      <c r="D1142" s="18" t="s">
        <v>196</v>
      </c>
      <c r="E1142" s="18" t="s">
        <v>201</v>
      </c>
      <c r="F1142" s="18" t="s">
        <v>1323</v>
      </c>
      <c r="G1142" s="19">
        <v>5694637</v>
      </c>
      <c r="H1142" s="18" t="s">
        <v>1323</v>
      </c>
      <c r="I1142" s="19">
        <v>4763185</v>
      </c>
      <c r="J1142" s="18" t="s">
        <v>1015</v>
      </c>
      <c r="K1142" s="19">
        <v>0</v>
      </c>
      <c r="L1142" s="19">
        <v>2</v>
      </c>
      <c r="M1142" s="19">
        <v>0</v>
      </c>
      <c r="N1142" s="20">
        <v>0</v>
      </c>
      <c r="O1142" s="19">
        <v>0</v>
      </c>
      <c r="P1142" s="19">
        <v>0</v>
      </c>
      <c r="Q1142" s="19">
        <v>0</v>
      </c>
      <c r="R1142" s="19">
        <v>0</v>
      </c>
      <c r="S1142" s="19">
        <v>0</v>
      </c>
      <c r="T1142" s="19">
        <v>0</v>
      </c>
      <c r="U1142" s="19">
        <v>0</v>
      </c>
      <c r="V1142" s="19">
        <v>0</v>
      </c>
      <c r="W1142" s="19">
        <v>0</v>
      </c>
      <c r="X1142" s="19">
        <v>0</v>
      </c>
      <c r="Y1142" s="20">
        <v>0</v>
      </c>
      <c r="Z1142" s="19">
        <v>0</v>
      </c>
      <c r="AA1142" s="19">
        <v>0</v>
      </c>
      <c r="AB1142" t="str">
        <f>VLOOKUP(E:E,笔记匹配!A:N,3,FALSE)</f>
        <v>包子熟了</v>
      </c>
      <c r="AC1142" t="str">
        <f>VLOOKUP(E:E,笔记匹配!A:N,2,FALSE)</f>
        <v>筋膜枪</v>
      </c>
      <c r="AD1142" t="str">
        <f>VLOOKUP(E:E,笔记匹配!A:N,4,FALSE)</f>
        <v>云麦筋膜枪</v>
      </c>
      <c r="AE1142" t="str">
        <f>VLOOKUP(E:E,笔记匹配!A:N,14,FALSE)</f>
        <v>云麦筋膜枪pb2</v>
      </c>
      <c r="AF1142" t="str">
        <f>VLOOKUP(E:E,笔记匹配!A:N,6,FALSE)</f>
        <v>筋膜枪测评|健身小白如何挑选筋膜枪？</v>
      </c>
    </row>
    <row r="1143" spans="1:32">
      <c r="A1143" s="18" t="s">
        <v>160</v>
      </c>
      <c r="B1143" s="18" t="s">
        <v>1324</v>
      </c>
      <c r="C1143" s="19">
        <v>22438055</v>
      </c>
      <c r="D1143" s="18" t="s">
        <v>196</v>
      </c>
      <c r="E1143" s="18" t="s">
        <v>296</v>
      </c>
      <c r="F1143" s="18" t="s">
        <v>1323</v>
      </c>
      <c r="G1143" s="19">
        <v>5694637</v>
      </c>
      <c r="H1143" s="18" t="s">
        <v>1323</v>
      </c>
      <c r="I1143" s="19">
        <v>4763185</v>
      </c>
      <c r="J1143" s="18" t="s">
        <v>1015</v>
      </c>
      <c r="K1143" s="19">
        <v>141.22</v>
      </c>
      <c r="L1143" s="19">
        <v>5453</v>
      </c>
      <c r="M1143" s="19">
        <v>354</v>
      </c>
      <c r="N1143" s="20">
        <v>0.0649</v>
      </c>
      <c r="O1143" s="19">
        <v>0.4</v>
      </c>
      <c r="P1143" s="19">
        <v>25.9</v>
      </c>
      <c r="Q1143" s="19">
        <v>3</v>
      </c>
      <c r="R1143" s="19">
        <v>0</v>
      </c>
      <c r="S1143" s="19">
        <v>0</v>
      </c>
      <c r="T1143" s="19">
        <v>0</v>
      </c>
      <c r="U1143" s="19">
        <v>0</v>
      </c>
      <c r="V1143" s="19">
        <v>3</v>
      </c>
      <c r="W1143" s="19">
        <v>47.07</v>
      </c>
      <c r="X1143" s="19">
        <v>7</v>
      </c>
      <c r="Y1143" s="20">
        <v>0.0198</v>
      </c>
      <c r="Z1143" s="19">
        <v>0</v>
      </c>
      <c r="AA1143" s="19">
        <v>0</v>
      </c>
      <c r="AB1143" t="str">
        <f>VLOOKUP(E:E,笔记匹配!A:N,3,FALSE)</f>
        <v>元气芥末酱</v>
      </c>
      <c r="AC1143" t="str">
        <f>VLOOKUP(E:E,笔记匹配!A:N,2,FALSE)</f>
        <v>筋膜枪</v>
      </c>
      <c r="AD1143" t="str">
        <f>VLOOKUP(E:E,笔记匹配!A:N,4,FALSE)</f>
        <v>云麦筋膜枪PB2</v>
      </c>
      <c r="AE1143" t="str">
        <f>VLOOKUP(E:E,笔记匹配!A:N,14,FALSE)</f>
        <v>云麦筋膜枪pb2</v>
      </c>
      <c r="AF1143" t="str">
        <f>VLOOKUP(E:E,笔记匹配!A:N,6,FALSE)</f>
        <v>小腿粗的姐妹信我！肌肉腿就要这样按！</v>
      </c>
    </row>
    <row r="1144" spans="1:32">
      <c r="A1144" s="18" t="s">
        <v>160</v>
      </c>
      <c r="B1144" s="18" t="s">
        <v>1325</v>
      </c>
      <c r="C1144" s="19">
        <v>22438145</v>
      </c>
      <c r="D1144" s="18" t="s">
        <v>196</v>
      </c>
      <c r="E1144" s="18" t="s">
        <v>296</v>
      </c>
      <c r="F1144" s="18" t="s">
        <v>1326</v>
      </c>
      <c r="G1144" s="19">
        <v>5694754</v>
      </c>
      <c r="H1144" s="18" t="s">
        <v>1326</v>
      </c>
      <c r="I1144" s="19">
        <v>4763278</v>
      </c>
      <c r="J1144" s="18" t="s">
        <v>1015</v>
      </c>
      <c r="K1144" s="19">
        <v>0</v>
      </c>
      <c r="L1144" s="19">
        <v>2</v>
      </c>
      <c r="M1144" s="19">
        <v>0</v>
      </c>
      <c r="N1144" s="20">
        <v>0</v>
      </c>
      <c r="O1144" s="19">
        <v>0</v>
      </c>
      <c r="P1144" s="19">
        <v>0</v>
      </c>
      <c r="Q1144" s="19">
        <v>0</v>
      </c>
      <c r="R1144" s="19">
        <v>0</v>
      </c>
      <c r="S1144" s="19">
        <v>0</v>
      </c>
      <c r="T1144" s="19">
        <v>0</v>
      </c>
      <c r="U1144" s="19">
        <v>0</v>
      </c>
      <c r="V1144" s="19">
        <v>0</v>
      </c>
      <c r="W1144" s="19">
        <v>0</v>
      </c>
      <c r="X1144" s="19">
        <v>0</v>
      </c>
      <c r="Y1144" s="20">
        <v>0</v>
      </c>
      <c r="Z1144" s="19">
        <v>0</v>
      </c>
      <c r="AA1144" s="19">
        <v>0</v>
      </c>
      <c r="AB1144" t="str">
        <f>VLOOKUP(E:E,笔记匹配!A:N,3,FALSE)</f>
        <v>元气芥末酱</v>
      </c>
      <c r="AC1144" t="str">
        <f>VLOOKUP(E:E,笔记匹配!A:N,2,FALSE)</f>
        <v>筋膜枪</v>
      </c>
      <c r="AD1144" t="str">
        <f>VLOOKUP(E:E,笔记匹配!A:N,4,FALSE)</f>
        <v>云麦筋膜枪PB2</v>
      </c>
      <c r="AE1144" t="str">
        <f>VLOOKUP(E:E,笔记匹配!A:N,14,FALSE)</f>
        <v>云麦筋膜枪pb2</v>
      </c>
      <c r="AF1144" t="str">
        <f>VLOOKUP(E:E,笔记匹配!A:N,6,FALSE)</f>
        <v>小腿粗的姐妹信我！肌肉腿就要这样按！</v>
      </c>
    </row>
    <row r="1145" spans="1:32">
      <c r="A1145" s="18" t="s">
        <v>160</v>
      </c>
      <c r="B1145" s="18" t="s">
        <v>1324</v>
      </c>
      <c r="C1145" s="19">
        <v>22438197</v>
      </c>
      <c r="D1145" s="18" t="s">
        <v>196</v>
      </c>
      <c r="E1145" s="18" t="s">
        <v>312</v>
      </c>
      <c r="F1145" s="18" t="s">
        <v>1326</v>
      </c>
      <c r="G1145" s="19">
        <v>5694754</v>
      </c>
      <c r="H1145" s="18" t="s">
        <v>1326</v>
      </c>
      <c r="I1145" s="19">
        <v>4763278</v>
      </c>
      <c r="J1145" s="18" t="s">
        <v>1015</v>
      </c>
      <c r="K1145" s="19">
        <v>127.72</v>
      </c>
      <c r="L1145" s="19">
        <v>5428</v>
      </c>
      <c r="M1145" s="19">
        <v>349</v>
      </c>
      <c r="N1145" s="20">
        <v>0.0643</v>
      </c>
      <c r="O1145" s="19">
        <v>0.37</v>
      </c>
      <c r="P1145" s="19">
        <v>23.53</v>
      </c>
      <c r="Q1145" s="19">
        <v>12</v>
      </c>
      <c r="R1145" s="19">
        <v>0</v>
      </c>
      <c r="S1145" s="19">
        <v>11</v>
      </c>
      <c r="T1145" s="19">
        <v>1</v>
      </c>
      <c r="U1145" s="19">
        <v>1</v>
      </c>
      <c r="V1145" s="19">
        <v>25</v>
      </c>
      <c r="W1145" s="19">
        <v>5.11</v>
      </c>
      <c r="X1145" s="19">
        <v>0</v>
      </c>
      <c r="Y1145" s="20">
        <v>0</v>
      </c>
      <c r="Z1145" s="19">
        <v>1</v>
      </c>
      <c r="AA1145" s="19">
        <v>0</v>
      </c>
      <c r="AB1145" t="str">
        <f>VLOOKUP(E:E,笔记匹配!A:N,3,FALSE)</f>
        <v>郝有金</v>
      </c>
      <c r="AC1145" t="str">
        <f>VLOOKUP(E:E,笔记匹配!A:N,2,FALSE)</f>
        <v>筋膜枪</v>
      </c>
      <c r="AD1145" t="str">
        <f>VLOOKUP(E:E,笔记匹配!A:N,4,FALSE)</f>
        <v>云麦cc筋膜枪</v>
      </c>
      <c r="AE1145" t="str">
        <f>VLOOKUP(E:E,笔记匹配!A:N,14,FALSE)</f>
        <v>云麦筋膜枪cc</v>
      </c>
      <c r="AF1145" t="str">
        <f>VLOOKUP(E:E,笔记匹配!A:N,6,FALSE)</f>
        <v>别用错❗️筋膜枪正确使用方法，不同肌肉部位放松大全</v>
      </c>
    </row>
    <row r="1146" spans="1:32">
      <c r="A1146" s="18" t="s">
        <v>160</v>
      </c>
      <c r="B1146" s="18" t="s">
        <v>1327</v>
      </c>
      <c r="C1146" s="19">
        <v>22438463</v>
      </c>
      <c r="D1146" s="18" t="s">
        <v>196</v>
      </c>
      <c r="E1146" s="18" t="s">
        <v>201</v>
      </c>
      <c r="F1146" s="18" t="s">
        <v>1328</v>
      </c>
      <c r="G1146" s="19">
        <v>5694908</v>
      </c>
      <c r="H1146" s="18" t="s">
        <v>1328</v>
      </c>
      <c r="I1146" s="19">
        <v>4763397</v>
      </c>
      <c r="J1146" s="18" t="s">
        <v>1015</v>
      </c>
      <c r="K1146" s="19">
        <v>0.41</v>
      </c>
      <c r="L1146" s="19">
        <v>24</v>
      </c>
      <c r="M1146" s="19">
        <v>1</v>
      </c>
      <c r="N1146" s="20">
        <v>0.0417</v>
      </c>
      <c r="O1146" s="19">
        <v>0.41</v>
      </c>
      <c r="P1146" s="19">
        <v>17.08</v>
      </c>
      <c r="Q1146" s="19">
        <v>0</v>
      </c>
      <c r="R1146" s="19">
        <v>0</v>
      </c>
      <c r="S1146" s="19">
        <v>0</v>
      </c>
      <c r="T1146" s="19">
        <v>0</v>
      </c>
      <c r="U1146" s="19">
        <v>0</v>
      </c>
      <c r="V1146" s="19">
        <v>0</v>
      </c>
      <c r="W1146" s="19">
        <v>0</v>
      </c>
      <c r="X1146" s="19">
        <v>0</v>
      </c>
      <c r="Y1146" s="20">
        <v>0</v>
      </c>
      <c r="Z1146" s="19">
        <v>0</v>
      </c>
      <c r="AA1146" s="19">
        <v>0</v>
      </c>
      <c r="AB1146" t="str">
        <f>VLOOKUP(E:E,笔记匹配!A:N,3,FALSE)</f>
        <v>包子熟了</v>
      </c>
      <c r="AC1146" t="str">
        <f>VLOOKUP(E:E,笔记匹配!A:N,2,FALSE)</f>
        <v>筋膜枪</v>
      </c>
      <c r="AD1146" t="str">
        <f>VLOOKUP(E:E,笔记匹配!A:N,4,FALSE)</f>
        <v>云麦筋膜枪</v>
      </c>
      <c r="AE1146" t="str">
        <f>VLOOKUP(E:E,笔记匹配!A:N,14,FALSE)</f>
        <v>云麦筋膜枪pb2</v>
      </c>
      <c r="AF1146" t="str">
        <f>VLOOKUP(E:E,笔记匹配!A:N,6,FALSE)</f>
        <v>筋膜枪测评|健身小白如何挑选筋膜枪？</v>
      </c>
    </row>
    <row r="1147" spans="1:32">
      <c r="A1147" s="18" t="s">
        <v>160</v>
      </c>
      <c r="B1147" s="18" t="s">
        <v>1324</v>
      </c>
      <c r="C1147" s="19">
        <v>22438538</v>
      </c>
      <c r="D1147" s="18" t="s">
        <v>196</v>
      </c>
      <c r="E1147" s="18" t="s">
        <v>238</v>
      </c>
      <c r="F1147" s="18" t="s">
        <v>1328</v>
      </c>
      <c r="G1147" s="19">
        <v>5694908</v>
      </c>
      <c r="H1147" s="18" t="s">
        <v>1328</v>
      </c>
      <c r="I1147" s="19">
        <v>4763397</v>
      </c>
      <c r="J1147" s="18" t="s">
        <v>1015</v>
      </c>
      <c r="K1147" s="19">
        <v>225.14</v>
      </c>
      <c r="L1147" s="19">
        <v>6090</v>
      </c>
      <c r="M1147" s="19">
        <v>561</v>
      </c>
      <c r="N1147" s="20">
        <v>0.0921</v>
      </c>
      <c r="O1147" s="19">
        <v>0.4</v>
      </c>
      <c r="P1147" s="19">
        <v>36.97</v>
      </c>
      <c r="Q1147" s="19">
        <v>35</v>
      </c>
      <c r="R1147" s="19">
        <v>0</v>
      </c>
      <c r="S1147" s="19">
        <v>31</v>
      </c>
      <c r="T1147" s="19">
        <v>3</v>
      </c>
      <c r="U1147" s="19">
        <v>3</v>
      </c>
      <c r="V1147" s="19">
        <v>72</v>
      </c>
      <c r="W1147" s="19">
        <v>3.13</v>
      </c>
      <c r="X1147" s="19">
        <v>0</v>
      </c>
      <c r="Y1147" s="20">
        <v>0</v>
      </c>
      <c r="Z1147" s="19">
        <v>0</v>
      </c>
      <c r="AA1147" s="19">
        <v>2</v>
      </c>
      <c r="AB1147" t="str">
        <f>VLOOKUP(E:E,笔记匹配!A:N,3,FALSE)</f>
        <v>小岛大瑀</v>
      </c>
      <c r="AC1147" t="str">
        <f>VLOOKUP(E:E,笔记匹配!A:N,2,FALSE)</f>
        <v>体脂秤</v>
      </c>
      <c r="AD1147" t="str">
        <f>VLOOKUP(E:E,笔记匹配!A:N,4,FALSE)</f>
        <v>云麦体脂秤3mini </v>
      </c>
      <c r="AE1147" t="str">
        <f>VLOOKUP(E:E,笔记匹配!A:N,14,FALSE)</f>
        <v>云麦体脂秤3mini</v>
      </c>
      <c r="AF1147" t="str">
        <f>VLOOKUP(E:E,笔记匹配!A:N,6,FALSE)</f>
        <v>这个燃脂舞真的太❗️太❗️太简单了🔥停不下来</v>
      </c>
    </row>
    <row r="1148" spans="1:32">
      <c r="A1148" s="18" t="s">
        <v>160</v>
      </c>
      <c r="B1148" s="18" t="s">
        <v>1329</v>
      </c>
      <c r="C1148" s="19">
        <v>22438584</v>
      </c>
      <c r="D1148" s="18" t="s">
        <v>196</v>
      </c>
      <c r="E1148" s="18" t="s">
        <v>238</v>
      </c>
      <c r="F1148" s="18" t="s">
        <v>1330</v>
      </c>
      <c r="G1148" s="19">
        <v>5694979</v>
      </c>
      <c r="H1148" s="18" t="s">
        <v>1330</v>
      </c>
      <c r="I1148" s="19">
        <v>4763457</v>
      </c>
      <c r="J1148" s="18" t="s">
        <v>1015</v>
      </c>
      <c r="K1148" s="19">
        <v>0.76</v>
      </c>
      <c r="L1148" s="19">
        <v>14</v>
      </c>
      <c r="M1148" s="19">
        <v>2</v>
      </c>
      <c r="N1148" s="20">
        <v>0.1429</v>
      </c>
      <c r="O1148" s="19">
        <v>0.38</v>
      </c>
      <c r="P1148" s="19">
        <v>54.29</v>
      </c>
      <c r="Q1148" s="19">
        <v>0</v>
      </c>
      <c r="R1148" s="19">
        <v>0</v>
      </c>
      <c r="S1148" s="19">
        <v>0</v>
      </c>
      <c r="T1148" s="19">
        <v>0</v>
      </c>
      <c r="U1148" s="19">
        <v>0</v>
      </c>
      <c r="V1148" s="19">
        <v>0</v>
      </c>
      <c r="W1148" s="19">
        <v>0</v>
      </c>
      <c r="X1148" s="19">
        <v>0</v>
      </c>
      <c r="Y1148" s="20">
        <v>0</v>
      </c>
      <c r="Z1148" s="19">
        <v>0</v>
      </c>
      <c r="AA1148" s="19">
        <v>0</v>
      </c>
      <c r="AB1148" t="str">
        <f>VLOOKUP(E:E,笔记匹配!A:N,3,FALSE)</f>
        <v>小岛大瑀</v>
      </c>
      <c r="AC1148" t="str">
        <f>VLOOKUP(E:E,笔记匹配!A:N,2,FALSE)</f>
        <v>体脂秤</v>
      </c>
      <c r="AD1148" t="str">
        <f>VLOOKUP(E:E,笔记匹配!A:N,4,FALSE)</f>
        <v>云麦体脂秤3mini </v>
      </c>
      <c r="AE1148" t="str">
        <f>VLOOKUP(E:E,笔记匹配!A:N,14,FALSE)</f>
        <v>云麦体脂秤3mini</v>
      </c>
      <c r="AF1148" t="str">
        <f>VLOOKUP(E:E,笔记匹配!A:N,6,FALSE)</f>
        <v>这个燃脂舞真的太❗️太❗️太简单了🔥停不下来</v>
      </c>
    </row>
    <row r="1149" spans="1:32">
      <c r="A1149" s="18" t="s">
        <v>160</v>
      </c>
      <c r="B1149" s="18" t="s">
        <v>1324</v>
      </c>
      <c r="C1149" s="19">
        <v>22438657</v>
      </c>
      <c r="D1149" s="18" t="s">
        <v>196</v>
      </c>
      <c r="E1149" s="18" t="s">
        <v>303</v>
      </c>
      <c r="F1149" s="18" t="s">
        <v>1330</v>
      </c>
      <c r="G1149" s="19">
        <v>5694979</v>
      </c>
      <c r="H1149" s="18" t="s">
        <v>1330</v>
      </c>
      <c r="I1149" s="19">
        <v>4763457</v>
      </c>
      <c r="J1149" s="18" t="s">
        <v>1015</v>
      </c>
      <c r="K1149" s="19">
        <v>250.61</v>
      </c>
      <c r="L1149" s="19">
        <v>9141</v>
      </c>
      <c r="M1149" s="19">
        <v>596</v>
      </c>
      <c r="N1149" s="20">
        <v>0.0652</v>
      </c>
      <c r="O1149" s="19">
        <v>0.42</v>
      </c>
      <c r="P1149" s="19">
        <v>27.42</v>
      </c>
      <c r="Q1149" s="19">
        <v>9</v>
      </c>
      <c r="R1149" s="19">
        <v>0</v>
      </c>
      <c r="S1149" s="19">
        <v>12</v>
      </c>
      <c r="T1149" s="19">
        <v>1</v>
      </c>
      <c r="U1149" s="19">
        <v>0</v>
      </c>
      <c r="V1149" s="19">
        <v>22</v>
      </c>
      <c r="W1149" s="19">
        <v>11.39</v>
      </c>
      <c r="X1149" s="19">
        <v>0</v>
      </c>
      <c r="Y1149" s="20">
        <v>0</v>
      </c>
      <c r="Z1149" s="19">
        <v>0</v>
      </c>
      <c r="AA1149" s="19">
        <v>1</v>
      </c>
      <c r="AB1149" t="str">
        <f>VLOOKUP(E:E,笔记匹配!A:N,3,FALSE)</f>
        <v>橘子汽水</v>
      </c>
      <c r="AC1149" t="str">
        <f>VLOOKUP(E:E,笔记匹配!A:N,2,FALSE)</f>
        <v>体脂秤</v>
      </c>
      <c r="AD1149" t="str">
        <f>VLOOKUP(E:E,笔记匹配!A:N,4,FALSE)</f>
        <v>云麦体脂秤3mini</v>
      </c>
      <c r="AE1149" t="str">
        <f>VLOOKUP(E:E,笔记匹配!A:N,14,FALSE)</f>
        <v>云麦体脂秤3mini</v>
      </c>
      <c r="AF1149" t="str">
        <f>VLOOKUP(E:E,笔记匹配!A:N,6,FALSE)</f>
        <v>请一定要相信帕梅拉虐腹，效果是真的🉑❗</v>
      </c>
    </row>
    <row r="1150" spans="1:32">
      <c r="A1150" s="18" t="s">
        <v>160</v>
      </c>
      <c r="B1150" s="18" t="s">
        <v>1324</v>
      </c>
      <c r="C1150" s="19">
        <v>22448358</v>
      </c>
      <c r="D1150" s="18" t="s">
        <v>196</v>
      </c>
      <c r="E1150" s="18" t="s">
        <v>238</v>
      </c>
      <c r="F1150" s="18" t="s">
        <v>1331</v>
      </c>
      <c r="G1150" s="19">
        <v>5699471</v>
      </c>
      <c r="H1150" s="18" t="s">
        <v>1331</v>
      </c>
      <c r="I1150" s="19">
        <v>4766957</v>
      </c>
      <c r="J1150" s="18" t="s">
        <v>1015</v>
      </c>
      <c r="K1150" s="19">
        <v>9.68</v>
      </c>
      <c r="L1150" s="19">
        <v>588</v>
      </c>
      <c r="M1150" s="19">
        <v>23</v>
      </c>
      <c r="N1150" s="20">
        <v>0.0391</v>
      </c>
      <c r="O1150" s="19">
        <v>0.42</v>
      </c>
      <c r="P1150" s="19">
        <v>16.46</v>
      </c>
      <c r="Q1150" s="19">
        <v>2</v>
      </c>
      <c r="R1150" s="19">
        <v>0</v>
      </c>
      <c r="S1150" s="19">
        <v>0</v>
      </c>
      <c r="T1150" s="19">
        <v>1</v>
      </c>
      <c r="U1150" s="19">
        <v>1</v>
      </c>
      <c r="V1150" s="19">
        <v>4</v>
      </c>
      <c r="W1150" s="19">
        <v>2.42</v>
      </c>
      <c r="X1150" s="19">
        <v>0</v>
      </c>
      <c r="Y1150" s="20">
        <v>0</v>
      </c>
      <c r="Z1150" s="19">
        <v>0</v>
      </c>
      <c r="AA1150" s="19">
        <v>0</v>
      </c>
      <c r="AB1150" t="str">
        <f>VLOOKUP(E:E,笔记匹配!A:N,3,FALSE)</f>
        <v>小岛大瑀</v>
      </c>
      <c r="AC1150" t="str">
        <f>VLOOKUP(E:E,笔记匹配!A:N,2,FALSE)</f>
        <v>体脂秤</v>
      </c>
      <c r="AD1150" t="str">
        <f>VLOOKUP(E:E,笔记匹配!A:N,4,FALSE)</f>
        <v>云麦体脂秤3mini </v>
      </c>
      <c r="AE1150" t="str">
        <f>VLOOKUP(E:E,笔记匹配!A:N,14,FALSE)</f>
        <v>云麦体脂秤3mini</v>
      </c>
      <c r="AF1150" t="str">
        <f>VLOOKUP(E:E,笔记匹配!A:N,6,FALSE)</f>
        <v>这个燃脂舞真的太❗️太❗️太简单了🔥停不下来</v>
      </c>
    </row>
    <row r="1151" spans="1:32">
      <c r="A1151" s="18" t="s">
        <v>160</v>
      </c>
      <c r="B1151" s="18" t="s">
        <v>1332</v>
      </c>
      <c r="C1151" s="19">
        <v>22449871</v>
      </c>
      <c r="D1151" s="18" t="s">
        <v>209</v>
      </c>
      <c r="E1151" s="18" t="s">
        <v>208</v>
      </c>
      <c r="F1151" s="18" t="s">
        <v>1333</v>
      </c>
      <c r="G1151" s="19">
        <v>5700276</v>
      </c>
      <c r="H1151" s="18" t="s">
        <v>1334</v>
      </c>
      <c r="I1151" s="19">
        <v>4767576</v>
      </c>
      <c r="J1151" s="18" t="s">
        <v>1015</v>
      </c>
      <c r="K1151" s="19">
        <v>73.41</v>
      </c>
      <c r="L1151" s="19">
        <v>7110</v>
      </c>
      <c r="M1151" s="19">
        <v>380</v>
      </c>
      <c r="N1151" s="20">
        <v>0.0534</v>
      </c>
      <c r="O1151" s="19">
        <v>0.19</v>
      </c>
      <c r="P1151" s="19">
        <v>10.32</v>
      </c>
      <c r="Q1151" s="19">
        <v>0</v>
      </c>
      <c r="R1151" s="19">
        <v>0</v>
      </c>
      <c r="S1151" s="19">
        <v>0</v>
      </c>
      <c r="T1151" s="19">
        <v>0</v>
      </c>
      <c r="U1151" s="19">
        <v>0</v>
      </c>
      <c r="V1151" s="19">
        <v>0</v>
      </c>
      <c r="W1151" s="19">
        <v>0</v>
      </c>
      <c r="X1151" s="19">
        <v>0</v>
      </c>
      <c r="Y1151" s="20">
        <v>0</v>
      </c>
      <c r="Z1151" s="19">
        <v>1</v>
      </c>
      <c r="AA1151" s="19">
        <v>0</v>
      </c>
      <c r="AB1151" t="str">
        <f>VLOOKUP(E:E,笔记匹配!A:N,3,FALSE)</f>
        <v>小羊羔崽子</v>
      </c>
      <c r="AC1151" t="str">
        <f>VLOOKUP(E:E,笔记匹配!A:N,2,FALSE)</f>
        <v>筋膜枪</v>
      </c>
      <c r="AD1151" t="str">
        <f>VLOOKUP(E:E,笔记匹配!A:N,4,FALSE)</f>
        <v>云麦筋膜枪PB2</v>
      </c>
      <c r="AE1151" t="str">
        <f>VLOOKUP(E:E,笔记匹配!A:N,14,FALSE)</f>
        <v>云麦筋膜枪pb2</v>
      </c>
      <c r="AF1151" t="str">
        <f>VLOOKUP(E:E,笔记匹配!A:N,6,FALSE)</f>
        <v>用了多年泡沫轴，才知道筋膜枪是真的香！！！</v>
      </c>
    </row>
    <row r="1152" spans="1:32">
      <c r="A1152" s="18" t="s">
        <v>160</v>
      </c>
      <c r="B1152" s="18" t="s">
        <v>1335</v>
      </c>
      <c r="C1152" s="19">
        <v>22449984</v>
      </c>
      <c r="D1152" s="18" t="s">
        <v>196</v>
      </c>
      <c r="E1152" s="18" t="s">
        <v>238</v>
      </c>
      <c r="F1152" s="18" t="s">
        <v>1336</v>
      </c>
      <c r="G1152" s="19">
        <v>5700336</v>
      </c>
      <c r="H1152" s="18" t="s">
        <v>1337</v>
      </c>
      <c r="I1152" s="19">
        <v>4767631</v>
      </c>
      <c r="J1152" s="18" t="s">
        <v>1015</v>
      </c>
      <c r="K1152" s="19">
        <v>0</v>
      </c>
      <c r="L1152" s="19">
        <v>2</v>
      </c>
      <c r="M1152" s="19">
        <v>0</v>
      </c>
      <c r="N1152" s="20">
        <v>0</v>
      </c>
      <c r="O1152" s="19">
        <v>0</v>
      </c>
      <c r="P1152" s="19">
        <v>0</v>
      </c>
      <c r="Q1152" s="19">
        <v>0</v>
      </c>
      <c r="R1152" s="19">
        <v>0</v>
      </c>
      <c r="S1152" s="19">
        <v>0</v>
      </c>
      <c r="T1152" s="19">
        <v>0</v>
      </c>
      <c r="U1152" s="19">
        <v>0</v>
      </c>
      <c r="V1152" s="19">
        <v>0</v>
      </c>
      <c r="W1152" s="19">
        <v>0</v>
      </c>
      <c r="X1152" s="19">
        <v>0</v>
      </c>
      <c r="Y1152" s="20">
        <v>0</v>
      </c>
      <c r="Z1152" s="19">
        <v>0</v>
      </c>
      <c r="AA1152" s="19">
        <v>0</v>
      </c>
      <c r="AB1152" t="str">
        <f>VLOOKUP(E:E,笔记匹配!A:N,3,FALSE)</f>
        <v>小岛大瑀</v>
      </c>
      <c r="AC1152" t="str">
        <f>VLOOKUP(E:E,笔记匹配!A:N,2,FALSE)</f>
        <v>体脂秤</v>
      </c>
      <c r="AD1152" t="str">
        <f>VLOOKUP(E:E,笔记匹配!A:N,4,FALSE)</f>
        <v>云麦体脂秤3mini </v>
      </c>
      <c r="AE1152" t="str">
        <f>VLOOKUP(E:E,笔记匹配!A:N,14,FALSE)</f>
        <v>云麦体脂秤3mini</v>
      </c>
      <c r="AF1152" t="str">
        <f>VLOOKUP(E:E,笔记匹配!A:N,6,FALSE)</f>
        <v>这个燃脂舞真的太❗️太❗️太简单了🔥停不下来</v>
      </c>
    </row>
    <row r="1153" spans="1:32">
      <c r="A1153" s="18" t="s">
        <v>160</v>
      </c>
      <c r="B1153" s="18" t="s">
        <v>1324</v>
      </c>
      <c r="C1153" s="19">
        <v>22450115</v>
      </c>
      <c r="D1153" s="18" t="s">
        <v>196</v>
      </c>
      <c r="E1153" s="18" t="s">
        <v>303</v>
      </c>
      <c r="F1153" s="18" t="s">
        <v>1336</v>
      </c>
      <c r="G1153" s="19">
        <v>5700336</v>
      </c>
      <c r="H1153" s="18" t="s">
        <v>1337</v>
      </c>
      <c r="I1153" s="19">
        <v>4767631</v>
      </c>
      <c r="J1153" s="18" t="s">
        <v>1015</v>
      </c>
      <c r="K1153" s="19">
        <v>17.57</v>
      </c>
      <c r="L1153" s="19">
        <v>2835</v>
      </c>
      <c r="M1153" s="19">
        <v>55</v>
      </c>
      <c r="N1153" s="20">
        <v>0.0194</v>
      </c>
      <c r="O1153" s="19">
        <v>0.32</v>
      </c>
      <c r="P1153" s="19">
        <v>6.2</v>
      </c>
      <c r="Q1153" s="19">
        <v>0</v>
      </c>
      <c r="R1153" s="19">
        <v>0</v>
      </c>
      <c r="S1153" s="19">
        <v>0</v>
      </c>
      <c r="T1153" s="19">
        <v>0</v>
      </c>
      <c r="U1153" s="19">
        <v>0</v>
      </c>
      <c r="V1153" s="19">
        <v>0</v>
      </c>
      <c r="W1153" s="19">
        <v>0</v>
      </c>
      <c r="X1153" s="19">
        <v>0</v>
      </c>
      <c r="Y1153" s="20">
        <v>0</v>
      </c>
      <c r="Z1153" s="19">
        <v>0</v>
      </c>
      <c r="AA1153" s="19">
        <v>0</v>
      </c>
      <c r="AB1153" t="str">
        <f>VLOOKUP(E:E,笔记匹配!A:N,3,FALSE)</f>
        <v>橘子汽水</v>
      </c>
      <c r="AC1153" t="str">
        <f>VLOOKUP(E:E,笔记匹配!A:N,2,FALSE)</f>
        <v>体脂秤</v>
      </c>
      <c r="AD1153" t="str">
        <f>VLOOKUP(E:E,笔记匹配!A:N,4,FALSE)</f>
        <v>云麦体脂秤3mini</v>
      </c>
      <c r="AE1153" t="str">
        <f>VLOOKUP(E:E,笔记匹配!A:N,14,FALSE)</f>
        <v>云麦体脂秤3mini</v>
      </c>
      <c r="AF1153" t="str">
        <f>VLOOKUP(E:E,笔记匹配!A:N,6,FALSE)</f>
        <v>请一定要相信帕梅拉虐腹，效果是真的🉑❗</v>
      </c>
    </row>
    <row r="1154" spans="1:32">
      <c r="A1154" s="18" t="s">
        <v>161</v>
      </c>
      <c r="B1154" s="18" t="s">
        <v>1267</v>
      </c>
      <c r="C1154" s="19">
        <v>21360243</v>
      </c>
      <c r="D1154" s="18" t="s">
        <v>209</v>
      </c>
      <c r="E1154" s="18" t="s">
        <v>220</v>
      </c>
      <c r="F1154" s="18" t="s">
        <v>1268</v>
      </c>
      <c r="G1154" s="19">
        <v>5192303</v>
      </c>
      <c r="H1154" s="18" t="s">
        <v>1269</v>
      </c>
      <c r="I1154" s="19">
        <v>4379647</v>
      </c>
      <c r="J1154" s="18" t="s">
        <v>1015</v>
      </c>
      <c r="K1154" s="19">
        <v>810.87</v>
      </c>
      <c r="L1154" s="19">
        <v>45096</v>
      </c>
      <c r="M1154" s="19">
        <v>2343</v>
      </c>
      <c r="N1154" s="20">
        <v>0.052</v>
      </c>
      <c r="O1154" s="19">
        <v>0.35</v>
      </c>
      <c r="P1154" s="19">
        <v>17.98</v>
      </c>
      <c r="Q1154" s="19">
        <v>112</v>
      </c>
      <c r="R1154" s="19">
        <v>2</v>
      </c>
      <c r="S1154" s="19">
        <v>31</v>
      </c>
      <c r="T1154" s="19">
        <v>0</v>
      </c>
      <c r="U1154" s="19">
        <v>1</v>
      </c>
      <c r="V1154" s="19">
        <v>146</v>
      </c>
      <c r="W1154" s="19">
        <v>5.55</v>
      </c>
      <c r="X1154" s="19">
        <v>0</v>
      </c>
      <c r="Y1154" s="20">
        <v>0</v>
      </c>
      <c r="Z1154" s="19">
        <v>11</v>
      </c>
      <c r="AA1154" s="19">
        <v>5</v>
      </c>
      <c r="AB1154" t="str">
        <f>VLOOKUP(E:E,笔记匹配!A:N,3,FALSE)</f>
        <v>一颗西兰花fa</v>
      </c>
      <c r="AC1154" t="str">
        <f>VLOOKUP(E:E,笔记匹配!A:N,2,FALSE)</f>
        <v>筋膜枪</v>
      </c>
      <c r="AD1154" t="str">
        <f>VLOOKUP(E:E,笔记匹配!A:N,4,FALSE)</f>
        <v>云麦筋膜枪PB2</v>
      </c>
      <c r="AE1154" t="str">
        <f>VLOOKUP(E:E,笔记匹配!A:N,14,FALSE)</f>
        <v>云麦筋膜枪pb2</v>
      </c>
      <c r="AF1154" t="str">
        <f>VLOOKUP(E:E,笔记匹配!A:N,6,FALSE)</f>
        <v>有没有姐妹跟我一样被肌肉腿困扰了好久！</v>
      </c>
    </row>
    <row r="1155" spans="1:32">
      <c r="A1155" s="18" t="s">
        <v>161</v>
      </c>
      <c r="B1155" s="18" t="s">
        <v>1286</v>
      </c>
      <c r="C1155" s="19">
        <v>21600849</v>
      </c>
      <c r="D1155" s="18" t="s">
        <v>209</v>
      </c>
      <c r="E1155" s="18" t="s">
        <v>303</v>
      </c>
      <c r="F1155" s="18" t="s">
        <v>1288</v>
      </c>
      <c r="G1155" s="19">
        <v>5300358</v>
      </c>
      <c r="H1155" s="18" t="s">
        <v>1288</v>
      </c>
      <c r="I1155" s="19">
        <v>4462859</v>
      </c>
      <c r="J1155" s="18" t="s">
        <v>1015</v>
      </c>
      <c r="K1155" s="19">
        <v>202.04</v>
      </c>
      <c r="L1155" s="19">
        <v>14742</v>
      </c>
      <c r="M1155" s="19">
        <v>2057</v>
      </c>
      <c r="N1155" s="20">
        <v>0.1395</v>
      </c>
      <c r="O1155" s="19">
        <v>0.1</v>
      </c>
      <c r="P1155" s="19">
        <v>13.71</v>
      </c>
      <c r="Q1155" s="19">
        <v>49</v>
      </c>
      <c r="R1155" s="19">
        <v>0</v>
      </c>
      <c r="S1155" s="19">
        <v>81</v>
      </c>
      <c r="T1155" s="19">
        <v>2</v>
      </c>
      <c r="U1155" s="19">
        <v>7</v>
      </c>
      <c r="V1155" s="19">
        <v>139</v>
      </c>
      <c r="W1155" s="19">
        <v>1.45</v>
      </c>
      <c r="X1155" s="19">
        <v>0</v>
      </c>
      <c r="Y1155" s="20">
        <v>0</v>
      </c>
      <c r="Z1155" s="19">
        <v>2</v>
      </c>
      <c r="AA1155" s="19">
        <v>9</v>
      </c>
      <c r="AB1155" t="str">
        <f>VLOOKUP(E:E,笔记匹配!A:N,3,FALSE)</f>
        <v>橘子汽水</v>
      </c>
      <c r="AC1155" t="str">
        <f>VLOOKUP(E:E,笔记匹配!A:N,2,FALSE)</f>
        <v>体脂秤</v>
      </c>
      <c r="AD1155" t="str">
        <f>VLOOKUP(E:E,笔记匹配!A:N,4,FALSE)</f>
        <v>云麦体脂秤3mini</v>
      </c>
      <c r="AE1155" t="str">
        <f>VLOOKUP(E:E,笔记匹配!A:N,14,FALSE)</f>
        <v>云麦体脂秤3mini</v>
      </c>
      <c r="AF1155" t="str">
        <f>VLOOKUP(E:E,笔记匹配!A:N,6,FALSE)</f>
        <v>请一定要相信帕梅拉虐腹，效果是真的🉑❗</v>
      </c>
    </row>
    <row r="1156" spans="1:32">
      <c r="A1156" s="18" t="s">
        <v>161</v>
      </c>
      <c r="B1156" s="18" t="s">
        <v>1294</v>
      </c>
      <c r="C1156" s="19">
        <v>21747929</v>
      </c>
      <c r="D1156" s="18" t="s">
        <v>209</v>
      </c>
      <c r="E1156" s="18" t="s">
        <v>208</v>
      </c>
      <c r="F1156" s="18" t="s">
        <v>1295</v>
      </c>
      <c r="G1156" s="19">
        <v>5366393</v>
      </c>
      <c r="H1156" s="18" t="s">
        <v>1295</v>
      </c>
      <c r="I1156" s="19">
        <v>4512630</v>
      </c>
      <c r="J1156" s="18" t="s">
        <v>1015</v>
      </c>
      <c r="K1156" s="19">
        <v>504.92</v>
      </c>
      <c r="L1156" s="19">
        <v>34090</v>
      </c>
      <c r="M1156" s="19">
        <v>1807</v>
      </c>
      <c r="N1156" s="20">
        <v>0.053</v>
      </c>
      <c r="O1156" s="19">
        <v>0.28</v>
      </c>
      <c r="P1156" s="19">
        <v>14.81</v>
      </c>
      <c r="Q1156" s="19">
        <v>41</v>
      </c>
      <c r="R1156" s="19">
        <v>2</v>
      </c>
      <c r="S1156" s="19">
        <v>20</v>
      </c>
      <c r="T1156" s="19">
        <v>0</v>
      </c>
      <c r="U1156" s="19">
        <v>0</v>
      </c>
      <c r="V1156" s="19">
        <v>63</v>
      </c>
      <c r="W1156" s="19">
        <v>8.01</v>
      </c>
      <c r="X1156" s="19">
        <v>0</v>
      </c>
      <c r="Y1156" s="20">
        <v>0</v>
      </c>
      <c r="Z1156" s="19">
        <v>6</v>
      </c>
      <c r="AA1156" s="19">
        <v>3</v>
      </c>
      <c r="AB1156" t="str">
        <f>VLOOKUP(E:E,笔记匹配!A:N,3,FALSE)</f>
        <v>小羊羔崽子</v>
      </c>
      <c r="AC1156" t="str">
        <f>VLOOKUP(E:E,笔记匹配!A:N,2,FALSE)</f>
        <v>筋膜枪</v>
      </c>
      <c r="AD1156" t="str">
        <f>VLOOKUP(E:E,笔记匹配!A:N,4,FALSE)</f>
        <v>云麦筋膜枪PB2</v>
      </c>
      <c r="AE1156" t="str">
        <f>VLOOKUP(E:E,笔记匹配!A:N,14,FALSE)</f>
        <v>云麦筋膜枪pb2</v>
      </c>
      <c r="AF1156" t="str">
        <f>VLOOKUP(E:E,笔记匹配!A:N,6,FALSE)</f>
        <v>用了多年泡沫轴，才知道筋膜枪是真的香！！！</v>
      </c>
    </row>
    <row r="1157" spans="1:32">
      <c r="A1157" s="18" t="s">
        <v>161</v>
      </c>
      <c r="B1157" s="18" t="s">
        <v>1294</v>
      </c>
      <c r="C1157" s="19">
        <v>21747992</v>
      </c>
      <c r="D1157" s="18" t="s">
        <v>209</v>
      </c>
      <c r="E1157" s="18" t="s">
        <v>292</v>
      </c>
      <c r="F1157" s="18" t="s">
        <v>1296</v>
      </c>
      <c r="G1157" s="19">
        <v>5366424</v>
      </c>
      <c r="H1157" s="18" t="s">
        <v>1296</v>
      </c>
      <c r="I1157" s="19">
        <v>4512653</v>
      </c>
      <c r="J1157" s="18" t="s">
        <v>1015</v>
      </c>
      <c r="K1157" s="19">
        <v>0</v>
      </c>
      <c r="L1157" s="19">
        <v>0</v>
      </c>
      <c r="M1157" s="19">
        <v>0</v>
      </c>
      <c r="N1157" s="20">
        <v>0</v>
      </c>
      <c r="O1157" s="19">
        <v>0</v>
      </c>
      <c r="P1157" s="19">
        <v>0</v>
      </c>
      <c r="Q1157" s="19">
        <v>0</v>
      </c>
      <c r="R1157" s="19">
        <v>0</v>
      </c>
      <c r="S1157" s="19">
        <v>0</v>
      </c>
      <c r="T1157" s="19">
        <v>0</v>
      </c>
      <c r="U1157" s="19">
        <v>0</v>
      </c>
      <c r="V1157" s="19">
        <v>0</v>
      </c>
      <c r="W1157" s="19">
        <v>0</v>
      </c>
      <c r="X1157" s="19">
        <v>0</v>
      </c>
      <c r="Y1157" s="20">
        <v>0</v>
      </c>
      <c r="Z1157" s="19">
        <v>0</v>
      </c>
      <c r="AA1157" s="19">
        <v>0</v>
      </c>
      <c r="AB1157" t="str">
        <f>VLOOKUP(E:E,笔记匹配!A:N,3,FALSE)</f>
        <v>形体矫正小李</v>
      </c>
      <c r="AC1157" t="str">
        <f>VLOOKUP(E:E,笔记匹配!A:N,2,FALSE)</f>
        <v>筋膜枪</v>
      </c>
      <c r="AD1157" t="str">
        <f>VLOOKUP(E:E,笔记匹配!A:N,4,FALSE)</f>
        <v>云麦筋膜枪PB2</v>
      </c>
      <c r="AE1157" t="str">
        <f>VLOOKUP(E:E,笔记匹配!A:N,14,FALSE)</f>
        <v>云麦筋膜枪pb2</v>
      </c>
      <c r="AF1157" t="str">
        <f>VLOOKUP(E:E,笔记匹配!A:N,6,FALSE)</f>
        <v>大腿内侧赘肉消失术‼️练出细长漫画腿全靠它</v>
      </c>
    </row>
    <row r="1158" spans="1:32">
      <c r="A1158" s="18" t="s">
        <v>161</v>
      </c>
      <c r="B1158" s="18" t="s">
        <v>1303</v>
      </c>
      <c r="C1158" s="19">
        <v>21880743</v>
      </c>
      <c r="D1158" s="18" t="s">
        <v>209</v>
      </c>
      <c r="E1158" s="18" t="s">
        <v>234</v>
      </c>
      <c r="F1158" s="18" t="s">
        <v>1304</v>
      </c>
      <c r="G1158" s="19">
        <v>5428999</v>
      </c>
      <c r="H1158" s="18" t="s">
        <v>1304</v>
      </c>
      <c r="I1158" s="19">
        <v>4559759</v>
      </c>
      <c r="J1158" s="18" t="s">
        <v>1015</v>
      </c>
      <c r="K1158" s="19">
        <v>4.38</v>
      </c>
      <c r="L1158" s="19">
        <v>85</v>
      </c>
      <c r="M1158" s="19">
        <v>9</v>
      </c>
      <c r="N1158" s="20">
        <v>0.1059</v>
      </c>
      <c r="O1158" s="19">
        <v>0.49</v>
      </c>
      <c r="P1158" s="19">
        <v>51.53</v>
      </c>
      <c r="Q1158" s="19">
        <v>-1</v>
      </c>
      <c r="R1158" s="19">
        <v>0</v>
      </c>
      <c r="S1158" s="19">
        <v>0</v>
      </c>
      <c r="T1158" s="19">
        <v>0</v>
      </c>
      <c r="U1158" s="19">
        <v>0</v>
      </c>
      <c r="V1158" s="19">
        <v>-1</v>
      </c>
      <c r="W1158" s="19">
        <v>0</v>
      </c>
      <c r="X1158" s="19">
        <v>0</v>
      </c>
      <c r="Y1158" s="20">
        <v>0</v>
      </c>
      <c r="Z1158" s="19">
        <v>0</v>
      </c>
      <c r="AA1158" s="19">
        <v>0</v>
      </c>
      <c r="AB1158" t="str">
        <f>VLOOKUP(E:E,笔记匹配!A:N,3,FALSE)</f>
        <v>pp</v>
      </c>
      <c r="AC1158" t="str">
        <f>VLOOKUP(E:E,笔记匹配!A:N,2,FALSE)</f>
        <v>体脂秤</v>
      </c>
      <c r="AD1158" t="str">
        <f>VLOOKUP(E:E,笔记匹配!A:N,4,FALSE)</f>
        <v>云麦体脂秤3mini</v>
      </c>
      <c r="AE1158" t="str">
        <f>VLOOKUP(E:E,笔记匹配!A:N,14,FALSE)</f>
        <v>云麦体脂秤3mini</v>
      </c>
      <c r="AF1158" t="str">
        <f>VLOOKUP(E:E,笔记匹配!A:N,6,FALSE)</f>
        <v>110到88 一些减肥小建议｜如何正确运动</v>
      </c>
    </row>
    <row r="1159" spans="1:32">
      <c r="A1159" s="18" t="s">
        <v>161</v>
      </c>
      <c r="B1159" s="18" t="s">
        <v>1297</v>
      </c>
      <c r="C1159" s="19">
        <v>21881635</v>
      </c>
      <c r="D1159" s="18" t="s">
        <v>196</v>
      </c>
      <c r="E1159" s="18" t="s">
        <v>234</v>
      </c>
      <c r="F1159" s="18" t="s">
        <v>1306</v>
      </c>
      <c r="G1159" s="19">
        <v>5429032</v>
      </c>
      <c r="H1159" s="18" t="s">
        <v>1307</v>
      </c>
      <c r="I1159" s="19">
        <v>4559792</v>
      </c>
      <c r="J1159" s="18" t="s">
        <v>1015</v>
      </c>
      <c r="K1159" s="19">
        <v>0</v>
      </c>
      <c r="L1159" s="19">
        <v>6</v>
      </c>
      <c r="M1159" s="19">
        <v>0</v>
      </c>
      <c r="N1159" s="20">
        <v>0</v>
      </c>
      <c r="O1159" s="19">
        <v>0</v>
      </c>
      <c r="P1159" s="19">
        <v>0</v>
      </c>
      <c r="Q1159" s="19">
        <v>0</v>
      </c>
      <c r="R1159" s="19">
        <v>0</v>
      </c>
      <c r="S1159" s="19">
        <v>0</v>
      </c>
      <c r="T1159" s="19">
        <v>0</v>
      </c>
      <c r="U1159" s="19">
        <v>0</v>
      </c>
      <c r="V1159" s="19">
        <v>0</v>
      </c>
      <c r="W1159" s="19">
        <v>0</v>
      </c>
      <c r="X1159" s="19">
        <v>0</v>
      </c>
      <c r="Y1159" s="20">
        <v>0</v>
      </c>
      <c r="Z1159" s="19">
        <v>0</v>
      </c>
      <c r="AA1159" s="19">
        <v>0</v>
      </c>
      <c r="AB1159" t="str">
        <f>VLOOKUP(E:E,笔记匹配!A:N,3,FALSE)</f>
        <v>pp</v>
      </c>
      <c r="AC1159" t="str">
        <f>VLOOKUP(E:E,笔记匹配!A:N,2,FALSE)</f>
        <v>体脂秤</v>
      </c>
      <c r="AD1159" t="str">
        <f>VLOOKUP(E:E,笔记匹配!A:N,4,FALSE)</f>
        <v>云麦体脂秤3mini</v>
      </c>
      <c r="AE1159" t="str">
        <f>VLOOKUP(E:E,笔记匹配!A:N,14,FALSE)</f>
        <v>云麦体脂秤3mini</v>
      </c>
      <c r="AF1159" t="str">
        <f>VLOOKUP(E:E,笔记匹配!A:N,6,FALSE)</f>
        <v>110到88 一些减肥小建议｜如何正确运动</v>
      </c>
    </row>
    <row r="1160" spans="1:32">
      <c r="A1160" s="18" t="s">
        <v>161</v>
      </c>
      <c r="B1160" s="18" t="s">
        <v>1308</v>
      </c>
      <c r="C1160" s="19">
        <v>21881978</v>
      </c>
      <c r="D1160" s="18" t="s">
        <v>196</v>
      </c>
      <c r="E1160" s="18" t="s">
        <v>234</v>
      </c>
      <c r="F1160" s="18" t="s">
        <v>1309</v>
      </c>
      <c r="G1160" s="19">
        <v>5429663</v>
      </c>
      <c r="H1160" s="18" t="s">
        <v>1310</v>
      </c>
      <c r="I1160" s="19">
        <v>4560362</v>
      </c>
      <c r="J1160" s="18" t="s">
        <v>1015</v>
      </c>
      <c r="K1160" s="19">
        <v>436.94</v>
      </c>
      <c r="L1160" s="19">
        <v>16912</v>
      </c>
      <c r="M1160" s="19">
        <v>485</v>
      </c>
      <c r="N1160" s="20">
        <v>0.0287</v>
      </c>
      <c r="O1160" s="19">
        <v>0.9</v>
      </c>
      <c r="P1160" s="19">
        <v>25.84</v>
      </c>
      <c r="Q1160" s="19">
        <v>1</v>
      </c>
      <c r="R1160" s="19">
        <v>1</v>
      </c>
      <c r="S1160" s="19">
        <v>0</v>
      </c>
      <c r="T1160" s="19">
        <v>0</v>
      </c>
      <c r="U1160" s="19">
        <v>0</v>
      </c>
      <c r="V1160" s="19">
        <v>2</v>
      </c>
      <c r="W1160" s="19">
        <v>218.47</v>
      </c>
      <c r="X1160" s="19">
        <v>0</v>
      </c>
      <c r="Y1160" s="20">
        <v>0</v>
      </c>
      <c r="Z1160" s="19">
        <v>0</v>
      </c>
      <c r="AA1160" s="19">
        <v>4</v>
      </c>
      <c r="AB1160" t="str">
        <f>VLOOKUP(E:E,笔记匹配!A:N,3,FALSE)</f>
        <v>pp</v>
      </c>
      <c r="AC1160" t="str">
        <f>VLOOKUP(E:E,笔记匹配!A:N,2,FALSE)</f>
        <v>体脂秤</v>
      </c>
      <c r="AD1160" t="str">
        <f>VLOOKUP(E:E,笔记匹配!A:N,4,FALSE)</f>
        <v>云麦体脂秤3mini</v>
      </c>
      <c r="AE1160" t="str">
        <f>VLOOKUP(E:E,笔记匹配!A:N,14,FALSE)</f>
        <v>云麦体脂秤3mini</v>
      </c>
      <c r="AF1160" t="str">
        <f>VLOOKUP(E:E,笔记匹配!A:N,6,FALSE)</f>
        <v>110到88 一些减肥小建议｜如何正确运动</v>
      </c>
    </row>
    <row r="1161" spans="1:32">
      <c r="A1161" s="18" t="s">
        <v>161</v>
      </c>
      <c r="B1161" s="18" t="s">
        <v>1311</v>
      </c>
      <c r="C1161" s="19">
        <v>21978813</v>
      </c>
      <c r="D1161" s="18" t="s">
        <v>209</v>
      </c>
      <c r="E1161" s="18" t="s">
        <v>252</v>
      </c>
      <c r="F1161" s="18" t="s">
        <v>1312</v>
      </c>
      <c r="G1161" s="19">
        <v>5474004</v>
      </c>
      <c r="H1161" s="18" t="s">
        <v>1312</v>
      </c>
      <c r="I1161" s="19">
        <v>4594476</v>
      </c>
      <c r="J1161" s="18" t="s">
        <v>1015</v>
      </c>
      <c r="K1161" s="19">
        <v>0</v>
      </c>
      <c r="L1161" s="19">
        <v>0</v>
      </c>
      <c r="M1161" s="19">
        <v>0</v>
      </c>
      <c r="N1161" s="20">
        <v>0</v>
      </c>
      <c r="O1161" s="19">
        <v>0</v>
      </c>
      <c r="P1161" s="19">
        <v>0</v>
      </c>
      <c r="Q1161" s="19">
        <v>0</v>
      </c>
      <c r="R1161" s="19">
        <v>0</v>
      </c>
      <c r="S1161" s="19">
        <v>0</v>
      </c>
      <c r="T1161" s="19">
        <v>0</v>
      </c>
      <c r="U1161" s="19">
        <v>0</v>
      </c>
      <c r="V1161" s="19">
        <v>0</v>
      </c>
      <c r="W1161" s="19">
        <v>0</v>
      </c>
      <c r="X1161" s="19">
        <v>0</v>
      </c>
      <c r="Y1161" s="20">
        <v>0</v>
      </c>
      <c r="Z1161" s="19">
        <v>0</v>
      </c>
      <c r="AA1161" s="19">
        <v>0</v>
      </c>
      <c r="AB1161" t="str">
        <f>VLOOKUP(E:E,笔记匹配!A:N,3,FALSE)</f>
        <v>脆鱼日记</v>
      </c>
      <c r="AC1161" t="str">
        <f>VLOOKUP(E:E,笔记匹配!A:N,2,FALSE)</f>
        <v>筋膜枪</v>
      </c>
      <c r="AD1161" t="str">
        <f>VLOOKUP(E:E,笔记匹配!A:N,4,FALSE)</f>
        <v>云麦筋膜枪cc</v>
      </c>
      <c r="AE1161" t="str">
        <f>VLOOKUP(E:E,笔记匹配!A:N,14,FALSE)</f>
        <v>云麦筋膜枪ccgo</v>
      </c>
      <c r="AF1161" t="str">
        <f>VLOOKUP(E:E,笔记匹配!A:N,6,FALSE)</f>
        <v>每天坚持这4个动作🔥瘦脂包肌小腿‼️已瘦4cm</v>
      </c>
    </row>
    <row r="1162" spans="1:32">
      <c r="A1162" s="18" t="s">
        <v>161</v>
      </c>
      <c r="B1162" s="18" t="s">
        <v>1314</v>
      </c>
      <c r="C1162" s="19">
        <v>22072602</v>
      </c>
      <c r="D1162" s="18" t="s">
        <v>209</v>
      </c>
      <c r="E1162" s="18" t="s">
        <v>274</v>
      </c>
      <c r="F1162" s="18" t="s">
        <v>1315</v>
      </c>
      <c r="G1162" s="19">
        <v>5521266</v>
      </c>
      <c r="H1162" s="18" t="s">
        <v>1315</v>
      </c>
      <c r="I1162" s="19">
        <v>4629783</v>
      </c>
      <c r="J1162" s="18" t="s">
        <v>1015</v>
      </c>
      <c r="K1162" s="19">
        <v>1806.37</v>
      </c>
      <c r="L1162" s="19">
        <v>102093</v>
      </c>
      <c r="M1162" s="19">
        <v>5890</v>
      </c>
      <c r="N1162" s="20">
        <v>0.0577</v>
      </c>
      <c r="O1162" s="19">
        <v>0.31</v>
      </c>
      <c r="P1162" s="19">
        <v>17.69</v>
      </c>
      <c r="Q1162" s="19">
        <v>169</v>
      </c>
      <c r="R1162" s="19">
        <v>9</v>
      </c>
      <c r="S1162" s="19">
        <v>33</v>
      </c>
      <c r="T1162" s="19">
        <v>0</v>
      </c>
      <c r="U1162" s="19">
        <v>16</v>
      </c>
      <c r="V1162" s="19">
        <v>227</v>
      </c>
      <c r="W1162" s="19">
        <v>7.96</v>
      </c>
      <c r="X1162" s="19">
        <v>0</v>
      </c>
      <c r="Y1162" s="20">
        <v>0</v>
      </c>
      <c r="Z1162" s="19">
        <v>7</v>
      </c>
      <c r="AA1162" s="19">
        <v>4</v>
      </c>
      <c r="AB1162" t="str">
        <f>VLOOKUP(E:E,笔记匹配!A:N,3,FALSE)</f>
        <v>西米是个小可爱</v>
      </c>
      <c r="AC1162" t="str">
        <f>VLOOKUP(E:E,笔记匹配!A:N,2,FALSE)</f>
        <v>筋膜枪</v>
      </c>
      <c r="AD1162" t="str">
        <f>VLOOKUP(E:E,笔记匹配!A:N,4,FALSE)</f>
        <v>云麦筋膜枪PB2</v>
      </c>
      <c r="AE1162" t="str">
        <f>VLOOKUP(E:E,笔记匹配!A:N,14,FALSE)</f>
        <v>云麦筋膜枪pb2</v>
      </c>
      <c r="AF1162" t="str">
        <f>VLOOKUP(E:E,笔记匹配!A:N,6,FALSE)</f>
        <v>筋膜枪千万不能乱用！正确肩颈使用方法</v>
      </c>
    </row>
    <row r="1163" spans="1:32">
      <c r="A1163" s="18" t="s">
        <v>161</v>
      </c>
      <c r="B1163" s="18" t="s">
        <v>1316</v>
      </c>
      <c r="C1163" s="19">
        <v>22072814</v>
      </c>
      <c r="D1163" s="18" t="s">
        <v>196</v>
      </c>
      <c r="E1163" s="18" t="s">
        <v>201</v>
      </c>
      <c r="F1163" s="18" t="s">
        <v>1317</v>
      </c>
      <c r="G1163" s="19">
        <v>5521358</v>
      </c>
      <c r="H1163" s="18" t="s">
        <v>1317</v>
      </c>
      <c r="I1163" s="19">
        <v>4629845</v>
      </c>
      <c r="J1163" s="18" t="s">
        <v>1015</v>
      </c>
      <c r="K1163" s="19">
        <v>362.99</v>
      </c>
      <c r="L1163" s="19">
        <v>5966</v>
      </c>
      <c r="M1163" s="19">
        <v>780</v>
      </c>
      <c r="N1163" s="20">
        <v>0.1307</v>
      </c>
      <c r="O1163" s="19">
        <v>0.47</v>
      </c>
      <c r="P1163" s="19">
        <v>60.84</v>
      </c>
      <c r="Q1163" s="19">
        <v>4</v>
      </c>
      <c r="R1163" s="19">
        <v>0</v>
      </c>
      <c r="S1163" s="19">
        <v>5</v>
      </c>
      <c r="T1163" s="19">
        <v>0</v>
      </c>
      <c r="U1163" s="19">
        <v>1</v>
      </c>
      <c r="V1163" s="19">
        <v>10</v>
      </c>
      <c r="W1163" s="19">
        <v>36.3</v>
      </c>
      <c r="X1163" s="19">
        <v>9</v>
      </c>
      <c r="Y1163" s="20">
        <v>0.0115</v>
      </c>
      <c r="Z1163" s="19">
        <v>2</v>
      </c>
      <c r="AA1163" s="19">
        <v>1</v>
      </c>
      <c r="AB1163" t="str">
        <f>VLOOKUP(E:E,笔记匹配!A:N,3,FALSE)</f>
        <v>包子熟了</v>
      </c>
      <c r="AC1163" t="str">
        <f>VLOOKUP(E:E,笔记匹配!A:N,2,FALSE)</f>
        <v>筋膜枪</v>
      </c>
      <c r="AD1163" t="str">
        <f>VLOOKUP(E:E,笔记匹配!A:N,4,FALSE)</f>
        <v>云麦筋膜枪</v>
      </c>
      <c r="AE1163" t="str">
        <f>VLOOKUP(E:E,笔记匹配!A:N,14,FALSE)</f>
        <v>云麦筋膜枪pb2</v>
      </c>
      <c r="AF1163" t="str">
        <f>VLOOKUP(E:E,笔记匹配!A:N,6,FALSE)</f>
        <v>筋膜枪测评|健身小白如何挑选筋膜枪？</v>
      </c>
    </row>
    <row r="1164" spans="1:32">
      <c r="A1164" s="18" t="s">
        <v>161</v>
      </c>
      <c r="B1164" s="18" t="s">
        <v>1316</v>
      </c>
      <c r="C1164" s="19">
        <v>22072908</v>
      </c>
      <c r="D1164" s="18" t="s">
        <v>196</v>
      </c>
      <c r="E1164" s="18" t="s">
        <v>201</v>
      </c>
      <c r="F1164" s="18" t="s">
        <v>1318</v>
      </c>
      <c r="G1164" s="19">
        <v>5521414</v>
      </c>
      <c r="H1164" s="18" t="s">
        <v>1318</v>
      </c>
      <c r="I1164" s="19">
        <v>4629891</v>
      </c>
      <c r="J1164" s="18" t="s">
        <v>1015</v>
      </c>
      <c r="K1164" s="19">
        <v>75</v>
      </c>
      <c r="L1164" s="19">
        <v>5800</v>
      </c>
      <c r="M1164" s="19">
        <v>190</v>
      </c>
      <c r="N1164" s="20">
        <v>0.0328</v>
      </c>
      <c r="O1164" s="19">
        <v>0.39</v>
      </c>
      <c r="P1164" s="19">
        <v>12.93</v>
      </c>
      <c r="Q1164" s="19">
        <v>1</v>
      </c>
      <c r="R1164" s="19">
        <v>0</v>
      </c>
      <c r="S1164" s="19">
        <v>0</v>
      </c>
      <c r="T1164" s="19">
        <v>0</v>
      </c>
      <c r="U1164" s="19">
        <v>0</v>
      </c>
      <c r="V1164" s="19">
        <v>1</v>
      </c>
      <c r="W1164" s="19">
        <v>75</v>
      </c>
      <c r="X1164" s="19">
        <v>4</v>
      </c>
      <c r="Y1164" s="20">
        <v>0.0211</v>
      </c>
      <c r="Z1164" s="19">
        <v>3</v>
      </c>
      <c r="AA1164" s="19">
        <v>0</v>
      </c>
      <c r="AB1164" t="str">
        <f>VLOOKUP(E:E,笔记匹配!A:N,3,FALSE)</f>
        <v>包子熟了</v>
      </c>
      <c r="AC1164" t="str">
        <f>VLOOKUP(E:E,笔记匹配!A:N,2,FALSE)</f>
        <v>筋膜枪</v>
      </c>
      <c r="AD1164" t="str">
        <f>VLOOKUP(E:E,笔记匹配!A:N,4,FALSE)</f>
        <v>云麦筋膜枪</v>
      </c>
      <c r="AE1164" t="str">
        <f>VLOOKUP(E:E,笔记匹配!A:N,14,FALSE)</f>
        <v>云麦筋膜枪pb2</v>
      </c>
      <c r="AF1164" t="str">
        <f>VLOOKUP(E:E,笔记匹配!A:N,6,FALSE)</f>
        <v>筋膜枪测评|健身小白如何挑选筋膜枪？</v>
      </c>
    </row>
    <row r="1165" spans="1:32">
      <c r="A1165" s="18" t="s">
        <v>161</v>
      </c>
      <c r="B1165" s="18" t="s">
        <v>1324</v>
      </c>
      <c r="C1165" s="19">
        <v>22438055</v>
      </c>
      <c r="D1165" s="18" t="s">
        <v>196</v>
      </c>
      <c r="E1165" s="18" t="s">
        <v>296</v>
      </c>
      <c r="F1165" s="18" t="s">
        <v>1323</v>
      </c>
      <c r="G1165" s="19">
        <v>5694637</v>
      </c>
      <c r="H1165" s="18" t="s">
        <v>1323</v>
      </c>
      <c r="I1165" s="19">
        <v>4763185</v>
      </c>
      <c r="J1165" s="18" t="s">
        <v>1015</v>
      </c>
      <c r="K1165" s="19">
        <v>353.47</v>
      </c>
      <c r="L1165" s="19">
        <v>18997</v>
      </c>
      <c r="M1165" s="19">
        <v>890</v>
      </c>
      <c r="N1165" s="20">
        <v>0.0468</v>
      </c>
      <c r="O1165" s="19">
        <v>0.4</v>
      </c>
      <c r="P1165" s="19">
        <v>18.61</v>
      </c>
      <c r="Q1165" s="19">
        <v>15</v>
      </c>
      <c r="R1165" s="19">
        <v>0</v>
      </c>
      <c r="S1165" s="19">
        <v>7</v>
      </c>
      <c r="T1165" s="19">
        <v>1</v>
      </c>
      <c r="U1165" s="19">
        <v>0</v>
      </c>
      <c r="V1165" s="19">
        <v>23</v>
      </c>
      <c r="W1165" s="19">
        <v>15.37</v>
      </c>
      <c r="X1165" s="19">
        <v>25</v>
      </c>
      <c r="Y1165" s="20">
        <v>0.0281</v>
      </c>
      <c r="Z1165" s="19">
        <v>4</v>
      </c>
      <c r="AA1165" s="19">
        <v>1</v>
      </c>
      <c r="AB1165" t="str">
        <f>VLOOKUP(E:E,笔记匹配!A:N,3,FALSE)</f>
        <v>元气芥末酱</v>
      </c>
      <c r="AC1165" t="str">
        <f>VLOOKUP(E:E,笔记匹配!A:N,2,FALSE)</f>
        <v>筋膜枪</v>
      </c>
      <c r="AD1165" t="str">
        <f>VLOOKUP(E:E,笔记匹配!A:N,4,FALSE)</f>
        <v>云麦筋膜枪PB2</v>
      </c>
      <c r="AE1165" t="str">
        <f>VLOOKUP(E:E,笔记匹配!A:N,14,FALSE)</f>
        <v>云麦筋膜枪pb2</v>
      </c>
      <c r="AF1165" t="str">
        <f>VLOOKUP(E:E,笔记匹配!A:N,6,FALSE)</f>
        <v>小腿粗的姐妹信我！肌肉腿就要这样按！</v>
      </c>
    </row>
    <row r="1166" spans="1:32">
      <c r="A1166" s="18" t="s">
        <v>161</v>
      </c>
      <c r="B1166" s="18" t="s">
        <v>1324</v>
      </c>
      <c r="C1166" s="19">
        <v>22438197</v>
      </c>
      <c r="D1166" s="18" t="s">
        <v>196</v>
      </c>
      <c r="E1166" s="18" t="s">
        <v>312</v>
      </c>
      <c r="F1166" s="18" t="s">
        <v>1326</v>
      </c>
      <c r="G1166" s="19">
        <v>5694754</v>
      </c>
      <c r="H1166" s="18" t="s">
        <v>1326</v>
      </c>
      <c r="I1166" s="19">
        <v>4763278</v>
      </c>
      <c r="J1166" s="18" t="s">
        <v>1015</v>
      </c>
      <c r="K1166" s="19">
        <v>105.29</v>
      </c>
      <c r="L1166" s="19">
        <v>6218</v>
      </c>
      <c r="M1166" s="19">
        <v>300</v>
      </c>
      <c r="N1166" s="20">
        <v>0.0482</v>
      </c>
      <c r="O1166" s="19">
        <v>0.35</v>
      </c>
      <c r="P1166" s="19">
        <v>16.93</v>
      </c>
      <c r="Q1166" s="19">
        <v>10</v>
      </c>
      <c r="R1166" s="19">
        <v>0</v>
      </c>
      <c r="S1166" s="19">
        <v>8</v>
      </c>
      <c r="T1166" s="19">
        <v>1</v>
      </c>
      <c r="U1166" s="19">
        <v>2</v>
      </c>
      <c r="V1166" s="19">
        <v>21</v>
      </c>
      <c r="W1166" s="19">
        <v>5.01</v>
      </c>
      <c r="X1166" s="19">
        <v>0</v>
      </c>
      <c r="Y1166" s="20">
        <v>0</v>
      </c>
      <c r="Z1166" s="19">
        <v>1</v>
      </c>
      <c r="AA1166" s="19">
        <v>0</v>
      </c>
      <c r="AB1166" t="str">
        <f>VLOOKUP(E:E,笔记匹配!A:N,3,FALSE)</f>
        <v>郝有金</v>
      </c>
      <c r="AC1166" t="str">
        <f>VLOOKUP(E:E,笔记匹配!A:N,2,FALSE)</f>
        <v>筋膜枪</v>
      </c>
      <c r="AD1166" t="str">
        <f>VLOOKUP(E:E,笔记匹配!A:N,4,FALSE)</f>
        <v>云麦cc筋膜枪</v>
      </c>
      <c r="AE1166" t="str">
        <f>VLOOKUP(E:E,笔记匹配!A:N,14,FALSE)</f>
        <v>云麦筋膜枪cc</v>
      </c>
      <c r="AF1166" t="str">
        <f>VLOOKUP(E:E,笔记匹配!A:N,6,FALSE)</f>
        <v>别用错❗️筋膜枪正确使用方法，不同肌肉部位放松大全</v>
      </c>
    </row>
    <row r="1167" spans="1:32">
      <c r="A1167" s="18" t="s">
        <v>161</v>
      </c>
      <c r="B1167" s="18" t="s">
        <v>1324</v>
      </c>
      <c r="C1167" s="19">
        <v>22438538</v>
      </c>
      <c r="D1167" s="18" t="s">
        <v>196</v>
      </c>
      <c r="E1167" s="18" t="s">
        <v>238</v>
      </c>
      <c r="F1167" s="18" t="s">
        <v>1328</v>
      </c>
      <c r="G1167" s="19">
        <v>5694908</v>
      </c>
      <c r="H1167" s="18" t="s">
        <v>1328</v>
      </c>
      <c r="I1167" s="19">
        <v>4763397</v>
      </c>
      <c r="J1167" s="18" t="s">
        <v>1015</v>
      </c>
      <c r="K1167" s="19">
        <v>0</v>
      </c>
      <c r="L1167" s="19">
        <v>0</v>
      </c>
      <c r="M1167" s="19">
        <v>0</v>
      </c>
      <c r="N1167" s="20">
        <v>0</v>
      </c>
      <c r="O1167" s="19">
        <v>0</v>
      </c>
      <c r="P1167" s="19">
        <v>0</v>
      </c>
      <c r="Q1167" s="19">
        <v>0</v>
      </c>
      <c r="R1167" s="19">
        <v>0</v>
      </c>
      <c r="S1167" s="19">
        <v>0</v>
      </c>
      <c r="T1167" s="19">
        <v>0</v>
      </c>
      <c r="U1167" s="19">
        <v>0</v>
      </c>
      <c r="V1167" s="19">
        <v>0</v>
      </c>
      <c r="W1167" s="19">
        <v>0</v>
      </c>
      <c r="X1167" s="19">
        <v>0</v>
      </c>
      <c r="Y1167" s="20">
        <v>0</v>
      </c>
      <c r="Z1167" s="19">
        <v>0</v>
      </c>
      <c r="AA1167" s="19">
        <v>0</v>
      </c>
      <c r="AB1167" t="str">
        <f>VLOOKUP(E:E,笔记匹配!A:N,3,FALSE)</f>
        <v>小岛大瑀</v>
      </c>
      <c r="AC1167" t="str">
        <f>VLOOKUP(E:E,笔记匹配!A:N,2,FALSE)</f>
        <v>体脂秤</v>
      </c>
      <c r="AD1167" t="str">
        <f>VLOOKUP(E:E,笔记匹配!A:N,4,FALSE)</f>
        <v>云麦体脂秤3mini </v>
      </c>
      <c r="AE1167" t="str">
        <f>VLOOKUP(E:E,笔记匹配!A:N,14,FALSE)</f>
        <v>云麦体脂秤3mini</v>
      </c>
      <c r="AF1167" t="str">
        <f>VLOOKUP(E:E,笔记匹配!A:N,6,FALSE)</f>
        <v>这个燃脂舞真的太❗️太❗️太简单了🔥停不下来</v>
      </c>
    </row>
    <row r="1168" spans="1:32">
      <c r="A1168" s="18" t="s">
        <v>161</v>
      </c>
      <c r="B1168" s="18" t="s">
        <v>1324</v>
      </c>
      <c r="C1168" s="19">
        <v>22438657</v>
      </c>
      <c r="D1168" s="18" t="s">
        <v>196</v>
      </c>
      <c r="E1168" s="18" t="s">
        <v>303</v>
      </c>
      <c r="F1168" s="18" t="s">
        <v>1330</v>
      </c>
      <c r="G1168" s="19">
        <v>5694979</v>
      </c>
      <c r="H1168" s="18" t="s">
        <v>1330</v>
      </c>
      <c r="I1168" s="19">
        <v>4763457</v>
      </c>
      <c r="J1168" s="18" t="s">
        <v>1015</v>
      </c>
      <c r="K1168" s="19">
        <v>0</v>
      </c>
      <c r="L1168" s="19">
        <v>0</v>
      </c>
      <c r="M1168" s="19">
        <v>0</v>
      </c>
      <c r="N1168" s="20">
        <v>0</v>
      </c>
      <c r="O1168" s="19">
        <v>0</v>
      </c>
      <c r="P1168" s="19">
        <v>0</v>
      </c>
      <c r="Q1168" s="19">
        <v>0</v>
      </c>
      <c r="R1168" s="19">
        <v>0</v>
      </c>
      <c r="S1168" s="19">
        <v>0</v>
      </c>
      <c r="T1168" s="19">
        <v>0</v>
      </c>
      <c r="U1168" s="19">
        <v>0</v>
      </c>
      <c r="V1168" s="19">
        <v>0</v>
      </c>
      <c r="W1168" s="19">
        <v>0</v>
      </c>
      <c r="X1168" s="19">
        <v>0</v>
      </c>
      <c r="Y1168" s="20">
        <v>0</v>
      </c>
      <c r="Z1168" s="19">
        <v>0</v>
      </c>
      <c r="AA1168" s="19">
        <v>0</v>
      </c>
      <c r="AB1168" t="str">
        <f>VLOOKUP(E:E,笔记匹配!A:N,3,FALSE)</f>
        <v>橘子汽水</v>
      </c>
      <c r="AC1168" t="str">
        <f>VLOOKUP(E:E,笔记匹配!A:N,2,FALSE)</f>
        <v>体脂秤</v>
      </c>
      <c r="AD1168" t="str">
        <f>VLOOKUP(E:E,笔记匹配!A:N,4,FALSE)</f>
        <v>云麦体脂秤3mini</v>
      </c>
      <c r="AE1168" t="str">
        <f>VLOOKUP(E:E,笔记匹配!A:N,14,FALSE)</f>
        <v>云麦体脂秤3mini</v>
      </c>
      <c r="AF1168" t="str">
        <f>VLOOKUP(E:E,笔记匹配!A:N,6,FALSE)</f>
        <v>请一定要相信帕梅拉虐腹，效果是真的🉑❗</v>
      </c>
    </row>
    <row r="1169" spans="1:32">
      <c r="A1169" s="18" t="s">
        <v>161</v>
      </c>
      <c r="B1169" s="18" t="s">
        <v>1324</v>
      </c>
      <c r="C1169" s="19">
        <v>22448358</v>
      </c>
      <c r="D1169" s="18" t="s">
        <v>196</v>
      </c>
      <c r="E1169" s="18" t="s">
        <v>238</v>
      </c>
      <c r="F1169" s="18" t="s">
        <v>1331</v>
      </c>
      <c r="G1169" s="19">
        <v>5699471</v>
      </c>
      <c r="H1169" s="18" t="s">
        <v>1331</v>
      </c>
      <c r="I1169" s="19">
        <v>4766957</v>
      </c>
      <c r="J1169" s="18" t="s">
        <v>1015</v>
      </c>
      <c r="K1169" s="19">
        <v>430.07</v>
      </c>
      <c r="L1169" s="19">
        <v>12245</v>
      </c>
      <c r="M1169" s="19">
        <v>1003</v>
      </c>
      <c r="N1169" s="20">
        <v>0.0819</v>
      </c>
      <c r="O1169" s="19">
        <v>0.43</v>
      </c>
      <c r="P1169" s="19">
        <v>35.12</v>
      </c>
      <c r="Q1169" s="19">
        <v>56</v>
      </c>
      <c r="R1169" s="19">
        <v>2</v>
      </c>
      <c r="S1169" s="19">
        <v>94</v>
      </c>
      <c r="T1169" s="19">
        <v>16</v>
      </c>
      <c r="U1169" s="19">
        <v>7</v>
      </c>
      <c r="V1169" s="19">
        <v>175</v>
      </c>
      <c r="W1169" s="19">
        <v>2.46</v>
      </c>
      <c r="X1169" s="19">
        <v>1</v>
      </c>
      <c r="Y1169" s="20">
        <v>0.001</v>
      </c>
      <c r="Z1169" s="19">
        <v>0</v>
      </c>
      <c r="AA1169" s="19">
        <v>5</v>
      </c>
      <c r="AB1169" t="str">
        <f>VLOOKUP(E:E,笔记匹配!A:N,3,FALSE)</f>
        <v>小岛大瑀</v>
      </c>
      <c r="AC1169" t="str">
        <f>VLOOKUP(E:E,笔记匹配!A:N,2,FALSE)</f>
        <v>体脂秤</v>
      </c>
      <c r="AD1169" t="str">
        <f>VLOOKUP(E:E,笔记匹配!A:N,4,FALSE)</f>
        <v>云麦体脂秤3mini </v>
      </c>
      <c r="AE1169" t="str">
        <f>VLOOKUP(E:E,笔记匹配!A:N,14,FALSE)</f>
        <v>云麦体脂秤3mini</v>
      </c>
      <c r="AF1169" t="str">
        <f>VLOOKUP(E:E,笔记匹配!A:N,6,FALSE)</f>
        <v>这个燃脂舞真的太❗️太❗️太简单了🔥停不下来</v>
      </c>
    </row>
    <row r="1170" spans="1:32">
      <c r="A1170" s="18" t="s">
        <v>161</v>
      </c>
      <c r="B1170" s="18" t="s">
        <v>1324</v>
      </c>
      <c r="C1170" s="19">
        <v>22450115</v>
      </c>
      <c r="D1170" s="18" t="s">
        <v>196</v>
      </c>
      <c r="E1170" s="18" t="s">
        <v>303</v>
      </c>
      <c r="F1170" s="18" t="s">
        <v>1336</v>
      </c>
      <c r="G1170" s="19">
        <v>5700336</v>
      </c>
      <c r="H1170" s="18" t="s">
        <v>1337</v>
      </c>
      <c r="I1170" s="19">
        <v>4767631</v>
      </c>
      <c r="J1170" s="18" t="s">
        <v>1015</v>
      </c>
      <c r="K1170" s="19">
        <v>0.47</v>
      </c>
      <c r="L1170" s="19">
        <v>19</v>
      </c>
      <c r="M1170" s="19">
        <v>2</v>
      </c>
      <c r="N1170" s="20">
        <v>0.1053</v>
      </c>
      <c r="O1170" s="19">
        <v>0.24</v>
      </c>
      <c r="P1170" s="19">
        <v>24.74</v>
      </c>
      <c r="Q1170" s="19">
        <v>0</v>
      </c>
      <c r="R1170" s="19">
        <v>0</v>
      </c>
      <c r="S1170" s="19">
        <v>0</v>
      </c>
      <c r="T1170" s="19">
        <v>0</v>
      </c>
      <c r="U1170" s="19">
        <v>0</v>
      </c>
      <c r="V1170" s="19">
        <v>0</v>
      </c>
      <c r="W1170" s="19">
        <v>0</v>
      </c>
      <c r="X1170" s="19">
        <v>0</v>
      </c>
      <c r="Y1170" s="20">
        <v>0</v>
      </c>
      <c r="Z1170" s="19">
        <v>0</v>
      </c>
      <c r="AA1170" s="19">
        <v>0</v>
      </c>
      <c r="AB1170" t="str">
        <f>VLOOKUP(E:E,笔记匹配!A:N,3,FALSE)</f>
        <v>橘子汽水</v>
      </c>
      <c r="AC1170" t="str">
        <f>VLOOKUP(E:E,笔记匹配!A:N,2,FALSE)</f>
        <v>体脂秤</v>
      </c>
      <c r="AD1170" t="str">
        <f>VLOOKUP(E:E,笔记匹配!A:N,4,FALSE)</f>
        <v>云麦体脂秤3mini</v>
      </c>
      <c r="AE1170" t="str">
        <f>VLOOKUP(E:E,笔记匹配!A:N,14,FALSE)</f>
        <v>云麦体脂秤3mini</v>
      </c>
      <c r="AF1170" t="str">
        <f>VLOOKUP(E:E,笔记匹配!A:N,6,FALSE)</f>
        <v>请一定要相信帕梅拉虐腹，效果是真的🉑❗</v>
      </c>
    </row>
    <row r="1171" spans="1:32">
      <c r="A1171" s="18" t="s">
        <v>161</v>
      </c>
      <c r="B1171" s="18" t="s">
        <v>1338</v>
      </c>
      <c r="C1171" s="19">
        <v>22513708</v>
      </c>
      <c r="D1171" s="18" t="s">
        <v>209</v>
      </c>
      <c r="E1171" s="18" t="s">
        <v>307</v>
      </c>
      <c r="F1171" s="18" t="s">
        <v>1339</v>
      </c>
      <c r="G1171" s="19">
        <v>5731231</v>
      </c>
      <c r="H1171" s="18" t="s">
        <v>1339</v>
      </c>
      <c r="I1171" s="19">
        <v>4791791</v>
      </c>
      <c r="J1171" s="18" t="s">
        <v>1015</v>
      </c>
      <c r="K1171" s="19">
        <v>303.55</v>
      </c>
      <c r="L1171" s="19">
        <v>28220</v>
      </c>
      <c r="M1171" s="19">
        <v>2758</v>
      </c>
      <c r="N1171" s="20">
        <v>0.0977</v>
      </c>
      <c r="O1171" s="19">
        <v>0.11</v>
      </c>
      <c r="P1171" s="19">
        <v>10.76</v>
      </c>
      <c r="Q1171" s="19">
        <v>19</v>
      </c>
      <c r="R1171" s="19">
        <v>1</v>
      </c>
      <c r="S1171" s="19">
        <v>3</v>
      </c>
      <c r="T1171" s="19">
        <v>5</v>
      </c>
      <c r="U1171" s="19">
        <v>0</v>
      </c>
      <c r="V1171" s="19">
        <v>28</v>
      </c>
      <c r="W1171" s="19">
        <v>10.84</v>
      </c>
      <c r="X1171" s="19">
        <v>0</v>
      </c>
      <c r="Y1171" s="20">
        <v>0</v>
      </c>
      <c r="Z1171" s="19">
        <v>7</v>
      </c>
      <c r="AA1171" s="19">
        <v>4</v>
      </c>
      <c r="AB1171" t="str">
        <f>VLOOKUP(E:E,笔记匹配!A:N,3,FALSE)</f>
        <v>小甜心</v>
      </c>
      <c r="AC1171" t="str">
        <f>VLOOKUP(E:E,笔记匹配!A:N,2,FALSE)</f>
        <v>体脂秤</v>
      </c>
      <c r="AD1171" t="str">
        <f>VLOOKUP(E:E,笔记匹配!A:N,4,FALSE)</f>
        <v>云麦体脂秤3mini</v>
      </c>
      <c r="AE1171" t="str">
        <f>VLOOKUP(E:E,笔记匹配!A:N,14,FALSE)</f>
        <v>云麦体脂秤3mini</v>
      </c>
      <c r="AF1171" t="str">
        <f>VLOOKUP(E:E,笔记匹配!A:N,6,FALSE)</f>
        <v>宿舍健身‼️美背翘臀这样练⏳真的好绝</v>
      </c>
    </row>
    <row r="1172" spans="1:32">
      <c r="A1172" s="18" t="s">
        <v>161</v>
      </c>
      <c r="B1172" s="18" t="s">
        <v>1338</v>
      </c>
      <c r="C1172" s="19">
        <v>22516134</v>
      </c>
      <c r="D1172" s="18" t="s">
        <v>209</v>
      </c>
      <c r="E1172" s="18" t="s">
        <v>284</v>
      </c>
      <c r="F1172" s="18" t="s">
        <v>1340</v>
      </c>
      <c r="G1172" s="19">
        <v>5732324</v>
      </c>
      <c r="H1172" s="18" t="s">
        <v>1340</v>
      </c>
      <c r="I1172" s="19">
        <v>4792636</v>
      </c>
      <c r="J1172" s="18" t="s">
        <v>1015</v>
      </c>
      <c r="K1172" s="19">
        <v>309.38</v>
      </c>
      <c r="L1172" s="19">
        <v>11858</v>
      </c>
      <c r="M1172" s="19">
        <v>662</v>
      </c>
      <c r="N1172" s="20">
        <v>0.0558</v>
      </c>
      <c r="O1172" s="19">
        <v>0.47</v>
      </c>
      <c r="P1172" s="19">
        <v>26.09</v>
      </c>
      <c r="Q1172" s="19">
        <v>62</v>
      </c>
      <c r="R1172" s="19">
        <v>0</v>
      </c>
      <c r="S1172" s="19">
        <v>39</v>
      </c>
      <c r="T1172" s="19">
        <v>2</v>
      </c>
      <c r="U1172" s="19">
        <v>2</v>
      </c>
      <c r="V1172" s="19">
        <v>105</v>
      </c>
      <c r="W1172" s="19">
        <v>2.95</v>
      </c>
      <c r="X1172" s="19">
        <v>0</v>
      </c>
      <c r="Y1172" s="20">
        <v>0</v>
      </c>
      <c r="Z1172" s="19">
        <v>0</v>
      </c>
      <c r="AA1172" s="19">
        <v>1</v>
      </c>
      <c r="AB1172" t="str">
        <f>VLOOKUP(E:E,笔记匹配!A:N,3,FALSE)</f>
        <v>周周也是倩倩</v>
      </c>
      <c r="AC1172" t="str">
        <f>VLOOKUP(E:E,笔记匹配!A:N,2,FALSE)</f>
        <v>筋膜枪</v>
      </c>
      <c r="AD1172" t="str">
        <f>VLOOKUP(E:E,笔记匹配!A:N,4,FALSE)</f>
        <v>云麦筋膜枪cc</v>
      </c>
      <c r="AE1172" t="str">
        <f>VLOOKUP(E:E,笔记匹配!A:N,14,FALSE)</f>
        <v>云麦筋膜枪ccgo</v>
      </c>
      <c r="AF1172" t="str">
        <f>VLOOKUP(E:E,笔记匹配!A:N,6,FALSE)</f>
        <v>姐妹们学会这三招，斜方肌想变“厚”都难！！！</v>
      </c>
    </row>
    <row r="1173" spans="1:32">
      <c r="A1173" s="18" t="s">
        <v>161</v>
      </c>
      <c r="B1173" s="18" t="s">
        <v>1338</v>
      </c>
      <c r="C1173" s="19">
        <v>22516377</v>
      </c>
      <c r="D1173" s="18" t="s">
        <v>209</v>
      </c>
      <c r="E1173" s="18" t="s">
        <v>214</v>
      </c>
      <c r="F1173" s="18" t="s">
        <v>1341</v>
      </c>
      <c r="G1173" s="19">
        <v>5732455</v>
      </c>
      <c r="H1173" s="18" t="s">
        <v>1341</v>
      </c>
      <c r="I1173" s="19">
        <v>4792733</v>
      </c>
      <c r="J1173" s="18" t="s">
        <v>1015</v>
      </c>
      <c r="K1173" s="19">
        <v>302.64</v>
      </c>
      <c r="L1173" s="19">
        <v>16028</v>
      </c>
      <c r="M1173" s="19">
        <v>954</v>
      </c>
      <c r="N1173" s="20">
        <v>0.0595</v>
      </c>
      <c r="O1173" s="19">
        <v>0.32</v>
      </c>
      <c r="P1173" s="19">
        <v>18.88</v>
      </c>
      <c r="Q1173" s="19">
        <v>38</v>
      </c>
      <c r="R1173" s="19">
        <v>0</v>
      </c>
      <c r="S1173" s="19">
        <v>9</v>
      </c>
      <c r="T1173" s="19">
        <v>0</v>
      </c>
      <c r="U1173" s="19">
        <v>3</v>
      </c>
      <c r="V1173" s="19">
        <v>50</v>
      </c>
      <c r="W1173" s="19">
        <v>6.05</v>
      </c>
      <c r="X1173" s="19">
        <v>0</v>
      </c>
      <c r="Y1173" s="20">
        <v>0</v>
      </c>
      <c r="Z1173" s="19">
        <v>5</v>
      </c>
      <c r="AA1173" s="19">
        <v>2</v>
      </c>
      <c r="AB1173" t="str">
        <f>VLOOKUP(E:E,笔记匹配!A:N,3,FALSE)</f>
        <v>Zora張張</v>
      </c>
      <c r="AC1173" t="str">
        <f>VLOOKUP(E:E,笔记匹配!A:N,2,FALSE)</f>
        <v>筋膜枪</v>
      </c>
      <c r="AD1173" t="str">
        <f>VLOOKUP(E:E,笔记匹配!A:N,4,FALSE)</f>
        <v>云麦筋膜枪cc</v>
      </c>
      <c r="AE1173" t="str">
        <f>VLOOKUP(E:E,笔记匹配!A:N,14,FALSE)</f>
        <v>云麦筋膜枪ccgo</v>
      </c>
      <c r="AF1173" t="str">
        <f>VLOOKUP(E:E,笔记匹配!A:N,6,FALSE)</f>
        <v>宿舍姐妹花人手一个！这筋膜枪有点东西🧐</v>
      </c>
    </row>
    <row r="1174" spans="1:32">
      <c r="A1174" s="18" t="s">
        <v>162</v>
      </c>
      <c r="B1174" s="18" t="s">
        <v>1267</v>
      </c>
      <c r="C1174" s="19">
        <v>21360243</v>
      </c>
      <c r="D1174" s="18" t="s">
        <v>209</v>
      </c>
      <c r="E1174" s="18" t="s">
        <v>220</v>
      </c>
      <c r="F1174" s="18" t="s">
        <v>1268</v>
      </c>
      <c r="G1174" s="19">
        <v>5192303</v>
      </c>
      <c r="H1174" s="18" t="s">
        <v>1269</v>
      </c>
      <c r="I1174" s="19">
        <v>4379647</v>
      </c>
      <c r="J1174" s="18" t="s">
        <v>1015</v>
      </c>
      <c r="K1174" s="19">
        <v>1008.02</v>
      </c>
      <c r="L1174" s="19">
        <v>64845</v>
      </c>
      <c r="M1174" s="19">
        <v>2952</v>
      </c>
      <c r="N1174" s="20">
        <v>0.0455</v>
      </c>
      <c r="O1174" s="19">
        <v>0.34</v>
      </c>
      <c r="P1174" s="19">
        <v>15.55</v>
      </c>
      <c r="Q1174" s="19">
        <v>139</v>
      </c>
      <c r="R1174" s="19">
        <v>0</v>
      </c>
      <c r="S1174" s="19">
        <v>58</v>
      </c>
      <c r="T1174" s="19">
        <v>0</v>
      </c>
      <c r="U1174" s="19">
        <v>2</v>
      </c>
      <c r="V1174" s="19">
        <v>199</v>
      </c>
      <c r="W1174" s="19">
        <v>5.07</v>
      </c>
      <c r="X1174" s="19">
        <v>0</v>
      </c>
      <c r="Y1174" s="20">
        <v>0</v>
      </c>
      <c r="Z1174" s="19">
        <v>10</v>
      </c>
      <c r="AA1174" s="19">
        <v>0</v>
      </c>
      <c r="AB1174" t="str">
        <f>VLOOKUP(E:E,笔记匹配!A:N,3,FALSE)</f>
        <v>一颗西兰花fa</v>
      </c>
      <c r="AC1174" t="str">
        <f>VLOOKUP(E:E,笔记匹配!A:N,2,FALSE)</f>
        <v>筋膜枪</v>
      </c>
      <c r="AD1174" t="str">
        <f>VLOOKUP(E:E,笔记匹配!A:N,4,FALSE)</f>
        <v>云麦筋膜枪PB2</v>
      </c>
      <c r="AE1174" t="str">
        <f>VLOOKUP(E:E,笔记匹配!A:N,14,FALSE)</f>
        <v>云麦筋膜枪pb2</v>
      </c>
      <c r="AF1174" t="str">
        <f>VLOOKUP(E:E,笔记匹配!A:N,6,FALSE)</f>
        <v>有没有姐妹跟我一样被肌肉腿困扰了好久！</v>
      </c>
    </row>
    <row r="1175" spans="1:32">
      <c r="A1175" s="18" t="s">
        <v>162</v>
      </c>
      <c r="B1175" s="18" t="s">
        <v>1286</v>
      </c>
      <c r="C1175" s="19">
        <v>21600849</v>
      </c>
      <c r="D1175" s="18" t="s">
        <v>209</v>
      </c>
      <c r="E1175" s="18" t="s">
        <v>303</v>
      </c>
      <c r="F1175" s="18" t="s">
        <v>1288</v>
      </c>
      <c r="G1175" s="19">
        <v>5300358</v>
      </c>
      <c r="H1175" s="18" t="s">
        <v>1288</v>
      </c>
      <c r="I1175" s="19">
        <v>4462859</v>
      </c>
      <c r="J1175" s="18" t="s">
        <v>1015</v>
      </c>
      <c r="K1175" s="19">
        <v>302.62</v>
      </c>
      <c r="L1175" s="19">
        <v>31790</v>
      </c>
      <c r="M1175" s="19">
        <v>3799</v>
      </c>
      <c r="N1175" s="20">
        <v>0.1195</v>
      </c>
      <c r="O1175" s="19">
        <v>0.08</v>
      </c>
      <c r="P1175" s="19">
        <v>9.52</v>
      </c>
      <c r="Q1175" s="19">
        <v>80</v>
      </c>
      <c r="R1175" s="19">
        <v>3</v>
      </c>
      <c r="S1175" s="19">
        <v>116</v>
      </c>
      <c r="T1175" s="19">
        <v>14</v>
      </c>
      <c r="U1175" s="19">
        <v>9</v>
      </c>
      <c r="V1175" s="19">
        <v>222</v>
      </c>
      <c r="W1175" s="19">
        <v>1.36</v>
      </c>
      <c r="X1175" s="19">
        <v>0</v>
      </c>
      <c r="Y1175" s="20">
        <v>0</v>
      </c>
      <c r="Z1175" s="19">
        <v>15</v>
      </c>
      <c r="AA1175" s="19">
        <v>6</v>
      </c>
      <c r="AB1175" t="str">
        <f>VLOOKUP(E:E,笔记匹配!A:N,3,FALSE)</f>
        <v>橘子汽水</v>
      </c>
      <c r="AC1175" t="str">
        <f>VLOOKUP(E:E,笔记匹配!A:N,2,FALSE)</f>
        <v>体脂秤</v>
      </c>
      <c r="AD1175" t="str">
        <f>VLOOKUP(E:E,笔记匹配!A:N,4,FALSE)</f>
        <v>云麦体脂秤3mini</v>
      </c>
      <c r="AE1175" t="str">
        <f>VLOOKUP(E:E,笔记匹配!A:N,14,FALSE)</f>
        <v>云麦体脂秤3mini</v>
      </c>
      <c r="AF1175" t="str">
        <f>VLOOKUP(E:E,笔记匹配!A:N,6,FALSE)</f>
        <v>请一定要相信帕梅拉虐腹，效果是真的🉑❗</v>
      </c>
    </row>
    <row r="1176" spans="1:32">
      <c r="A1176" s="18" t="s">
        <v>162</v>
      </c>
      <c r="B1176" s="18" t="s">
        <v>1294</v>
      </c>
      <c r="C1176" s="19">
        <v>21747929</v>
      </c>
      <c r="D1176" s="18" t="s">
        <v>209</v>
      </c>
      <c r="E1176" s="18" t="s">
        <v>208</v>
      </c>
      <c r="F1176" s="18" t="s">
        <v>1295</v>
      </c>
      <c r="G1176" s="19">
        <v>5366393</v>
      </c>
      <c r="H1176" s="18" t="s">
        <v>1295</v>
      </c>
      <c r="I1176" s="19">
        <v>4512630</v>
      </c>
      <c r="J1176" s="18" t="s">
        <v>1015</v>
      </c>
      <c r="K1176" s="19">
        <v>1510.86</v>
      </c>
      <c r="L1176" s="19">
        <v>101058</v>
      </c>
      <c r="M1176" s="19">
        <v>5796</v>
      </c>
      <c r="N1176" s="20">
        <v>0.0574</v>
      </c>
      <c r="O1176" s="19">
        <v>0.26</v>
      </c>
      <c r="P1176" s="19">
        <v>14.95</v>
      </c>
      <c r="Q1176" s="19">
        <v>139</v>
      </c>
      <c r="R1176" s="19">
        <v>4</v>
      </c>
      <c r="S1176" s="19">
        <v>65</v>
      </c>
      <c r="T1176" s="19">
        <v>0</v>
      </c>
      <c r="U1176" s="19">
        <v>1</v>
      </c>
      <c r="V1176" s="19">
        <v>209</v>
      </c>
      <c r="W1176" s="19">
        <v>7.23</v>
      </c>
      <c r="X1176" s="19">
        <v>0</v>
      </c>
      <c r="Y1176" s="20">
        <v>0</v>
      </c>
      <c r="Z1176" s="19">
        <v>15</v>
      </c>
      <c r="AA1176" s="19">
        <v>1</v>
      </c>
      <c r="AB1176" t="str">
        <f>VLOOKUP(E:E,笔记匹配!A:N,3,FALSE)</f>
        <v>小羊羔崽子</v>
      </c>
      <c r="AC1176" t="str">
        <f>VLOOKUP(E:E,笔记匹配!A:N,2,FALSE)</f>
        <v>筋膜枪</v>
      </c>
      <c r="AD1176" t="str">
        <f>VLOOKUP(E:E,笔记匹配!A:N,4,FALSE)</f>
        <v>云麦筋膜枪PB2</v>
      </c>
      <c r="AE1176" t="str">
        <f>VLOOKUP(E:E,笔记匹配!A:N,14,FALSE)</f>
        <v>云麦筋膜枪pb2</v>
      </c>
      <c r="AF1176" t="str">
        <f>VLOOKUP(E:E,笔记匹配!A:N,6,FALSE)</f>
        <v>用了多年泡沫轴，才知道筋膜枪是真的香！！！</v>
      </c>
    </row>
    <row r="1177" spans="1:32">
      <c r="A1177" s="18" t="s">
        <v>162</v>
      </c>
      <c r="B1177" s="18" t="s">
        <v>1294</v>
      </c>
      <c r="C1177" s="19">
        <v>21747992</v>
      </c>
      <c r="D1177" s="18" t="s">
        <v>209</v>
      </c>
      <c r="E1177" s="18" t="s">
        <v>292</v>
      </c>
      <c r="F1177" s="18" t="s">
        <v>1296</v>
      </c>
      <c r="G1177" s="19">
        <v>5366424</v>
      </c>
      <c r="H1177" s="18" t="s">
        <v>1296</v>
      </c>
      <c r="I1177" s="19">
        <v>4512653</v>
      </c>
      <c r="J1177" s="18" t="s">
        <v>1015</v>
      </c>
      <c r="K1177" s="19">
        <v>0</v>
      </c>
      <c r="L1177" s="19">
        <v>0</v>
      </c>
      <c r="M1177" s="19">
        <v>0</v>
      </c>
      <c r="N1177" s="20">
        <v>0</v>
      </c>
      <c r="O1177" s="19">
        <v>0</v>
      </c>
      <c r="P1177" s="19">
        <v>0</v>
      </c>
      <c r="Q1177" s="19">
        <v>0</v>
      </c>
      <c r="R1177" s="19">
        <v>0</v>
      </c>
      <c r="S1177" s="19">
        <v>0</v>
      </c>
      <c r="T1177" s="19">
        <v>0</v>
      </c>
      <c r="U1177" s="19">
        <v>0</v>
      </c>
      <c r="V1177" s="19">
        <v>0</v>
      </c>
      <c r="W1177" s="19">
        <v>0</v>
      </c>
      <c r="X1177" s="19">
        <v>0</v>
      </c>
      <c r="Y1177" s="20">
        <v>0</v>
      </c>
      <c r="Z1177" s="19">
        <v>0</v>
      </c>
      <c r="AA1177" s="19">
        <v>0</v>
      </c>
      <c r="AB1177" t="str">
        <f>VLOOKUP(E:E,笔记匹配!A:N,3,FALSE)</f>
        <v>形体矫正小李</v>
      </c>
      <c r="AC1177" t="str">
        <f>VLOOKUP(E:E,笔记匹配!A:N,2,FALSE)</f>
        <v>筋膜枪</v>
      </c>
      <c r="AD1177" t="str">
        <f>VLOOKUP(E:E,笔记匹配!A:N,4,FALSE)</f>
        <v>云麦筋膜枪PB2</v>
      </c>
      <c r="AE1177" t="str">
        <f>VLOOKUP(E:E,笔记匹配!A:N,14,FALSE)</f>
        <v>云麦筋膜枪pb2</v>
      </c>
      <c r="AF1177" t="str">
        <f>VLOOKUP(E:E,笔记匹配!A:N,6,FALSE)</f>
        <v>大腿内侧赘肉消失术‼️练出细长漫画腿全靠它</v>
      </c>
    </row>
    <row r="1178" spans="1:32">
      <c r="A1178" s="18" t="s">
        <v>162</v>
      </c>
      <c r="B1178" s="18" t="s">
        <v>1297</v>
      </c>
      <c r="C1178" s="19">
        <v>21881635</v>
      </c>
      <c r="D1178" s="18" t="s">
        <v>196</v>
      </c>
      <c r="E1178" s="18" t="s">
        <v>234</v>
      </c>
      <c r="F1178" s="18" t="s">
        <v>1306</v>
      </c>
      <c r="G1178" s="19">
        <v>5429032</v>
      </c>
      <c r="H1178" s="18" t="s">
        <v>1307</v>
      </c>
      <c r="I1178" s="19">
        <v>4559792</v>
      </c>
      <c r="J1178" s="18" t="s">
        <v>1015</v>
      </c>
      <c r="K1178" s="19">
        <v>0.97</v>
      </c>
      <c r="L1178" s="19">
        <v>68</v>
      </c>
      <c r="M1178" s="19">
        <v>3</v>
      </c>
      <c r="N1178" s="20">
        <v>0.0441</v>
      </c>
      <c r="O1178" s="19">
        <v>0.32</v>
      </c>
      <c r="P1178" s="19">
        <v>14.26</v>
      </c>
      <c r="Q1178" s="19">
        <v>0</v>
      </c>
      <c r="R1178" s="19">
        <v>0</v>
      </c>
      <c r="S1178" s="19">
        <v>0</v>
      </c>
      <c r="T1178" s="19">
        <v>0</v>
      </c>
      <c r="U1178" s="19">
        <v>0</v>
      </c>
      <c r="V1178" s="19">
        <v>0</v>
      </c>
      <c r="W1178" s="19">
        <v>0</v>
      </c>
      <c r="X1178" s="19">
        <v>0</v>
      </c>
      <c r="Y1178" s="20">
        <v>0</v>
      </c>
      <c r="Z1178" s="19">
        <v>0</v>
      </c>
      <c r="AA1178" s="19">
        <v>0</v>
      </c>
      <c r="AB1178" t="str">
        <f>VLOOKUP(E:E,笔记匹配!A:N,3,FALSE)</f>
        <v>pp</v>
      </c>
      <c r="AC1178" t="str">
        <f>VLOOKUP(E:E,笔记匹配!A:N,2,FALSE)</f>
        <v>体脂秤</v>
      </c>
      <c r="AD1178" t="str">
        <f>VLOOKUP(E:E,笔记匹配!A:N,4,FALSE)</f>
        <v>云麦体脂秤3mini</v>
      </c>
      <c r="AE1178" t="str">
        <f>VLOOKUP(E:E,笔记匹配!A:N,14,FALSE)</f>
        <v>云麦体脂秤3mini</v>
      </c>
      <c r="AF1178" t="str">
        <f>VLOOKUP(E:E,笔记匹配!A:N,6,FALSE)</f>
        <v>110到88 一些减肥小建议｜如何正确运动</v>
      </c>
    </row>
    <row r="1179" spans="1:32">
      <c r="A1179" s="18" t="s">
        <v>162</v>
      </c>
      <c r="B1179" s="18" t="s">
        <v>1308</v>
      </c>
      <c r="C1179" s="19">
        <v>21881978</v>
      </c>
      <c r="D1179" s="18" t="s">
        <v>196</v>
      </c>
      <c r="E1179" s="18" t="s">
        <v>234</v>
      </c>
      <c r="F1179" s="18" t="s">
        <v>1309</v>
      </c>
      <c r="G1179" s="19">
        <v>5429663</v>
      </c>
      <c r="H1179" s="18" t="s">
        <v>1310</v>
      </c>
      <c r="I1179" s="19">
        <v>4560362</v>
      </c>
      <c r="J1179" s="18" t="s">
        <v>1015</v>
      </c>
      <c r="K1179" s="19">
        <v>213.23</v>
      </c>
      <c r="L1179" s="19">
        <v>4448</v>
      </c>
      <c r="M1179" s="19">
        <v>248</v>
      </c>
      <c r="N1179" s="20">
        <v>0.0558</v>
      </c>
      <c r="O1179" s="19">
        <v>0.86</v>
      </c>
      <c r="P1179" s="19">
        <v>47.94</v>
      </c>
      <c r="Q1179" s="19">
        <v>3</v>
      </c>
      <c r="R1179" s="19">
        <v>0</v>
      </c>
      <c r="S1179" s="19">
        <v>0</v>
      </c>
      <c r="T1179" s="19">
        <v>0</v>
      </c>
      <c r="U1179" s="19">
        <v>0</v>
      </c>
      <c r="V1179" s="19">
        <v>3</v>
      </c>
      <c r="W1179" s="19">
        <v>71.08</v>
      </c>
      <c r="X1179" s="19">
        <v>0</v>
      </c>
      <c r="Y1179" s="20">
        <v>0</v>
      </c>
      <c r="Z1179" s="19">
        <v>1</v>
      </c>
      <c r="AA1179" s="19">
        <v>0</v>
      </c>
      <c r="AB1179" t="str">
        <f>VLOOKUP(E:E,笔记匹配!A:N,3,FALSE)</f>
        <v>pp</v>
      </c>
      <c r="AC1179" t="str">
        <f>VLOOKUP(E:E,笔记匹配!A:N,2,FALSE)</f>
        <v>体脂秤</v>
      </c>
      <c r="AD1179" t="str">
        <f>VLOOKUP(E:E,笔记匹配!A:N,4,FALSE)</f>
        <v>云麦体脂秤3mini</v>
      </c>
      <c r="AE1179" t="str">
        <f>VLOOKUP(E:E,笔记匹配!A:N,14,FALSE)</f>
        <v>云麦体脂秤3mini</v>
      </c>
      <c r="AF1179" t="str">
        <f>VLOOKUP(E:E,笔记匹配!A:N,6,FALSE)</f>
        <v>110到88 一些减肥小建议｜如何正确运动</v>
      </c>
    </row>
    <row r="1180" spans="1:32">
      <c r="A1180" s="18" t="s">
        <v>162</v>
      </c>
      <c r="B1180" s="18" t="s">
        <v>1314</v>
      </c>
      <c r="C1180" s="19">
        <v>22072602</v>
      </c>
      <c r="D1180" s="18" t="s">
        <v>209</v>
      </c>
      <c r="E1180" s="18" t="s">
        <v>274</v>
      </c>
      <c r="F1180" s="18" t="s">
        <v>1315</v>
      </c>
      <c r="G1180" s="19">
        <v>5521266</v>
      </c>
      <c r="H1180" s="18" t="s">
        <v>1315</v>
      </c>
      <c r="I1180" s="19">
        <v>4629783</v>
      </c>
      <c r="J1180" s="18" t="s">
        <v>1015</v>
      </c>
      <c r="K1180" s="19">
        <v>1008.97</v>
      </c>
      <c r="L1180" s="19">
        <v>90767</v>
      </c>
      <c r="M1180" s="19">
        <v>5036</v>
      </c>
      <c r="N1180" s="20">
        <v>0.0555</v>
      </c>
      <c r="O1180" s="19">
        <v>0.2</v>
      </c>
      <c r="P1180" s="19">
        <v>11.12</v>
      </c>
      <c r="Q1180" s="19">
        <v>72</v>
      </c>
      <c r="R1180" s="19">
        <v>9</v>
      </c>
      <c r="S1180" s="19">
        <v>18</v>
      </c>
      <c r="T1180" s="19">
        <v>1</v>
      </c>
      <c r="U1180" s="19">
        <v>11</v>
      </c>
      <c r="V1180" s="19">
        <v>111</v>
      </c>
      <c r="W1180" s="19">
        <v>9.09</v>
      </c>
      <c r="X1180" s="19">
        <v>0</v>
      </c>
      <c r="Y1180" s="20">
        <v>0</v>
      </c>
      <c r="Z1180" s="19">
        <v>10</v>
      </c>
      <c r="AA1180" s="19">
        <v>0</v>
      </c>
      <c r="AB1180" t="str">
        <f>VLOOKUP(E:E,笔记匹配!A:N,3,FALSE)</f>
        <v>西米是个小可爱</v>
      </c>
      <c r="AC1180" t="str">
        <f>VLOOKUP(E:E,笔记匹配!A:N,2,FALSE)</f>
        <v>筋膜枪</v>
      </c>
      <c r="AD1180" t="str">
        <f>VLOOKUP(E:E,笔记匹配!A:N,4,FALSE)</f>
        <v>云麦筋膜枪PB2</v>
      </c>
      <c r="AE1180" t="str">
        <f>VLOOKUP(E:E,笔记匹配!A:N,14,FALSE)</f>
        <v>云麦筋膜枪pb2</v>
      </c>
      <c r="AF1180" t="str">
        <f>VLOOKUP(E:E,笔记匹配!A:N,6,FALSE)</f>
        <v>筋膜枪千万不能乱用！正确肩颈使用方法</v>
      </c>
    </row>
    <row r="1181" spans="1:32">
      <c r="A1181" s="18" t="s">
        <v>162</v>
      </c>
      <c r="B1181" s="18" t="s">
        <v>1316</v>
      </c>
      <c r="C1181" s="19">
        <v>22072814</v>
      </c>
      <c r="D1181" s="18" t="s">
        <v>196</v>
      </c>
      <c r="E1181" s="18" t="s">
        <v>201</v>
      </c>
      <c r="F1181" s="18" t="s">
        <v>1317</v>
      </c>
      <c r="G1181" s="19">
        <v>5521358</v>
      </c>
      <c r="H1181" s="18" t="s">
        <v>1317</v>
      </c>
      <c r="I1181" s="19">
        <v>4629845</v>
      </c>
      <c r="J1181" s="18" t="s">
        <v>1015</v>
      </c>
      <c r="K1181" s="19">
        <v>279.78</v>
      </c>
      <c r="L1181" s="19">
        <v>4028</v>
      </c>
      <c r="M1181" s="19">
        <v>609</v>
      </c>
      <c r="N1181" s="20">
        <v>0.1512</v>
      </c>
      <c r="O1181" s="19">
        <v>0.46</v>
      </c>
      <c r="P1181" s="19">
        <v>69.46</v>
      </c>
      <c r="Q1181" s="19">
        <v>0</v>
      </c>
      <c r="R1181" s="19">
        <v>1</v>
      </c>
      <c r="S1181" s="19">
        <v>1</v>
      </c>
      <c r="T1181" s="19">
        <v>0</v>
      </c>
      <c r="U1181" s="19">
        <v>2</v>
      </c>
      <c r="V1181" s="19">
        <v>4</v>
      </c>
      <c r="W1181" s="19">
        <v>69.94</v>
      </c>
      <c r="X1181" s="19">
        <v>4</v>
      </c>
      <c r="Y1181" s="20">
        <v>0.0066</v>
      </c>
      <c r="Z1181" s="19">
        <v>1</v>
      </c>
      <c r="AA1181" s="19">
        <v>0</v>
      </c>
      <c r="AB1181" t="str">
        <f>VLOOKUP(E:E,笔记匹配!A:N,3,FALSE)</f>
        <v>包子熟了</v>
      </c>
      <c r="AC1181" t="str">
        <f>VLOOKUP(E:E,笔记匹配!A:N,2,FALSE)</f>
        <v>筋膜枪</v>
      </c>
      <c r="AD1181" t="str">
        <f>VLOOKUP(E:E,笔记匹配!A:N,4,FALSE)</f>
        <v>云麦筋膜枪</v>
      </c>
      <c r="AE1181" t="str">
        <f>VLOOKUP(E:E,笔记匹配!A:N,14,FALSE)</f>
        <v>云麦筋膜枪pb2</v>
      </c>
      <c r="AF1181" t="str">
        <f>VLOOKUP(E:E,笔记匹配!A:N,6,FALSE)</f>
        <v>筋膜枪测评|健身小白如何挑选筋膜枪？</v>
      </c>
    </row>
    <row r="1182" spans="1:32">
      <c r="A1182" s="18" t="s">
        <v>162</v>
      </c>
      <c r="B1182" s="18" t="s">
        <v>1316</v>
      </c>
      <c r="C1182" s="19">
        <v>22072908</v>
      </c>
      <c r="D1182" s="18" t="s">
        <v>196</v>
      </c>
      <c r="E1182" s="18" t="s">
        <v>201</v>
      </c>
      <c r="F1182" s="18" t="s">
        <v>1318</v>
      </c>
      <c r="G1182" s="19">
        <v>5521414</v>
      </c>
      <c r="H1182" s="18" t="s">
        <v>1318</v>
      </c>
      <c r="I1182" s="19">
        <v>4629891</v>
      </c>
      <c r="J1182" s="18" t="s">
        <v>1015</v>
      </c>
      <c r="K1182" s="19">
        <v>54.67</v>
      </c>
      <c r="L1182" s="19">
        <v>3309</v>
      </c>
      <c r="M1182" s="19">
        <v>134</v>
      </c>
      <c r="N1182" s="20">
        <v>0.0405</v>
      </c>
      <c r="O1182" s="19">
        <v>0.41</v>
      </c>
      <c r="P1182" s="19">
        <v>16.52</v>
      </c>
      <c r="Q1182" s="19">
        <v>1</v>
      </c>
      <c r="R1182" s="19">
        <v>0</v>
      </c>
      <c r="S1182" s="19">
        <v>0</v>
      </c>
      <c r="T1182" s="19">
        <v>0</v>
      </c>
      <c r="U1182" s="19">
        <v>0</v>
      </c>
      <c r="V1182" s="19">
        <v>1</v>
      </c>
      <c r="W1182" s="19">
        <v>54.67</v>
      </c>
      <c r="X1182" s="19">
        <v>2</v>
      </c>
      <c r="Y1182" s="20">
        <v>0.0149</v>
      </c>
      <c r="Z1182" s="19">
        <v>0</v>
      </c>
      <c r="AA1182" s="19">
        <v>0</v>
      </c>
      <c r="AB1182" t="str">
        <f>VLOOKUP(E:E,笔记匹配!A:N,3,FALSE)</f>
        <v>包子熟了</v>
      </c>
      <c r="AC1182" t="str">
        <f>VLOOKUP(E:E,笔记匹配!A:N,2,FALSE)</f>
        <v>筋膜枪</v>
      </c>
      <c r="AD1182" t="str">
        <f>VLOOKUP(E:E,笔记匹配!A:N,4,FALSE)</f>
        <v>云麦筋膜枪</v>
      </c>
      <c r="AE1182" t="str">
        <f>VLOOKUP(E:E,笔记匹配!A:N,14,FALSE)</f>
        <v>云麦筋膜枪pb2</v>
      </c>
      <c r="AF1182" t="str">
        <f>VLOOKUP(E:E,笔记匹配!A:N,6,FALSE)</f>
        <v>筋膜枪测评|健身小白如何挑选筋膜枪？</v>
      </c>
    </row>
    <row r="1183" spans="1:32">
      <c r="A1183" s="18" t="s">
        <v>162</v>
      </c>
      <c r="B1183" s="18" t="s">
        <v>1324</v>
      </c>
      <c r="C1183" s="19">
        <v>22438055</v>
      </c>
      <c r="D1183" s="18" t="s">
        <v>196</v>
      </c>
      <c r="E1183" s="18" t="s">
        <v>296</v>
      </c>
      <c r="F1183" s="18" t="s">
        <v>1323</v>
      </c>
      <c r="G1183" s="19">
        <v>5694637</v>
      </c>
      <c r="H1183" s="18" t="s">
        <v>1323</v>
      </c>
      <c r="I1183" s="19">
        <v>4763185</v>
      </c>
      <c r="J1183" s="18" t="s">
        <v>1015</v>
      </c>
      <c r="K1183" s="19">
        <v>406.83</v>
      </c>
      <c r="L1183" s="19">
        <v>18120</v>
      </c>
      <c r="M1183" s="19">
        <v>1009</v>
      </c>
      <c r="N1183" s="20">
        <v>0.0557</v>
      </c>
      <c r="O1183" s="19">
        <v>0.4</v>
      </c>
      <c r="P1183" s="19">
        <v>22.45</v>
      </c>
      <c r="Q1183" s="19">
        <v>17</v>
      </c>
      <c r="R1183" s="19">
        <v>1</v>
      </c>
      <c r="S1183" s="19">
        <v>5</v>
      </c>
      <c r="T1183" s="19">
        <v>2</v>
      </c>
      <c r="U1183" s="19">
        <v>0</v>
      </c>
      <c r="V1183" s="19">
        <v>25</v>
      </c>
      <c r="W1183" s="19">
        <v>16.27</v>
      </c>
      <c r="X1183" s="19">
        <v>38</v>
      </c>
      <c r="Y1183" s="20">
        <v>0.0377</v>
      </c>
      <c r="Z1183" s="19">
        <v>1</v>
      </c>
      <c r="AA1183" s="19">
        <v>2</v>
      </c>
      <c r="AB1183" t="str">
        <f>VLOOKUP(E:E,笔记匹配!A:N,3,FALSE)</f>
        <v>元气芥末酱</v>
      </c>
      <c r="AC1183" t="str">
        <f>VLOOKUP(E:E,笔记匹配!A:N,2,FALSE)</f>
        <v>筋膜枪</v>
      </c>
      <c r="AD1183" t="str">
        <f>VLOOKUP(E:E,笔记匹配!A:N,4,FALSE)</f>
        <v>云麦筋膜枪PB2</v>
      </c>
      <c r="AE1183" t="str">
        <f>VLOOKUP(E:E,笔记匹配!A:N,14,FALSE)</f>
        <v>云麦筋膜枪pb2</v>
      </c>
      <c r="AF1183" t="str">
        <f>VLOOKUP(E:E,笔记匹配!A:N,6,FALSE)</f>
        <v>小腿粗的姐妹信我！肌肉腿就要这样按！</v>
      </c>
    </row>
    <row r="1184" spans="1:32">
      <c r="A1184" s="18" t="s">
        <v>162</v>
      </c>
      <c r="B1184" s="18" t="s">
        <v>1324</v>
      </c>
      <c r="C1184" s="19">
        <v>22438197</v>
      </c>
      <c r="D1184" s="18" t="s">
        <v>196</v>
      </c>
      <c r="E1184" s="18" t="s">
        <v>312</v>
      </c>
      <c r="F1184" s="18" t="s">
        <v>1326</v>
      </c>
      <c r="G1184" s="19">
        <v>5694754</v>
      </c>
      <c r="H1184" s="18" t="s">
        <v>1326</v>
      </c>
      <c r="I1184" s="19">
        <v>4763278</v>
      </c>
      <c r="J1184" s="18" t="s">
        <v>1015</v>
      </c>
      <c r="K1184" s="19">
        <v>0.57</v>
      </c>
      <c r="L1184" s="19">
        <v>42</v>
      </c>
      <c r="M1184" s="19">
        <v>2</v>
      </c>
      <c r="N1184" s="20">
        <v>0.0476</v>
      </c>
      <c r="O1184" s="19">
        <v>0.28</v>
      </c>
      <c r="P1184" s="19">
        <v>13.57</v>
      </c>
      <c r="Q1184" s="19">
        <v>1</v>
      </c>
      <c r="R1184" s="19">
        <v>0</v>
      </c>
      <c r="S1184" s="19">
        <v>0</v>
      </c>
      <c r="T1184" s="19">
        <v>0</v>
      </c>
      <c r="U1184" s="19">
        <v>0</v>
      </c>
      <c r="V1184" s="19">
        <v>1</v>
      </c>
      <c r="W1184" s="19">
        <v>0.57</v>
      </c>
      <c r="X1184" s="19">
        <v>0</v>
      </c>
      <c r="Y1184" s="20">
        <v>0</v>
      </c>
      <c r="Z1184" s="19">
        <v>0</v>
      </c>
      <c r="AA1184" s="19">
        <v>0</v>
      </c>
      <c r="AB1184" t="str">
        <f>VLOOKUP(E:E,笔记匹配!A:N,3,FALSE)</f>
        <v>郝有金</v>
      </c>
      <c r="AC1184" t="str">
        <f>VLOOKUP(E:E,笔记匹配!A:N,2,FALSE)</f>
        <v>筋膜枪</v>
      </c>
      <c r="AD1184" t="str">
        <f>VLOOKUP(E:E,笔记匹配!A:N,4,FALSE)</f>
        <v>云麦cc筋膜枪</v>
      </c>
      <c r="AE1184" t="str">
        <f>VLOOKUP(E:E,笔记匹配!A:N,14,FALSE)</f>
        <v>云麦筋膜枪cc</v>
      </c>
      <c r="AF1184" t="str">
        <f>VLOOKUP(E:E,笔记匹配!A:N,6,FALSE)</f>
        <v>别用错❗️筋膜枪正确使用方法，不同肌肉部位放松大全</v>
      </c>
    </row>
    <row r="1185" spans="1:32">
      <c r="A1185" s="18" t="s">
        <v>162</v>
      </c>
      <c r="B1185" s="18" t="s">
        <v>1324</v>
      </c>
      <c r="C1185" s="19">
        <v>22448358</v>
      </c>
      <c r="D1185" s="18" t="s">
        <v>196</v>
      </c>
      <c r="E1185" s="18" t="s">
        <v>238</v>
      </c>
      <c r="F1185" s="18" t="s">
        <v>1331</v>
      </c>
      <c r="G1185" s="19">
        <v>5699471</v>
      </c>
      <c r="H1185" s="18" t="s">
        <v>1331</v>
      </c>
      <c r="I1185" s="19">
        <v>4766957</v>
      </c>
      <c r="J1185" s="18" t="s">
        <v>1015</v>
      </c>
      <c r="K1185" s="19">
        <v>90.35</v>
      </c>
      <c r="L1185" s="19">
        <v>3442</v>
      </c>
      <c r="M1185" s="19">
        <v>204</v>
      </c>
      <c r="N1185" s="20">
        <v>0.0593</v>
      </c>
      <c r="O1185" s="19">
        <v>0.44</v>
      </c>
      <c r="P1185" s="19">
        <v>26.25</v>
      </c>
      <c r="Q1185" s="19">
        <v>13</v>
      </c>
      <c r="R1185" s="19">
        <v>0</v>
      </c>
      <c r="S1185" s="19">
        <v>22</v>
      </c>
      <c r="T1185" s="19">
        <v>2</v>
      </c>
      <c r="U1185" s="19">
        <v>0</v>
      </c>
      <c r="V1185" s="19">
        <v>37</v>
      </c>
      <c r="W1185" s="19">
        <v>2.44</v>
      </c>
      <c r="X1185" s="19">
        <v>0</v>
      </c>
      <c r="Y1185" s="20">
        <v>0</v>
      </c>
      <c r="Z1185" s="19">
        <v>0</v>
      </c>
      <c r="AA1185" s="19">
        <v>2</v>
      </c>
      <c r="AB1185" t="str">
        <f>VLOOKUP(E:E,笔记匹配!A:N,3,FALSE)</f>
        <v>小岛大瑀</v>
      </c>
      <c r="AC1185" t="str">
        <f>VLOOKUP(E:E,笔记匹配!A:N,2,FALSE)</f>
        <v>体脂秤</v>
      </c>
      <c r="AD1185" t="str">
        <f>VLOOKUP(E:E,笔记匹配!A:N,4,FALSE)</f>
        <v>云麦体脂秤3mini </v>
      </c>
      <c r="AE1185" t="str">
        <f>VLOOKUP(E:E,笔记匹配!A:N,14,FALSE)</f>
        <v>云麦体脂秤3mini</v>
      </c>
      <c r="AF1185" t="str">
        <f>VLOOKUP(E:E,笔记匹配!A:N,6,FALSE)</f>
        <v>这个燃脂舞真的太❗️太❗️太简单了🔥停不下来</v>
      </c>
    </row>
    <row r="1186" spans="1:32">
      <c r="A1186" s="18" t="s">
        <v>162</v>
      </c>
      <c r="B1186" s="18" t="s">
        <v>1338</v>
      </c>
      <c r="C1186" s="19">
        <v>22513708</v>
      </c>
      <c r="D1186" s="18" t="s">
        <v>209</v>
      </c>
      <c r="E1186" s="18" t="s">
        <v>307</v>
      </c>
      <c r="F1186" s="18" t="s">
        <v>1339</v>
      </c>
      <c r="G1186" s="19">
        <v>5731231</v>
      </c>
      <c r="H1186" s="18" t="s">
        <v>1339</v>
      </c>
      <c r="I1186" s="19">
        <v>4791791</v>
      </c>
      <c r="J1186" s="18" t="s">
        <v>1015</v>
      </c>
      <c r="K1186" s="19">
        <v>0</v>
      </c>
      <c r="L1186" s="19">
        <v>0</v>
      </c>
      <c r="M1186" s="19">
        <v>0</v>
      </c>
      <c r="N1186" s="20">
        <v>0</v>
      </c>
      <c r="O1186" s="19">
        <v>0</v>
      </c>
      <c r="P1186" s="19">
        <v>0</v>
      </c>
      <c r="Q1186" s="19">
        <v>0</v>
      </c>
      <c r="R1186" s="19">
        <v>0</v>
      </c>
      <c r="S1186" s="19">
        <v>0</v>
      </c>
      <c r="T1186" s="19">
        <v>0</v>
      </c>
      <c r="U1186" s="19">
        <v>0</v>
      </c>
      <c r="V1186" s="19">
        <v>0</v>
      </c>
      <c r="W1186" s="19">
        <v>0</v>
      </c>
      <c r="X1186" s="19">
        <v>0</v>
      </c>
      <c r="Y1186" s="20">
        <v>0</v>
      </c>
      <c r="Z1186" s="19">
        <v>0</v>
      </c>
      <c r="AA1186" s="19">
        <v>0</v>
      </c>
      <c r="AB1186" t="str">
        <f>VLOOKUP(E:E,笔记匹配!A:N,3,FALSE)</f>
        <v>小甜心</v>
      </c>
      <c r="AC1186" t="str">
        <f>VLOOKUP(E:E,笔记匹配!A:N,2,FALSE)</f>
        <v>体脂秤</v>
      </c>
      <c r="AD1186" t="str">
        <f>VLOOKUP(E:E,笔记匹配!A:N,4,FALSE)</f>
        <v>云麦体脂秤3mini</v>
      </c>
      <c r="AE1186" t="str">
        <f>VLOOKUP(E:E,笔记匹配!A:N,14,FALSE)</f>
        <v>云麦体脂秤3mini</v>
      </c>
      <c r="AF1186" t="str">
        <f>VLOOKUP(E:E,笔记匹配!A:N,6,FALSE)</f>
        <v>宿舍健身‼️美背翘臀这样练⏳真的好绝</v>
      </c>
    </row>
    <row r="1187" spans="1:32">
      <c r="A1187" s="18" t="s">
        <v>162</v>
      </c>
      <c r="B1187" s="18" t="s">
        <v>1338</v>
      </c>
      <c r="C1187" s="19">
        <v>22516134</v>
      </c>
      <c r="D1187" s="18" t="s">
        <v>209</v>
      </c>
      <c r="E1187" s="18" t="s">
        <v>284</v>
      </c>
      <c r="F1187" s="18" t="s">
        <v>1340</v>
      </c>
      <c r="G1187" s="19">
        <v>5732324</v>
      </c>
      <c r="H1187" s="18" t="s">
        <v>1340</v>
      </c>
      <c r="I1187" s="19">
        <v>4792636</v>
      </c>
      <c r="J1187" s="18" t="s">
        <v>1015</v>
      </c>
      <c r="K1187" s="19">
        <v>304.74</v>
      </c>
      <c r="L1187" s="19">
        <v>16238</v>
      </c>
      <c r="M1187" s="19">
        <v>1087</v>
      </c>
      <c r="N1187" s="20">
        <v>0.0669</v>
      </c>
      <c r="O1187" s="19">
        <v>0.28</v>
      </c>
      <c r="P1187" s="19">
        <v>18.77</v>
      </c>
      <c r="Q1187" s="19">
        <v>71</v>
      </c>
      <c r="R1187" s="19">
        <v>0</v>
      </c>
      <c r="S1187" s="19">
        <v>48</v>
      </c>
      <c r="T1187" s="19">
        <v>1</v>
      </c>
      <c r="U1187" s="19">
        <v>1</v>
      </c>
      <c r="V1187" s="19">
        <v>121</v>
      </c>
      <c r="W1187" s="19">
        <v>2.52</v>
      </c>
      <c r="X1187" s="19">
        <v>0</v>
      </c>
      <c r="Y1187" s="20">
        <v>0</v>
      </c>
      <c r="Z1187" s="19">
        <v>0</v>
      </c>
      <c r="AA1187" s="19">
        <v>2</v>
      </c>
      <c r="AB1187" t="str">
        <f>VLOOKUP(E:E,笔记匹配!A:N,3,FALSE)</f>
        <v>周周也是倩倩</v>
      </c>
      <c r="AC1187" t="str">
        <f>VLOOKUP(E:E,笔记匹配!A:N,2,FALSE)</f>
        <v>筋膜枪</v>
      </c>
      <c r="AD1187" t="str">
        <f>VLOOKUP(E:E,笔记匹配!A:N,4,FALSE)</f>
        <v>云麦筋膜枪cc</v>
      </c>
      <c r="AE1187" t="str">
        <f>VLOOKUP(E:E,笔记匹配!A:N,14,FALSE)</f>
        <v>云麦筋膜枪ccgo</v>
      </c>
      <c r="AF1187" t="str">
        <f>VLOOKUP(E:E,笔记匹配!A:N,6,FALSE)</f>
        <v>姐妹们学会这三招，斜方肌想变“厚”都难！！！</v>
      </c>
    </row>
    <row r="1188" spans="1:32">
      <c r="A1188" s="18" t="s">
        <v>162</v>
      </c>
      <c r="B1188" s="18" t="s">
        <v>1338</v>
      </c>
      <c r="C1188" s="19">
        <v>22516377</v>
      </c>
      <c r="D1188" s="18" t="s">
        <v>209</v>
      </c>
      <c r="E1188" s="18" t="s">
        <v>214</v>
      </c>
      <c r="F1188" s="18" t="s">
        <v>1341</v>
      </c>
      <c r="G1188" s="19">
        <v>5732455</v>
      </c>
      <c r="H1188" s="18" t="s">
        <v>1341</v>
      </c>
      <c r="I1188" s="19">
        <v>4792733</v>
      </c>
      <c r="J1188" s="18" t="s">
        <v>1015</v>
      </c>
      <c r="K1188" s="19">
        <v>0.88</v>
      </c>
      <c r="L1188" s="19">
        <v>60</v>
      </c>
      <c r="M1188" s="19">
        <v>5</v>
      </c>
      <c r="N1188" s="20">
        <v>0.0833</v>
      </c>
      <c r="O1188" s="19">
        <v>0.18</v>
      </c>
      <c r="P1188" s="19">
        <v>14.67</v>
      </c>
      <c r="Q1188" s="19">
        <v>0</v>
      </c>
      <c r="R1188" s="19">
        <v>0</v>
      </c>
      <c r="S1188" s="19">
        <v>0</v>
      </c>
      <c r="T1188" s="19">
        <v>0</v>
      </c>
      <c r="U1188" s="19">
        <v>0</v>
      </c>
      <c r="V1188" s="19">
        <v>0</v>
      </c>
      <c r="W1188" s="19">
        <v>0</v>
      </c>
      <c r="X1188" s="19">
        <v>0</v>
      </c>
      <c r="Y1188" s="20">
        <v>0</v>
      </c>
      <c r="Z1188" s="19">
        <v>0</v>
      </c>
      <c r="AA1188" s="19">
        <v>0</v>
      </c>
      <c r="AB1188" t="str">
        <f>VLOOKUP(E:E,笔记匹配!A:N,3,FALSE)</f>
        <v>Zora張張</v>
      </c>
      <c r="AC1188" t="str">
        <f>VLOOKUP(E:E,笔记匹配!A:N,2,FALSE)</f>
        <v>筋膜枪</v>
      </c>
      <c r="AD1188" t="str">
        <f>VLOOKUP(E:E,笔记匹配!A:N,4,FALSE)</f>
        <v>云麦筋膜枪cc</v>
      </c>
      <c r="AE1188" t="str">
        <f>VLOOKUP(E:E,笔记匹配!A:N,14,FALSE)</f>
        <v>云麦筋膜枪ccgo</v>
      </c>
      <c r="AF1188" t="str">
        <f>VLOOKUP(E:E,笔记匹配!A:N,6,FALSE)</f>
        <v>宿舍姐妹花人手一个！这筋膜枪有点东西🧐</v>
      </c>
    </row>
    <row r="1189" spans="1:32">
      <c r="A1189" s="18" t="s">
        <v>162</v>
      </c>
      <c r="B1189" s="18" t="s">
        <v>1342</v>
      </c>
      <c r="C1189" s="19">
        <v>22596197</v>
      </c>
      <c r="D1189" s="18" t="s">
        <v>209</v>
      </c>
      <c r="E1189" s="18" t="s">
        <v>271</v>
      </c>
      <c r="F1189" s="18" t="s">
        <v>1343</v>
      </c>
      <c r="G1189" s="19">
        <v>5771085</v>
      </c>
      <c r="H1189" s="18" t="s">
        <v>1343</v>
      </c>
      <c r="I1189" s="19">
        <v>4823658</v>
      </c>
      <c r="J1189" s="18" t="s">
        <v>1015</v>
      </c>
      <c r="K1189" s="19">
        <v>508.49</v>
      </c>
      <c r="L1189" s="19">
        <v>19338</v>
      </c>
      <c r="M1189" s="19">
        <v>1133</v>
      </c>
      <c r="N1189" s="20">
        <v>0.0586</v>
      </c>
      <c r="O1189" s="19">
        <v>0.45</v>
      </c>
      <c r="P1189" s="19">
        <v>26.29</v>
      </c>
      <c r="Q1189" s="19">
        <v>176</v>
      </c>
      <c r="R1189" s="19">
        <v>0</v>
      </c>
      <c r="S1189" s="19">
        <v>164</v>
      </c>
      <c r="T1189" s="19">
        <v>10</v>
      </c>
      <c r="U1189" s="19">
        <v>3</v>
      </c>
      <c r="V1189" s="19">
        <v>353</v>
      </c>
      <c r="W1189" s="19">
        <v>1.44</v>
      </c>
      <c r="X1189" s="19">
        <v>0</v>
      </c>
      <c r="Y1189" s="20">
        <v>0</v>
      </c>
      <c r="Z1189" s="19">
        <v>0</v>
      </c>
      <c r="AA1189" s="19">
        <v>7</v>
      </c>
      <c r="AB1189" t="str">
        <f>VLOOKUP(E:E,笔记匹配!A:N,3,FALSE)</f>
        <v>爱健身的陈淼淼</v>
      </c>
      <c r="AC1189" t="str">
        <f>VLOOKUP(E:E,笔记匹配!A:N,2,FALSE)</f>
        <v>筋膜枪</v>
      </c>
      <c r="AD1189" t="str">
        <f>VLOOKUP(E:E,笔记匹配!A:N,4,FALSE)</f>
        <v>云麦筋膜枪pb2</v>
      </c>
      <c r="AE1189" t="str">
        <f>VLOOKUP(E:E,笔记匹配!A:N,14,FALSE)</f>
        <v>云麦筋膜枪pb2</v>
      </c>
      <c r="AF1189" t="str">
        <f>VLOOKUP(E:E,笔记匹配!A:N,6,FALSE)</f>
        <v>真的有用‼️小腿外翻改善了，一定要试试❗</v>
      </c>
    </row>
    <row r="1190" spans="1:32">
      <c r="A1190" s="18" t="s">
        <v>163</v>
      </c>
      <c r="B1190" s="18" t="s">
        <v>1267</v>
      </c>
      <c r="C1190" s="19">
        <v>21360243</v>
      </c>
      <c r="D1190" s="18" t="s">
        <v>209</v>
      </c>
      <c r="E1190" s="18" t="s">
        <v>220</v>
      </c>
      <c r="F1190" s="18" t="s">
        <v>1268</v>
      </c>
      <c r="G1190" s="19">
        <v>5192303</v>
      </c>
      <c r="H1190" s="18" t="s">
        <v>1269</v>
      </c>
      <c r="I1190" s="19">
        <v>4379647</v>
      </c>
      <c r="J1190" s="18" t="s">
        <v>1015</v>
      </c>
      <c r="K1190" s="19">
        <v>1017.25</v>
      </c>
      <c r="L1190" s="19">
        <v>77263</v>
      </c>
      <c r="M1190" s="19">
        <v>3122</v>
      </c>
      <c r="N1190" s="20">
        <v>0.0404</v>
      </c>
      <c r="O1190" s="19">
        <v>0.33</v>
      </c>
      <c r="P1190" s="19">
        <v>13.17</v>
      </c>
      <c r="Q1190" s="19">
        <v>136</v>
      </c>
      <c r="R1190" s="19">
        <v>0</v>
      </c>
      <c r="S1190" s="19">
        <v>55</v>
      </c>
      <c r="T1190" s="19">
        <v>0</v>
      </c>
      <c r="U1190" s="19">
        <v>1</v>
      </c>
      <c r="V1190" s="19">
        <v>192</v>
      </c>
      <c r="W1190" s="19">
        <v>5.3</v>
      </c>
      <c r="X1190" s="19">
        <v>0</v>
      </c>
      <c r="Y1190" s="20">
        <v>0</v>
      </c>
      <c r="Z1190" s="19">
        <v>5</v>
      </c>
      <c r="AA1190" s="19">
        <v>3</v>
      </c>
      <c r="AB1190" t="str">
        <f>VLOOKUP(E:E,笔记匹配!A:N,3,FALSE)</f>
        <v>一颗西兰花fa</v>
      </c>
      <c r="AC1190" t="str">
        <f>VLOOKUP(E:E,笔记匹配!A:N,2,FALSE)</f>
        <v>筋膜枪</v>
      </c>
      <c r="AD1190" t="str">
        <f>VLOOKUP(E:E,笔记匹配!A:N,4,FALSE)</f>
        <v>云麦筋膜枪PB2</v>
      </c>
      <c r="AE1190" t="str">
        <f>VLOOKUP(E:E,笔记匹配!A:N,14,FALSE)</f>
        <v>云麦筋膜枪pb2</v>
      </c>
      <c r="AF1190" t="str">
        <f>VLOOKUP(E:E,笔记匹配!A:N,6,FALSE)</f>
        <v>有没有姐妹跟我一样被肌肉腿困扰了好久！</v>
      </c>
    </row>
    <row r="1191" spans="1:32">
      <c r="A1191" s="18" t="s">
        <v>163</v>
      </c>
      <c r="B1191" s="18" t="s">
        <v>1286</v>
      </c>
      <c r="C1191" s="19">
        <v>21600849</v>
      </c>
      <c r="D1191" s="18" t="s">
        <v>209</v>
      </c>
      <c r="E1191" s="18" t="s">
        <v>303</v>
      </c>
      <c r="F1191" s="18" t="s">
        <v>1288</v>
      </c>
      <c r="G1191" s="19">
        <v>5300358</v>
      </c>
      <c r="H1191" s="18" t="s">
        <v>1288</v>
      </c>
      <c r="I1191" s="19">
        <v>4462859</v>
      </c>
      <c r="J1191" s="18" t="s">
        <v>1015</v>
      </c>
      <c r="K1191" s="19">
        <v>0.86</v>
      </c>
      <c r="L1191" s="19">
        <v>63</v>
      </c>
      <c r="M1191" s="19">
        <v>9</v>
      </c>
      <c r="N1191" s="20">
        <v>0.1429</v>
      </c>
      <c r="O1191" s="19">
        <v>0.1</v>
      </c>
      <c r="P1191" s="19">
        <v>13.65</v>
      </c>
      <c r="Q1191" s="19">
        <v>0</v>
      </c>
      <c r="R1191" s="19">
        <v>0</v>
      </c>
      <c r="S1191" s="19">
        <v>0</v>
      </c>
      <c r="T1191" s="19">
        <v>0</v>
      </c>
      <c r="U1191" s="19">
        <v>1</v>
      </c>
      <c r="V1191" s="19">
        <v>1</v>
      </c>
      <c r="W1191" s="19">
        <v>0.86</v>
      </c>
      <c r="X1191" s="19">
        <v>0</v>
      </c>
      <c r="Y1191" s="20">
        <v>0</v>
      </c>
      <c r="Z1191" s="19">
        <v>0</v>
      </c>
      <c r="AA1191" s="19">
        <v>0</v>
      </c>
      <c r="AB1191" t="str">
        <f>VLOOKUP(E:E,笔记匹配!A:N,3,FALSE)</f>
        <v>橘子汽水</v>
      </c>
      <c r="AC1191" t="str">
        <f>VLOOKUP(E:E,笔记匹配!A:N,2,FALSE)</f>
        <v>体脂秤</v>
      </c>
      <c r="AD1191" t="str">
        <f>VLOOKUP(E:E,笔记匹配!A:N,4,FALSE)</f>
        <v>云麦体脂秤3mini</v>
      </c>
      <c r="AE1191" t="str">
        <f>VLOOKUP(E:E,笔记匹配!A:N,14,FALSE)</f>
        <v>云麦体脂秤3mini</v>
      </c>
      <c r="AF1191" t="str">
        <f>VLOOKUP(E:E,笔记匹配!A:N,6,FALSE)</f>
        <v>请一定要相信帕梅拉虐腹，效果是真的🉑❗</v>
      </c>
    </row>
    <row r="1192" spans="1:32">
      <c r="A1192" s="18" t="s">
        <v>163</v>
      </c>
      <c r="B1192" s="18" t="s">
        <v>1294</v>
      </c>
      <c r="C1192" s="19">
        <v>21747929</v>
      </c>
      <c r="D1192" s="18" t="s">
        <v>209</v>
      </c>
      <c r="E1192" s="18" t="s">
        <v>208</v>
      </c>
      <c r="F1192" s="18" t="s">
        <v>1295</v>
      </c>
      <c r="G1192" s="19">
        <v>5366393</v>
      </c>
      <c r="H1192" s="18" t="s">
        <v>1295</v>
      </c>
      <c r="I1192" s="19">
        <v>4512630</v>
      </c>
      <c r="J1192" s="18" t="s">
        <v>1015</v>
      </c>
      <c r="K1192" s="19">
        <v>1466.85</v>
      </c>
      <c r="L1192" s="19">
        <v>87805</v>
      </c>
      <c r="M1192" s="19">
        <v>4923</v>
      </c>
      <c r="N1192" s="20">
        <v>0.0561</v>
      </c>
      <c r="O1192" s="19">
        <v>0.3</v>
      </c>
      <c r="P1192" s="19">
        <v>16.71</v>
      </c>
      <c r="Q1192" s="19">
        <v>137</v>
      </c>
      <c r="R1192" s="19">
        <v>8</v>
      </c>
      <c r="S1192" s="19">
        <v>61</v>
      </c>
      <c r="T1192" s="19">
        <v>1</v>
      </c>
      <c r="U1192" s="19">
        <v>4</v>
      </c>
      <c r="V1192" s="19">
        <v>211</v>
      </c>
      <c r="W1192" s="19">
        <v>6.95</v>
      </c>
      <c r="X1192" s="19">
        <v>0</v>
      </c>
      <c r="Y1192" s="20">
        <v>0</v>
      </c>
      <c r="Z1192" s="19">
        <v>10</v>
      </c>
      <c r="AA1192" s="19">
        <v>5</v>
      </c>
      <c r="AB1192" t="str">
        <f>VLOOKUP(E:E,笔记匹配!A:N,3,FALSE)</f>
        <v>小羊羔崽子</v>
      </c>
      <c r="AC1192" t="str">
        <f>VLOOKUP(E:E,笔记匹配!A:N,2,FALSE)</f>
        <v>筋膜枪</v>
      </c>
      <c r="AD1192" t="str">
        <f>VLOOKUP(E:E,笔记匹配!A:N,4,FALSE)</f>
        <v>云麦筋膜枪PB2</v>
      </c>
      <c r="AE1192" t="str">
        <f>VLOOKUP(E:E,笔记匹配!A:N,14,FALSE)</f>
        <v>云麦筋膜枪pb2</v>
      </c>
      <c r="AF1192" t="str">
        <f>VLOOKUP(E:E,笔记匹配!A:N,6,FALSE)</f>
        <v>用了多年泡沫轴，才知道筋膜枪是真的香！！！</v>
      </c>
    </row>
    <row r="1193" spans="1:32">
      <c r="A1193" s="18" t="s">
        <v>163</v>
      </c>
      <c r="B1193" s="18" t="s">
        <v>1294</v>
      </c>
      <c r="C1193" s="19">
        <v>21747992</v>
      </c>
      <c r="D1193" s="18" t="s">
        <v>209</v>
      </c>
      <c r="E1193" s="18" t="s">
        <v>292</v>
      </c>
      <c r="F1193" s="18" t="s">
        <v>1296</v>
      </c>
      <c r="G1193" s="19">
        <v>5366424</v>
      </c>
      <c r="H1193" s="18" t="s">
        <v>1296</v>
      </c>
      <c r="I1193" s="19">
        <v>4512653</v>
      </c>
      <c r="J1193" s="18" t="s">
        <v>1015</v>
      </c>
      <c r="K1193" s="19">
        <v>0</v>
      </c>
      <c r="L1193" s="19">
        <v>0</v>
      </c>
      <c r="M1193" s="19">
        <v>0</v>
      </c>
      <c r="N1193" s="20">
        <v>0</v>
      </c>
      <c r="O1193" s="19">
        <v>0</v>
      </c>
      <c r="P1193" s="19">
        <v>0</v>
      </c>
      <c r="Q1193" s="19">
        <v>0</v>
      </c>
      <c r="R1193" s="19">
        <v>0</v>
      </c>
      <c r="S1193" s="19">
        <v>0</v>
      </c>
      <c r="T1193" s="19">
        <v>0</v>
      </c>
      <c r="U1193" s="19">
        <v>0</v>
      </c>
      <c r="V1193" s="19">
        <v>0</v>
      </c>
      <c r="W1193" s="19">
        <v>0</v>
      </c>
      <c r="X1193" s="19">
        <v>0</v>
      </c>
      <c r="Y1193" s="20">
        <v>0</v>
      </c>
      <c r="Z1193" s="19">
        <v>0</v>
      </c>
      <c r="AA1193" s="19">
        <v>0</v>
      </c>
      <c r="AB1193" t="str">
        <f>VLOOKUP(E:E,笔记匹配!A:N,3,FALSE)</f>
        <v>形体矫正小李</v>
      </c>
      <c r="AC1193" t="str">
        <f>VLOOKUP(E:E,笔记匹配!A:N,2,FALSE)</f>
        <v>筋膜枪</v>
      </c>
      <c r="AD1193" t="str">
        <f>VLOOKUP(E:E,笔记匹配!A:N,4,FALSE)</f>
        <v>云麦筋膜枪PB2</v>
      </c>
      <c r="AE1193" t="str">
        <f>VLOOKUP(E:E,笔记匹配!A:N,14,FALSE)</f>
        <v>云麦筋膜枪pb2</v>
      </c>
      <c r="AF1193" t="str">
        <f>VLOOKUP(E:E,笔记匹配!A:N,6,FALSE)</f>
        <v>大腿内侧赘肉消失术‼️练出细长漫画腿全靠它</v>
      </c>
    </row>
    <row r="1194" spans="1:32">
      <c r="A1194" s="18" t="s">
        <v>163</v>
      </c>
      <c r="B1194" s="18" t="s">
        <v>1297</v>
      </c>
      <c r="C1194" s="19">
        <v>21881635</v>
      </c>
      <c r="D1194" s="18" t="s">
        <v>196</v>
      </c>
      <c r="E1194" s="18" t="s">
        <v>234</v>
      </c>
      <c r="F1194" s="18" t="s">
        <v>1306</v>
      </c>
      <c r="G1194" s="19">
        <v>5429032</v>
      </c>
      <c r="H1194" s="18" t="s">
        <v>1307</v>
      </c>
      <c r="I1194" s="19">
        <v>4559792</v>
      </c>
      <c r="J1194" s="18" t="s">
        <v>1015</v>
      </c>
      <c r="K1194" s="19">
        <v>0.26</v>
      </c>
      <c r="L1194" s="19">
        <v>4</v>
      </c>
      <c r="M1194" s="19">
        <v>1</v>
      </c>
      <c r="N1194" s="20">
        <v>0.25</v>
      </c>
      <c r="O1194" s="19">
        <v>0.26</v>
      </c>
      <c r="P1194" s="19">
        <v>65</v>
      </c>
      <c r="Q1194" s="19">
        <v>0</v>
      </c>
      <c r="R1194" s="19">
        <v>0</v>
      </c>
      <c r="S1194" s="19">
        <v>0</v>
      </c>
      <c r="T1194" s="19">
        <v>0</v>
      </c>
      <c r="U1194" s="19">
        <v>0</v>
      </c>
      <c r="V1194" s="19">
        <v>0</v>
      </c>
      <c r="W1194" s="19">
        <v>0</v>
      </c>
      <c r="X1194" s="19">
        <v>0</v>
      </c>
      <c r="Y1194" s="20">
        <v>0</v>
      </c>
      <c r="Z1194" s="19">
        <v>0</v>
      </c>
      <c r="AA1194" s="19">
        <v>0</v>
      </c>
      <c r="AB1194" t="str">
        <f>VLOOKUP(E:E,笔记匹配!A:N,3,FALSE)</f>
        <v>pp</v>
      </c>
      <c r="AC1194" t="str">
        <f>VLOOKUP(E:E,笔记匹配!A:N,2,FALSE)</f>
        <v>体脂秤</v>
      </c>
      <c r="AD1194" t="str">
        <f>VLOOKUP(E:E,笔记匹配!A:N,4,FALSE)</f>
        <v>云麦体脂秤3mini</v>
      </c>
      <c r="AE1194" t="str">
        <f>VLOOKUP(E:E,笔记匹配!A:N,14,FALSE)</f>
        <v>云麦体脂秤3mini</v>
      </c>
      <c r="AF1194" t="str">
        <f>VLOOKUP(E:E,笔记匹配!A:N,6,FALSE)</f>
        <v>110到88 一些减肥小建议｜如何正确运动</v>
      </c>
    </row>
    <row r="1195" spans="1:32">
      <c r="A1195" s="18" t="s">
        <v>163</v>
      </c>
      <c r="B1195" s="18" t="s">
        <v>1308</v>
      </c>
      <c r="C1195" s="19">
        <v>21881978</v>
      </c>
      <c r="D1195" s="18" t="s">
        <v>196</v>
      </c>
      <c r="E1195" s="18" t="s">
        <v>234</v>
      </c>
      <c r="F1195" s="18" t="s">
        <v>1309</v>
      </c>
      <c r="G1195" s="19">
        <v>5429663</v>
      </c>
      <c r="H1195" s="18" t="s">
        <v>1310</v>
      </c>
      <c r="I1195" s="19">
        <v>4560362</v>
      </c>
      <c r="J1195" s="18" t="s">
        <v>1015</v>
      </c>
      <c r="K1195" s="19">
        <v>2</v>
      </c>
      <c r="L1195" s="19">
        <v>48</v>
      </c>
      <c r="M1195" s="19">
        <v>3</v>
      </c>
      <c r="N1195" s="20">
        <v>0.0625</v>
      </c>
      <c r="O1195" s="19">
        <v>0.67</v>
      </c>
      <c r="P1195" s="19">
        <v>41.67</v>
      </c>
      <c r="Q1195" s="19">
        <v>0</v>
      </c>
      <c r="R1195" s="19">
        <v>0</v>
      </c>
      <c r="S1195" s="19">
        <v>0</v>
      </c>
      <c r="T1195" s="19">
        <v>0</v>
      </c>
      <c r="U1195" s="19">
        <v>0</v>
      </c>
      <c r="V1195" s="19">
        <v>0</v>
      </c>
      <c r="W1195" s="19">
        <v>0</v>
      </c>
      <c r="X1195" s="19">
        <v>0</v>
      </c>
      <c r="Y1195" s="20">
        <v>0</v>
      </c>
      <c r="Z1195" s="19">
        <v>0</v>
      </c>
      <c r="AA1195" s="19">
        <v>0</v>
      </c>
      <c r="AB1195" t="str">
        <f>VLOOKUP(E:E,笔记匹配!A:N,3,FALSE)</f>
        <v>pp</v>
      </c>
      <c r="AC1195" t="str">
        <f>VLOOKUP(E:E,笔记匹配!A:N,2,FALSE)</f>
        <v>体脂秤</v>
      </c>
      <c r="AD1195" t="str">
        <f>VLOOKUP(E:E,笔记匹配!A:N,4,FALSE)</f>
        <v>云麦体脂秤3mini</v>
      </c>
      <c r="AE1195" t="str">
        <f>VLOOKUP(E:E,笔记匹配!A:N,14,FALSE)</f>
        <v>云麦体脂秤3mini</v>
      </c>
      <c r="AF1195" t="str">
        <f>VLOOKUP(E:E,笔记匹配!A:N,6,FALSE)</f>
        <v>110到88 一些减肥小建议｜如何正确运动</v>
      </c>
    </row>
    <row r="1196" spans="1:32">
      <c r="A1196" s="18" t="s">
        <v>163</v>
      </c>
      <c r="B1196" s="18" t="s">
        <v>1314</v>
      </c>
      <c r="C1196" s="19">
        <v>22072602</v>
      </c>
      <c r="D1196" s="18" t="s">
        <v>209</v>
      </c>
      <c r="E1196" s="18" t="s">
        <v>274</v>
      </c>
      <c r="F1196" s="18" t="s">
        <v>1315</v>
      </c>
      <c r="G1196" s="19">
        <v>5521266</v>
      </c>
      <c r="H1196" s="18" t="s">
        <v>1315</v>
      </c>
      <c r="I1196" s="19">
        <v>4629783</v>
      </c>
      <c r="J1196" s="18" t="s">
        <v>1015</v>
      </c>
      <c r="K1196" s="19">
        <v>1009.12</v>
      </c>
      <c r="L1196" s="19">
        <v>74474</v>
      </c>
      <c r="M1196" s="19">
        <v>4486</v>
      </c>
      <c r="N1196" s="20">
        <v>0.0602</v>
      </c>
      <c r="O1196" s="19">
        <v>0.22</v>
      </c>
      <c r="P1196" s="19">
        <v>13.55</v>
      </c>
      <c r="Q1196" s="19">
        <v>100</v>
      </c>
      <c r="R1196" s="19">
        <v>7</v>
      </c>
      <c r="S1196" s="19">
        <v>28</v>
      </c>
      <c r="T1196" s="19">
        <v>0</v>
      </c>
      <c r="U1196" s="19">
        <v>14</v>
      </c>
      <c r="V1196" s="19">
        <v>149</v>
      </c>
      <c r="W1196" s="19">
        <v>6.77</v>
      </c>
      <c r="X1196" s="19">
        <v>0</v>
      </c>
      <c r="Y1196" s="20">
        <v>0</v>
      </c>
      <c r="Z1196" s="19">
        <v>6</v>
      </c>
      <c r="AA1196" s="19">
        <v>4</v>
      </c>
      <c r="AB1196" t="str">
        <f>VLOOKUP(E:E,笔记匹配!A:N,3,FALSE)</f>
        <v>西米是个小可爱</v>
      </c>
      <c r="AC1196" t="str">
        <f>VLOOKUP(E:E,笔记匹配!A:N,2,FALSE)</f>
        <v>筋膜枪</v>
      </c>
      <c r="AD1196" t="str">
        <f>VLOOKUP(E:E,笔记匹配!A:N,4,FALSE)</f>
        <v>云麦筋膜枪PB2</v>
      </c>
      <c r="AE1196" t="str">
        <f>VLOOKUP(E:E,笔记匹配!A:N,14,FALSE)</f>
        <v>云麦筋膜枪pb2</v>
      </c>
      <c r="AF1196" t="str">
        <f>VLOOKUP(E:E,笔记匹配!A:N,6,FALSE)</f>
        <v>筋膜枪千万不能乱用！正确肩颈使用方法</v>
      </c>
    </row>
    <row r="1197" spans="1:32">
      <c r="A1197" s="18" t="s">
        <v>163</v>
      </c>
      <c r="B1197" s="18" t="s">
        <v>1316</v>
      </c>
      <c r="C1197" s="19">
        <v>22072814</v>
      </c>
      <c r="D1197" s="18" t="s">
        <v>196</v>
      </c>
      <c r="E1197" s="18" t="s">
        <v>201</v>
      </c>
      <c r="F1197" s="18" t="s">
        <v>1317</v>
      </c>
      <c r="G1197" s="19">
        <v>5521358</v>
      </c>
      <c r="H1197" s="18" t="s">
        <v>1317</v>
      </c>
      <c r="I1197" s="19">
        <v>4629845</v>
      </c>
      <c r="J1197" s="18" t="s">
        <v>1015</v>
      </c>
      <c r="K1197" s="19">
        <v>100.84</v>
      </c>
      <c r="L1197" s="19">
        <v>1525</v>
      </c>
      <c r="M1197" s="19">
        <v>223</v>
      </c>
      <c r="N1197" s="20">
        <v>0.1462</v>
      </c>
      <c r="O1197" s="19">
        <v>0.45</v>
      </c>
      <c r="P1197" s="19">
        <v>66.12</v>
      </c>
      <c r="Q1197" s="19">
        <v>2</v>
      </c>
      <c r="R1197" s="19">
        <v>0</v>
      </c>
      <c r="S1197" s="19">
        <v>0</v>
      </c>
      <c r="T1197" s="19">
        <v>0</v>
      </c>
      <c r="U1197" s="19">
        <v>2</v>
      </c>
      <c r="V1197" s="19">
        <v>4</v>
      </c>
      <c r="W1197" s="19">
        <v>25.21</v>
      </c>
      <c r="X1197" s="19">
        <v>2</v>
      </c>
      <c r="Y1197" s="20">
        <v>0.009</v>
      </c>
      <c r="Z1197" s="19">
        <v>3</v>
      </c>
      <c r="AA1197" s="19">
        <v>0</v>
      </c>
      <c r="AB1197" t="str">
        <f>VLOOKUP(E:E,笔记匹配!A:N,3,FALSE)</f>
        <v>包子熟了</v>
      </c>
      <c r="AC1197" t="str">
        <f>VLOOKUP(E:E,笔记匹配!A:N,2,FALSE)</f>
        <v>筋膜枪</v>
      </c>
      <c r="AD1197" t="str">
        <f>VLOOKUP(E:E,笔记匹配!A:N,4,FALSE)</f>
        <v>云麦筋膜枪</v>
      </c>
      <c r="AE1197" t="str">
        <f>VLOOKUP(E:E,笔记匹配!A:N,14,FALSE)</f>
        <v>云麦筋膜枪pb2</v>
      </c>
      <c r="AF1197" t="str">
        <f>VLOOKUP(E:E,笔记匹配!A:N,6,FALSE)</f>
        <v>筋膜枪测评|健身小白如何挑选筋膜枪？</v>
      </c>
    </row>
    <row r="1198" spans="1:32">
      <c r="A1198" s="18" t="s">
        <v>163</v>
      </c>
      <c r="B1198" s="18" t="s">
        <v>1316</v>
      </c>
      <c r="C1198" s="19">
        <v>22072908</v>
      </c>
      <c r="D1198" s="18" t="s">
        <v>196</v>
      </c>
      <c r="E1198" s="18" t="s">
        <v>201</v>
      </c>
      <c r="F1198" s="18" t="s">
        <v>1318</v>
      </c>
      <c r="G1198" s="19">
        <v>5521414</v>
      </c>
      <c r="H1198" s="18" t="s">
        <v>1318</v>
      </c>
      <c r="I1198" s="19">
        <v>4629891</v>
      </c>
      <c r="J1198" s="18" t="s">
        <v>1015</v>
      </c>
      <c r="K1198" s="19">
        <v>101.38</v>
      </c>
      <c r="L1198" s="19">
        <v>5118</v>
      </c>
      <c r="M1198" s="19">
        <v>272</v>
      </c>
      <c r="N1198" s="20">
        <v>0.0531</v>
      </c>
      <c r="O1198" s="19">
        <v>0.37</v>
      </c>
      <c r="P1198" s="19">
        <v>19.81</v>
      </c>
      <c r="Q1198" s="19">
        <v>2</v>
      </c>
      <c r="R1198" s="19">
        <v>1</v>
      </c>
      <c r="S1198" s="19">
        <v>2</v>
      </c>
      <c r="T1198" s="19">
        <v>0</v>
      </c>
      <c r="U1198" s="19">
        <v>0</v>
      </c>
      <c r="V1198" s="19">
        <v>5</v>
      </c>
      <c r="W1198" s="19">
        <v>20.28</v>
      </c>
      <c r="X1198" s="19">
        <v>0</v>
      </c>
      <c r="Y1198" s="20">
        <v>0</v>
      </c>
      <c r="Z1198" s="19">
        <v>0</v>
      </c>
      <c r="AA1198" s="19">
        <v>0</v>
      </c>
      <c r="AB1198" t="str">
        <f>VLOOKUP(E:E,笔记匹配!A:N,3,FALSE)</f>
        <v>包子熟了</v>
      </c>
      <c r="AC1198" t="str">
        <f>VLOOKUP(E:E,笔记匹配!A:N,2,FALSE)</f>
        <v>筋膜枪</v>
      </c>
      <c r="AD1198" t="str">
        <f>VLOOKUP(E:E,笔记匹配!A:N,4,FALSE)</f>
        <v>云麦筋膜枪</v>
      </c>
      <c r="AE1198" t="str">
        <f>VLOOKUP(E:E,笔记匹配!A:N,14,FALSE)</f>
        <v>云麦筋膜枪pb2</v>
      </c>
      <c r="AF1198" t="str">
        <f>VLOOKUP(E:E,笔记匹配!A:N,6,FALSE)</f>
        <v>筋膜枪测评|健身小白如何挑选筋膜枪？</v>
      </c>
    </row>
    <row r="1199" spans="1:32">
      <c r="A1199" s="18" t="s">
        <v>163</v>
      </c>
      <c r="B1199" s="18" t="s">
        <v>1324</v>
      </c>
      <c r="C1199" s="19">
        <v>22438055</v>
      </c>
      <c r="D1199" s="18" t="s">
        <v>196</v>
      </c>
      <c r="E1199" s="18" t="s">
        <v>296</v>
      </c>
      <c r="F1199" s="18" t="s">
        <v>1323</v>
      </c>
      <c r="G1199" s="19">
        <v>5694637</v>
      </c>
      <c r="H1199" s="18" t="s">
        <v>1323</v>
      </c>
      <c r="I1199" s="19">
        <v>4763185</v>
      </c>
      <c r="J1199" s="18" t="s">
        <v>1015</v>
      </c>
      <c r="K1199" s="19">
        <v>395.47</v>
      </c>
      <c r="L1199" s="19">
        <v>19077</v>
      </c>
      <c r="M1199" s="19">
        <v>979</v>
      </c>
      <c r="N1199" s="20">
        <v>0.0513</v>
      </c>
      <c r="O1199" s="19">
        <v>0.4</v>
      </c>
      <c r="P1199" s="19">
        <v>20.73</v>
      </c>
      <c r="Q1199" s="19">
        <v>20</v>
      </c>
      <c r="R1199" s="19">
        <v>1</v>
      </c>
      <c r="S1199" s="19">
        <v>9</v>
      </c>
      <c r="T1199" s="19">
        <v>0</v>
      </c>
      <c r="U1199" s="19">
        <v>2</v>
      </c>
      <c r="V1199" s="19">
        <v>32</v>
      </c>
      <c r="W1199" s="19">
        <v>12.36</v>
      </c>
      <c r="X1199" s="19">
        <v>25</v>
      </c>
      <c r="Y1199" s="20">
        <v>0.0255</v>
      </c>
      <c r="Z1199" s="19">
        <v>5</v>
      </c>
      <c r="AA1199" s="19">
        <v>4</v>
      </c>
      <c r="AB1199" t="str">
        <f>VLOOKUP(E:E,笔记匹配!A:N,3,FALSE)</f>
        <v>元气芥末酱</v>
      </c>
      <c r="AC1199" t="str">
        <f>VLOOKUP(E:E,笔记匹配!A:N,2,FALSE)</f>
        <v>筋膜枪</v>
      </c>
      <c r="AD1199" t="str">
        <f>VLOOKUP(E:E,笔记匹配!A:N,4,FALSE)</f>
        <v>云麦筋膜枪PB2</v>
      </c>
      <c r="AE1199" t="str">
        <f>VLOOKUP(E:E,笔记匹配!A:N,14,FALSE)</f>
        <v>云麦筋膜枪pb2</v>
      </c>
      <c r="AF1199" t="str">
        <f>VLOOKUP(E:E,笔记匹配!A:N,6,FALSE)</f>
        <v>小腿粗的姐妹信我！肌肉腿就要这样按！</v>
      </c>
    </row>
    <row r="1200" spans="1:32">
      <c r="A1200" s="18" t="s">
        <v>163</v>
      </c>
      <c r="B1200" s="18" t="s">
        <v>1324</v>
      </c>
      <c r="C1200" s="19">
        <v>22448358</v>
      </c>
      <c r="D1200" s="18" t="s">
        <v>196</v>
      </c>
      <c r="E1200" s="18" t="s">
        <v>238</v>
      </c>
      <c r="F1200" s="18" t="s">
        <v>1331</v>
      </c>
      <c r="G1200" s="19">
        <v>5699471</v>
      </c>
      <c r="H1200" s="18" t="s">
        <v>1331</v>
      </c>
      <c r="I1200" s="19">
        <v>4766957</v>
      </c>
      <c r="J1200" s="18" t="s">
        <v>1015</v>
      </c>
      <c r="K1200" s="19">
        <v>235.79</v>
      </c>
      <c r="L1200" s="19">
        <v>5868</v>
      </c>
      <c r="M1200" s="19">
        <v>505</v>
      </c>
      <c r="N1200" s="20">
        <v>0.0861</v>
      </c>
      <c r="O1200" s="19">
        <v>0.47</v>
      </c>
      <c r="P1200" s="19">
        <v>40.18</v>
      </c>
      <c r="Q1200" s="19">
        <v>47</v>
      </c>
      <c r="R1200" s="19">
        <v>0</v>
      </c>
      <c r="S1200" s="19">
        <v>34</v>
      </c>
      <c r="T1200" s="19">
        <v>14</v>
      </c>
      <c r="U1200" s="19">
        <v>2</v>
      </c>
      <c r="V1200" s="19">
        <v>97</v>
      </c>
      <c r="W1200" s="19">
        <v>2.43</v>
      </c>
      <c r="X1200" s="19">
        <v>0</v>
      </c>
      <c r="Y1200" s="20">
        <v>0</v>
      </c>
      <c r="Z1200" s="19">
        <v>0</v>
      </c>
      <c r="AA1200" s="19">
        <v>5</v>
      </c>
      <c r="AB1200" t="str">
        <f>VLOOKUP(E:E,笔记匹配!A:N,3,FALSE)</f>
        <v>小岛大瑀</v>
      </c>
      <c r="AC1200" t="str">
        <f>VLOOKUP(E:E,笔记匹配!A:N,2,FALSE)</f>
        <v>体脂秤</v>
      </c>
      <c r="AD1200" t="str">
        <f>VLOOKUP(E:E,笔记匹配!A:N,4,FALSE)</f>
        <v>云麦体脂秤3mini </v>
      </c>
      <c r="AE1200" t="str">
        <f>VLOOKUP(E:E,笔记匹配!A:N,14,FALSE)</f>
        <v>云麦体脂秤3mini</v>
      </c>
      <c r="AF1200" t="str">
        <f>VLOOKUP(E:E,笔记匹配!A:N,6,FALSE)</f>
        <v>这个燃脂舞真的太❗️太❗️太简单了🔥停不下来</v>
      </c>
    </row>
    <row r="1201" spans="1:32">
      <c r="A1201" s="18" t="s">
        <v>163</v>
      </c>
      <c r="B1201" s="18" t="s">
        <v>1338</v>
      </c>
      <c r="C1201" s="19">
        <v>22513708</v>
      </c>
      <c r="D1201" s="18" t="s">
        <v>209</v>
      </c>
      <c r="E1201" s="18" t="s">
        <v>307</v>
      </c>
      <c r="F1201" s="18" t="s">
        <v>1339</v>
      </c>
      <c r="G1201" s="19">
        <v>5731231</v>
      </c>
      <c r="H1201" s="18" t="s">
        <v>1339</v>
      </c>
      <c r="I1201" s="19">
        <v>4791791</v>
      </c>
      <c r="J1201" s="18" t="s">
        <v>1015</v>
      </c>
      <c r="K1201" s="19">
        <v>0</v>
      </c>
      <c r="L1201" s="19">
        <v>0</v>
      </c>
      <c r="M1201" s="19">
        <v>0</v>
      </c>
      <c r="N1201" s="20">
        <v>0</v>
      </c>
      <c r="O1201" s="19">
        <v>0</v>
      </c>
      <c r="P1201" s="19">
        <v>0</v>
      </c>
      <c r="Q1201" s="19">
        <v>0</v>
      </c>
      <c r="R1201" s="19">
        <v>0</v>
      </c>
      <c r="S1201" s="19">
        <v>0</v>
      </c>
      <c r="T1201" s="19">
        <v>0</v>
      </c>
      <c r="U1201" s="19">
        <v>0</v>
      </c>
      <c r="V1201" s="19">
        <v>0</v>
      </c>
      <c r="W1201" s="19">
        <v>0</v>
      </c>
      <c r="X1201" s="19">
        <v>0</v>
      </c>
      <c r="Y1201" s="20">
        <v>0</v>
      </c>
      <c r="Z1201" s="19">
        <v>0</v>
      </c>
      <c r="AA1201" s="19">
        <v>0</v>
      </c>
      <c r="AB1201" t="str">
        <f>VLOOKUP(E:E,笔记匹配!A:N,3,FALSE)</f>
        <v>小甜心</v>
      </c>
      <c r="AC1201" t="str">
        <f>VLOOKUP(E:E,笔记匹配!A:N,2,FALSE)</f>
        <v>体脂秤</v>
      </c>
      <c r="AD1201" t="str">
        <f>VLOOKUP(E:E,笔记匹配!A:N,4,FALSE)</f>
        <v>云麦体脂秤3mini</v>
      </c>
      <c r="AE1201" t="str">
        <f>VLOOKUP(E:E,笔记匹配!A:N,14,FALSE)</f>
        <v>云麦体脂秤3mini</v>
      </c>
      <c r="AF1201" t="str">
        <f>VLOOKUP(E:E,笔记匹配!A:N,6,FALSE)</f>
        <v>宿舍健身‼️美背翘臀这样练⏳真的好绝</v>
      </c>
    </row>
    <row r="1202" spans="1:32">
      <c r="A1202" s="18" t="s">
        <v>163</v>
      </c>
      <c r="B1202" s="18" t="s">
        <v>1338</v>
      </c>
      <c r="C1202" s="19">
        <v>22516134</v>
      </c>
      <c r="D1202" s="18" t="s">
        <v>209</v>
      </c>
      <c r="E1202" s="18" t="s">
        <v>284</v>
      </c>
      <c r="F1202" s="18" t="s">
        <v>1340</v>
      </c>
      <c r="G1202" s="19">
        <v>5732324</v>
      </c>
      <c r="H1202" s="18" t="s">
        <v>1340</v>
      </c>
      <c r="I1202" s="19">
        <v>4792636</v>
      </c>
      <c r="J1202" s="18" t="s">
        <v>1015</v>
      </c>
      <c r="K1202" s="19">
        <v>0</v>
      </c>
      <c r="L1202" s="19">
        <v>0</v>
      </c>
      <c r="M1202" s="19">
        <v>0</v>
      </c>
      <c r="N1202" s="20">
        <v>0</v>
      </c>
      <c r="O1202" s="19">
        <v>0</v>
      </c>
      <c r="P1202" s="19">
        <v>0</v>
      </c>
      <c r="Q1202" s="19">
        <v>0</v>
      </c>
      <c r="R1202" s="19">
        <v>0</v>
      </c>
      <c r="S1202" s="19">
        <v>0</v>
      </c>
      <c r="T1202" s="19">
        <v>0</v>
      </c>
      <c r="U1202" s="19">
        <v>0</v>
      </c>
      <c r="V1202" s="19">
        <v>0</v>
      </c>
      <c r="W1202" s="19">
        <v>0</v>
      </c>
      <c r="X1202" s="19">
        <v>0</v>
      </c>
      <c r="Y1202" s="20">
        <v>0</v>
      </c>
      <c r="Z1202" s="19">
        <v>0</v>
      </c>
      <c r="AA1202" s="19">
        <v>0</v>
      </c>
      <c r="AB1202" t="str">
        <f>VLOOKUP(E:E,笔记匹配!A:N,3,FALSE)</f>
        <v>周周也是倩倩</v>
      </c>
      <c r="AC1202" t="str">
        <f>VLOOKUP(E:E,笔记匹配!A:N,2,FALSE)</f>
        <v>筋膜枪</v>
      </c>
      <c r="AD1202" t="str">
        <f>VLOOKUP(E:E,笔记匹配!A:N,4,FALSE)</f>
        <v>云麦筋膜枪cc</v>
      </c>
      <c r="AE1202" t="str">
        <f>VLOOKUP(E:E,笔记匹配!A:N,14,FALSE)</f>
        <v>云麦筋膜枪ccgo</v>
      </c>
      <c r="AF1202" t="str">
        <f>VLOOKUP(E:E,笔记匹配!A:N,6,FALSE)</f>
        <v>姐妹们学会这三招，斜方肌想变“厚”都难！！！</v>
      </c>
    </row>
    <row r="1203" spans="1:32">
      <c r="A1203" s="18" t="s">
        <v>163</v>
      </c>
      <c r="B1203" s="18" t="s">
        <v>1342</v>
      </c>
      <c r="C1203" s="19">
        <v>22596197</v>
      </c>
      <c r="D1203" s="18" t="s">
        <v>209</v>
      </c>
      <c r="E1203" s="18" t="s">
        <v>271</v>
      </c>
      <c r="F1203" s="18" t="s">
        <v>1343</v>
      </c>
      <c r="G1203" s="19">
        <v>5771085</v>
      </c>
      <c r="H1203" s="18" t="s">
        <v>1343</v>
      </c>
      <c r="I1203" s="19">
        <v>4823658</v>
      </c>
      <c r="J1203" s="18" t="s">
        <v>1015</v>
      </c>
      <c r="K1203" s="19">
        <v>479.93</v>
      </c>
      <c r="L1203" s="19">
        <v>29076</v>
      </c>
      <c r="M1203" s="19">
        <v>1813</v>
      </c>
      <c r="N1203" s="20">
        <v>0.0624</v>
      </c>
      <c r="O1203" s="19">
        <v>0.26</v>
      </c>
      <c r="P1203" s="19">
        <v>16.51</v>
      </c>
      <c r="Q1203" s="19">
        <v>135</v>
      </c>
      <c r="R1203" s="19">
        <v>3</v>
      </c>
      <c r="S1203" s="19">
        <v>163</v>
      </c>
      <c r="T1203" s="19">
        <v>13</v>
      </c>
      <c r="U1203" s="19">
        <v>7</v>
      </c>
      <c r="V1203" s="19">
        <v>321</v>
      </c>
      <c r="W1203" s="19">
        <v>1.5</v>
      </c>
      <c r="X1203" s="19">
        <v>0</v>
      </c>
      <c r="Y1203" s="20">
        <v>0</v>
      </c>
      <c r="Z1203" s="19">
        <v>1</v>
      </c>
      <c r="AA1203" s="19">
        <v>13</v>
      </c>
      <c r="AB1203" t="str">
        <f>VLOOKUP(E:E,笔记匹配!A:N,3,FALSE)</f>
        <v>爱健身的陈淼淼</v>
      </c>
      <c r="AC1203" t="str">
        <f>VLOOKUP(E:E,笔记匹配!A:N,2,FALSE)</f>
        <v>筋膜枪</v>
      </c>
      <c r="AD1203" t="str">
        <f>VLOOKUP(E:E,笔记匹配!A:N,4,FALSE)</f>
        <v>云麦筋膜枪pb2</v>
      </c>
      <c r="AE1203" t="str">
        <f>VLOOKUP(E:E,笔记匹配!A:N,14,FALSE)</f>
        <v>云麦筋膜枪pb2</v>
      </c>
      <c r="AF1203" t="str">
        <f>VLOOKUP(E:E,笔记匹配!A:N,6,FALSE)</f>
        <v>真的有用‼️小腿外翻改善了，一定要试试❗</v>
      </c>
    </row>
    <row r="1204" spans="1:32">
      <c r="A1204" s="18" t="s">
        <v>163</v>
      </c>
      <c r="B1204" s="18" t="s">
        <v>1344</v>
      </c>
      <c r="C1204" s="19">
        <v>22675609</v>
      </c>
      <c r="D1204" s="18" t="s">
        <v>209</v>
      </c>
      <c r="E1204" s="18" t="s">
        <v>267</v>
      </c>
      <c r="F1204" s="18" t="s">
        <v>1345</v>
      </c>
      <c r="G1204" s="19">
        <v>5809017</v>
      </c>
      <c r="H1204" s="18" t="s">
        <v>1345</v>
      </c>
      <c r="I1204" s="19">
        <v>4853063</v>
      </c>
      <c r="J1204" s="18" t="s">
        <v>1015</v>
      </c>
      <c r="K1204" s="19">
        <v>311.46</v>
      </c>
      <c r="L1204" s="19">
        <v>26786</v>
      </c>
      <c r="M1204" s="19">
        <v>3089</v>
      </c>
      <c r="N1204" s="20">
        <v>0.1153</v>
      </c>
      <c r="O1204" s="19">
        <v>0.1</v>
      </c>
      <c r="P1204" s="19">
        <v>11.63</v>
      </c>
      <c r="Q1204" s="19">
        <v>14</v>
      </c>
      <c r="R1204" s="19">
        <v>0</v>
      </c>
      <c r="S1204" s="19">
        <v>4</v>
      </c>
      <c r="T1204" s="19">
        <v>4</v>
      </c>
      <c r="U1204" s="19">
        <v>1</v>
      </c>
      <c r="V1204" s="19">
        <v>23</v>
      </c>
      <c r="W1204" s="19">
        <v>13.54</v>
      </c>
      <c r="X1204" s="19">
        <v>0</v>
      </c>
      <c r="Y1204" s="20">
        <v>0</v>
      </c>
      <c r="Z1204" s="19">
        <v>4</v>
      </c>
      <c r="AA1204" s="19">
        <v>3</v>
      </c>
      <c r="AB1204" t="str">
        <f>VLOOKUP(E:E,笔记匹配!A:N,3,FALSE)</f>
        <v>晚一子</v>
      </c>
      <c r="AC1204" t="str">
        <f>VLOOKUP(E:E,笔记匹配!A:N,2,FALSE)</f>
        <v>体脂秤</v>
      </c>
      <c r="AD1204" t="str">
        <f>VLOOKUP(E:E,笔记匹配!A:N,4,FALSE)</f>
        <v>云麦体脂秤3mini</v>
      </c>
      <c r="AE1204" t="str">
        <f>VLOOKUP(E:E,笔记匹配!A:N,14,FALSE)</f>
        <v>云麦体脂秤3mini</v>
      </c>
      <c r="AF1204" t="str">
        <f>VLOOKUP(E:E,笔记匹配!A:N,6,FALSE)</f>
        <v>120瘦到78斤｜小基数减脂心得分享</v>
      </c>
    </row>
    <row r="1205" spans="1:32">
      <c r="A1205" s="18" t="s">
        <v>164</v>
      </c>
      <c r="B1205" s="18" t="s">
        <v>1229</v>
      </c>
      <c r="C1205" s="19">
        <v>19752470</v>
      </c>
      <c r="D1205" s="18" t="s">
        <v>209</v>
      </c>
      <c r="E1205" s="18" t="s">
        <v>300</v>
      </c>
      <c r="F1205" s="18" t="s">
        <v>1230</v>
      </c>
      <c r="G1205" s="19">
        <v>4384092</v>
      </c>
      <c r="H1205" s="18" t="s">
        <v>1230</v>
      </c>
      <c r="I1205" s="19">
        <v>3756475</v>
      </c>
      <c r="J1205" s="18" t="s">
        <v>1015</v>
      </c>
      <c r="K1205" s="19">
        <v>0</v>
      </c>
      <c r="L1205" s="19">
        <v>0</v>
      </c>
      <c r="M1205" s="19">
        <v>0</v>
      </c>
      <c r="N1205" s="20">
        <v>0</v>
      </c>
      <c r="O1205" s="19">
        <v>0</v>
      </c>
      <c r="P1205" s="19">
        <v>0</v>
      </c>
      <c r="Q1205" s="19">
        <v>0</v>
      </c>
      <c r="R1205" s="19">
        <v>0</v>
      </c>
      <c r="S1205" s="19">
        <v>0</v>
      </c>
      <c r="T1205" s="19">
        <v>0</v>
      </c>
      <c r="U1205" s="19">
        <v>0</v>
      </c>
      <c r="V1205" s="19">
        <v>0</v>
      </c>
      <c r="W1205" s="19">
        <v>0</v>
      </c>
      <c r="X1205" s="19">
        <v>0</v>
      </c>
      <c r="Y1205" s="20">
        <v>0</v>
      </c>
      <c r="Z1205" s="19">
        <v>0</v>
      </c>
      <c r="AA1205" s="19">
        <v>0</v>
      </c>
      <c r="AB1205" t="str">
        <f>VLOOKUP(E:E,笔记匹配!A:N,3,FALSE)</f>
        <v>朱俊畅</v>
      </c>
      <c r="AC1205" t="str">
        <f>VLOOKUP(E:E,笔记匹配!A:N,2,FALSE)</f>
        <v>筋膜枪</v>
      </c>
      <c r="AD1205" t="str">
        <f>VLOOKUP(E:E,笔记匹配!A:N,4,FALSE)</f>
        <v>云麦筋膜枪PB2</v>
      </c>
      <c r="AE1205" t="str">
        <f>VLOOKUP(E:E,笔记匹配!A:N,14,FALSE)</f>
        <v>云麦筋膜枪pb2</v>
      </c>
      <c r="AF1205" t="str">
        <f>VLOOKUP(E:E,笔记匹配!A:N,6,FALSE)</f>
        <v>打球完容易肌肉酸痛，筋膜枪放松更有效！</v>
      </c>
    </row>
    <row r="1206" spans="1:32">
      <c r="A1206" s="18" t="s">
        <v>164</v>
      </c>
      <c r="B1206" s="18" t="s">
        <v>1267</v>
      </c>
      <c r="C1206" s="19">
        <v>21360243</v>
      </c>
      <c r="D1206" s="18" t="s">
        <v>209</v>
      </c>
      <c r="E1206" s="18" t="s">
        <v>220</v>
      </c>
      <c r="F1206" s="18" t="s">
        <v>1268</v>
      </c>
      <c r="G1206" s="19">
        <v>5192303</v>
      </c>
      <c r="H1206" s="18" t="s">
        <v>1269</v>
      </c>
      <c r="I1206" s="19">
        <v>4379647</v>
      </c>
      <c r="J1206" s="18" t="s">
        <v>1015</v>
      </c>
      <c r="K1206" s="19">
        <v>0.4</v>
      </c>
      <c r="L1206" s="19">
        <v>97</v>
      </c>
      <c r="M1206" s="19">
        <v>2</v>
      </c>
      <c r="N1206" s="20">
        <v>0.0206</v>
      </c>
      <c r="O1206" s="19">
        <v>0.2</v>
      </c>
      <c r="P1206" s="19">
        <v>4.12</v>
      </c>
      <c r="Q1206" s="19">
        <v>0</v>
      </c>
      <c r="R1206" s="19">
        <v>0</v>
      </c>
      <c r="S1206" s="19">
        <v>0</v>
      </c>
      <c r="T1206" s="19">
        <v>0</v>
      </c>
      <c r="U1206" s="19">
        <v>0</v>
      </c>
      <c r="V1206" s="19">
        <v>0</v>
      </c>
      <c r="W1206" s="19">
        <v>0</v>
      </c>
      <c r="X1206" s="19">
        <v>0</v>
      </c>
      <c r="Y1206" s="20">
        <v>0</v>
      </c>
      <c r="Z1206" s="19">
        <v>0</v>
      </c>
      <c r="AA1206" s="19">
        <v>0</v>
      </c>
      <c r="AB1206" t="str">
        <f>VLOOKUP(E:E,笔记匹配!A:N,3,FALSE)</f>
        <v>一颗西兰花fa</v>
      </c>
      <c r="AC1206" t="str">
        <f>VLOOKUP(E:E,笔记匹配!A:N,2,FALSE)</f>
        <v>筋膜枪</v>
      </c>
      <c r="AD1206" t="str">
        <f>VLOOKUP(E:E,笔记匹配!A:N,4,FALSE)</f>
        <v>云麦筋膜枪PB2</v>
      </c>
      <c r="AE1206" t="str">
        <f>VLOOKUP(E:E,笔记匹配!A:N,14,FALSE)</f>
        <v>云麦筋膜枪pb2</v>
      </c>
      <c r="AF1206" t="str">
        <f>VLOOKUP(E:E,笔记匹配!A:N,6,FALSE)</f>
        <v>有没有姐妹跟我一样被肌肉腿困扰了好久！</v>
      </c>
    </row>
    <row r="1207" spans="1:32">
      <c r="A1207" s="18" t="s">
        <v>164</v>
      </c>
      <c r="B1207" s="18" t="s">
        <v>1286</v>
      </c>
      <c r="C1207" s="19">
        <v>21600849</v>
      </c>
      <c r="D1207" s="18" t="s">
        <v>209</v>
      </c>
      <c r="E1207" s="18" t="s">
        <v>303</v>
      </c>
      <c r="F1207" s="18" t="s">
        <v>1288</v>
      </c>
      <c r="G1207" s="19">
        <v>5300358</v>
      </c>
      <c r="H1207" s="18" t="s">
        <v>1288</v>
      </c>
      <c r="I1207" s="19">
        <v>4462859</v>
      </c>
      <c r="J1207" s="18" t="s">
        <v>1015</v>
      </c>
      <c r="K1207" s="19">
        <v>0</v>
      </c>
      <c r="L1207" s="19">
        <v>0</v>
      </c>
      <c r="M1207" s="19">
        <v>0</v>
      </c>
      <c r="N1207" s="20">
        <v>0</v>
      </c>
      <c r="O1207" s="19">
        <v>0</v>
      </c>
      <c r="P1207" s="19">
        <v>0</v>
      </c>
      <c r="Q1207" s="19">
        <v>0</v>
      </c>
      <c r="R1207" s="19">
        <v>0</v>
      </c>
      <c r="S1207" s="19">
        <v>0</v>
      </c>
      <c r="T1207" s="19">
        <v>0</v>
      </c>
      <c r="U1207" s="19">
        <v>0</v>
      </c>
      <c r="V1207" s="19">
        <v>0</v>
      </c>
      <c r="W1207" s="19">
        <v>0</v>
      </c>
      <c r="X1207" s="19">
        <v>0</v>
      </c>
      <c r="Y1207" s="20">
        <v>0</v>
      </c>
      <c r="Z1207" s="19">
        <v>0</v>
      </c>
      <c r="AA1207" s="19">
        <v>0</v>
      </c>
      <c r="AB1207" t="str">
        <f>VLOOKUP(E:E,笔记匹配!A:N,3,FALSE)</f>
        <v>橘子汽水</v>
      </c>
      <c r="AC1207" t="str">
        <f>VLOOKUP(E:E,笔记匹配!A:N,2,FALSE)</f>
        <v>体脂秤</v>
      </c>
      <c r="AD1207" t="str">
        <f>VLOOKUP(E:E,笔记匹配!A:N,4,FALSE)</f>
        <v>云麦体脂秤3mini</v>
      </c>
      <c r="AE1207" t="str">
        <f>VLOOKUP(E:E,笔记匹配!A:N,14,FALSE)</f>
        <v>云麦体脂秤3mini</v>
      </c>
      <c r="AF1207" t="str">
        <f>VLOOKUP(E:E,笔记匹配!A:N,6,FALSE)</f>
        <v>请一定要相信帕梅拉虐腹，效果是真的🉑❗</v>
      </c>
    </row>
    <row r="1208" spans="1:32">
      <c r="A1208" s="18" t="s">
        <v>164</v>
      </c>
      <c r="B1208" s="18" t="s">
        <v>1294</v>
      </c>
      <c r="C1208" s="19">
        <v>21747929</v>
      </c>
      <c r="D1208" s="18" t="s">
        <v>209</v>
      </c>
      <c r="E1208" s="18" t="s">
        <v>208</v>
      </c>
      <c r="F1208" s="18" t="s">
        <v>1295</v>
      </c>
      <c r="G1208" s="19">
        <v>5366393</v>
      </c>
      <c r="H1208" s="18" t="s">
        <v>1295</v>
      </c>
      <c r="I1208" s="19">
        <v>4512630</v>
      </c>
      <c r="J1208" s="18" t="s">
        <v>1015</v>
      </c>
      <c r="K1208" s="19">
        <v>13.45</v>
      </c>
      <c r="L1208" s="19">
        <v>858</v>
      </c>
      <c r="M1208" s="19">
        <v>66</v>
      </c>
      <c r="N1208" s="20">
        <v>0.0769</v>
      </c>
      <c r="O1208" s="19">
        <v>0.2</v>
      </c>
      <c r="P1208" s="19">
        <v>15.68</v>
      </c>
      <c r="Q1208" s="19">
        <v>2</v>
      </c>
      <c r="R1208" s="19">
        <v>0</v>
      </c>
      <c r="S1208" s="19">
        <v>0</v>
      </c>
      <c r="T1208" s="19">
        <v>0</v>
      </c>
      <c r="U1208" s="19">
        <v>0</v>
      </c>
      <c r="V1208" s="19">
        <v>2</v>
      </c>
      <c r="W1208" s="19">
        <v>6.72</v>
      </c>
      <c r="X1208" s="19">
        <v>0</v>
      </c>
      <c r="Y1208" s="20">
        <v>0</v>
      </c>
      <c r="Z1208" s="19">
        <v>0</v>
      </c>
      <c r="AA1208" s="19">
        <v>0</v>
      </c>
      <c r="AB1208" t="str">
        <f>VLOOKUP(E:E,笔记匹配!A:N,3,FALSE)</f>
        <v>小羊羔崽子</v>
      </c>
      <c r="AC1208" t="str">
        <f>VLOOKUP(E:E,笔记匹配!A:N,2,FALSE)</f>
        <v>筋膜枪</v>
      </c>
      <c r="AD1208" t="str">
        <f>VLOOKUP(E:E,笔记匹配!A:N,4,FALSE)</f>
        <v>云麦筋膜枪PB2</v>
      </c>
      <c r="AE1208" t="str">
        <f>VLOOKUP(E:E,笔记匹配!A:N,14,FALSE)</f>
        <v>云麦筋膜枪pb2</v>
      </c>
      <c r="AF1208" t="str">
        <f>VLOOKUP(E:E,笔记匹配!A:N,6,FALSE)</f>
        <v>用了多年泡沫轴，才知道筋膜枪是真的香！！！</v>
      </c>
    </row>
    <row r="1209" spans="1:32">
      <c r="A1209" s="18" t="s">
        <v>164</v>
      </c>
      <c r="B1209" s="18" t="s">
        <v>1311</v>
      </c>
      <c r="C1209" s="19">
        <v>21978813</v>
      </c>
      <c r="D1209" s="18" t="s">
        <v>209</v>
      </c>
      <c r="E1209" s="18" t="s">
        <v>252</v>
      </c>
      <c r="F1209" s="18" t="s">
        <v>1312</v>
      </c>
      <c r="G1209" s="19">
        <v>5474004</v>
      </c>
      <c r="H1209" s="18" t="s">
        <v>1312</v>
      </c>
      <c r="I1209" s="19">
        <v>4594476</v>
      </c>
      <c r="J1209" s="18" t="s">
        <v>1015</v>
      </c>
      <c r="K1209" s="19">
        <v>0</v>
      </c>
      <c r="L1209" s="19">
        <v>0</v>
      </c>
      <c r="M1209" s="19">
        <v>0</v>
      </c>
      <c r="N1209" s="20">
        <v>0</v>
      </c>
      <c r="O1209" s="19">
        <v>0</v>
      </c>
      <c r="P1209" s="19">
        <v>0</v>
      </c>
      <c r="Q1209" s="19">
        <v>0</v>
      </c>
      <c r="R1209" s="19">
        <v>0</v>
      </c>
      <c r="S1209" s="19">
        <v>0</v>
      </c>
      <c r="T1209" s="19">
        <v>0</v>
      </c>
      <c r="U1209" s="19">
        <v>0</v>
      </c>
      <c r="V1209" s="19">
        <v>0</v>
      </c>
      <c r="W1209" s="19">
        <v>0</v>
      </c>
      <c r="X1209" s="19">
        <v>0</v>
      </c>
      <c r="Y1209" s="20">
        <v>0</v>
      </c>
      <c r="Z1209" s="19">
        <v>0</v>
      </c>
      <c r="AA1209" s="19">
        <v>0</v>
      </c>
      <c r="AB1209" t="str">
        <f>VLOOKUP(E:E,笔记匹配!A:N,3,FALSE)</f>
        <v>脆鱼日记</v>
      </c>
      <c r="AC1209" t="str">
        <f>VLOOKUP(E:E,笔记匹配!A:N,2,FALSE)</f>
        <v>筋膜枪</v>
      </c>
      <c r="AD1209" t="str">
        <f>VLOOKUP(E:E,笔记匹配!A:N,4,FALSE)</f>
        <v>云麦筋膜枪cc</v>
      </c>
      <c r="AE1209" t="str">
        <f>VLOOKUP(E:E,笔记匹配!A:N,14,FALSE)</f>
        <v>云麦筋膜枪ccgo</v>
      </c>
      <c r="AF1209" t="str">
        <f>VLOOKUP(E:E,笔记匹配!A:N,6,FALSE)</f>
        <v>每天坚持这4个动作🔥瘦脂包肌小腿‼️已瘦4cm</v>
      </c>
    </row>
    <row r="1210" spans="1:32">
      <c r="A1210" s="18" t="s">
        <v>164</v>
      </c>
      <c r="B1210" s="18" t="s">
        <v>1314</v>
      </c>
      <c r="C1210" s="19">
        <v>22072602</v>
      </c>
      <c r="D1210" s="18" t="s">
        <v>209</v>
      </c>
      <c r="E1210" s="18" t="s">
        <v>274</v>
      </c>
      <c r="F1210" s="18" t="s">
        <v>1315</v>
      </c>
      <c r="G1210" s="19">
        <v>5521266</v>
      </c>
      <c r="H1210" s="18" t="s">
        <v>1315</v>
      </c>
      <c r="I1210" s="19">
        <v>4629783</v>
      </c>
      <c r="J1210" s="18" t="s">
        <v>1015</v>
      </c>
      <c r="K1210" s="19">
        <v>3.06</v>
      </c>
      <c r="L1210" s="19">
        <v>344</v>
      </c>
      <c r="M1210" s="19">
        <v>17</v>
      </c>
      <c r="N1210" s="20">
        <v>0.0494</v>
      </c>
      <c r="O1210" s="19">
        <v>0.18</v>
      </c>
      <c r="P1210" s="19">
        <v>8.9</v>
      </c>
      <c r="Q1210" s="19">
        <v>2</v>
      </c>
      <c r="R1210" s="19">
        <v>0</v>
      </c>
      <c r="S1210" s="19">
        <v>1</v>
      </c>
      <c r="T1210" s="19">
        <v>0</v>
      </c>
      <c r="U1210" s="19">
        <v>0</v>
      </c>
      <c r="V1210" s="19">
        <v>3</v>
      </c>
      <c r="W1210" s="19">
        <v>1.02</v>
      </c>
      <c r="X1210" s="19">
        <v>0</v>
      </c>
      <c r="Y1210" s="20">
        <v>0</v>
      </c>
      <c r="Z1210" s="19">
        <v>0</v>
      </c>
      <c r="AA1210" s="19">
        <v>0</v>
      </c>
      <c r="AB1210" t="str">
        <f>VLOOKUP(E:E,笔记匹配!A:N,3,FALSE)</f>
        <v>西米是个小可爱</v>
      </c>
      <c r="AC1210" t="str">
        <f>VLOOKUP(E:E,笔记匹配!A:N,2,FALSE)</f>
        <v>筋膜枪</v>
      </c>
      <c r="AD1210" t="str">
        <f>VLOOKUP(E:E,笔记匹配!A:N,4,FALSE)</f>
        <v>云麦筋膜枪PB2</v>
      </c>
      <c r="AE1210" t="str">
        <f>VLOOKUP(E:E,笔记匹配!A:N,14,FALSE)</f>
        <v>云麦筋膜枪pb2</v>
      </c>
      <c r="AF1210" t="str">
        <f>VLOOKUP(E:E,笔记匹配!A:N,6,FALSE)</f>
        <v>筋膜枪千万不能乱用！正确肩颈使用方法</v>
      </c>
    </row>
    <row r="1211" spans="1:32">
      <c r="A1211" s="18" t="s">
        <v>164</v>
      </c>
      <c r="B1211" s="18" t="s">
        <v>1316</v>
      </c>
      <c r="C1211" s="19">
        <v>22072814</v>
      </c>
      <c r="D1211" s="18" t="s">
        <v>196</v>
      </c>
      <c r="E1211" s="18" t="s">
        <v>201</v>
      </c>
      <c r="F1211" s="18" t="s">
        <v>1317</v>
      </c>
      <c r="G1211" s="19">
        <v>5521358</v>
      </c>
      <c r="H1211" s="18" t="s">
        <v>1317</v>
      </c>
      <c r="I1211" s="19">
        <v>4629845</v>
      </c>
      <c r="J1211" s="18" t="s">
        <v>1015</v>
      </c>
      <c r="K1211" s="19">
        <v>0</v>
      </c>
      <c r="L1211" s="19">
        <v>3</v>
      </c>
      <c r="M1211" s="19">
        <v>0</v>
      </c>
      <c r="N1211" s="20">
        <v>0</v>
      </c>
      <c r="O1211" s="19">
        <v>0</v>
      </c>
      <c r="P1211" s="19">
        <v>0</v>
      </c>
      <c r="Q1211" s="19">
        <v>0</v>
      </c>
      <c r="R1211" s="19">
        <v>0</v>
      </c>
      <c r="S1211" s="19">
        <v>0</v>
      </c>
      <c r="T1211" s="19">
        <v>0</v>
      </c>
      <c r="U1211" s="19">
        <v>0</v>
      </c>
      <c r="V1211" s="19">
        <v>0</v>
      </c>
      <c r="W1211" s="19">
        <v>0</v>
      </c>
      <c r="X1211" s="19">
        <v>0</v>
      </c>
      <c r="Y1211" s="20">
        <v>0</v>
      </c>
      <c r="Z1211" s="19">
        <v>0</v>
      </c>
      <c r="AA1211" s="19">
        <v>0</v>
      </c>
      <c r="AB1211" t="str">
        <f>VLOOKUP(E:E,笔记匹配!A:N,3,FALSE)</f>
        <v>包子熟了</v>
      </c>
      <c r="AC1211" t="str">
        <f>VLOOKUP(E:E,笔记匹配!A:N,2,FALSE)</f>
        <v>筋膜枪</v>
      </c>
      <c r="AD1211" t="str">
        <f>VLOOKUP(E:E,笔记匹配!A:N,4,FALSE)</f>
        <v>云麦筋膜枪</v>
      </c>
      <c r="AE1211" t="str">
        <f>VLOOKUP(E:E,笔记匹配!A:N,14,FALSE)</f>
        <v>云麦筋膜枪pb2</v>
      </c>
      <c r="AF1211" t="str">
        <f>VLOOKUP(E:E,笔记匹配!A:N,6,FALSE)</f>
        <v>筋膜枪测评|健身小白如何挑选筋膜枪？</v>
      </c>
    </row>
    <row r="1212" spans="1:32">
      <c r="A1212" s="18" t="s">
        <v>164</v>
      </c>
      <c r="B1212" s="18" t="s">
        <v>1316</v>
      </c>
      <c r="C1212" s="19">
        <v>22072908</v>
      </c>
      <c r="D1212" s="18" t="s">
        <v>196</v>
      </c>
      <c r="E1212" s="18" t="s">
        <v>201</v>
      </c>
      <c r="F1212" s="18" t="s">
        <v>1318</v>
      </c>
      <c r="G1212" s="19">
        <v>5521414</v>
      </c>
      <c r="H1212" s="18" t="s">
        <v>1318</v>
      </c>
      <c r="I1212" s="19">
        <v>4629891</v>
      </c>
      <c r="J1212" s="18" t="s">
        <v>1015</v>
      </c>
      <c r="K1212" s="19">
        <v>1.36</v>
      </c>
      <c r="L1212" s="19">
        <v>28</v>
      </c>
      <c r="M1212" s="19">
        <v>5</v>
      </c>
      <c r="N1212" s="20">
        <v>0.1786</v>
      </c>
      <c r="O1212" s="19">
        <v>0.27</v>
      </c>
      <c r="P1212" s="19">
        <v>48.57</v>
      </c>
      <c r="Q1212" s="19">
        <v>0</v>
      </c>
      <c r="R1212" s="19">
        <v>0</v>
      </c>
      <c r="S1212" s="19">
        <v>0</v>
      </c>
      <c r="T1212" s="19">
        <v>0</v>
      </c>
      <c r="U1212" s="19">
        <v>0</v>
      </c>
      <c r="V1212" s="19">
        <v>0</v>
      </c>
      <c r="W1212" s="19">
        <v>0</v>
      </c>
      <c r="X1212" s="19">
        <v>0</v>
      </c>
      <c r="Y1212" s="20">
        <v>0</v>
      </c>
      <c r="Z1212" s="19">
        <v>0</v>
      </c>
      <c r="AA1212" s="19">
        <v>0</v>
      </c>
      <c r="AB1212" t="str">
        <f>VLOOKUP(E:E,笔记匹配!A:N,3,FALSE)</f>
        <v>包子熟了</v>
      </c>
      <c r="AC1212" t="str">
        <f>VLOOKUP(E:E,笔记匹配!A:N,2,FALSE)</f>
        <v>筋膜枪</v>
      </c>
      <c r="AD1212" t="str">
        <f>VLOOKUP(E:E,笔记匹配!A:N,4,FALSE)</f>
        <v>云麦筋膜枪</v>
      </c>
      <c r="AE1212" t="str">
        <f>VLOOKUP(E:E,笔记匹配!A:N,14,FALSE)</f>
        <v>云麦筋膜枪pb2</v>
      </c>
      <c r="AF1212" t="str">
        <f>VLOOKUP(E:E,笔记匹配!A:N,6,FALSE)</f>
        <v>筋膜枪测评|健身小白如何挑选筋膜枪？</v>
      </c>
    </row>
    <row r="1213" spans="1:32">
      <c r="A1213" s="18" t="s">
        <v>164</v>
      </c>
      <c r="B1213" s="18" t="s">
        <v>1324</v>
      </c>
      <c r="C1213" s="19">
        <v>22438055</v>
      </c>
      <c r="D1213" s="18" t="s">
        <v>196</v>
      </c>
      <c r="E1213" s="18" t="s">
        <v>296</v>
      </c>
      <c r="F1213" s="18" t="s">
        <v>1323</v>
      </c>
      <c r="G1213" s="19">
        <v>5694637</v>
      </c>
      <c r="H1213" s="18" t="s">
        <v>1323</v>
      </c>
      <c r="I1213" s="19">
        <v>4763185</v>
      </c>
      <c r="J1213" s="18" t="s">
        <v>1015</v>
      </c>
      <c r="K1213" s="19">
        <v>6.63</v>
      </c>
      <c r="L1213" s="19">
        <v>174</v>
      </c>
      <c r="M1213" s="19">
        <v>17</v>
      </c>
      <c r="N1213" s="20">
        <v>0.0977</v>
      </c>
      <c r="O1213" s="19">
        <v>0.39</v>
      </c>
      <c r="P1213" s="19">
        <v>38.1</v>
      </c>
      <c r="Q1213" s="19">
        <v>0</v>
      </c>
      <c r="R1213" s="19">
        <v>0</v>
      </c>
      <c r="S1213" s="19">
        <v>0</v>
      </c>
      <c r="T1213" s="19">
        <v>0</v>
      </c>
      <c r="U1213" s="19">
        <v>0</v>
      </c>
      <c r="V1213" s="19">
        <v>0</v>
      </c>
      <c r="W1213" s="19">
        <v>0</v>
      </c>
      <c r="X1213" s="19">
        <v>0</v>
      </c>
      <c r="Y1213" s="20">
        <v>0</v>
      </c>
      <c r="Z1213" s="19">
        <v>0</v>
      </c>
      <c r="AA1213" s="19">
        <v>0</v>
      </c>
      <c r="AB1213" t="str">
        <f>VLOOKUP(E:E,笔记匹配!A:N,3,FALSE)</f>
        <v>元气芥末酱</v>
      </c>
      <c r="AC1213" t="str">
        <f>VLOOKUP(E:E,笔记匹配!A:N,2,FALSE)</f>
        <v>筋膜枪</v>
      </c>
      <c r="AD1213" t="str">
        <f>VLOOKUP(E:E,笔记匹配!A:N,4,FALSE)</f>
        <v>云麦筋膜枪PB2</v>
      </c>
      <c r="AE1213" t="str">
        <f>VLOOKUP(E:E,笔记匹配!A:N,14,FALSE)</f>
        <v>云麦筋膜枪pb2</v>
      </c>
      <c r="AF1213" t="str">
        <f>VLOOKUP(E:E,笔记匹配!A:N,6,FALSE)</f>
        <v>小腿粗的姐妹信我！肌肉腿就要这样按！</v>
      </c>
    </row>
    <row r="1214" spans="1:32">
      <c r="A1214" s="18" t="s">
        <v>164</v>
      </c>
      <c r="B1214" s="18" t="s">
        <v>1324</v>
      </c>
      <c r="C1214" s="19">
        <v>22448358</v>
      </c>
      <c r="D1214" s="18" t="s">
        <v>196</v>
      </c>
      <c r="E1214" s="18" t="s">
        <v>238</v>
      </c>
      <c r="F1214" s="18" t="s">
        <v>1331</v>
      </c>
      <c r="G1214" s="19">
        <v>5699471</v>
      </c>
      <c r="H1214" s="18" t="s">
        <v>1331</v>
      </c>
      <c r="I1214" s="19">
        <v>4766957</v>
      </c>
      <c r="J1214" s="18" t="s">
        <v>1015</v>
      </c>
      <c r="K1214" s="19">
        <v>1.6</v>
      </c>
      <c r="L1214" s="19">
        <v>23</v>
      </c>
      <c r="M1214" s="19">
        <v>4</v>
      </c>
      <c r="N1214" s="20">
        <v>0.1739</v>
      </c>
      <c r="O1214" s="19">
        <v>0.4</v>
      </c>
      <c r="P1214" s="19">
        <v>69.57</v>
      </c>
      <c r="Q1214" s="19">
        <v>2</v>
      </c>
      <c r="R1214" s="19">
        <v>0</v>
      </c>
      <c r="S1214" s="19">
        <v>2</v>
      </c>
      <c r="T1214" s="19">
        <v>0</v>
      </c>
      <c r="U1214" s="19">
        <v>0</v>
      </c>
      <c r="V1214" s="19">
        <v>4</v>
      </c>
      <c r="W1214" s="19">
        <v>0.4</v>
      </c>
      <c r="X1214" s="19">
        <v>0</v>
      </c>
      <c r="Y1214" s="20">
        <v>0</v>
      </c>
      <c r="Z1214" s="19">
        <v>0</v>
      </c>
      <c r="AA1214" s="19">
        <v>0</v>
      </c>
      <c r="AB1214" t="str">
        <f>VLOOKUP(E:E,笔记匹配!A:N,3,FALSE)</f>
        <v>小岛大瑀</v>
      </c>
      <c r="AC1214" t="str">
        <f>VLOOKUP(E:E,笔记匹配!A:N,2,FALSE)</f>
        <v>体脂秤</v>
      </c>
      <c r="AD1214" t="str">
        <f>VLOOKUP(E:E,笔记匹配!A:N,4,FALSE)</f>
        <v>云麦体脂秤3mini </v>
      </c>
      <c r="AE1214" t="str">
        <f>VLOOKUP(E:E,笔记匹配!A:N,14,FALSE)</f>
        <v>云麦体脂秤3mini</v>
      </c>
      <c r="AF1214" t="str">
        <f>VLOOKUP(E:E,笔记匹配!A:N,6,FALSE)</f>
        <v>这个燃脂舞真的太❗️太❗️太简单了🔥停不下来</v>
      </c>
    </row>
    <row r="1215" spans="1:32">
      <c r="A1215" s="18" t="s">
        <v>164</v>
      </c>
      <c r="B1215" s="18" t="s">
        <v>1342</v>
      </c>
      <c r="C1215" s="19">
        <v>22596197</v>
      </c>
      <c r="D1215" s="18" t="s">
        <v>209</v>
      </c>
      <c r="E1215" s="18" t="s">
        <v>271</v>
      </c>
      <c r="F1215" s="18" t="s">
        <v>1343</v>
      </c>
      <c r="G1215" s="19">
        <v>5771085</v>
      </c>
      <c r="H1215" s="18" t="s">
        <v>1343</v>
      </c>
      <c r="I1215" s="19">
        <v>4823658</v>
      </c>
      <c r="J1215" s="18" t="s">
        <v>1015</v>
      </c>
      <c r="K1215" s="19">
        <v>1066.42</v>
      </c>
      <c r="L1215" s="19">
        <v>41965</v>
      </c>
      <c r="M1215" s="19">
        <v>2442</v>
      </c>
      <c r="N1215" s="20">
        <v>0.0582</v>
      </c>
      <c r="O1215" s="19">
        <v>0.44</v>
      </c>
      <c r="P1215" s="19">
        <v>25.41</v>
      </c>
      <c r="Q1215" s="19">
        <v>315</v>
      </c>
      <c r="R1215" s="19">
        <v>2</v>
      </c>
      <c r="S1215" s="19">
        <v>225</v>
      </c>
      <c r="T1215" s="19">
        <v>15</v>
      </c>
      <c r="U1215" s="19">
        <v>19</v>
      </c>
      <c r="V1215" s="19">
        <v>576</v>
      </c>
      <c r="W1215" s="19">
        <v>1.85</v>
      </c>
      <c r="X1215" s="19">
        <v>0</v>
      </c>
      <c r="Y1215" s="20">
        <v>0</v>
      </c>
      <c r="Z1215" s="19">
        <v>4</v>
      </c>
      <c r="AA1215" s="19">
        <v>10</v>
      </c>
      <c r="AB1215" t="str">
        <f>VLOOKUP(E:E,笔记匹配!A:N,3,FALSE)</f>
        <v>爱健身的陈淼淼</v>
      </c>
      <c r="AC1215" t="str">
        <f>VLOOKUP(E:E,笔记匹配!A:N,2,FALSE)</f>
        <v>筋膜枪</v>
      </c>
      <c r="AD1215" t="str">
        <f>VLOOKUP(E:E,笔记匹配!A:N,4,FALSE)</f>
        <v>云麦筋膜枪pb2</v>
      </c>
      <c r="AE1215" t="str">
        <f>VLOOKUP(E:E,笔记匹配!A:N,14,FALSE)</f>
        <v>云麦筋膜枪pb2</v>
      </c>
      <c r="AF1215" t="str">
        <f>VLOOKUP(E:E,笔记匹配!A:N,6,FALSE)</f>
        <v>真的有用‼️小腿外翻改善了，一定要试试❗</v>
      </c>
    </row>
    <row r="1216" spans="1:32">
      <c r="A1216" s="18" t="s">
        <v>164</v>
      </c>
      <c r="B1216" s="18" t="s">
        <v>1344</v>
      </c>
      <c r="C1216" s="19">
        <v>22675609</v>
      </c>
      <c r="D1216" s="18" t="s">
        <v>209</v>
      </c>
      <c r="E1216" s="18" t="s">
        <v>267</v>
      </c>
      <c r="F1216" s="18" t="s">
        <v>1345</v>
      </c>
      <c r="G1216" s="19">
        <v>5809017</v>
      </c>
      <c r="H1216" s="18" t="s">
        <v>1345</v>
      </c>
      <c r="I1216" s="19">
        <v>4853063</v>
      </c>
      <c r="J1216" s="18" t="s">
        <v>1015</v>
      </c>
      <c r="K1216" s="19">
        <v>0</v>
      </c>
      <c r="L1216" s="19">
        <v>0</v>
      </c>
      <c r="M1216" s="19">
        <v>0</v>
      </c>
      <c r="N1216" s="20">
        <v>0</v>
      </c>
      <c r="O1216" s="19">
        <v>0</v>
      </c>
      <c r="P1216" s="19">
        <v>0</v>
      </c>
      <c r="Q1216" s="19">
        <v>0</v>
      </c>
      <c r="R1216" s="19">
        <v>0</v>
      </c>
      <c r="S1216" s="19">
        <v>0</v>
      </c>
      <c r="T1216" s="19">
        <v>0</v>
      </c>
      <c r="U1216" s="19">
        <v>0</v>
      </c>
      <c r="V1216" s="19">
        <v>0</v>
      </c>
      <c r="W1216" s="19">
        <v>0</v>
      </c>
      <c r="X1216" s="19">
        <v>0</v>
      </c>
      <c r="Y1216" s="20">
        <v>0</v>
      </c>
      <c r="Z1216" s="19">
        <v>0</v>
      </c>
      <c r="AA1216" s="19">
        <v>0</v>
      </c>
      <c r="AB1216" t="str">
        <f>VLOOKUP(E:E,笔记匹配!A:N,3,FALSE)</f>
        <v>晚一子</v>
      </c>
      <c r="AC1216" t="str">
        <f>VLOOKUP(E:E,笔记匹配!A:N,2,FALSE)</f>
        <v>体脂秤</v>
      </c>
      <c r="AD1216" t="str">
        <f>VLOOKUP(E:E,笔记匹配!A:N,4,FALSE)</f>
        <v>云麦体脂秤3mini</v>
      </c>
      <c r="AE1216" t="str">
        <f>VLOOKUP(E:E,笔记匹配!A:N,14,FALSE)</f>
        <v>云麦体脂秤3mini</v>
      </c>
      <c r="AF1216" t="str">
        <f>VLOOKUP(E:E,笔记匹配!A:N,6,FALSE)</f>
        <v>120瘦到78斤｜小基数减脂心得分享</v>
      </c>
    </row>
    <row r="1217" spans="1:32">
      <c r="A1217" s="18" t="s">
        <v>164</v>
      </c>
      <c r="B1217" s="18" t="s">
        <v>1346</v>
      </c>
      <c r="C1217" s="19">
        <v>22762574</v>
      </c>
      <c r="D1217" s="18" t="s">
        <v>209</v>
      </c>
      <c r="E1217" s="18" t="s">
        <v>271</v>
      </c>
      <c r="F1217" s="18" t="s">
        <v>1347</v>
      </c>
      <c r="G1217" s="19">
        <v>5851094</v>
      </c>
      <c r="H1217" s="18" t="s">
        <v>1348</v>
      </c>
      <c r="I1217" s="19">
        <v>4883982</v>
      </c>
      <c r="J1217" s="18" t="s">
        <v>1015</v>
      </c>
      <c r="K1217" s="19">
        <v>944.24</v>
      </c>
      <c r="L1217" s="19">
        <v>41356</v>
      </c>
      <c r="M1217" s="19">
        <v>1912</v>
      </c>
      <c r="N1217" s="20">
        <v>0.0462</v>
      </c>
      <c r="O1217" s="19">
        <v>0.49</v>
      </c>
      <c r="P1217" s="19">
        <v>22.83</v>
      </c>
      <c r="Q1217" s="19">
        <v>230</v>
      </c>
      <c r="R1217" s="19">
        <v>0</v>
      </c>
      <c r="S1217" s="19">
        <v>195</v>
      </c>
      <c r="T1217" s="19">
        <v>18</v>
      </c>
      <c r="U1217" s="19">
        <v>8</v>
      </c>
      <c r="V1217" s="19">
        <v>451</v>
      </c>
      <c r="W1217" s="19">
        <v>2.09</v>
      </c>
      <c r="X1217" s="19">
        <v>0</v>
      </c>
      <c r="Y1217" s="20">
        <v>0</v>
      </c>
      <c r="Z1217" s="19">
        <v>1</v>
      </c>
      <c r="AA1217" s="19">
        <v>7</v>
      </c>
      <c r="AB1217" t="str">
        <f>VLOOKUP(E:E,笔记匹配!A:N,3,FALSE)</f>
        <v>爱健身的陈淼淼</v>
      </c>
      <c r="AC1217" t="str">
        <f>VLOOKUP(E:E,笔记匹配!A:N,2,FALSE)</f>
        <v>筋膜枪</v>
      </c>
      <c r="AD1217" t="str">
        <f>VLOOKUP(E:E,笔记匹配!A:N,4,FALSE)</f>
        <v>云麦筋膜枪pb2</v>
      </c>
      <c r="AE1217" t="str">
        <f>VLOOKUP(E:E,笔记匹配!A:N,14,FALSE)</f>
        <v>云麦筋膜枪pb2</v>
      </c>
      <c r="AF1217" t="str">
        <f>VLOOKUP(E:E,笔记匹配!A:N,6,FALSE)</f>
        <v>真的有用‼️小腿外翻改善了，一定要试试❗</v>
      </c>
    </row>
    <row r="1218" spans="1:32">
      <c r="A1218" s="18" t="s">
        <v>165</v>
      </c>
      <c r="B1218" s="18" t="s">
        <v>1294</v>
      </c>
      <c r="C1218" s="19">
        <v>21747992</v>
      </c>
      <c r="D1218" s="18" t="s">
        <v>209</v>
      </c>
      <c r="E1218" s="18" t="s">
        <v>292</v>
      </c>
      <c r="F1218" s="18" t="s">
        <v>1296</v>
      </c>
      <c r="G1218" s="19">
        <v>5366424</v>
      </c>
      <c r="H1218" s="18" t="s">
        <v>1296</v>
      </c>
      <c r="I1218" s="19">
        <v>4512653</v>
      </c>
      <c r="J1218" s="18" t="s">
        <v>1015</v>
      </c>
      <c r="K1218" s="19">
        <v>0</v>
      </c>
      <c r="L1218" s="19">
        <v>0</v>
      </c>
      <c r="M1218" s="19">
        <v>0</v>
      </c>
      <c r="N1218" s="20">
        <v>0</v>
      </c>
      <c r="O1218" s="19">
        <v>0</v>
      </c>
      <c r="P1218" s="19">
        <v>0</v>
      </c>
      <c r="Q1218" s="19">
        <v>0</v>
      </c>
      <c r="R1218" s="19">
        <v>0</v>
      </c>
      <c r="S1218" s="19">
        <v>0</v>
      </c>
      <c r="T1218" s="19">
        <v>0</v>
      </c>
      <c r="U1218" s="19">
        <v>0</v>
      </c>
      <c r="V1218" s="19">
        <v>0</v>
      </c>
      <c r="W1218" s="19">
        <v>0</v>
      </c>
      <c r="X1218" s="19">
        <v>0</v>
      </c>
      <c r="Y1218" s="20">
        <v>0</v>
      </c>
      <c r="Z1218" s="19">
        <v>0</v>
      </c>
      <c r="AA1218" s="19">
        <v>0</v>
      </c>
      <c r="AB1218" t="str">
        <f>VLOOKUP(E:E,笔记匹配!A:N,3,FALSE)</f>
        <v>形体矫正小李</v>
      </c>
      <c r="AC1218" t="str">
        <f>VLOOKUP(E:E,笔记匹配!A:N,2,FALSE)</f>
        <v>筋膜枪</v>
      </c>
      <c r="AD1218" t="str">
        <f>VLOOKUP(E:E,笔记匹配!A:N,4,FALSE)</f>
        <v>云麦筋膜枪PB2</v>
      </c>
      <c r="AE1218" t="str">
        <f>VLOOKUP(E:E,笔记匹配!A:N,14,FALSE)</f>
        <v>云麦筋膜枪pb2</v>
      </c>
      <c r="AF1218" t="str">
        <f>VLOOKUP(E:E,笔记匹配!A:N,6,FALSE)</f>
        <v>大腿内侧赘肉消失术‼️练出细长漫画腿全靠它</v>
      </c>
    </row>
    <row r="1219" spans="1:32">
      <c r="A1219" s="18" t="s">
        <v>165</v>
      </c>
      <c r="B1219" s="18" t="s">
        <v>1314</v>
      </c>
      <c r="C1219" s="19">
        <v>22072602</v>
      </c>
      <c r="D1219" s="18" t="s">
        <v>209</v>
      </c>
      <c r="E1219" s="18" t="s">
        <v>274</v>
      </c>
      <c r="F1219" s="18" t="s">
        <v>1315</v>
      </c>
      <c r="G1219" s="19">
        <v>5521266</v>
      </c>
      <c r="H1219" s="18" t="s">
        <v>1315</v>
      </c>
      <c r="I1219" s="19">
        <v>4629783</v>
      </c>
      <c r="J1219" s="18" t="s">
        <v>1015</v>
      </c>
      <c r="K1219" s="19">
        <v>0</v>
      </c>
      <c r="L1219" s="19">
        <v>0</v>
      </c>
      <c r="M1219" s="19">
        <v>0</v>
      </c>
      <c r="N1219" s="20">
        <v>0</v>
      </c>
      <c r="O1219" s="19">
        <v>0</v>
      </c>
      <c r="P1219" s="19">
        <v>0</v>
      </c>
      <c r="Q1219" s="19">
        <v>0</v>
      </c>
      <c r="R1219" s="19">
        <v>0</v>
      </c>
      <c r="S1219" s="19">
        <v>0</v>
      </c>
      <c r="T1219" s="19">
        <v>0</v>
      </c>
      <c r="U1219" s="19">
        <v>0</v>
      </c>
      <c r="V1219" s="19">
        <v>0</v>
      </c>
      <c r="W1219" s="19">
        <v>0</v>
      </c>
      <c r="X1219" s="19">
        <v>0</v>
      </c>
      <c r="Y1219" s="20">
        <v>0</v>
      </c>
      <c r="Z1219" s="19">
        <v>0</v>
      </c>
      <c r="AA1219" s="19">
        <v>0</v>
      </c>
      <c r="AB1219" t="str">
        <f>VLOOKUP(E:E,笔记匹配!A:N,3,FALSE)</f>
        <v>西米是个小可爱</v>
      </c>
      <c r="AC1219" t="str">
        <f>VLOOKUP(E:E,笔记匹配!A:N,2,FALSE)</f>
        <v>筋膜枪</v>
      </c>
      <c r="AD1219" t="str">
        <f>VLOOKUP(E:E,笔记匹配!A:N,4,FALSE)</f>
        <v>云麦筋膜枪PB2</v>
      </c>
      <c r="AE1219" t="str">
        <f>VLOOKUP(E:E,笔记匹配!A:N,14,FALSE)</f>
        <v>云麦筋膜枪pb2</v>
      </c>
      <c r="AF1219" t="str">
        <f>VLOOKUP(E:E,笔记匹配!A:N,6,FALSE)</f>
        <v>筋膜枪千万不能乱用！正确肩颈使用方法</v>
      </c>
    </row>
    <row r="1220" spans="1:32">
      <c r="A1220" s="18" t="s">
        <v>165</v>
      </c>
      <c r="B1220" s="18" t="s">
        <v>1324</v>
      </c>
      <c r="C1220" s="19">
        <v>22438055</v>
      </c>
      <c r="D1220" s="18" t="s">
        <v>196</v>
      </c>
      <c r="E1220" s="18" t="s">
        <v>296</v>
      </c>
      <c r="F1220" s="18" t="s">
        <v>1323</v>
      </c>
      <c r="G1220" s="19">
        <v>5694637</v>
      </c>
      <c r="H1220" s="18" t="s">
        <v>1323</v>
      </c>
      <c r="I1220" s="19">
        <v>4763185</v>
      </c>
      <c r="J1220" s="18" t="s">
        <v>1015</v>
      </c>
      <c r="K1220" s="19">
        <v>0</v>
      </c>
      <c r="L1220" s="19">
        <v>0</v>
      </c>
      <c r="M1220" s="19">
        <v>0</v>
      </c>
      <c r="N1220" s="20">
        <v>0</v>
      </c>
      <c r="O1220" s="19">
        <v>0</v>
      </c>
      <c r="P1220" s="19">
        <v>0</v>
      </c>
      <c r="Q1220" s="19">
        <v>0</v>
      </c>
      <c r="R1220" s="19">
        <v>0</v>
      </c>
      <c r="S1220" s="19">
        <v>0</v>
      </c>
      <c r="T1220" s="19">
        <v>0</v>
      </c>
      <c r="U1220" s="19">
        <v>0</v>
      </c>
      <c r="V1220" s="19">
        <v>0</v>
      </c>
      <c r="W1220" s="19">
        <v>0</v>
      </c>
      <c r="X1220" s="19">
        <v>0</v>
      </c>
      <c r="Y1220" s="20">
        <v>0</v>
      </c>
      <c r="Z1220" s="19">
        <v>0</v>
      </c>
      <c r="AA1220" s="19">
        <v>0</v>
      </c>
      <c r="AB1220" t="str">
        <f>VLOOKUP(E:E,笔记匹配!A:N,3,FALSE)</f>
        <v>元气芥末酱</v>
      </c>
      <c r="AC1220" t="str">
        <f>VLOOKUP(E:E,笔记匹配!A:N,2,FALSE)</f>
        <v>筋膜枪</v>
      </c>
      <c r="AD1220" t="str">
        <f>VLOOKUP(E:E,笔记匹配!A:N,4,FALSE)</f>
        <v>云麦筋膜枪PB2</v>
      </c>
      <c r="AE1220" t="str">
        <f>VLOOKUP(E:E,笔记匹配!A:N,14,FALSE)</f>
        <v>云麦筋膜枪pb2</v>
      </c>
      <c r="AF1220" t="str">
        <f>VLOOKUP(E:E,笔记匹配!A:N,6,FALSE)</f>
        <v>小腿粗的姐妹信我！肌肉腿就要这样按！</v>
      </c>
    </row>
    <row r="1221" spans="1:32">
      <c r="A1221" s="18" t="s">
        <v>165</v>
      </c>
      <c r="B1221" s="18" t="s">
        <v>1342</v>
      </c>
      <c r="C1221" s="19">
        <v>22596197</v>
      </c>
      <c r="D1221" s="18" t="s">
        <v>209</v>
      </c>
      <c r="E1221" s="18" t="s">
        <v>271</v>
      </c>
      <c r="F1221" s="18" t="s">
        <v>1343</v>
      </c>
      <c r="G1221" s="19">
        <v>5771085</v>
      </c>
      <c r="H1221" s="18" t="s">
        <v>1343</v>
      </c>
      <c r="I1221" s="19">
        <v>4823658</v>
      </c>
      <c r="J1221" s="18" t="s">
        <v>1015</v>
      </c>
      <c r="K1221" s="19">
        <v>0.61</v>
      </c>
      <c r="L1221" s="19">
        <v>106</v>
      </c>
      <c r="M1221" s="19">
        <v>3</v>
      </c>
      <c r="N1221" s="20">
        <v>0.0283</v>
      </c>
      <c r="O1221" s="19">
        <v>0.2</v>
      </c>
      <c r="P1221" s="19">
        <v>5.75</v>
      </c>
      <c r="Q1221" s="19">
        <v>0</v>
      </c>
      <c r="R1221" s="19">
        <v>0</v>
      </c>
      <c r="S1221" s="19">
        <v>0</v>
      </c>
      <c r="T1221" s="19">
        <v>0</v>
      </c>
      <c r="U1221" s="19">
        <v>0</v>
      </c>
      <c r="V1221" s="19">
        <v>0</v>
      </c>
      <c r="W1221" s="19">
        <v>0</v>
      </c>
      <c r="X1221" s="19">
        <v>0</v>
      </c>
      <c r="Y1221" s="20">
        <v>0</v>
      </c>
      <c r="Z1221" s="19">
        <v>0</v>
      </c>
      <c r="AA1221" s="19">
        <v>0</v>
      </c>
      <c r="AB1221" t="str">
        <f>VLOOKUP(E:E,笔记匹配!A:N,3,FALSE)</f>
        <v>爱健身的陈淼淼</v>
      </c>
      <c r="AC1221" t="str">
        <f>VLOOKUP(E:E,笔记匹配!A:N,2,FALSE)</f>
        <v>筋膜枪</v>
      </c>
      <c r="AD1221" t="str">
        <f>VLOOKUP(E:E,笔记匹配!A:N,4,FALSE)</f>
        <v>云麦筋膜枪pb2</v>
      </c>
      <c r="AE1221" t="str">
        <f>VLOOKUP(E:E,笔记匹配!A:N,14,FALSE)</f>
        <v>云麦筋膜枪pb2</v>
      </c>
      <c r="AF1221" t="str">
        <f>VLOOKUP(E:E,笔记匹配!A:N,6,FALSE)</f>
        <v>真的有用‼️小腿外翻改善了，一定要试试❗</v>
      </c>
    </row>
    <row r="1222" spans="1:32">
      <c r="A1222" s="18" t="s">
        <v>165</v>
      </c>
      <c r="B1222" s="18" t="s">
        <v>1346</v>
      </c>
      <c r="C1222" s="19">
        <v>22762574</v>
      </c>
      <c r="D1222" s="18" t="s">
        <v>209</v>
      </c>
      <c r="E1222" s="18" t="s">
        <v>271</v>
      </c>
      <c r="F1222" s="18" t="s">
        <v>1347</v>
      </c>
      <c r="G1222" s="19">
        <v>5851094</v>
      </c>
      <c r="H1222" s="18" t="s">
        <v>1348</v>
      </c>
      <c r="I1222" s="19">
        <v>4883982</v>
      </c>
      <c r="J1222" s="18" t="s">
        <v>1015</v>
      </c>
      <c r="K1222" s="19">
        <v>0.53</v>
      </c>
      <c r="L1222" s="19">
        <v>31</v>
      </c>
      <c r="M1222" s="19">
        <v>3</v>
      </c>
      <c r="N1222" s="20">
        <v>0.0968</v>
      </c>
      <c r="O1222" s="19">
        <v>0.18</v>
      </c>
      <c r="P1222" s="19">
        <v>17.1</v>
      </c>
      <c r="Q1222" s="19">
        <v>0</v>
      </c>
      <c r="R1222" s="19">
        <v>0</v>
      </c>
      <c r="S1222" s="19">
        <v>0</v>
      </c>
      <c r="T1222" s="19">
        <v>0</v>
      </c>
      <c r="U1222" s="19">
        <v>0</v>
      </c>
      <c r="V1222" s="19">
        <v>0</v>
      </c>
      <c r="W1222" s="19">
        <v>0</v>
      </c>
      <c r="X1222" s="19">
        <v>0</v>
      </c>
      <c r="Y1222" s="20">
        <v>0</v>
      </c>
      <c r="Z1222" s="19">
        <v>0</v>
      </c>
      <c r="AA1222" s="19">
        <v>0</v>
      </c>
      <c r="AB1222" t="str">
        <f>VLOOKUP(E:E,笔记匹配!A:N,3,FALSE)</f>
        <v>爱健身的陈淼淼</v>
      </c>
      <c r="AC1222" t="str">
        <f>VLOOKUP(E:E,笔记匹配!A:N,2,FALSE)</f>
        <v>筋膜枪</v>
      </c>
      <c r="AD1222" t="str">
        <f>VLOOKUP(E:E,笔记匹配!A:N,4,FALSE)</f>
        <v>云麦筋膜枪pb2</v>
      </c>
      <c r="AE1222" t="str">
        <f>VLOOKUP(E:E,笔记匹配!A:N,14,FALSE)</f>
        <v>云麦筋膜枪pb2</v>
      </c>
      <c r="AF1222" t="str">
        <f>VLOOKUP(E:E,笔记匹配!A:N,6,FALSE)</f>
        <v>真的有用‼️小腿外翻改善了，一定要试试❗</v>
      </c>
    </row>
    <row r="1223" spans="1:32">
      <c r="A1223" s="18" t="s">
        <v>165</v>
      </c>
      <c r="B1223" s="18" t="s">
        <v>1349</v>
      </c>
      <c r="C1223" s="19">
        <v>22820705</v>
      </c>
      <c r="D1223" s="18" t="s">
        <v>209</v>
      </c>
      <c r="E1223" s="18" t="s">
        <v>214</v>
      </c>
      <c r="F1223" s="18" t="s">
        <v>1350</v>
      </c>
      <c r="G1223" s="19">
        <v>5880638</v>
      </c>
      <c r="H1223" s="18" t="s">
        <v>1351</v>
      </c>
      <c r="I1223" s="19">
        <v>4905165</v>
      </c>
      <c r="J1223" s="18" t="s">
        <v>1015</v>
      </c>
      <c r="K1223" s="19">
        <v>2031.4</v>
      </c>
      <c r="L1223" s="19">
        <v>118290</v>
      </c>
      <c r="M1223" s="19">
        <v>7736</v>
      </c>
      <c r="N1223" s="20">
        <v>0.0654</v>
      </c>
      <c r="O1223" s="19">
        <v>0.26</v>
      </c>
      <c r="P1223" s="19">
        <v>17.17</v>
      </c>
      <c r="Q1223" s="19">
        <v>287</v>
      </c>
      <c r="R1223" s="19">
        <v>2</v>
      </c>
      <c r="S1223" s="19">
        <v>86</v>
      </c>
      <c r="T1223" s="19">
        <v>3</v>
      </c>
      <c r="U1223" s="19">
        <v>4</v>
      </c>
      <c r="V1223" s="19">
        <v>382</v>
      </c>
      <c r="W1223" s="19">
        <v>5.32</v>
      </c>
      <c r="X1223" s="19">
        <v>0</v>
      </c>
      <c r="Y1223" s="20">
        <v>0</v>
      </c>
      <c r="Z1223" s="19">
        <v>29</v>
      </c>
      <c r="AA1223" s="19">
        <v>18</v>
      </c>
      <c r="AB1223" t="str">
        <f>VLOOKUP(E:E,笔记匹配!A:N,3,FALSE)</f>
        <v>Zora張張</v>
      </c>
      <c r="AC1223" t="str">
        <f>VLOOKUP(E:E,笔记匹配!A:N,2,FALSE)</f>
        <v>筋膜枪</v>
      </c>
      <c r="AD1223" t="str">
        <f>VLOOKUP(E:E,笔记匹配!A:N,4,FALSE)</f>
        <v>云麦筋膜枪cc</v>
      </c>
      <c r="AE1223" t="str">
        <f>VLOOKUP(E:E,笔记匹配!A:N,14,FALSE)</f>
        <v>云麦筋膜枪ccgo</v>
      </c>
      <c r="AF1223" t="str">
        <f>VLOOKUP(E:E,笔记匹配!A:N,6,FALSE)</f>
        <v>宿舍姐妹花人手一个！这筋膜枪有点东西🧐</v>
      </c>
    </row>
    <row r="1224" spans="1:32">
      <c r="A1224" s="18" t="s">
        <v>166</v>
      </c>
      <c r="B1224" s="18" t="s">
        <v>1181</v>
      </c>
      <c r="C1224" s="19">
        <v>18606961</v>
      </c>
      <c r="D1224" s="18" t="s">
        <v>209</v>
      </c>
      <c r="E1224" s="18" t="s">
        <v>289</v>
      </c>
      <c r="F1224" s="18" t="s">
        <v>1183</v>
      </c>
      <c r="G1224" s="19">
        <v>3851160</v>
      </c>
      <c r="H1224" s="18" t="s">
        <v>1183</v>
      </c>
      <c r="I1224" s="19">
        <v>3236289</v>
      </c>
      <c r="J1224" s="18" t="s">
        <v>1015</v>
      </c>
      <c r="K1224" s="19">
        <v>0</v>
      </c>
      <c r="L1224" s="19">
        <v>0</v>
      </c>
      <c r="M1224" s="19">
        <v>0</v>
      </c>
      <c r="N1224" s="20">
        <v>0</v>
      </c>
      <c r="O1224" s="19">
        <v>0</v>
      </c>
      <c r="P1224" s="19">
        <v>0</v>
      </c>
      <c r="Q1224" s="19">
        <v>0</v>
      </c>
      <c r="R1224" s="19">
        <v>0</v>
      </c>
      <c r="S1224" s="19">
        <v>0</v>
      </c>
      <c r="T1224" s="19">
        <v>0</v>
      </c>
      <c r="U1224" s="19">
        <v>0</v>
      </c>
      <c r="V1224" s="19">
        <v>0</v>
      </c>
      <c r="W1224" s="19">
        <v>0</v>
      </c>
      <c r="X1224" s="19">
        <v>0</v>
      </c>
      <c r="Y1224" s="20">
        <v>0</v>
      </c>
      <c r="Z1224" s="19">
        <v>0</v>
      </c>
      <c r="AA1224" s="19">
        <v>0</v>
      </c>
      <c r="AB1224" t="str">
        <f>VLOOKUP(E:E,笔记匹配!A:N,3,FALSE)</f>
        <v>小蓝今天吃了没</v>
      </c>
      <c r="AC1224" t="str">
        <f>VLOOKUP(E:E,笔记匹配!A:N,2,FALSE)</f>
        <v>筋膜枪</v>
      </c>
      <c r="AD1224" t="str">
        <f>VLOOKUP(E:E,笔记匹配!A:N,4,FALSE)</f>
        <v>云麦 筋膜枪PB2</v>
      </c>
      <c r="AE1224" t="str">
        <f>VLOOKUP(E:E,笔记匹配!A:N,14,FALSE)</f>
        <v>云麦筋膜枪pb2</v>
      </c>
      <c r="AF1224" t="str">
        <f>VLOOKUP(E:E,笔记匹配!A:N,6,FALSE)</f>
        <v>筋膜枪正确用法！刘耕宏女孩永不认输</v>
      </c>
    </row>
    <row r="1225" spans="1:32">
      <c r="A1225" s="18" t="s">
        <v>166</v>
      </c>
      <c r="B1225" s="18" t="s">
        <v>1294</v>
      </c>
      <c r="C1225" s="19">
        <v>21747992</v>
      </c>
      <c r="D1225" s="18" t="s">
        <v>209</v>
      </c>
      <c r="E1225" s="18" t="s">
        <v>292</v>
      </c>
      <c r="F1225" s="18" t="s">
        <v>1296</v>
      </c>
      <c r="G1225" s="19">
        <v>5366424</v>
      </c>
      <c r="H1225" s="18" t="s">
        <v>1296</v>
      </c>
      <c r="I1225" s="19">
        <v>4512653</v>
      </c>
      <c r="J1225" s="18" t="s">
        <v>1015</v>
      </c>
      <c r="K1225" s="19">
        <v>0</v>
      </c>
      <c r="L1225" s="19">
        <v>0</v>
      </c>
      <c r="M1225" s="19">
        <v>0</v>
      </c>
      <c r="N1225" s="20">
        <v>0</v>
      </c>
      <c r="O1225" s="19">
        <v>0</v>
      </c>
      <c r="P1225" s="19">
        <v>0</v>
      </c>
      <c r="Q1225" s="19">
        <v>0</v>
      </c>
      <c r="R1225" s="19">
        <v>0</v>
      </c>
      <c r="S1225" s="19">
        <v>0</v>
      </c>
      <c r="T1225" s="19">
        <v>0</v>
      </c>
      <c r="U1225" s="19">
        <v>0</v>
      </c>
      <c r="V1225" s="19">
        <v>0</v>
      </c>
      <c r="W1225" s="19">
        <v>0</v>
      </c>
      <c r="X1225" s="19">
        <v>0</v>
      </c>
      <c r="Y1225" s="20">
        <v>0</v>
      </c>
      <c r="Z1225" s="19">
        <v>0</v>
      </c>
      <c r="AA1225" s="19">
        <v>0</v>
      </c>
      <c r="AB1225" t="str">
        <f>VLOOKUP(E:E,笔记匹配!A:N,3,FALSE)</f>
        <v>形体矫正小李</v>
      </c>
      <c r="AC1225" t="str">
        <f>VLOOKUP(E:E,笔记匹配!A:N,2,FALSE)</f>
        <v>筋膜枪</v>
      </c>
      <c r="AD1225" t="str">
        <f>VLOOKUP(E:E,笔记匹配!A:N,4,FALSE)</f>
        <v>云麦筋膜枪PB2</v>
      </c>
      <c r="AE1225" t="str">
        <f>VLOOKUP(E:E,笔记匹配!A:N,14,FALSE)</f>
        <v>云麦筋膜枪pb2</v>
      </c>
      <c r="AF1225" t="str">
        <f>VLOOKUP(E:E,笔记匹配!A:N,6,FALSE)</f>
        <v>大腿内侧赘肉消失术‼️练出细长漫画腿全靠它</v>
      </c>
    </row>
    <row r="1226" spans="1:32">
      <c r="A1226" s="18" t="s">
        <v>166</v>
      </c>
      <c r="B1226" s="18" t="s">
        <v>1303</v>
      </c>
      <c r="C1226" s="19">
        <v>21880743</v>
      </c>
      <c r="D1226" s="18" t="s">
        <v>209</v>
      </c>
      <c r="E1226" s="18" t="s">
        <v>234</v>
      </c>
      <c r="F1226" s="18" t="s">
        <v>1304</v>
      </c>
      <c r="G1226" s="19">
        <v>5428999</v>
      </c>
      <c r="H1226" s="18" t="s">
        <v>1304</v>
      </c>
      <c r="I1226" s="19">
        <v>4559759</v>
      </c>
      <c r="J1226" s="18" t="s">
        <v>1015</v>
      </c>
      <c r="K1226" s="19">
        <v>0</v>
      </c>
      <c r="L1226" s="19">
        <v>0</v>
      </c>
      <c r="M1226" s="19">
        <v>0</v>
      </c>
      <c r="N1226" s="20">
        <v>0</v>
      </c>
      <c r="O1226" s="19">
        <v>0</v>
      </c>
      <c r="P1226" s="19">
        <v>0</v>
      </c>
      <c r="Q1226" s="19">
        <v>0</v>
      </c>
      <c r="R1226" s="19">
        <v>0</v>
      </c>
      <c r="S1226" s="19">
        <v>0</v>
      </c>
      <c r="T1226" s="19">
        <v>0</v>
      </c>
      <c r="U1226" s="19">
        <v>0</v>
      </c>
      <c r="V1226" s="19">
        <v>0</v>
      </c>
      <c r="W1226" s="19">
        <v>0</v>
      </c>
      <c r="X1226" s="19">
        <v>0</v>
      </c>
      <c r="Y1226" s="20">
        <v>0</v>
      </c>
      <c r="Z1226" s="19">
        <v>0</v>
      </c>
      <c r="AA1226" s="19">
        <v>0</v>
      </c>
      <c r="AB1226" t="str">
        <f>VLOOKUP(E:E,笔记匹配!A:N,3,FALSE)</f>
        <v>pp</v>
      </c>
      <c r="AC1226" t="str">
        <f>VLOOKUP(E:E,笔记匹配!A:N,2,FALSE)</f>
        <v>体脂秤</v>
      </c>
      <c r="AD1226" t="str">
        <f>VLOOKUP(E:E,笔记匹配!A:N,4,FALSE)</f>
        <v>云麦体脂秤3mini</v>
      </c>
      <c r="AE1226" t="str">
        <f>VLOOKUP(E:E,笔记匹配!A:N,14,FALSE)</f>
        <v>云麦体脂秤3mini</v>
      </c>
      <c r="AF1226" t="str">
        <f>VLOOKUP(E:E,笔记匹配!A:N,6,FALSE)</f>
        <v>110到88 一些减肥小建议｜如何正确运动</v>
      </c>
    </row>
    <row r="1227" spans="1:32">
      <c r="A1227" s="18" t="s">
        <v>166</v>
      </c>
      <c r="B1227" s="18" t="s">
        <v>1311</v>
      </c>
      <c r="C1227" s="19">
        <v>21978813</v>
      </c>
      <c r="D1227" s="18" t="s">
        <v>209</v>
      </c>
      <c r="E1227" s="18" t="s">
        <v>252</v>
      </c>
      <c r="F1227" s="18" t="s">
        <v>1312</v>
      </c>
      <c r="G1227" s="19">
        <v>5474004</v>
      </c>
      <c r="H1227" s="18" t="s">
        <v>1312</v>
      </c>
      <c r="I1227" s="19">
        <v>4594476</v>
      </c>
      <c r="J1227" s="18" t="s">
        <v>1015</v>
      </c>
      <c r="K1227" s="19">
        <v>0</v>
      </c>
      <c r="L1227" s="19">
        <v>0</v>
      </c>
      <c r="M1227" s="19">
        <v>0</v>
      </c>
      <c r="N1227" s="20">
        <v>0</v>
      </c>
      <c r="O1227" s="19">
        <v>0</v>
      </c>
      <c r="P1227" s="19">
        <v>0</v>
      </c>
      <c r="Q1227" s="19">
        <v>0</v>
      </c>
      <c r="R1227" s="19">
        <v>0</v>
      </c>
      <c r="S1227" s="19">
        <v>0</v>
      </c>
      <c r="T1227" s="19">
        <v>0</v>
      </c>
      <c r="U1227" s="19">
        <v>0</v>
      </c>
      <c r="V1227" s="19">
        <v>0</v>
      </c>
      <c r="W1227" s="19">
        <v>0</v>
      </c>
      <c r="X1227" s="19">
        <v>0</v>
      </c>
      <c r="Y1227" s="20">
        <v>0</v>
      </c>
      <c r="Z1227" s="19">
        <v>0</v>
      </c>
      <c r="AA1227" s="19">
        <v>0</v>
      </c>
      <c r="AB1227" t="str">
        <f>VLOOKUP(E:E,笔记匹配!A:N,3,FALSE)</f>
        <v>脆鱼日记</v>
      </c>
      <c r="AC1227" t="str">
        <f>VLOOKUP(E:E,笔记匹配!A:N,2,FALSE)</f>
        <v>筋膜枪</v>
      </c>
      <c r="AD1227" t="str">
        <f>VLOOKUP(E:E,笔记匹配!A:N,4,FALSE)</f>
        <v>云麦筋膜枪cc</v>
      </c>
      <c r="AE1227" t="str">
        <f>VLOOKUP(E:E,笔记匹配!A:N,14,FALSE)</f>
        <v>云麦筋膜枪ccgo</v>
      </c>
      <c r="AF1227" t="str">
        <f>VLOOKUP(E:E,笔记匹配!A:N,6,FALSE)</f>
        <v>每天坚持这4个动作🔥瘦脂包肌小腿‼️已瘦4cm</v>
      </c>
    </row>
    <row r="1228" spans="1:32">
      <c r="A1228" s="18" t="s">
        <v>166</v>
      </c>
      <c r="B1228" s="18" t="s">
        <v>1314</v>
      </c>
      <c r="C1228" s="19">
        <v>22072602</v>
      </c>
      <c r="D1228" s="18" t="s">
        <v>209</v>
      </c>
      <c r="E1228" s="18" t="s">
        <v>274</v>
      </c>
      <c r="F1228" s="18" t="s">
        <v>1315</v>
      </c>
      <c r="G1228" s="19">
        <v>5521266</v>
      </c>
      <c r="H1228" s="18" t="s">
        <v>1315</v>
      </c>
      <c r="I1228" s="19">
        <v>4629783</v>
      </c>
      <c r="J1228" s="18" t="s">
        <v>1015</v>
      </c>
      <c r="K1228" s="19">
        <v>0</v>
      </c>
      <c r="L1228" s="19">
        <v>0</v>
      </c>
      <c r="M1228" s="19">
        <v>0</v>
      </c>
      <c r="N1228" s="20">
        <v>0</v>
      </c>
      <c r="O1228" s="19">
        <v>0</v>
      </c>
      <c r="P1228" s="19">
        <v>0</v>
      </c>
      <c r="Q1228" s="19">
        <v>0</v>
      </c>
      <c r="R1228" s="19">
        <v>0</v>
      </c>
      <c r="S1228" s="19">
        <v>0</v>
      </c>
      <c r="T1228" s="19">
        <v>0</v>
      </c>
      <c r="U1228" s="19">
        <v>0</v>
      </c>
      <c r="V1228" s="19">
        <v>0</v>
      </c>
      <c r="W1228" s="19">
        <v>0</v>
      </c>
      <c r="X1228" s="19">
        <v>0</v>
      </c>
      <c r="Y1228" s="20">
        <v>0</v>
      </c>
      <c r="Z1228" s="19">
        <v>0</v>
      </c>
      <c r="AA1228" s="19">
        <v>0</v>
      </c>
      <c r="AB1228" t="str">
        <f>VLOOKUP(E:E,笔记匹配!A:N,3,FALSE)</f>
        <v>西米是个小可爱</v>
      </c>
      <c r="AC1228" t="str">
        <f>VLOOKUP(E:E,笔记匹配!A:N,2,FALSE)</f>
        <v>筋膜枪</v>
      </c>
      <c r="AD1228" t="str">
        <f>VLOOKUP(E:E,笔记匹配!A:N,4,FALSE)</f>
        <v>云麦筋膜枪PB2</v>
      </c>
      <c r="AE1228" t="str">
        <f>VLOOKUP(E:E,笔记匹配!A:N,14,FALSE)</f>
        <v>云麦筋膜枪pb2</v>
      </c>
      <c r="AF1228" t="str">
        <f>VLOOKUP(E:E,笔记匹配!A:N,6,FALSE)</f>
        <v>筋膜枪千万不能乱用！正确肩颈使用方法</v>
      </c>
    </row>
    <row r="1229" spans="1:32">
      <c r="A1229" s="18" t="s">
        <v>166</v>
      </c>
      <c r="B1229" s="18" t="s">
        <v>1342</v>
      </c>
      <c r="C1229" s="19">
        <v>22596197</v>
      </c>
      <c r="D1229" s="18" t="s">
        <v>209</v>
      </c>
      <c r="E1229" s="18" t="s">
        <v>271</v>
      </c>
      <c r="F1229" s="18" t="s">
        <v>1343</v>
      </c>
      <c r="G1229" s="19">
        <v>5771085</v>
      </c>
      <c r="H1229" s="18" t="s">
        <v>1343</v>
      </c>
      <c r="I1229" s="19">
        <v>4823658</v>
      </c>
      <c r="J1229" s="18" t="s">
        <v>1015</v>
      </c>
      <c r="K1229" s="19">
        <v>0</v>
      </c>
      <c r="L1229" s="19">
        <v>0</v>
      </c>
      <c r="M1229" s="19">
        <v>0</v>
      </c>
      <c r="N1229" s="20">
        <v>0</v>
      </c>
      <c r="O1229" s="19">
        <v>0</v>
      </c>
      <c r="P1229" s="19">
        <v>0</v>
      </c>
      <c r="Q1229" s="19">
        <v>0</v>
      </c>
      <c r="R1229" s="19">
        <v>0</v>
      </c>
      <c r="S1229" s="19">
        <v>0</v>
      </c>
      <c r="T1229" s="19">
        <v>0</v>
      </c>
      <c r="U1229" s="19">
        <v>0</v>
      </c>
      <c r="V1229" s="19">
        <v>0</v>
      </c>
      <c r="W1229" s="19">
        <v>0</v>
      </c>
      <c r="X1229" s="19">
        <v>0</v>
      </c>
      <c r="Y1229" s="20">
        <v>0</v>
      </c>
      <c r="Z1229" s="19">
        <v>0</v>
      </c>
      <c r="AA1229" s="19">
        <v>0</v>
      </c>
      <c r="AB1229" t="str">
        <f>VLOOKUP(E:E,笔记匹配!A:N,3,FALSE)</f>
        <v>爱健身的陈淼淼</v>
      </c>
      <c r="AC1229" t="str">
        <f>VLOOKUP(E:E,笔记匹配!A:N,2,FALSE)</f>
        <v>筋膜枪</v>
      </c>
      <c r="AD1229" t="str">
        <f>VLOOKUP(E:E,笔记匹配!A:N,4,FALSE)</f>
        <v>云麦筋膜枪pb2</v>
      </c>
      <c r="AE1229" t="str">
        <f>VLOOKUP(E:E,笔记匹配!A:N,14,FALSE)</f>
        <v>云麦筋膜枪pb2</v>
      </c>
      <c r="AF1229" t="str">
        <f>VLOOKUP(E:E,笔记匹配!A:N,6,FALSE)</f>
        <v>真的有用‼️小腿外翻改善了，一定要试试❗</v>
      </c>
    </row>
    <row r="1230" spans="1:32">
      <c r="A1230" s="18" t="s">
        <v>166</v>
      </c>
      <c r="B1230" s="18" t="s">
        <v>1346</v>
      </c>
      <c r="C1230" s="19">
        <v>22762574</v>
      </c>
      <c r="D1230" s="18" t="s">
        <v>209</v>
      </c>
      <c r="E1230" s="18" t="s">
        <v>271</v>
      </c>
      <c r="F1230" s="18" t="s">
        <v>1347</v>
      </c>
      <c r="G1230" s="19">
        <v>5851094</v>
      </c>
      <c r="H1230" s="18" t="s">
        <v>1348</v>
      </c>
      <c r="I1230" s="19">
        <v>4883982</v>
      </c>
      <c r="J1230" s="18" t="s">
        <v>1015</v>
      </c>
      <c r="K1230" s="19">
        <v>0</v>
      </c>
      <c r="L1230" s="19">
        <v>0</v>
      </c>
      <c r="M1230" s="19">
        <v>0</v>
      </c>
      <c r="N1230" s="20">
        <v>0</v>
      </c>
      <c r="O1230" s="19">
        <v>0</v>
      </c>
      <c r="P1230" s="19">
        <v>0</v>
      </c>
      <c r="Q1230" s="19">
        <v>0</v>
      </c>
      <c r="R1230" s="19">
        <v>0</v>
      </c>
      <c r="S1230" s="19">
        <v>0</v>
      </c>
      <c r="T1230" s="19">
        <v>0</v>
      </c>
      <c r="U1230" s="19">
        <v>0</v>
      </c>
      <c r="V1230" s="19">
        <v>0</v>
      </c>
      <c r="W1230" s="19">
        <v>0</v>
      </c>
      <c r="X1230" s="19">
        <v>0</v>
      </c>
      <c r="Y1230" s="20">
        <v>0</v>
      </c>
      <c r="Z1230" s="19">
        <v>0</v>
      </c>
      <c r="AA1230" s="19">
        <v>0</v>
      </c>
      <c r="AB1230" t="str">
        <f>VLOOKUP(E:E,笔记匹配!A:N,3,FALSE)</f>
        <v>爱健身的陈淼淼</v>
      </c>
      <c r="AC1230" t="str">
        <f>VLOOKUP(E:E,笔记匹配!A:N,2,FALSE)</f>
        <v>筋膜枪</v>
      </c>
      <c r="AD1230" t="str">
        <f>VLOOKUP(E:E,笔记匹配!A:N,4,FALSE)</f>
        <v>云麦筋膜枪pb2</v>
      </c>
      <c r="AE1230" t="str">
        <f>VLOOKUP(E:E,笔记匹配!A:N,14,FALSE)</f>
        <v>云麦筋膜枪pb2</v>
      </c>
      <c r="AF1230" t="str">
        <f>VLOOKUP(E:E,笔记匹配!A:N,6,FALSE)</f>
        <v>真的有用‼️小腿外翻改善了，一定要试试❗</v>
      </c>
    </row>
    <row r="1231" spans="1:32">
      <c r="A1231" s="18" t="s">
        <v>166</v>
      </c>
      <c r="B1231" s="18" t="s">
        <v>1349</v>
      </c>
      <c r="C1231" s="19">
        <v>22820705</v>
      </c>
      <c r="D1231" s="18" t="s">
        <v>209</v>
      </c>
      <c r="E1231" s="18" t="s">
        <v>214</v>
      </c>
      <c r="F1231" s="18" t="s">
        <v>1350</v>
      </c>
      <c r="G1231" s="19">
        <v>5880638</v>
      </c>
      <c r="H1231" s="18" t="s">
        <v>1351</v>
      </c>
      <c r="I1231" s="19">
        <v>4905165</v>
      </c>
      <c r="J1231" s="18" t="s">
        <v>1015</v>
      </c>
      <c r="K1231" s="19">
        <v>0.2</v>
      </c>
      <c r="L1231" s="19">
        <v>23</v>
      </c>
      <c r="M1231" s="19">
        <v>1</v>
      </c>
      <c r="N1231" s="20">
        <v>0.0435</v>
      </c>
      <c r="O1231" s="19">
        <v>0.2</v>
      </c>
      <c r="P1231" s="19">
        <v>8.7</v>
      </c>
      <c r="Q1231" s="19">
        <v>0</v>
      </c>
      <c r="R1231" s="19">
        <v>0</v>
      </c>
      <c r="S1231" s="19">
        <v>0</v>
      </c>
      <c r="T1231" s="19">
        <v>0</v>
      </c>
      <c r="U1231" s="19">
        <v>0</v>
      </c>
      <c r="V1231" s="19">
        <v>0</v>
      </c>
      <c r="W1231" s="19">
        <v>0</v>
      </c>
      <c r="X1231" s="19">
        <v>0</v>
      </c>
      <c r="Y1231" s="20">
        <v>0</v>
      </c>
      <c r="Z1231" s="19">
        <v>0</v>
      </c>
      <c r="AA1231" s="19">
        <v>0</v>
      </c>
      <c r="AB1231" t="str">
        <f>VLOOKUP(E:E,笔记匹配!A:N,3,FALSE)</f>
        <v>Zora張張</v>
      </c>
      <c r="AC1231" t="str">
        <f>VLOOKUP(E:E,笔记匹配!A:N,2,FALSE)</f>
        <v>筋膜枪</v>
      </c>
      <c r="AD1231" t="str">
        <f>VLOOKUP(E:E,笔记匹配!A:N,4,FALSE)</f>
        <v>云麦筋膜枪cc</v>
      </c>
      <c r="AE1231" t="str">
        <f>VLOOKUP(E:E,笔记匹配!A:N,14,FALSE)</f>
        <v>云麦筋膜枪ccgo</v>
      </c>
      <c r="AF1231" t="str">
        <f>VLOOKUP(E:E,笔记匹配!A:N,6,FALSE)</f>
        <v>宿舍姐妹花人手一个！这筋膜枪有点东西🧐</v>
      </c>
    </row>
    <row r="1232" spans="1:32">
      <c r="A1232" s="18" t="s">
        <v>166</v>
      </c>
      <c r="B1232" s="18" t="s">
        <v>1352</v>
      </c>
      <c r="C1232" s="19">
        <v>22845628</v>
      </c>
      <c r="D1232" s="18" t="s">
        <v>209</v>
      </c>
      <c r="E1232" s="18" t="s">
        <v>252</v>
      </c>
      <c r="F1232" s="18" t="s">
        <v>1353</v>
      </c>
      <c r="G1232" s="19">
        <v>5893381</v>
      </c>
      <c r="H1232" s="18" t="s">
        <v>1353</v>
      </c>
      <c r="I1232" s="19">
        <v>4914610</v>
      </c>
      <c r="J1232" s="18" t="s">
        <v>1015</v>
      </c>
      <c r="K1232" s="19">
        <v>2013.83</v>
      </c>
      <c r="L1232" s="19">
        <v>117265</v>
      </c>
      <c r="M1232" s="19">
        <v>7850</v>
      </c>
      <c r="N1232" s="20">
        <v>0.0669</v>
      </c>
      <c r="O1232" s="19">
        <v>0.26</v>
      </c>
      <c r="P1232" s="19">
        <v>17.17</v>
      </c>
      <c r="Q1232" s="19">
        <v>371</v>
      </c>
      <c r="R1232" s="19">
        <v>3</v>
      </c>
      <c r="S1232" s="19">
        <v>234</v>
      </c>
      <c r="T1232" s="19">
        <v>10</v>
      </c>
      <c r="U1232" s="19">
        <v>6</v>
      </c>
      <c r="V1232" s="19">
        <v>624</v>
      </c>
      <c r="W1232" s="19">
        <v>3.23</v>
      </c>
      <c r="X1232" s="19">
        <v>0</v>
      </c>
      <c r="Y1232" s="20">
        <v>0</v>
      </c>
      <c r="Z1232" s="19">
        <v>1</v>
      </c>
      <c r="AA1232" s="19">
        <v>9</v>
      </c>
      <c r="AB1232" t="str">
        <f>VLOOKUP(E:E,笔记匹配!A:N,3,FALSE)</f>
        <v>脆鱼日记</v>
      </c>
      <c r="AC1232" t="str">
        <f>VLOOKUP(E:E,笔记匹配!A:N,2,FALSE)</f>
        <v>筋膜枪</v>
      </c>
      <c r="AD1232" t="str">
        <f>VLOOKUP(E:E,笔记匹配!A:N,4,FALSE)</f>
        <v>云麦筋膜枪cc</v>
      </c>
      <c r="AE1232" t="str">
        <f>VLOOKUP(E:E,笔记匹配!A:N,14,FALSE)</f>
        <v>云麦筋膜枪ccgo</v>
      </c>
      <c r="AF1232" t="str">
        <f>VLOOKUP(E:E,笔记匹配!A:N,6,FALSE)</f>
        <v>每天坚持这4个动作🔥瘦脂包肌小腿‼️已瘦4cm</v>
      </c>
    </row>
    <row r="1233" spans="1:32">
      <c r="A1233" s="18" t="s">
        <v>167</v>
      </c>
      <c r="B1233" s="18" t="s">
        <v>1267</v>
      </c>
      <c r="C1233" s="19">
        <v>21360243</v>
      </c>
      <c r="D1233" s="18" t="s">
        <v>209</v>
      </c>
      <c r="E1233" s="18" t="s">
        <v>220</v>
      </c>
      <c r="F1233" s="18" t="s">
        <v>1268</v>
      </c>
      <c r="G1233" s="19">
        <v>5192303</v>
      </c>
      <c r="H1233" s="18" t="s">
        <v>1269</v>
      </c>
      <c r="I1233" s="19">
        <v>4379647</v>
      </c>
      <c r="J1233" s="18" t="s">
        <v>1015</v>
      </c>
      <c r="K1233" s="19">
        <v>1021.06</v>
      </c>
      <c r="L1233" s="19">
        <v>76996</v>
      </c>
      <c r="M1233" s="19">
        <v>3369</v>
      </c>
      <c r="N1233" s="20">
        <v>0.0438</v>
      </c>
      <c r="O1233" s="19">
        <v>0.3</v>
      </c>
      <c r="P1233" s="19">
        <v>13.26</v>
      </c>
      <c r="Q1233" s="19">
        <v>125</v>
      </c>
      <c r="R1233" s="19">
        <v>0</v>
      </c>
      <c r="S1233" s="19">
        <v>53</v>
      </c>
      <c r="T1233" s="19">
        <v>0</v>
      </c>
      <c r="U1233" s="19">
        <v>4</v>
      </c>
      <c r="V1233" s="19">
        <v>182</v>
      </c>
      <c r="W1233" s="19">
        <v>5.61</v>
      </c>
      <c r="X1233" s="19">
        <v>0</v>
      </c>
      <c r="Y1233" s="20">
        <v>0</v>
      </c>
      <c r="Z1233" s="19">
        <v>13</v>
      </c>
      <c r="AA1233" s="19">
        <v>0</v>
      </c>
      <c r="AB1233" t="str">
        <f>VLOOKUP(E:E,笔记匹配!A:N,3,FALSE)</f>
        <v>一颗西兰花fa</v>
      </c>
      <c r="AC1233" t="str">
        <f>VLOOKUP(E:E,笔记匹配!A:N,2,FALSE)</f>
        <v>筋膜枪</v>
      </c>
      <c r="AD1233" t="str">
        <f>VLOOKUP(E:E,笔记匹配!A:N,4,FALSE)</f>
        <v>云麦筋膜枪PB2</v>
      </c>
      <c r="AE1233" t="str">
        <f>VLOOKUP(E:E,笔记匹配!A:N,14,FALSE)</f>
        <v>云麦筋膜枪pb2</v>
      </c>
      <c r="AF1233" t="str">
        <f>VLOOKUP(E:E,笔记匹配!A:N,6,FALSE)</f>
        <v>有没有姐妹跟我一样被肌肉腿困扰了好久！</v>
      </c>
    </row>
    <row r="1234" spans="1:32">
      <c r="A1234" s="18" t="s">
        <v>167</v>
      </c>
      <c r="B1234" s="18" t="s">
        <v>1294</v>
      </c>
      <c r="C1234" s="19">
        <v>21747929</v>
      </c>
      <c r="D1234" s="18" t="s">
        <v>209</v>
      </c>
      <c r="E1234" s="18" t="s">
        <v>208</v>
      </c>
      <c r="F1234" s="18" t="s">
        <v>1295</v>
      </c>
      <c r="G1234" s="19">
        <v>5366393</v>
      </c>
      <c r="H1234" s="18" t="s">
        <v>1295</v>
      </c>
      <c r="I1234" s="19">
        <v>4512630</v>
      </c>
      <c r="J1234" s="18" t="s">
        <v>1015</v>
      </c>
      <c r="K1234" s="19">
        <v>517.58</v>
      </c>
      <c r="L1234" s="19">
        <v>20934</v>
      </c>
      <c r="M1234" s="19">
        <v>1144</v>
      </c>
      <c r="N1234" s="20">
        <v>0.0546</v>
      </c>
      <c r="O1234" s="19">
        <v>0.45</v>
      </c>
      <c r="P1234" s="19">
        <v>24.72</v>
      </c>
      <c r="Q1234" s="19">
        <v>63</v>
      </c>
      <c r="R1234" s="19">
        <v>1</v>
      </c>
      <c r="S1234" s="19">
        <v>23</v>
      </c>
      <c r="T1234" s="19">
        <v>0</v>
      </c>
      <c r="U1234" s="19">
        <v>3</v>
      </c>
      <c r="V1234" s="19">
        <v>90</v>
      </c>
      <c r="W1234" s="19">
        <v>5.75</v>
      </c>
      <c r="X1234" s="19">
        <v>0</v>
      </c>
      <c r="Y1234" s="20">
        <v>0</v>
      </c>
      <c r="Z1234" s="19">
        <v>6</v>
      </c>
      <c r="AA1234" s="19">
        <v>2</v>
      </c>
      <c r="AB1234" t="str">
        <f>VLOOKUP(E:E,笔记匹配!A:N,3,FALSE)</f>
        <v>小羊羔崽子</v>
      </c>
      <c r="AC1234" t="str">
        <f>VLOOKUP(E:E,笔记匹配!A:N,2,FALSE)</f>
        <v>筋膜枪</v>
      </c>
      <c r="AD1234" t="str">
        <f>VLOOKUP(E:E,笔记匹配!A:N,4,FALSE)</f>
        <v>云麦筋膜枪PB2</v>
      </c>
      <c r="AE1234" t="str">
        <f>VLOOKUP(E:E,笔记匹配!A:N,14,FALSE)</f>
        <v>云麦筋膜枪pb2</v>
      </c>
      <c r="AF1234" t="str">
        <f>VLOOKUP(E:E,笔记匹配!A:N,6,FALSE)</f>
        <v>用了多年泡沫轴，才知道筋膜枪是真的香！！！</v>
      </c>
    </row>
    <row r="1235" spans="1:32">
      <c r="A1235" s="18" t="s">
        <v>167</v>
      </c>
      <c r="B1235" s="18" t="s">
        <v>1316</v>
      </c>
      <c r="C1235" s="19">
        <v>22072814</v>
      </c>
      <c r="D1235" s="18" t="s">
        <v>196</v>
      </c>
      <c r="E1235" s="18" t="s">
        <v>201</v>
      </c>
      <c r="F1235" s="18" t="s">
        <v>1317</v>
      </c>
      <c r="G1235" s="19">
        <v>5521358</v>
      </c>
      <c r="H1235" s="18" t="s">
        <v>1317</v>
      </c>
      <c r="I1235" s="19">
        <v>4629845</v>
      </c>
      <c r="J1235" s="18" t="s">
        <v>1015</v>
      </c>
      <c r="K1235" s="19">
        <v>97.39</v>
      </c>
      <c r="L1235" s="19">
        <v>1636</v>
      </c>
      <c r="M1235" s="19">
        <v>213</v>
      </c>
      <c r="N1235" s="20">
        <v>0.1302</v>
      </c>
      <c r="O1235" s="19">
        <v>0.46</v>
      </c>
      <c r="P1235" s="19">
        <v>59.53</v>
      </c>
      <c r="Q1235" s="19">
        <v>5</v>
      </c>
      <c r="R1235" s="19">
        <v>0</v>
      </c>
      <c r="S1235" s="19">
        <v>1</v>
      </c>
      <c r="T1235" s="19">
        <v>0</v>
      </c>
      <c r="U1235" s="19">
        <v>0</v>
      </c>
      <c r="V1235" s="19">
        <v>6</v>
      </c>
      <c r="W1235" s="19">
        <v>16.23</v>
      </c>
      <c r="X1235" s="19">
        <v>2</v>
      </c>
      <c r="Y1235" s="20">
        <v>0.0094</v>
      </c>
      <c r="Z1235" s="19">
        <v>1</v>
      </c>
      <c r="AA1235" s="19">
        <v>1</v>
      </c>
      <c r="AB1235" t="str">
        <f>VLOOKUP(E:E,笔记匹配!A:N,3,FALSE)</f>
        <v>包子熟了</v>
      </c>
      <c r="AC1235" t="str">
        <f>VLOOKUP(E:E,笔记匹配!A:N,2,FALSE)</f>
        <v>筋膜枪</v>
      </c>
      <c r="AD1235" t="str">
        <f>VLOOKUP(E:E,笔记匹配!A:N,4,FALSE)</f>
        <v>云麦筋膜枪</v>
      </c>
      <c r="AE1235" t="str">
        <f>VLOOKUP(E:E,笔记匹配!A:N,14,FALSE)</f>
        <v>云麦筋膜枪pb2</v>
      </c>
      <c r="AF1235" t="str">
        <f>VLOOKUP(E:E,笔记匹配!A:N,6,FALSE)</f>
        <v>筋膜枪测评|健身小白如何挑选筋膜枪？</v>
      </c>
    </row>
    <row r="1236" spans="1:32">
      <c r="A1236" s="18" t="s">
        <v>167</v>
      </c>
      <c r="B1236" s="18" t="s">
        <v>1316</v>
      </c>
      <c r="C1236" s="19">
        <v>22072908</v>
      </c>
      <c r="D1236" s="18" t="s">
        <v>196</v>
      </c>
      <c r="E1236" s="18" t="s">
        <v>201</v>
      </c>
      <c r="F1236" s="18" t="s">
        <v>1318</v>
      </c>
      <c r="G1236" s="19">
        <v>5521414</v>
      </c>
      <c r="H1236" s="18" t="s">
        <v>1318</v>
      </c>
      <c r="I1236" s="19">
        <v>4629891</v>
      </c>
      <c r="J1236" s="18" t="s">
        <v>1015</v>
      </c>
      <c r="K1236" s="19">
        <v>203.72</v>
      </c>
      <c r="L1236" s="19">
        <v>4969</v>
      </c>
      <c r="M1236" s="19">
        <v>297</v>
      </c>
      <c r="N1236" s="20">
        <v>0.0598</v>
      </c>
      <c r="O1236" s="19">
        <v>0.69</v>
      </c>
      <c r="P1236" s="19">
        <v>41</v>
      </c>
      <c r="Q1236" s="19">
        <v>1</v>
      </c>
      <c r="R1236" s="19">
        <v>0</v>
      </c>
      <c r="S1236" s="19">
        <v>1</v>
      </c>
      <c r="T1236" s="19">
        <v>1</v>
      </c>
      <c r="U1236" s="19">
        <v>0</v>
      </c>
      <c r="V1236" s="19">
        <v>3</v>
      </c>
      <c r="W1236" s="19">
        <v>67.91</v>
      </c>
      <c r="X1236" s="19">
        <v>1</v>
      </c>
      <c r="Y1236" s="20">
        <v>0.0034</v>
      </c>
      <c r="Z1236" s="19">
        <v>1</v>
      </c>
      <c r="AA1236" s="19">
        <v>2</v>
      </c>
      <c r="AB1236" t="str">
        <f>VLOOKUP(E:E,笔记匹配!A:N,3,FALSE)</f>
        <v>包子熟了</v>
      </c>
      <c r="AC1236" t="str">
        <f>VLOOKUP(E:E,笔记匹配!A:N,2,FALSE)</f>
        <v>筋膜枪</v>
      </c>
      <c r="AD1236" t="str">
        <f>VLOOKUP(E:E,笔记匹配!A:N,4,FALSE)</f>
        <v>云麦筋膜枪</v>
      </c>
      <c r="AE1236" t="str">
        <f>VLOOKUP(E:E,笔记匹配!A:N,14,FALSE)</f>
        <v>云麦筋膜枪pb2</v>
      </c>
      <c r="AF1236" t="str">
        <f>VLOOKUP(E:E,笔记匹配!A:N,6,FALSE)</f>
        <v>筋膜枪测评|健身小白如何挑选筋膜枪？</v>
      </c>
    </row>
    <row r="1237" spans="1:32">
      <c r="A1237" s="18" t="s">
        <v>167</v>
      </c>
      <c r="B1237" s="18" t="s">
        <v>1338</v>
      </c>
      <c r="C1237" s="19">
        <v>22516134</v>
      </c>
      <c r="D1237" s="18" t="s">
        <v>209</v>
      </c>
      <c r="E1237" s="18" t="s">
        <v>284</v>
      </c>
      <c r="F1237" s="18" t="s">
        <v>1340</v>
      </c>
      <c r="G1237" s="19">
        <v>5732324</v>
      </c>
      <c r="H1237" s="18" t="s">
        <v>1340</v>
      </c>
      <c r="I1237" s="19">
        <v>4792636</v>
      </c>
      <c r="J1237" s="18" t="s">
        <v>1015</v>
      </c>
      <c r="K1237" s="19">
        <v>0</v>
      </c>
      <c r="L1237" s="19">
        <v>0</v>
      </c>
      <c r="M1237" s="19">
        <v>0</v>
      </c>
      <c r="N1237" s="20">
        <v>0</v>
      </c>
      <c r="O1237" s="19">
        <v>0</v>
      </c>
      <c r="P1237" s="19">
        <v>0</v>
      </c>
      <c r="Q1237" s="19">
        <v>0</v>
      </c>
      <c r="R1237" s="19">
        <v>0</v>
      </c>
      <c r="S1237" s="19">
        <v>0</v>
      </c>
      <c r="T1237" s="19">
        <v>0</v>
      </c>
      <c r="U1237" s="19">
        <v>0</v>
      </c>
      <c r="V1237" s="19">
        <v>0</v>
      </c>
      <c r="W1237" s="19">
        <v>0</v>
      </c>
      <c r="X1237" s="19">
        <v>0</v>
      </c>
      <c r="Y1237" s="20">
        <v>0</v>
      </c>
      <c r="Z1237" s="19">
        <v>0</v>
      </c>
      <c r="AA1237" s="19">
        <v>0</v>
      </c>
      <c r="AB1237" t="str">
        <f>VLOOKUP(E:E,笔记匹配!A:N,3,FALSE)</f>
        <v>周周也是倩倩</v>
      </c>
      <c r="AC1237" t="str">
        <f>VLOOKUP(E:E,笔记匹配!A:N,2,FALSE)</f>
        <v>筋膜枪</v>
      </c>
      <c r="AD1237" t="str">
        <f>VLOOKUP(E:E,笔记匹配!A:N,4,FALSE)</f>
        <v>云麦筋膜枪cc</v>
      </c>
      <c r="AE1237" t="str">
        <f>VLOOKUP(E:E,笔记匹配!A:N,14,FALSE)</f>
        <v>云麦筋膜枪ccgo</v>
      </c>
      <c r="AF1237" t="str">
        <f>VLOOKUP(E:E,笔记匹配!A:N,6,FALSE)</f>
        <v>姐妹们学会这三招，斜方肌想变“厚”都难！！！</v>
      </c>
    </row>
    <row r="1238" spans="1:32">
      <c r="A1238" s="18" t="s">
        <v>167</v>
      </c>
      <c r="B1238" s="18" t="s">
        <v>1346</v>
      </c>
      <c r="C1238" s="19">
        <v>22762574</v>
      </c>
      <c r="D1238" s="18" t="s">
        <v>209</v>
      </c>
      <c r="E1238" s="18" t="s">
        <v>271</v>
      </c>
      <c r="F1238" s="18" t="s">
        <v>1347</v>
      </c>
      <c r="G1238" s="19">
        <v>5851094</v>
      </c>
      <c r="H1238" s="18" t="s">
        <v>1348</v>
      </c>
      <c r="I1238" s="19">
        <v>4883982</v>
      </c>
      <c r="J1238" s="18" t="s">
        <v>1015</v>
      </c>
      <c r="K1238" s="19">
        <v>0</v>
      </c>
      <c r="L1238" s="19">
        <v>0</v>
      </c>
      <c r="M1238" s="19">
        <v>0</v>
      </c>
      <c r="N1238" s="20">
        <v>0</v>
      </c>
      <c r="O1238" s="19">
        <v>0</v>
      </c>
      <c r="P1238" s="19">
        <v>0</v>
      </c>
      <c r="Q1238" s="19">
        <v>0</v>
      </c>
      <c r="R1238" s="19">
        <v>0</v>
      </c>
      <c r="S1238" s="19">
        <v>0</v>
      </c>
      <c r="T1238" s="19">
        <v>0</v>
      </c>
      <c r="U1238" s="19">
        <v>0</v>
      </c>
      <c r="V1238" s="19">
        <v>0</v>
      </c>
      <c r="W1238" s="19">
        <v>0</v>
      </c>
      <c r="X1238" s="19">
        <v>0</v>
      </c>
      <c r="Y1238" s="20">
        <v>0</v>
      </c>
      <c r="Z1238" s="19">
        <v>0</v>
      </c>
      <c r="AA1238" s="19">
        <v>0</v>
      </c>
      <c r="AB1238" t="str">
        <f>VLOOKUP(E:E,笔记匹配!A:N,3,FALSE)</f>
        <v>爱健身的陈淼淼</v>
      </c>
      <c r="AC1238" t="str">
        <f>VLOOKUP(E:E,笔记匹配!A:N,2,FALSE)</f>
        <v>筋膜枪</v>
      </c>
      <c r="AD1238" t="str">
        <f>VLOOKUP(E:E,笔记匹配!A:N,4,FALSE)</f>
        <v>云麦筋膜枪pb2</v>
      </c>
      <c r="AE1238" t="str">
        <f>VLOOKUP(E:E,笔记匹配!A:N,14,FALSE)</f>
        <v>云麦筋膜枪pb2</v>
      </c>
      <c r="AF1238" t="str">
        <f>VLOOKUP(E:E,笔记匹配!A:N,6,FALSE)</f>
        <v>真的有用‼️小腿外翻改善了，一定要试试❗</v>
      </c>
    </row>
    <row r="1239" spans="1:32">
      <c r="A1239" s="18" t="s">
        <v>167</v>
      </c>
      <c r="B1239" s="18" t="s">
        <v>1352</v>
      </c>
      <c r="C1239" s="19">
        <v>22845628</v>
      </c>
      <c r="D1239" s="18" t="s">
        <v>209</v>
      </c>
      <c r="E1239" s="18" t="s">
        <v>252</v>
      </c>
      <c r="F1239" s="18" t="s">
        <v>1353</v>
      </c>
      <c r="G1239" s="19">
        <v>5893381</v>
      </c>
      <c r="H1239" s="18" t="s">
        <v>1353</v>
      </c>
      <c r="I1239" s="19">
        <v>4914610</v>
      </c>
      <c r="J1239" s="18" t="s">
        <v>1015</v>
      </c>
      <c r="K1239" s="19">
        <v>1.77</v>
      </c>
      <c r="L1239" s="19">
        <v>277</v>
      </c>
      <c r="M1239" s="19">
        <v>13</v>
      </c>
      <c r="N1239" s="20">
        <v>0.0469</v>
      </c>
      <c r="O1239" s="19">
        <v>0.14</v>
      </c>
      <c r="P1239" s="19">
        <v>6.39</v>
      </c>
      <c r="Q1239" s="19">
        <v>1</v>
      </c>
      <c r="R1239" s="19">
        <v>0</v>
      </c>
      <c r="S1239" s="19">
        <v>0</v>
      </c>
      <c r="T1239" s="19">
        <v>0</v>
      </c>
      <c r="U1239" s="19">
        <v>0</v>
      </c>
      <c r="V1239" s="19">
        <v>1</v>
      </c>
      <c r="W1239" s="19">
        <v>1.77</v>
      </c>
      <c r="X1239" s="19">
        <v>0</v>
      </c>
      <c r="Y1239" s="20">
        <v>0</v>
      </c>
      <c r="Z1239" s="19">
        <v>0</v>
      </c>
      <c r="AA1239" s="19">
        <v>0</v>
      </c>
      <c r="AB1239" t="str">
        <f>VLOOKUP(E:E,笔记匹配!A:N,3,FALSE)</f>
        <v>脆鱼日记</v>
      </c>
      <c r="AC1239" t="str">
        <f>VLOOKUP(E:E,笔记匹配!A:N,2,FALSE)</f>
        <v>筋膜枪</v>
      </c>
      <c r="AD1239" t="str">
        <f>VLOOKUP(E:E,笔记匹配!A:N,4,FALSE)</f>
        <v>云麦筋膜枪cc</v>
      </c>
      <c r="AE1239" t="str">
        <f>VLOOKUP(E:E,笔记匹配!A:N,14,FALSE)</f>
        <v>云麦筋膜枪ccgo</v>
      </c>
      <c r="AF1239" t="str">
        <f>VLOOKUP(E:E,笔记匹配!A:N,6,FALSE)</f>
        <v>每天坚持这4个动作🔥瘦脂包肌小腿‼️已瘦4cm</v>
      </c>
    </row>
    <row r="1240" spans="1:32">
      <c r="A1240" s="18" t="s">
        <v>167</v>
      </c>
      <c r="B1240" s="18" t="s">
        <v>1354</v>
      </c>
      <c r="C1240" s="19">
        <v>22943656</v>
      </c>
      <c r="D1240" s="18" t="s">
        <v>196</v>
      </c>
      <c r="E1240" s="18" t="s">
        <v>201</v>
      </c>
      <c r="F1240" s="18" t="s">
        <v>1355</v>
      </c>
      <c r="G1240" s="19">
        <v>5942225</v>
      </c>
      <c r="H1240" s="18" t="s">
        <v>1356</v>
      </c>
      <c r="I1240" s="19">
        <v>4951199</v>
      </c>
      <c r="J1240" s="18" t="s">
        <v>1015</v>
      </c>
      <c r="K1240" s="19">
        <v>0</v>
      </c>
      <c r="L1240" s="19">
        <v>35</v>
      </c>
      <c r="M1240" s="19">
        <v>0</v>
      </c>
      <c r="N1240" s="20">
        <v>0</v>
      </c>
      <c r="O1240" s="19">
        <v>0</v>
      </c>
      <c r="P1240" s="19">
        <v>0</v>
      </c>
      <c r="Q1240" s="19">
        <v>0</v>
      </c>
      <c r="R1240" s="19">
        <v>0</v>
      </c>
      <c r="S1240" s="19">
        <v>0</v>
      </c>
      <c r="T1240" s="19">
        <v>0</v>
      </c>
      <c r="U1240" s="19">
        <v>0</v>
      </c>
      <c r="V1240" s="19">
        <v>0</v>
      </c>
      <c r="W1240" s="19">
        <v>0</v>
      </c>
      <c r="X1240" s="19">
        <v>0</v>
      </c>
      <c r="Y1240" s="20">
        <v>0</v>
      </c>
      <c r="Z1240" s="19">
        <v>0</v>
      </c>
      <c r="AA1240" s="19">
        <v>0</v>
      </c>
      <c r="AB1240" t="str">
        <f>VLOOKUP(E:E,笔记匹配!A:N,3,FALSE)</f>
        <v>包子熟了</v>
      </c>
      <c r="AC1240" t="str">
        <f>VLOOKUP(E:E,笔记匹配!A:N,2,FALSE)</f>
        <v>筋膜枪</v>
      </c>
      <c r="AD1240" t="str">
        <f>VLOOKUP(E:E,笔记匹配!A:N,4,FALSE)</f>
        <v>云麦筋膜枪</v>
      </c>
      <c r="AE1240" t="str">
        <f>VLOOKUP(E:E,笔记匹配!A:N,14,FALSE)</f>
        <v>云麦筋膜枪pb2</v>
      </c>
      <c r="AF1240" t="str">
        <f>VLOOKUP(E:E,笔记匹配!A:N,6,FALSE)</f>
        <v>筋膜枪测评|健身小白如何挑选筋膜枪？</v>
      </c>
    </row>
    <row r="1241" spans="1:32">
      <c r="A1241" s="18" t="s">
        <v>167</v>
      </c>
      <c r="B1241" s="18" t="s">
        <v>1357</v>
      </c>
      <c r="C1241" s="19">
        <v>22943729</v>
      </c>
      <c r="D1241" s="18" t="s">
        <v>196</v>
      </c>
      <c r="E1241" s="18" t="s">
        <v>220</v>
      </c>
      <c r="F1241" s="18" t="s">
        <v>1355</v>
      </c>
      <c r="G1241" s="19">
        <v>5942225</v>
      </c>
      <c r="H1241" s="18" t="s">
        <v>1356</v>
      </c>
      <c r="I1241" s="19">
        <v>4951199</v>
      </c>
      <c r="J1241" s="18" t="s">
        <v>1015</v>
      </c>
      <c r="K1241" s="19">
        <v>520.2</v>
      </c>
      <c r="L1241" s="19">
        <v>31853</v>
      </c>
      <c r="M1241" s="19">
        <v>1267</v>
      </c>
      <c r="N1241" s="20">
        <v>0.0398</v>
      </c>
      <c r="O1241" s="19">
        <v>0.41</v>
      </c>
      <c r="P1241" s="19">
        <v>16.33</v>
      </c>
      <c r="Q1241" s="19">
        <v>19</v>
      </c>
      <c r="R1241" s="19">
        <v>0</v>
      </c>
      <c r="S1241" s="19">
        <v>12</v>
      </c>
      <c r="T1241" s="19">
        <v>0</v>
      </c>
      <c r="U1241" s="19">
        <v>0</v>
      </c>
      <c r="V1241" s="19">
        <v>31</v>
      </c>
      <c r="W1241" s="19">
        <v>16.78</v>
      </c>
      <c r="X1241" s="19">
        <v>0</v>
      </c>
      <c r="Y1241" s="20">
        <v>0</v>
      </c>
      <c r="Z1241" s="19">
        <v>3</v>
      </c>
      <c r="AA1241" s="19">
        <v>0</v>
      </c>
      <c r="AB1241" t="str">
        <f>VLOOKUP(E:E,笔记匹配!A:N,3,FALSE)</f>
        <v>一颗西兰花fa</v>
      </c>
      <c r="AC1241" t="str">
        <f>VLOOKUP(E:E,笔记匹配!A:N,2,FALSE)</f>
        <v>筋膜枪</v>
      </c>
      <c r="AD1241" t="str">
        <f>VLOOKUP(E:E,笔记匹配!A:N,4,FALSE)</f>
        <v>云麦筋膜枪PB2</v>
      </c>
      <c r="AE1241" t="str">
        <f>VLOOKUP(E:E,笔记匹配!A:N,14,FALSE)</f>
        <v>云麦筋膜枪pb2</v>
      </c>
      <c r="AF1241" t="str">
        <f>VLOOKUP(E:E,笔记匹配!A:N,6,FALSE)</f>
        <v>有没有姐妹跟我一样被肌肉腿困扰了好久！</v>
      </c>
    </row>
    <row r="1242" spans="1:32">
      <c r="A1242" s="18" t="s">
        <v>167</v>
      </c>
      <c r="B1242" s="18" t="s">
        <v>1358</v>
      </c>
      <c r="C1242" s="19">
        <v>22943828</v>
      </c>
      <c r="D1242" s="18" t="s">
        <v>209</v>
      </c>
      <c r="E1242" s="18" t="s">
        <v>228</v>
      </c>
      <c r="F1242" s="18" t="s">
        <v>1359</v>
      </c>
      <c r="G1242" s="19">
        <v>5942327</v>
      </c>
      <c r="H1242" s="18" t="s">
        <v>1359</v>
      </c>
      <c r="I1242" s="19">
        <v>4951269</v>
      </c>
      <c r="J1242" s="18" t="s">
        <v>1015</v>
      </c>
      <c r="K1242" s="19">
        <v>1124.36</v>
      </c>
      <c r="L1242" s="19">
        <v>35719</v>
      </c>
      <c r="M1242" s="19">
        <v>4584</v>
      </c>
      <c r="N1242" s="20">
        <v>0.1283</v>
      </c>
      <c r="O1242" s="19">
        <v>0.25</v>
      </c>
      <c r="P1242" s="19">
        <v>31.48</v>
      </c>
      <c r="Q1242" s="19">
        <v>254</v>
      </c>
      <c r="R1242" s="19">
        <v>3</v>
      </c>
      <c r="S1242" s="19">
        <v>27</v>
      </c>
      <c r="T1242" s="19">
        <v>24</v>
      </c>
      <c r="U1242" s="19">
        <v>2</v>
      </c>
      <c r="V1242" s="19">
        <v>310</v>
      </c>
      <c r="W1242" s="19">
        <v>3.63</v>
      </c>
      <c r="X1242" s="19">
        <v>0</v>
      </c>
      <c r="Y1242" s="20">
        <v>0</v>
      </c>
      <c r="Z1242" s="19">
        <v>1</v>
      </c>
      <c r="AA1242" s="19">
        <v>0</v>
      </c>
      <c r="AB1242" t="str">
        <f>VLOOKUP(E:E,笔记匹配!A:N,3,FALSE)</f>
        <v>语宸要做插画师</v>
      </c>
      <c r="AC1242" t="str">
        <f>VLOOKUP(E:E,笔记匹配!A:N,2,FALSE)</f>
        <v>筋膜枪</v>
      </c>
      <c r="AD1242" t="str">
        <f>VLOOKUP(E:E,笔记匹配!A:N,4,FALSE)</f>
        <v>云麦筋膜枪cc </v>
      </c>
      <c r="AE1242" t="str">
        <f>VLOOKUP(E:E,笔记匹配!A:N,14,FALSE)</f>
        <v>云麦筋膜枪cc</v>
      </c>
      <c r="AF1242" t="str">
        <f>VLOOKUP(E:E,笔记匹配!A:N,6,FALSE)</f>
        <v>挑战在筋膜枪上画画</v>
      </c>
    </row>
    <row r="1243" spans="1:32">
      <c r="A1243" s="18" t="s">
        <v>167</v>
      </c>
      <c r="B1243" s="18" t="s">
        <v>277</v>
      </c>
      <c r="C1243" s="19">
        <v>22943914</v>
      </c>
      <c r="D1243" s="18" t="s">
        <v>209</v>
      </c>
      <c r="E1243" s="18" t="s">
        <v>277</v>
      </c>
      <c r="F1243" s="18" t="s">
        <v>1360</v>
      </c>
      <c r="G1243" s="19">
        <v>5942343</v>
      </c>
      <c r="H1243" s="18" t="s">
        <v>1360</v>
      </c>
      <c r="I1243" s="19">
        <v>4951295</v>
      </c>
      <c r="J1243" s="18" t="s">
        <v>1015</v>
      </c>
      <c r="K1243" s="19">
        <v>388.58</v>
      </c>
      <c r="L1243" s="19">
        <v>27815</v>
      </c>
      <c r="M1243" s="19">
        <v>822</v>
      </c>
      <c r="N1243" s="20">
        <v>0.0296</v>
      </c>
      <c r="O1243" s="19">
        <v>0.47</v>
      </c>
      <c r="P1243" s="19">
        <v>13.97</v>
      </c>
      <c r="Q1243" s="19">
        <v>32</v>
      </c>
      <c r="R1243" s="19">
        <v>1</v>
      </c>
      <c r="S1243" s="19">
        <v>6</v>
      </c>
      <c r="T1243" s="19">
        <v>0</v>
      </c>
      <c r="U1243" s="19">
        <v>6</v>
      </c>
      <c r="V1243" s="19">
        <v>45</v>
      </c>
      <c r="W1243" s="19">
        <v>8.64</v>
      </c>
      <c r="X1243" s="19">
        <v>0</v>
      </c>
      <c r="Y1243" s="20">
        <v>0</v>
      </c>
      <c r="Z1243" s="19">
        <v>7</v>
      </c>
      <c r="AA1243" s="19">
        <v>0</v>
      </c>
      <c r="AB1243" t="str">
        <f>VLOOKUP(E:E,笔记匹配!A:N,3,FALSE)</f>
        <v>一颗小糖果w</v>
      </c>
      <c r="AC1243" t="str">
        <f>VLOOKUP(E:E,笔记匹配!A:N,2,FALSE)</f>
        <v>筋膜枪</v>
      </c>
      <c r="AD1243" t="str">
        <f>VLOOKUP(E:E,笔记匹配!A:N,4,FALSE)</f>
        <v>云麦筋膜枪cc</v>
      </c>
      <c r="AE1243" t="str">
        <f>VLOOKUP(E:E,笔记匹配!A:N,14,FALSE)</f>
        <v>云麦筋膜枪ccgo</v>
      </c>
      <c r="AF1243" t="str">
        <f>VLOOKUP(E:E,笔记匹配!A:N,6,FALSE)</f>
        <v>少女心爆棚！粉色甜心筋膜枪也太嫩了吧</v>
      </c>
    </row>
    <row r="1244" spans="1:32">
      <c r="A1244" s="18" t="s">
        <v>167</v>
      </c>
      <c r="B1244" s="18" t="s">
        <v>280</v>
      </c>
      <c r="C1244" s="19">
        <v>22943955</v>
      </c>
      <c r="D1244" s="18" t="s">
        <v>209</v>
      </c>
      <c r="E1244" s="18" t="s">
        <v>280</v>
      </c>
      <c r="F1244" s="18" t="s">
        <v>1361</v>
      </c>
      <c r="G1244" s="19">
        <v>5942377</v>
      </c>
      <c r="H1244" s="18" t="s">
        <v>1361</v>
      </c>
      <c r="I1244" s="19">
        <v>4951320</v>
      </c>
      <c r="J1244" s="18" t="s">
        <v>1015</v>
      </c>
      <c r="K1244" s="19">
        <v>512.72</v>
      </c>
      <c r="L1244" s="19">
        <v>59421</v>
      </c>
      <c r="M1244" s="19">
        <v>1564</v>
      </c>
      <c r="N1244" s="20">
        <v>0.0263</v>
      </c>
      <c r="O1244" s="19">
        <v>0.33</v>
      </c>
      <c r="P1244" s="19">
        <v>8.63</v>
      </c>
      <c r="Q1244" s="19">
        <v>22</v>
      </c>
      <c r="R1244" s="19">
        <v>2</v>
      </c>
      <c r="S1244" s="19">
        <v>9</v>
      </c>
      <c r="T1244" s="19">
        <v>0</v>
      </c>
      <c r="U1244" s="19">
        <v>0</v>
      </c>
      <c r="V1244" s="19">
        <v>33</v>
      </c>
      <c r="W1244" s="19">
        <v>15.54</v>
      </c>
      <c r="X1244" s="19">
        <v>0</v>
      </c>
      <c r="Y1244" s="20">
        <v>0</v>
      </c>
      <c r="Z1244" s="19">
        <v>0</v>
      </c>
      <c r="AA1244" s="19">
        <v>0</v>
      </c>
      <c r="AB1244" t="str">
        <f>VLOOKUP(E:E,笔记匹配!A:N,3,FALSE)</f>
        <v>来一杯毛豆</v>
      </c>
      <c r="AC1244" t="str">
        <f>VLOOKUP(E:E,笔记匹配!A:N,2,FALSE)</f>
        <v>体脂秤</v>
      </c>
      <c r="AD1244" t="str">
        <f>VLOOKUP(E:E,笔记匹配!A:N,4,FALSE)</f>
        <v>云麦体脂秤3mini</v>
      </c>
      <c r="AE1244" t="str">
        <f>VLOOKUP(E:E,笔记匹配!A:N,14,FALSE)</f>
        <v>云麦体脂秤3mini</v>
      </c>
      <c r="AF1244" t="str">
        <f>VLOOKUP(E:E,笔记匹配!A:N,6,FALSE)</f>
        <v>对不起！我不能接受这个宝藏体脂秤百元就能拿下</v>
      </c>
    </row>
    <row r="1245" spans="1:32">
      <c r="A1245" s="18" t="s">
        <v>167</v>
      </c>
      <c r="B1245" s="18" t="s">
        <v>1358</v>
      </c>
      <c r="C1245" s="19">
        <v>22944060</v>
      </c>
      <c r="D1245" s="18" t="s">
        <v>209</v>
      </c>
      <c r="E1245" s="18" t="s">
        <v>255</v>
      </c>
      <c r="F1245" s="18" t="s">
        <v>1362</v>
      </c>
      <c r="G1245" s="19">
        <v>5942417</v>
      </c>
      <c r="H1245" s="18" t="s">
        <v>1362</v>
      </c>
      <c r="I1245" s="19">
        <v>4951348</v>
      </c>
      <c r="J1245" s="18" t="s">
        <v>1015</v>
      </c>
      <c r="K1245" s="19">
        <v>505.97</v>
      </c>
      <c r="L1245" s="19">
        <v>35945</v>
      </c>
      <c r="M1245" s="19">
        <v>1697</v>
      </c>
      <c r="N1245" s="20">
        <v>0.0472</v>
      </c>
      <c r="O1245" s="19">
        <v>0.3</v>
      </c>
      <c r="P1245" s="19">
        <v>14.08</v>
      </c>
      <c r="Q1245" s="19">
        <v>26</v>
      </c>
      <c r="R1245" s="19">
        <v>0</v>
      </c>
      <c r="S1245" s="19">
        <v>6</v>
      </c>
      <c r="T1245" s="19">
        <v>0</v>
      </c>
      <c r="U1245" s="19">
        <v>0</v>
      </c>
      <c r="V1245" s="19">
        <v>32</v>
      </c>
      <c r="W1245" s="19">
        <v>15.81</v>
      </c>
      <c r="X1245" s="19">
        <v>0</v>
      </c>
      <c r="Y1245" s="20">
        <v>0</v>
      </c>
      <c r="Z1245" s="19">
        <v>2</v>
      </c>
      <c r="AA1245" s="19">
        <v>1</v>
      </c>
      <c r="AB1245" t="str">
        <f>VLOOKUP(E:E,笔记匹配!A:N,3,FALSE)</f>
        <v>趁早早呀</v>
      </c>
      <c r="AC1245" t="str">
        <f>VLOOKUP(E:E,笔记匹配!A:N,2,FALSE)</f>
        <v>体脂秤</v>
      </c>
      <c r="AD1245" t="str">
        <f>VLOOKUP(E:E,笔记匹配!A:N,4,FALSE)</f>
        <v>云麦体脂秤3mini</v>
      </c>
      <c r="AE1245" t="str">
        <f>VLOOKUP(E:E,笔记匹配!A:N,14,FALSE)</f>
        <v>云麦体脂秤3mini</v>
      </c>
      <c r="AF1245" t="str">
        <f>VLOOKUP(E:E,笔记匹配!A:N,6,FALSE)</f>
        <v>不到百元get我的私人身材管理师|这波稳赚‼️</v>
      </c>
    </row>
    <row r="1246" spans="1:32">
      <c r="A1246" s="18" t="s">
        <v>167</v>
      </c>
      <c r="B1246" s="18" t="s">
        <v>1363</v>
      </c>
      <c r="C1246" s="19">
        <v>22952348</v>
      </c>
      <c r="D1246" s="18" t="s">
        <v>209</v>
      </c>
      <c r="E1246" s="18" t="s">
        <v>208</v>
      </c>
      <c r="F1246" s="18" t="s">
        <v>1364</v>
      </c>
      <c r="G1246" s="19">
        <v>5946923</v>
      </c>
      <c r="H1246" s="18" t="s">
        <v>1365</v>
      </c>
      <c r="I1246" s="19">
        <v>4954714</v>
      </c>
      <c r="J1246" s="18" t="s">
        <v>1015</v>
      </c>
      <c r="K1246" s="19">
        <v>424.9</v>
      </c>
      <c r="L1246" s="19">
        <v>38717</v>
      </c>
      <c r="M1246" s="19">
        <v>2118</v>
      </c>
      <c r="N1246" s="20">
        <v>0.0547</v>
      </c>
      <c r="O1246" s="19">
        <v>0.2</v>
      </c>
      <c r="P1246" s="19">
        <v>10.97</v>
      </c>
      <c r="Q1246" s="19">
        <v>16</v>
      </c>
      <c r="R1246" s="19">
        <v>0</v>
      </c>
      <c r="S1246" s="19">
        <v>10</v>
      </c>
      <c r="T1246" s="19">
        <v>0</v>
      </c>
      <c r="U1246" s="19">
        <v>1</v>
      </c>
      <c r="V1246" s="19">
        <v>27</v>
      </c>
      <c r="W1246" s="19">
        <v>15.74</v>
      </c>
      <c r="X1246" s="19">
        <v>0</v>
      </c>
      <c r="Y1246" s="20">
        <v>0</v>
      </c>
      <c r="Z1246" s="19">
        <v>7</v>
      </c>
      <c r="AA1246" s="19">
        <v>0</v>
      </c>
      <c r="AB1246" t="str">
        <f>VLOOKUP(E:E,笔记匹配!A:N,3,FALSE)</f>
        <v>小羊羔崽子</v>
      </c>
      <c r="AC1246" t="str">
        <f>VLOOKUP(E:E,笔记匹配!A:N,2,FALSE)</f>
        <v>筋膜枪</v>
      </c>
      <c r="AD1246" t="str">
        <f>VLOOKUP(E:E,笔记匹配!A:N,4,FALSE)</f>
        <v>云麦筋膜枪PB2</v>
      </c>
      <c r="AE1246" t="str">
        <f>VLOOKUP(E:E,笔记匹配!A:N,14,FALSE)</f>
        <v>云麦筋膜枪pb2</v>
      </c>
      <c r="AF1246" t="str">
        <f>VLOOKUP(E:E,笔记匹配!A:N,6,FALSE)</f>
        <v>用了多年泡沫轴，才知道筋膜枪是真的香！！！</v>
      </c>
    </row>
    <row r="1247" spans="1:32">
      <c r="A1247" s="18" t="s">
        <v>168</v>
      </c>
      <c r="B1247" s="18" t="s">
        <v>1267</v>
      </c>
      <c r="C1247" s="19">
        <v>21360243</v>
      </c>
      <c r="D1247" s="18" t="s">
        <v>209</v>
      </c>
      <c r="E1247" s="18" t="s">
        <v>220</v>
      </c>
      <c r="F1247" s="18" t="s">
        <v>1268</v>
      </c>
      <c r="G1247" s="19">
        <v>5192303</v>
      </c>
      <c r="H1247" s="18" t="s">
        <v>1269</v>
      </c>
      <c r="I1247" s="19">
        <v>4379647</v>
      </c>
      <c r="J1247" s="18" t="s">
        <v>1015</v>
      </c>
      <c r="K1247" s="19">
        <v>1012.78</v>
      </c>
      <c r="L1247" s="19">
        <v>78765</v>
      </c>
      <c r="M1247" s="19">
        <v>2916</v>
      </c>
      <c r="N1247" s="20">
        <v>0.037</v>
      </c>
      <c r="O1247" s="19">
        <v>0.35</v>
      </c>
      <c r="P1247" s="19">
        <v>12.86</v>
      </c>
      <c r="Q1247" s="19">
        <v>116</v>
      </c>
      <c r="R1247" s="19">
        <v>1</v>
      </c>
      <c r="S1247" s="19">
        <v>25</v>
      </c>
      <c r="T1247" s="19">
        <v>1</v>
      </c>
      <c r="U1247" s="19">
        <v>2</v>
      </c>
      <c r="V1247" s="19">
        <v>145</v>
      </c>
      <c r="W1247" s="19">
        <v>6.98</v>
      </c>
      <c r="X1247" s="19">
        <v>0</v>
      </c>
      <c r="Y1247" s="20">
        <v>0</v>
      </c>
      <c r="Z1247" s="19">
        <v>6</v>
      </c>
      <c r="AA1247" s="19">
        <v>5</v>
      </c>
      <c r="AB1247" t="str">
        <f>VLOOKUP(E:E,笔记匹配!A:N,3,FALSE)</f>
        <v>一颗西兰花fa</v>
      </c>
      <c r="AC1247" t="str">
        <f>VLOOKUP(E:E,笔记匹配!A:N,2,FALSE)</f>
        <v>筋膜枪</v>
      </c>
      <c r="AD1247" t="str">
        <f>VLOOKUP(E:E,笔记匹配!A:N,4,FALSE)</f>
        <v>云麦筋膜枪PB2</v>
      </c>
      <c r="AE1247" t="str">
        <f>VLOOKUP(E:E,笔记匹配!A:N,14,FALSE)</f>
        <v>云麦筋膜枪pb2</v>
      </c>
      <c r="AF1247" t="str">
        <f>VLOOKUP(E:E,笔记匹配!A:N,6,FALSE)</f>
        <v>有没有姐妹跟我一样被肌肉腿困扰了好久！</v>
      </c>
    </row>
    <row r="1248" spans="1:32">
      <c r="A1248" s="18" t="s">
        <v>168</v>
      </c>
      <c r="B1248" s="18" t="s">
        <v>1294</v>
      </c>
      <c r="C1248" s="19">
        <v>21747929</v>
      </c>
      <c r="D1248" s="18" t="s">
        <v>209</v>
      </c>
      <c r="E1248" s="18" t="s">
        <v>208</v>
      </c>
      <c r="F1248" s="18" t="s">
        <v>1295</v>
      </c>
      <c r="G1248" s="19">
        <v>5366393</v>
      </c>
      <c r="H1248" s="18" t="s">
        <v>1295</v>
      </c>
      <c r="I1248" s="19">
        <v>4512630</v>
      </c>
      <c r="J1248" s="18" t="s">
        <v>1015</v>
      </c>
      <c r="K1248" s="19">
        <v>2032.48</v>
      </c>
      <c r="L1248" s="19">
        <v>152836</v>
      </c>
      <c r="M1248" s="19">
        <v>7731</v>
      </c>
      <c r="N1248" s="20">
        <v>0.0506</v>
      </c>
      <c r="O1248" s="19">
        <v>0.26</v>
      </c>
      <c r="P1248" s="19">
        <v>13.3</v>
      </c>
      <c r="Q1248" s="19">
        <v>114</v>
      </c>
      <c r="R1248" s="19">
        <v>6</v>
      </c>
      <c r="S1248" s="19">
        <v>52</v>
      </c>
      <c r="T1248" s="19">
        <v>4</v>
      </c>
      <c r="U1248" s="19">
        <v>1</v>
      </c>
      <c r="V1248" s="19">
        <v>177</v>
      </c>
      <c r="W1248" s="19">
        <v>11.48</v>
      </c>
      <c r="X1248" s="19">
        <v>0</v>
      </c>
      <c r="Y1248" s="20">
        <v>0</v>
      </c>
      <c r="Z1248" s="19">
        <v>11</v>
      </c>
      <c r="AA1248" s="19">
        <v>2</v>
      </c>
      <c r="AB1248" t="str">
        <f>VLOOKUP(E:E,笔记匹配!A:N,3,FALSE)</f>
        <v>小羊羔崽子</v>
      </c>
      <c r="AC1248" t="str">
        <f>VLOOKUP(E:E,笔记匹配!A:N,2,FALSE)</f>
        <v>筋膜枪</v>
      </c>
      <c r="AD1248" t="str">
        <f>VLOOKUP(E:E,笔记匹配!A:N,4,FALSE)</f>
        <v>云麦筋膜枪PB2</v>
      </c>
      <c r="AE1248" t="str">
        <f>VLOOKUP(E:E,笔记匹配!A:N,14,FALSE)</f>
        <v>云麦筋膜枪pb2</v>
      </c>
      <c r="AF1248" t="str">
        <f>VLOOKUP(E:E,笔记匹配!A:N,6,FALSE)</f>
        <v>用了多年泡沫轴，才知道筋膜枪是真的香！！！</v>
      </c>
    </row>
    <row r="1249" spans="1:32">
      <c r="A1249" s="18" t="s">
        <v>168</v>
      </c>
      <c r="B1249" s="18" t="s">
        <v>1314</v>
      </c>
      <c r="C1249" s="19">
        <v>22072602</v>
      </c>
      <c r="D1249" s="18" t="s">
        <v>209</v>
      </c>
      <c r="E1249" s="18" t="s">
        <v>274</v>
      </c>
      <c r="F1249" s="18" t="s">
        <v>1315</v>
      </c>
      <c r="G1249" s="19">
        <v>5521266</v>
      </c>
      <c r="H1249" s="18" t="s">
        <v>1315</v>
      </c>
      <c r="I1249" s="19">
        <v>4629783</v>
      </c>
      <c r="J1249" s="18" t="s">
        <v>1015</v>
      </c>
      <c r="K1249" s="19">
        <v>0</v>
      </c>
      <c r="L1249" s="19">
        <v>0</v>
      </c>
      <c r="M1249" s="19">
        <v>0</v>
      </c>
      <c r="N1249" s="20">
        <v>0</v>
      </c>
      <c r="O1249" s="19">
        <v>0</v>
      </c>
      <c r="P1249" s="19">
        <v>0</v>
      </c>
      <c r="Q1249" s="19">
        <v>0</v>
      </c>
      <c r="R1249" s="19">
        <v>0</v>
      </c>
      <c r="S1249" s="19">
        <v>0</v>
      </c>
      <c r="T1249" s="19">
        <v>0</v>
      </c>
      <c r="U1249" s="19">
        <v>0</v>
      </c>
      <c r="V1249" s="19">
        <v>0</v>
      </c>
      <c r="W1249" s="19">
        <v>0</v>
      </c>
      <c r="X1249" s="19">
        <v>0</v>
      </c>
      <c r="Y1249" s="20">
        <v>0</v>
      </c>
      <c r="Z1249" s="19">
        <v>0</v>
      </c>
      <c r="AA1249" s="19">
        <v>0</v>
      </c>
      <c r="AB1249" t="str">
        <f>VLOOKUP(E:E,笔记匹配!A:N,3,FALSE)</f>
        <v>西米是个小可爱</v>
      </c>
      <c r="AC1249" t="str">
        <f>VLOOKUP(E:E,笔记匹配!A:N,2,FALSE)</f>
        <v>筋膜枪</v>
      </c>
      <c r="AD1249" t="str">
        <f>VLOOKUP(E:E,笔记匹配!A:N,4,FALSE)</f>
        <v>云麦筋膜枪PB2</v>
      </c>
      <c r="AE1249" t="str">
        <f>VLOOKUP(E:E,笔记匹配!A:N,14,FALSE)</f>
        <v>云麦筋膜枪pb2</v>
      </c>
      <c r="AF1249" t="str">
        <f>VLOOKUP(E:E,笔记匹配!A:N,6,FALSE)</f>
        <v>筋膜枪千万不能乱用！正确肩颈使用方法</v>
      </c>
    </row>
    <row r="1250" spans="1:32">
      <c r="A1250" s="18" t="s">
        <v>168</v>
      </c>
      <c r="B1250" s="18" t="s">
        <v>1316</v>
      </c>
      <c r="C1250" s="19">
        <v>22072814</v>
      </c>
      <c r="D1250" s="18" t="s">
        <v>196</v>
      </c>
      <c r="E1250" s="18" t="s">
        <v>201</v>
      </c>
      <c r="F1250" s="18" t="s">
        <v>1317</v>
      </c>
      <c r="G1250" s="19">
        <v>5521358</v>
      </c>
      <c r="H1250" s="18" t="s">
        <v>1317</v>
      </c>
      <c r="I1250" s="19">
        <v>4629845</v>
      </c>
      <c r="J1250" s="18" t="s">
        <v>1015</v>
      </c>
      <c r="K1250" s="19">
        <v>101.13</v>
      </c>
      <c r="L1250" s="19">
        <v>1907</v>
      </c>
      <c r="M1250" s="19">
        <v>213</v>
      </c>
      <c r="N1250" s="20">
        <v>0.1117</v>
      </c>
      <c r="O1250" s="19">
        <v>0.47</v>
      </c>
      <c r="P1250" s="19">
        <v>53.03</v>
      </c>
      <c r="Q1250" s="19">
        <v>1</v>
      </c>
      <c r="R1250" s="19">
        <v>0</v>
      </c>
      <c r="S1250" s="19">
        <v>1</v>
      </c>
      <c r="T1250" s="19">
        <v>0</v>
      </c>
      <c r="U1250" s="19">
        <v>0</v>
      </c>
      <c r="V1250" s="19">
        <v>2</v>
      </c>
      <c r="W1250" s="19">
        <v>50.56</v>
      </c>
      <c r="X1250" s="19">
        <v>0</v>
      </c>
      <c r="Y1250" s="20">
        <v>0</v>
      </c>
      <c r="Z1250" s="19">
        <v>2</v>
      </c>
      <c r="AA1250" s="19">
        <v>0</v>
      </c>
      <c r="AB1250" t="str">
        <f>VLOOKUP(E:E,笔记匹配!A:N,3,FALSE)</f>
        <v>包子熟了</v>
      </c>
      <c r="AC1250" t="str">
        <f>VLOOKUP(E:E,笔记匹配!A:N,2,FALSE)</f>
        <v>筋膜枪</v>
      </c>
      <c r="AD1250" t="str">
        <f>VLOOKUP(E:E,笔记匹配!A:N,4,FALSE)</f>
        <v>云麦筋膜枪</v>
      </c>
      <c r="AE1250" t="str">
        <f>VLOOKUP(E:E,笔记匹配!A:N,14,FALSE)</f>
        <v>云麦筋膜枪pb2</v>
      </c>
      <c r="AF1250" t="str">
        <f>VLOOKUP(E:E,笔记匹配!A:N,6,FALSE)</f>
        <v>筋膜枪测评|健身小白如何挑选筋膜枪？</v>
      </c>
    </row>
    <row r="1251" spans="1:32">
      <c r="A1251" s="18" t="s">
        <v>168</v>
      </c>
      <c r="B1251" s="18" t="s">
        <v>1316</v>
      </c>
      <c r="C1251" s="19">
        <v>22072908</v>
      </c>
      <c r="D1251" s="18" t="s">
        <v>196</v>
      </c>
      <c r="E1251" s="18" t="s">
        <v>201</v>
      </c>
      <c r="F1251" s="18" t="s">
        <v>1318</v>
      </c>
      <c r="G1251" s="19">
        <v>5521414</v>
      </c>
      <c r="H1251" s="18" t="s">
        <v>1318</v>
      </c>
      <c r="I1251" s="19">
        <v>4629891</v>
      </c>
      <c r="J1251" s="18" t="s">
        <v>1015</v>
      </c>
      <c r="K1251" s="19">
        <v>303.15</v>
      </c>
      <c r="L1251" s="19">
        <v>8148</v>
      </c>
      <c r="M1251" s="19">
        <v>450</v>
      </c>
      <c r="N1251" s="20">
        <v>0.0552</v>
      </c>
      <c r="O1251" s="19">
        <v>0.67</v>
      </c>
      <c r="P1251" s="19">
        <v>37.21</v>
      </c>
      <c r="Q1251" s="19">
        <v>7</v>
      </c>
      <c r="R1251" s="19">
        <v>1</v>
      </c>
      <c r="S1251" s="19">
        <v>0</v>
      </c>
      <c r="T1251" s="19">
        <v>0</v>
      </c>
      <c r="U1251" s="19">
        <v>0</v>
      </c>
      <c r="V1251" s="19">
        <v>8</v>
      </c>
      <c r="W1251" s="19">
        <v>37.89</v>
      </c>
      <c r="X1251" s="19">
        <v>4</v>
      </c>
      <c r="Y1251" s="20">
        <v>0.0089</v>
      </c>
      <c r="Z1251" s="19">
        <v>1</v>
      </c>
      <c r="AA1251" s="19">
        <v>1</v>
      </c>
      <c r="AB1251" t="str">
        <f>VLOOKUP(E:E,笔记匹配!A:N,3,FALSE)</f>
        <v>包子熟了</v>
      </c>
      <c r="AC1251" t="str">
        <f>VLOOKUP(E:E,笔记匹配!A:N,2,FALSE)</f>
        <v>筋膜枪</v>
      </c>
      <c r="AD1251" t="str">
        <f>VLOOKUP(E:E,笔记匹配!A:N,4,FALSE)</f>
        <v>云麦筋膜枪</v>
      </c>
      <c r="AE1251" t="str">
        <f>VLOOKUP(E:E,笔记匹配!A:N,14,FALSE)</f>
        <v>云麦筋膜枪pb2</v>
      </c>
      <c r="AF1251" t="str">
        <f>VLOOKUP(E:E,笔记匹配!A:N,6,FALSE)</f>
        <v>筋膜枪测评|健身小白如何挑选筋膜枪？</v>
      </c>
    </row>
    <row r="1252" spans="1:32">
      <c r="A1252" s="18" t="s">
        <v>168</v>
      </c>
      <c r="B1252" s="18" t="s">
        <v>1346</v>
      </c>
      <c r="C1252" s="19">
        <v>22762574</v>
      </c>
      <c r="D1252" s="18" t="s">
        <v>209</v>
      </c>
      <c r="E1252" s="18" t="s">
        <v>271</v>
      </c>
      <c r="F1252" s="18" t="s">
        <v>1347</v>
      </c>
      <c r="G1252" s="19">
        <v>5851094</v>
      </c>
      <c r="H1252" s="18" t="s">
        <v>1348</v>
      </c>
      <c r="I1252" s="19">
        <v>4883982</v>
      </c>
      <c r="J1252" s="18" t="s">
        <v>1015</v>
      </c>
      <c r="K1252" s="19">
        <v>0</v>
      </c>
      <c r="L1252" s="19">
        <v>0</v>
      </c>
      <c r="M1252" s="19">
        <v>0</v>
      </c>
      <c r="N1252" s="20">
        <v>0</v>
      </c>
      <c r="O1252" s="19">
        <v>0</v>
      </c>
      <c r="P1252" s="19">
        <v>0</v>
      </c>
      <c r="Q1252" s="19">
        <v>0</v>
      </c>
      <c r="R1252" s="19">
        <v>0</v>
      </c>
      <c r="S1252" s="19">
        <v>0</v>
      </c>
      <c r="T1252" s="19">
        <v>0</v>
      </c>
      <c r="U1252" s="19">
        <v>0</v>
      </c>
      <c r="V1252" s="19">
        <v>0</v>
      </c>
      <c r="W1252" s="19">
        <v>0</v>
      </c>
      <c r="X1252" s="19">
        <v>0</v>
      </c>
      <c r="Y1252" s="20">
        <v>0</v>
      </c>
      <c r="Z1252" s="19">
        <v>0</v>
      </c>
      <c r="AA1252" s="19">
        <v>0</v>
      </c>
      <c r="AB1252" t="str">
        <f>VLOOKUP(E:E,笔记匹配!A:N,3,FALSE)</f>
        <v>爱健身的陈淼淼</v>
      </c>
      <c r="AC1252" t="str">
        <f>VLOOKUP(E:E,笔记匹配!A:N,2,FALSE)</f>
        <v>筋膜枪</v>
      </c>
      <c r="AD1252" t="str">
        <f>VLOOKUP(E:E,笔记匹配!A:N,4,FALSE)</f>
        <v>云麦筋膜枪pb2</v>
      </c>
      <c r="AE1252" t="str">
        <f>VLOOKUP(E:E,笔记匹配!A:N,14,FALSE)</f>
        <v>云麦筋膜枪pb2</v>
      </c>
      <c r="AF1252" t="str">
        <f>VLOOKUP(E:E,笔记匹配!A:N,6,FALSE)</f>
        <v>真的有用‼️小腿外翻改善了，一定要试试❗</v>
      </c>
    </row>
    <row r="1253" spans="1:32">
      <c r="A1253" s="18" t="s">
        <v>168</v>
      </c>
      <c r="B1253" s="18" t="s">
        <v>1352</v>
      </c>
      <c r="C1253" s="19">
        <v>22845628</v>
      </c>
      <c r="D1253" s="18" t="s">
        <v>209</v>
      </c>
      <c r="E1253" s="18" t="s">
        <v>252</v>
      </c>
      <c r="F1253" s="18" t="s">
        <v>1353</v>
      </c>
      <c r="G1253" s="19">
        <v>5893381</v>
      </c>
      <c r="H1253" s="18" t="s">
        <v>1353</v>
      </c>
      <c r="I1253" s="19">
        <v>4914610</v>
      </c>
      <c r="J1253" s="18" t="s">
        <v>1015</v>
      </c>
      <c r="K1253" s="19">
        <v>0</v>
      </c>
      <c r="L1253" s="19">
        <v>0</v>
      </c>
      <c r="M1253" s="19">
        <v>0</v>
      </c>
      <c r="N1253" s="20">
        <v>0</v>
      </c>
      <c r="O1253" s="19">
        <v>0</v>
      </c>
      <c r="P1253" s="19">
        <v>0</v>
      </c>
      <c r="Q1253" s="19">
        <v>0</v>
      </c>
      <c r="R1253" s="19">
        <v>0</v>
      </c>
      <c r="S1253" s="19">
        <v>0</v>
      </c>
      <c r="T1253" s="19">
        <v>0</v>
      </c>
      <c r="U1253" s="19">
        <v>0</v>
      </c>
      <c r="V1253" s="19">
        <v>0</v>
      </c>
      <c r="W1253" s="19">
        <v>0</v>
      </c>
      <c r="X1253" s="19">
        <v>0</v>
      </c>
      <c r="Y1253" s="20">
        <v>0</v>
      </c>
      <c r="Z1253" s="19">
        <v>0</v>
      </c>
      <c r="AA1253" s="19">
        <v>0</v>
      </c>
      <c r="AB1253" t="str">
        <f>VLOOKUP(E:E,笔记匹配!A:N,3,FALSE)</f>
        <v>脆鱼日记</v>
      </c>
      <c r="AC1253" t="str">
        <f>VLOOKUP(E:E,笔记匹配!A:N,2,FALSE)</f>
        <v>筋膜枪</v>
      </c>
      <c r="AD1253" t="str">
        <f>VLOOKUP(E:E,笔记匹配!A:N,4,FALSE)</f>
        <v>云麦筋膜枪cc</v>
      </c>
      <c r="AE1253" t="str">
        <f>VLOOKUP(E:E,笔记匹配!A:N,14,FALSE)</f>
        <v>云麦筋膜枪ccgo</v>
      </c>
      <c r="AF1253" t="str">
        <f>VLOOKUP(E:E,笔记匹配!A:N,6,FALSE)</f>
        <v>每天坚持这4个动作🔥瘦脂包肌小腿‼️已瘦4cm</v>
      </c>
    </row>
    <row r="1254" spans="1:32">
      <c r="A1254" s="18" t="s">
        <v>168</v>
      </c>
      <c r="B1254" s="18" t="s">
        <v>1357</v>
      </c>
      <c r="C1254" s="19">
        <v>22943729</v>
      </c>
      <c r="D1254" s="18" t="s">
        <v>196</v>
      </c>
      <c r="E1254" s="18" t="s">
        <v>220</v>
      </c>
      <c r="F1254" s="18" t="s">
        <v>1355</v>
      </c>
      <c r="G1254" s="19">
        <v>5942225</v>
      </c>
      <c r="H1254" s="18" t="s">
        <v>1356</v>
      </c>
      <c r="I1254" s="19">
        <v>4951199</v>
      </c>
      <c r="J1254" s="18" t="s">
        <v>1015</v>
      </c>
      <c r="K1254" s="19">
        <v>0</v>
      </c>
      <c r="L1254" s="19">
        <v>11</v>
      </c>
      <c r="M1254" s="19">
        <v>0</v>
      </c>
      <c r="N1254" s="20">
        <v>0</v>
      </c>
      <c r="O1254" s="19">
        <v>0</v>
      </c>
      <c r="P1254" s="19">
        <v>0</v>
      </c>
      <c r="Q1254" s="19">
        <v>0</v>
      </c>
      <c r="R1254" s="19">
        <v>0</v>
      </c>
      <c r="S1254" s="19">
        <v>0</v>
      </c>
      <c r="T1254" s="19">
        <v>0</v>
      </c>
      <c r="U1254" s="19">
        <v>0</v>
      </c>
      <c r="V1254" s="19">
        <v>0</v>
      </c>
      <c r="W1254" s="19">
        <v>0</v>
      </c>
      <c r="X1254" s="19">
        <v>0</v>
      </c>
      <c r="Y1254" s="20">
        <v>0</v>
      </c>
      <c r="Z1254" s="19">
        <v>0</v>
      </c>
      <c r="AA1254" s="19">
        <v>0</v>
      </c>
      <c r="AB1254" t="str">
        <f>VLOOKUP(E:E,笔记匹配!A:N,3,FALSE)</f>
        <v>一颗西兰花fa</v>
      </c>
      <c r="AC1254" t="str">
        <f>VLOOKUP(E:E,笔记匹配!A:N,2,FALSE)</f>
        <v>筋膜枪</v>
      </c>
      <c r="AD1254" t="str">
        <f>VLOOKUP(E:E,笔记匹配!A:N,4,FALSE)</f>
        <v>云麦筋膜枪PB2</v>
      </c>
      <c r="AE1254" t="str">
        <f>VLOOKUP(E:E,笔记匹配!A:N,14,FALSE)</f>
        <v>云麦筋膜枪pb2</v>
      </c>
      <c r="AF1254" t="str">
        <f>VLOOKUP(E:E,笔记匹配!A:N,6,FALSE)</f>
        <v>有没有姐妹跟我一样被肌肉腿困扰了好久！</v>
      </c>
    </row>
    <row r="1255" spans="1:32">
      <c r="A1255" s="18" t="s">
        <v>168</v>
      </c>
      <c r="B1255" s="18" t="s">
        <v>1358</v>
      </c>
      <c r="C1255" s="19">
        <v>22943828</v>
      </c>
      <c r="D1255" s="18" t="s">
        <v>209</v>
      </c>
      <c r="E1255" s="18" t="s">
        <v>228</v>
      </c>
      <c r="F1255" s="18" t="s">
        <v>1359</v>
      </c>
      <c r="G1255" s="19">
        <v>5942327</v>
      </c>
      <c r="H1255" s="18" t="s">
        <v>1359</v>
      </c>
      <c r="I1255" s="19">
        <v>4951269</v>
      </c>
      <c r="J1255" s="18" t="s">
        <v>1015</v>
      </c>
      <c r="K1255" s="19">
        <v>1429.44</v>
      </c>
      <c r="L1255" s="19">
        <v>67867</v>
      </c>
      <c r="M1255" s="19">
        <v>8057</v>
      </c>
      <c r="N1255" s="20">
        <v>0.1187</v>
      </c>
      <c r="O1255" s="19">
        <v>0.18</v>
      </c>
      <c r="P1255" s="19">
        <v>21.06</v>
      </c>
      <c r="Q1255" s="19">
        <v>311</v>
      </c>
      <c r="R1255" s="19">
        <v>4</v>
      </c>
      <c r="S1255" s="19">
        <v>35</v>
      </c>
      <c r="T1255" s="19">
        <v>22</v>
      </c>
      <c r="U1255" s="19">
        <v>0</v>
      </c>
      <c r="V1255" s="19">
        <v>372</v>
      </c>
      <c r="W1255" s="19">
        <v>3.84</v>
      </c>
      <c r="X1255" s="19">
        <v>0</v>
      </c>
      <c r="Y1255" s="20">
        <v>0</v>
      </c>
      <c r="Z1255" s="19">
        <v>1</v>
      </c>
      <c r="AA1255" s="19">
        <v>1</v>
      </c>
      <c r="AB1255" t="str">
        <f>VLOOKUP(E:E,笔记匹配!A:N,3,FALSE)</f>
        <v>语宸要做插画师</v>
      </c>
      <c r="AC1255" t="str">
        <f>VLOOKUP(E:E,笔记匹配!A:N,2,FALSE)</f>
        <v>筋膜枪</v>
      </c>
      <c r="AD1255" t="str">
        <f>VLOOKUP(E:E,笔记匹配!A:N,4,FALSE)</f>
        <v>云麦筋膜枪cc </v>
      </c>
      <c r="AE1255" t="str">
        <f>VLOOKUP(E:E,笔记匹配!A:N,14,FALSE)</f>
        <v>云麦筋膜枪cc</v>
      </c>
      <c r="AF1255" t="str">
        <f>VLOOKUP(E:E,笔记匹配!A:N,6,FALSE)</f>
        <v>挑战在筋膜枪上画画</v>
      </c>
    </row>
    <row r="1256" spans="1:32">
      <c r="A1256" s="18" t="s">
        <v>168</v>
      </c>
      <c r="B1256" s="18" t="s">
        <v>277</v>
      </c>
      <c r="C1256" s="19">
        <v>22943914</v>
      </c>
      <c r="D1256" s="18" t="s">
        <v>209</v>
      </c>
      <c r="E1256" s="18" t="s">
        <v>277</v>
      </c>
      <c r="F1256" s="18" t="s">
        <v>1360</v>
      </c>
      <c r="G1256" s="19">
        <v>5942343</v>
      </c>
      <c r="H1256" s="18" t="s">
        <v>1360</v>
      </c>
      <c r="I1256" s="19">
        <v>4951295</v>
      </c>
      <c r="J1256" s="18" t="s">
        <v>1015</v>
      </c>
      <c r="K1256" s="19">
        <v>118.17</v>
      </c>
      <c r="L1256" s="19">
        <v>11015</v>
      </c>
      <c r="M1256" s="19">
        <v>314</v>
      </c>
      <c r="N1256" s="20">
        <v>0.0285</v>
      </c>
      <c r="O1256" s="19">
        <v>0.38</v>
      </c>
      <c r="P1256" s="19">
        <v>10.73</v>
      </c>
      <c r="Q1256" s="19">
        <v>14</v>
      </c>
      <c r="R1256" s="19">
        <v>1</v>
      </c>
      <c r="S1256" s="19">
        <v>2</v>
      </c>
      <c r="T1256" s="19">
        <v>0</v>
      </c>
      <c r="U1256" s="19">
        <v>0</v>
      </c>
      <c r="V1256" s="19">
        <v>17</v>
      </c>
      <c r="W1256" s="19">
        <v>6.95</v>
      </c>
      <c r="X1256" s="19">
        <v>0</v>
      </c>
      <c r="Y1256" s="20">
        <v>0</v>
      </c>
      <c r="Z1256" s="19">
        <v>0</v>
      </c>
      <c r="AA1256" s="19">
        <v>0</v>
      </c>
      <c r="AB1256" t="str">
        <f>VLOOKUP(E:E,笔记匹配!A:N,3,FALSE)</f>
        <v>一颗小糖果w</v>
      </c>
      <c r="AC1256" t="str">
        <f>VLOOKUP(E:E,笔记匹配!A:N,2,FALSE)</f>
        <v>筋膜枪</v>
      </c>
      <c r="AD1256" t="str">
        <f>VLOOKUP(E:E,笔记匹配!A:N,4,FALSE)</f>
        <v>云麦筋膜枪cc</v>
      </c>
      <c r="AE1256" t="str">
        <f>VLOOKUP(E:E,笔记匹配!A:N,14,FALSE)</f>
        <v>云麦筋膜枪ccgo</v>
      </c>
      <c r="AF1256" t="str">
        <f>VLOOKUP(E:E,笔记匹配!A:N,6,FALSE)</f>
        <v>少女心爆棚！粉色甜心筋膜枪也太嫩了吧</v>
      </c>
    </row>
    <row r="1257" spans="1:32">
      <c r="A1257" s="18" t="s">
        <v>168</v>
      </c>
      <c r="B1257" s="18" t="s">
        <v>280</v>
      </c>
      <c r="C1257" s="19">
        <v>22943955</v>
      </c>
      <c r="D1257" s="18" t="s">
        <v>209</v>
      </c>
      <c r="E1257" s="18" t="s">
        <v>280</v>
      </c>
      <c r="F1257" s="18" t="s">
        <v>1361</v>
      </c>
      <c r="G1257" s="19">
        <v>5942377</v>
      </c>
      <c r="H1257" s="18" t="s">
        <v>1361</v>
      </c>
      <c r="I1257" s="19">
        <v>4951320</v>
      </c>
      <c r="J1257" s="18" t="s">
        <v>1015</v>
      </c>
      <c r="K1257" s="19">
        <v>195.62</v>
      </c>
      <c r="L1257" s="19">
        <v>30338</v>
      </c>
      <c r="M1257" s="19">
        <v>795</v>
      </c>
      <c r="N1257" s="20">
        <v>0.0262</v>
      </c>
      <c r="O1257" s="19">
        <v>0.25</v>
      </c>
      <c r="P1257" s="19">
        <v>6.45</v>
      </c>
      <c r="Q1257" s="19">
        <v>5</v>
      </c>
      <c r="R1257" s="19">
        <v>0</v>
      </c>
      <c r="S1257" s="19">
        <v>4</v>
      </c>
      <c r="T1257" s="19">
        <v>0</v>
      </c>
      <c r="U1257" s="19">
        <v>0</v>
      </c>
      <c r="V1257" s="19">
        <v>9</v>
      </c>
      <c r="W1257" s="19">
        <v>21.74</v>
      </c>
      <c r="X1257" s="19">
        <v>0</v>
      </c>
      <c r="Y1257" s="20">
        <v>0</v>
      </c>
      <c r="Z1257" s="19">
        <v>3</v>
      </c>
      <c r="AA1257" s="19">
        <v>1</v>
      </c>
      <c r="AB1257" t="str">
        <f>VLOOKUP(E:E,笔记匹配!A:N,3,FALSE)</f>
        <v>来一杯毛豆</v>
      </c>
      <c r="AC1257" t="str">
        <f>VLOOKUP(E:E,笔记匹配!A:N,2,FALSE)</f>
        <v>体脂秤</v>
      </c>
      <c r="AD1257" t="str">
        <f>VLOOKUP(E:E,笔记匹配!A:N,4,FALSE)</f>
        <v>云麦体脂秤3mini</v>
      </c>
      <c r="AE1257" t="str">
        <f>VLOOKUP(E:E,笔记匹配!A:N,14,FALSE)</f>
        <v>云麦体脂秤3mini</v>
      </c>
      <c r="AF1257" t="str">
        <f>VLOOKUP(E:E,笔记匹配!A:N,6,FALSE)</f>
        <v>对不起！我不能接受这个宝藏体脂秤百元就能拿下</v>
      </c>
    </row>
    <row r="1258" spans="1:32">
      <c r="A1258" s="18" t="s">
        <v>168</v>
      </c>
      <c r="B1258" s="18" t="s">
        <v>1358</v>
      </c>
      <c r="C1258" s="19">
        <v>22944060</v>
      </c>
      <c r="D1258" s="18" t="s">
        <v>209</v>
      </c>
      <c r="E1258" s="18" t="s">
        <v>255</v>
      </c>
      <c r="F1258" s="18" t="s">
        <v>1362</v>
      </c>
      <c r="G1258" s="19">
        <v>5942417</v>
      </c>
      <c r="H1258" s="18" t="s">
        <v>1362</v>
      </c>
      <c r="I1258" s="19">
        <v>4951348</v>
      </c>
      <c r="J1258" s="18" t="s">
        <v>1015</v>
      </c>
      <c r="K1258" s="19">
        <v>126.07</v>
      </c>
      <c r="L1258" s="19">
        <v>12533</v>
      </c>
      <c r="M1258" s="19">
        <v>535</v>
      </c>
      <c r="N1258" s="20">
        <v>0.0427</v>
      </c>
      <c r="O1258" s="19">
        <v>0.24</v>
      </c>
      <c r="P1258" s="19">
        <v>10.06</v>
      </c>
      <c r="Q1258" s="19">
        <v>8</v>
      </c>
      <c r="R1258" s="19">
        <v>0</v>
      </c>
      <c r="S1258" s="19">
        <v>4</v>
      </c>
      <c r="T1258" s="19">
        <v>0</v>
      </c>
      <c r="U1258" s="19">
        <v>1</v>
      </c>
      <c r="V1258" s="19">
        <v>13</v>
      </c>
      <c r="W1258" s="19">
        <v>9.7</v>
      </c>
      <c r="X1258" s="19">
        <v>0</v>
      </c>
      <c r="Y1258" s="20">
        <v>0</v>
      </c>
      <c r="Z1258" s="19">
        <v>1</v>
      </c>
      <c r="AA1258" s="19">
        <v>0</v>
      </c>
      <c r="AB1258" t="str">
        <f>VLOOKUP(E:E,笔记匹配!A:N,3,FALSE)</f>
        <v>趁早早呀</v>
      </c>
      <c r="AC1258" t="str">
        <f>VLOOKUP(E:E,笔记匹配!A:N,2,FALSE)</f>
        <v>体脂秤</v>
      </c>
      <c r="AD1258" t="str">
        <f>VLOOKUP(E:E,笔记匹配!A:N,4,FALSE)</f>
        <v>云麦体脂秤3mini</v>
      </c>
      <c r="AE1258" t="str">
        <f>VLOOKUP(E:E,笔记匹配!A:N,14,FALSE)</f>
        <v>云麦体脂秤3mini</v>
      </c>
      <c r="AF1258" t="str">
        <f>VLOOKUP(E:E,笔记匹配!A:N,6,FALSE)</f>
        <v>不到百元get我的私人身材管理师|这波稳赚‼️</v>
      </c>
    </row>
    <row r="1259" spans="1:32">
      <c r="A1259" s="18" t="s">
        <v>168</v>
      </c>
      <c r="B1259" s="18" t="s">
        <v>1363</v>
      </c>
      <c r="C1259" s="19">
        <v>22952348</v>
      </c>
      <c r="D1259" s="18" t="s">
        <v>209</v>
      </c>
      <c r="E1259" s="18" t="s">
        <v>208</v>
      </c>
      <c r="F1259" s="18" t="s">
        <v>1364</v>
      </c>
      <c r="G1259" s="19">
        <v>5946923</v>
      </c>
      <c r="H1259" s="18" t="s">
        <v>1365</v>
      </c>
      <c r="I1259" s="19">
        <v>4954714</v>
      </c>
      <c r="J1259" s="18" t="s">
        <v>1015</v>
      </c>
      <c r="K1259" s="19">
        <v>28.44</v>
      </c>
      <c r="L1259" s="19">
        <v>1708</v>
      </c>
      <c r="M1259" s="19">
        <v>132</v>
      </c>
      <c r="N1259" s="20">
        <v>0.0773</v>
      </c>
      <c r="O1259" s="19">
        <v>0.22</v>
      </c>
      <c r="P1259" s="19">
        <v>16.65</v>
      </c>
      <c r="Q1259" s="19">
        <v>1</v>
      </c>
      <c r="R1259" s="19">
        <v>1</v>
      </c>
      <c r="S1259" s="19">
        <v>1</v>
      </c>
      <c r="T1259" s="19">
        <v>0</v>
      </c>
      <c r="U1259" s="19">
        <v>0</v>
      </c>
      <c r="V1259" s="19">
        <v>3</v>
      </c>
      <c r="W1259" s="19">
        <v>9.48</v>
      </c>
      <c r="X1259" s="19">
        <v>0</v>
      </c>
      <c r="Y1259" s="20">
        <v>0</v>
      </c>
      <c r="Z1259" s="19">
        <v>0</v>
      </c>
      <c r="AA1259" s="19">
        <v>0</v>
      </c>
      <c r="AB1259" t="str">
        <f>VLOOKUP(E:E,笔记匹配!A:N,3,FALSE)</f>
        <v>小羊羔崽子</v>
      </c>
      <c r="AC1259" t="str">
        <f>VLOOKUP(E:E,笔记匹配!A:N,2,FALSE)</f>
        <v>筋膜枪</v>
      </c>
      <c r="AD1259" t="str">
        <f>VLOOKUP(E:E,笔记匹配!A:N,4,FALSE)</f>
        <v>云麦筋膜枪PB2</v>
      </c>
      <c r="AE1259" t="str">
        <f>VLOOKUP(E:E,笔记匹配!A:N,14,FALSE)</f>
        <v>云麦筋膜枪pb2</v>
      </c>
      <c r="AF1259" t="str">
        <f>VLOOKUP(E:E,笔记匹配!A:N,6,FALSE)</f>
        <v>用了多年泡沫轴，才知道筋膜枪是真的香！！！</v>
      </c>
    </row>
    <row r="1260" spans="1:32">
      <c r="A1260" s="18" t="s">
        <v>168</v>
      </c>
      <c r="B1260" s="18" t="s">
        <v>1366</v>
      </c>
      <c r="C1260" s="19">
        <v>23019540</v>
      </c>
      <c r="D1260" s="18" t="s">
        <v>209</v>
      </c>
      <c r="E1260" s="18" t="s">
        <v>264</v>
      </c>
      <c r="F1260" s="18" t="s">
        <v>1367</v>
      </c>
      <c r="G1260" s="19">
        <v>5980615</v>
      </c>
      <c r="H1260" s="18" t="s">
        <v>1368</v>
      </c>
      <c r="I1260" s="19">
        <v>4980556</v>
      </c>
      <c r="J1260" s="18" t="s">
        <v>1015</v>
      </c>
      <c r="K1260" s="19">
        <v>512.23</v>
      </c>
      <c r="L1260" s="19">
        <v>54588</v>
      </c>
      <c r="M1260" s="19">
        <v>3696</v>
      </c>
      <c r="N1260" s="20">
        <v>0.0677</v>
      </c>
      <c r="O1260" s="19">
        <v>0.14</v>
      </c>
      <c r="P1260" s="19">
        <v>9.38</v>
      </c>
      <c r="Q1260" s="19">
        <v>37</v>
      </c>
      <c r="R1260" s="19">
        <v>5</v>
      </c>
      <c r="S1260" s="19">
        <v>14</v>
      </c>
      <c r="T1260" s="19">
        <v>4</v>
      </c>
      <c r="U1260" s="19">
        <v>3</v>
      </c>
      <c r="V1260" s="19">
        <v>63</v>
      </c>
      <c r="W1260" s="19">
        <v>8.13</v>
      </c>
      <c r="X1260" s="19">
        <v>0</v>
      </c>
      <c r="Y1260" s="20">
        <v>0</v>
      </c>
      <c r="Z1260" s="19">
        <v>11</v>
      </c>
      <c r="AA1260" s="19">
        <v>2</v>
      </c>
      <c r="AB1260" t="str">
        <f>VLOOKUP(E:E,笔记匹配!A:N,3,FALSE)</f>
        <v>BD方丈</v>
      </c>
      <c r="AC1260" t="str">
        <f>VLOOKUP(E:E,笔记匹配!A:N,2,FALSE)</f>
        <v>筋膜枪</v>
      </c>
      <c r="AD1260" t="str">
        <f>VLOOKUP(E:E,笔记匹配!A:N,4,FALSE)</f>
        <v>云麦筋膜枪PB2</v>
      </c>
      <c r="AE1260" t="str">
        <f>VLOOKUP(E:E,笔记匹配!A:N,14,FALSE)</f>
        <v>云麦筋膜枪pb2</v>
      </c>
      <c r="AF1260" t="str">
        <f>VLOOKUP(E:E,笔记匹配!A:N,6,FALSE)</f>
        <v>翘臀不难？！筋膜枪使用敲重点</v>
      </c>
    </row>
    <row r="1261" spans="1:32">
      <c r="A1261" s="18" t="s">
        <v>168</v>
      </c>
      <c r="B1261" s="18" t="s">
        <v>1366</v>
      </c>
      <c r="C1261" s="19">
        <v>23019923</v>
      </c>
      <c r="D1261" s="18" t="s">
        <v>209</v>
      </c>
      <c r="E1261" s="18" t="s">
        <v>267</v>
      </c>
      <c r="F1261" s="18" t="s">
        <v>1369</v>
      </c>
      <c r="G1261" s="19">
        <v>5980832</v>
      </c>
      <c r="H1261" s="18" t="s">
        <v>1369</v>
      </c>
      <c r="I1261" s="19">
        <v>4980726</v>
      </c>
      <c r="J1261" s="18" t="s">
        <v>1015</v>
      </c>
      <c r="K1261" s="19">
        <v>333.84</v>
      </c>
      <c r="L1261" s="19">
        <v>39359</v>
      </c>
      <c r="M1261" s="19">
        <v>3411</v>
      </c>
      <c r="N1261" s="20">
        <v>0.0867</v>
      </c>
      <c r="O1261" s="19">
        <v>0.1</v>
      </c>
      <c r="P1261" s="19">
        <v>8.48</v>
      </c>
      <c r="Q1261" s="19">
        <v>7</v>
      </c>
      <c r="R1261" s="19">
        <v>0</v>
      </c>
      <c r="S1261" s="19">
        <v>5</v>
      </c>
      <c r="T1261" s="19">
        <v>4</v>
      </c>
      <c r="U1261" s="19">
        <v>0</v>
      </c>
      <c r="V1261" s="19">
        <v>16</v>
      </c>
      <c r="W1261" s="19">
        <v>20.86</v>
      </c>
      <c r="X1261" s="19">
        <v>0</v>
      </c>
      <c r="Y1261" s="20">
        <v>0</v>
      </c>
      <c r="Z1261" s="19">
        <v>2</v>
      </c>
      <c r="AA1261" s="19">
        <v>1</v>
      </c>
      <c r="AB1261" t="str">
        <f>VLOOKUP(E:E,笔记匹配!A:N,3,FALSE)</f>
        <v>晚一子</v>
      </c>
      <c r="AC1261" t="str">
        <f>VLOOKUP(E:E,笔记匹配!A:N,2,FALSE)</f>
        <v>体脂秤</v>
      </c>
      <c r="AD1261" t="str">
        <f>VLOOKUP(E:E,笔记匹配!A:N,4,FALSE)</f>
        <v>云麦体脂秤3mini</v>
      </c>
      <c r="AE1261" t="str">
        <f>VLOOKUP(E:E,笔记匹配!A:N,14,FALSE)</f>
        <v>云麦体脂秤3mini</v>
      </c>
      <c r="AF1261" t="str">
        <f>VLOOKUP(E:E,笔记匹配!A:N,6,FALSE)</f>
        <v>120瘦到78斤｜小基数减脂心得分享</v>
      </c>
    </row>
    <row r="1262" spans="1:32">
      <c r="A1262" s="18" t="s">
        <v>168</v>
      </c>
      <c r="B1262" s="18" t="s">
        <v>1370</v>
      </c>
      <c r="C1262" s="19">
        <v>23020109</v>
      </c>
      <c r="D1262" s="18" t="s">
        <v>196</v>
      </c>
      <c r="E1262" s="18" t="s">
        <v>208</v>
      </c>
      <c r="F1262" s="18" t="s">
        <v>1371</v>
      </c>
      <c r="G1262" s="19">
        <v>5980913</v>
      </c>
      <c r="H1262" s="18" t="s">
        <v>1371</v>
      </c>
      <c r="I1262" s="19">
        <v>4980814</v>
      </c>
      <c r="J1262" s="18" t="s">
        <v>1015</v>
      </c>
      <c r="K1262" s="19">
        <v>522.18</v>
      </c>
      <c r="L1262" s="19">
        <v>28881</v>
      </c>
      <c r="M1262" s="19">
        <v>1263</v>
      </c>
      <c r="N1262" s="20">
        <v>0.0437</v>
      </c>
      <c r="O1262" s="19">
        <v>0.41</v>
      </c>
      <c r="P1262" s="19">
        <v>18.08</v>
      </c>
      <c r="Q1262" s="19">
        <v>11</v>
      </c>
      <c r="R1262" s="19">
        <v>3</v>
      </c>
      <c r="S1262" s="19">
        <v>11</v>
      </c>
      <c r="T1262" s="19">
        <v>1</v>
      </c>
      <c r="U1262" s="19">
        <v>2</v>
      </c>
      <c r="V1262" s="19">
        <v>28</v>
      </c>
      <c r="W1262" s="19">
        <v>18.65</v>
      </c>
      <c r="X1262" s="19">
        <v>0</v>
      </c>
      <c r="Y1262" s="20">
        <v>0</v>
      </c>
      <c r="Z1262" s="19">
        <v>3</v>
      </c>
      <c r="AA1262" s="19">
        <v>1</v>
      </c>
      <c r="AB1262" t="str">
        <f>VLOOKUP(E:E,笔记匹配!A:N,3,FALSE)</f>
        <v>小羊羔崽子</v>
      </c>
      <c r="AC1262" t="str">
        <f>VLOOKUP(E:E,笔记匹配!A:N,2,FALSE)</f>
        <v>筋膜枪</v>
      </c>
      <c r="AD1262" t="str">
        <f>VLOOKUP(E:E,笔记匹配!A:N,4,FALSE)</f>
        <v>云麦筋膜枪PB2</v>
      </c>
      <c r="AE1262" t="str">
        <f>VLOOKUP(E:E,笔记匹配!A:N,14,FALSE)</f>
        <v>云麦筋膜枪pb2</v>
      </c>
      <c r="AF1262" t="str">
        <f>VLOOKUP(E:E,笔记匹配!A:N,6,FALSE)</f>
        <v>用了多年泡沫轴，才知道筋膜枪是真的香！！！</v>
      </c>
    </row>
    <row r="1263" spans="1:32">
      <c r="A1263" s="18" t="s">
        <v>169</v>
      </c>
      <c r="B1263" s="18" t="s">
        <v>1267</v>
      </c>
      <c r="C1263" s="19">
        <v>21360243</v>
      </c>
      <c r="D1263" s="18" t="s">
        <v>209</v>
      </c>
      <c r="E1263" s="18" t="s">
        <v>220</v>
      </c>
      <c r="F1263" s="18" t="s">
        <v>1268</v>
      </c>
      <c r="G1263" s="19">
        <v>5192303</v>
      </c>
      <c r="H1263" s="18" t="s">
        <v>1269</v>
      </c>
      <c r="I1263" s="19">
        <v>4379647</v>
      </c>
      <c r="J1263" s="18" t="s">
        <v>1015</v>
      </c>
      <c r="K1263" s="19">
        <v>973.58</v>
      </c>
      <c r="L1263" s="19">
        <v>65394</v>
      </c>
      <c r="M1263" s="19">
        <v>2704</v>
      </c>
      <c r="N1263" s="20">
        <v>0.0413</v>
      </c>
      <c r="O1263" s="19">
        <v>0.36</v>
      </c>
      <c r="P1263" s="19">
        <v>14.89</v>
      </c>
      <c r="Q1263" s="19">
        <v>102</v>
      </c>
      <c r="R1263" s="19">
        <v>1</v>
      </c>
      <c r="S1263" s="19">
        <v>38</v>
      </c>
      <c r="T1263" s="19">
        <v>0</v>
      </c>
      <c r="U1263" s="19">
        <v>1</v>
      </c>
      <c r="V1263" s="19">
        <v>142</v>
      </c>
      <c r="W1263" s="19">
        <v>6.86</v>
      </c>
      <c r="X1263" s="19">
        <v>0</v>
      </c>
      <c r="Y1263" s="20">
        <v>0</v>
      </c>
      <c r="Z1263" s="19">
        <v>5</v>
      </c>
      <c r="AA1263" s="19">
        <v>3</v>
      </c>
      <c r="AB1263" t="str">
        <f>VLOOKUP(E:E,笔记匹配!A:N,3,FALSE)</f>
        <v>一颗西兰花fa</v>
      </c>
      <c r="AC1263" t="str">
        <f>VLOOKUP(E:E,笔记匹配!A:N,2,FALSE)</f>
        <v>筋膜枪</v>
      </c>
      <c r="AD1263" t="str">
        <f>VLOOKUP(E:E,笔记匹配!A:N,4,FALSE)</f>
        <v>云麦筋膜枪PB2</v>
      </c>
      <c r="AE1263" t="str">
        <f>VLOOKUP(E:E,笔记匹配!A:N,14,FALSE)</f>
        <v>云麦筋膜枪pb2</v>
      </c>
      <c r="AF1263" t="str">
        <f>VLOOKUP(E:E,笔记匹配!A:N,6,FALSE)</f>
        <v>有没有姐妹跟我一样被肌肉腿困扰了好久！</v>
      </c>
    </row>
    <row r="1264" spans="1:32">
      <c r="A1264" s="18" t="s">
        <v>169</v>
      </c>
      <c r="B1264" s="18" t="s">
        <v>1294</v>
      </c>
      <c r="C1264" s="19">
        <v>21747929</v>
      </c>
      <c r="D1264" s="18" t="s">
        <v>209</v>
      </c>
      <c r="E1264" s="18" t="s">
        <v>208</v>
      </c>
      <c r="F1264" s="18" t="s">
        <v>1295</v>
      </c>
      <c r="G1264" s="19">
        <v>5366393</v>
      </c>
      <c r="H1264" s="18" t="s">
        <v>1295</v>
      </c>
      <c r="I1264" s="19">
        <v>4512630</v>
      </c>
      <c r="J1264" s="18" t="s">
        <v>1015</v>
      </c>
      <c r="K1264" s="19">
        <v>3051.56</v>
      </c>
      <c r="L1264" s="19">
        <v>159826</v>
      </c>
      <c r="M1264" s="19">
        <v>8205</v>
      </c>
      <c r="N1264" s="20">
        <v>0.0513</v>
      </c>
      <c r="O1264" s="19">
        <v>0.37</v>
      </c>
      <c r="P1264" s="19">
        <v>19.09</v>
      </c>
      <c r="Q1264" s="19">
        <v>191</v>
      </c>
      <c r="R1264" s="19">
        <v>5</v>
      </c>
      <c r="S1264" s="19">
        <v>86</v>
      </c>
      <c r="T1264" s="19">
        <v>1</v>
      </c>
      <c r="U1264" s="19">
        <v>6</v>
      </c>
      <c r="V1264" s="19">
        <v>289</v>
      </c>
      <c r="W1264" s="19">
        <v>10.56</v>
      </c>
      <c r="X1264" s="19">
        <v>0</v>
      </c>
      <c r="Y1264" s="20">
        <v>0</v>
      </c>
      <c r="Z1264" s="19">
        <v>11</v>
      </c>
      <c r="AA1264" s="19">
        <v>2</v>
      </c>
      <c r="AB1264" t="str">
        <f>VLOOKUP(E:E,笔记匹配!A:N,3,FALSE)</f>
        <v>小羊羔崽子</v>
      </c>
      <c r="AC1264" t="str">
        <f>VLOOKUP(E:E,笔记匹配!A:N,2,FALSE)</f>
        <v>筋膜枪</v>
      </c>
      <c r="AD1264" t="str">
        <f>VLOOKUP(E:E,笔记匹配!A:N,4,FALSE)</f>
        <v>云麦筋膜枪PB2</v>
      </c>
      <c r="AE1264" t="str">
        <f>VLOOKUP(E:E,笔记匹配!A:N,14,FALSE)</f>
        <v>云麦筋膜枪pb2</v>
      </c>
      <c r="AF1264" t="str">
        <f>VLOOKUP(E:E,笔记匹配!A:N,6,FALSE)</f>
        <v>用了多年泡沫轴，才知道筋膜枪是真的香！！！</v>
      </c>
    </row>
    <row r="1265" spans="1:32">
      <c r="A1265" s="18" t="s">
        <v>169</v>
      </c>
      <c r="B1265" s="18" t="s">
        <v>1297</v>
      </c>
      <c r="C1265" s="19">
        <v>21881635</v>
      </c>
      <c r="D1265" s="18" t="s">
        <v>196</v>
      </c>
      <c r="E1265" s="18" t="s">
        <v>234</v>
      </c>
      <c r="F1265" s="18" t="s">
        <v>1306</v>
      </c>
      <c r="G1265" s="19">
        <v>5429032</v>
      </c>
      <c r="H1265" s="18" t="s">
        <v>1307</v>
      </c>
      <c r="I1265" s="19">
        <v>4559792</v>
      </c>
      <c r="J1265" s="18" t="s">
        <v>1015</v>
      </c>
      <c r="K1265" s="19">
        <v>0</v>
      </c>
      <c r="L1265" s="19">
        <v>1</v>
      </c>
      <c r="M1265" s="19">
        <v>0</v>
      </c>
      <c r="N1265" s="20">
        <v>0</v>
      </c>
      <c r="O1265" s="19">
        <v>0</v>
      </c>
      <c r="P1265" s="19">
        <v>0</v>
      </c>
      <c r="Q1265" s="19">
        <v>0</v>
      </c>
      <c r="R1265" s="19">
        <v>0</v>
      </c>
      <c r="S1265" s="19">
        <v>0</v>
      </c>
      <c r="T1265" s="19">
        <v>0</v>
      </c>
      <c r="U1265" s="19">
        <v>0</v>
      </c>
      <c r="V1265" s="19">
        <v>0</v>
      </c>
      <c r="W1265" s="19">
        <v>0</v>
      </c>
      <c r="X1265" s="19">
        <v>0</v>
      </c>
      <c r="Y1265" s="20">
        <v>0</v>
      </c>
      <c r="Z1265" s="19">
        <v>0</v>
      </c>
      <c r="AA1265" s="19">
        <v>0</v>
      </c>
      <c r="AB1265" t="str">
        <f>VLOOKUP(E:E,笔记匹配!A:N,3,FALSE)</f>
        <v>pp</v>
      </c>
      <c r="AC1265" t="str">
        <f>VLOOKUP(E:E,笔记匹配!A:N,2,FALSE)</f>
        <v>体脂秤</v>
      </c>
      <c r="AD1265" t="str">
        <f>VLOOKUP(E:E,笔记匹配!A:N,4,FALSE)</f>
        <v>云麦体脂秤3mini</v>
      </c>
      <c r="AE1265" t="str">
        <f>VLOOKUP(E:E,笔记匹配!A:N,14,FALSE)</f>
        <v>云麦体脂秤3mini</v>
      </c>
      <c r="AF1265" t="str">
        <f>VLOOKUP(E:E,笔记匹配!A:N,6,FALSE)</f>
        <v>110到88 一些减肥小建议｜如何正确运动</v>
      </c>
    </row>
    <row r="1266" spans="1:32">
      <c r="A1266" s="18" t="s">
        <v>169</v>
      </c>
      <c r="B1266" s="18" t="s">
        <v>1308</v>
      </c>
      <c r="C1266" s="19">
        <v>21881978</v>
      </c>
      <c r="D1266" s="18" t="s">
        <v>196</v>
      </c>
      <c r="E1266" s="18" t="s">
        <v>234</v>
      </c>
      <c r="F1266" s="18" t="s">
        <v>1309</v>
      </c>
      <c r="G1266" s="19">
        <v>5429663</v>
      </c>
      <c r="H1266" s="18" t="s">
        <v>1310</v>
      </c>
      <c r="I1266" s="19">
        <v>4560362</v>
      </c>
      <c r="J1266" s="18" t="s">
        <v>1015</v>
      </c>
      <c r="K1266" s="19">
        <v>137.25</v>
      </c>
      <c r="L1266" s="19">
        <v>3860</v>
      </c>
      <c r="M1266" s="19">
        <v>153</v>
      </c>
      <c r="N1266" s="20">
        <v>0.0396</v>
      </c>
      <c r="O1266" s="19">
        <v>0.9</v>
      </c>
      <c r="P1266" s="19">
        <v>35.56</v>
      </c>
      <c r="Q1266" s="19">
        <v>2</v>
      </c>
      <c r="R1266" s="19">
        <v>0</v>
      </c>
      <c r="S1266" s="19">
        <v>0</v>
      </c>
      <c r="T1266" s="19">
        <v>0</v>
      </c>
      <c r="U1266" s="19">
        <v>2</v>
      </c>
      <c r="V1266" s="19">
        <v>4</v>
      </c>
      <c r="W1266" s="19">
        <v>34.31</v>
      </c>
      <c r="X1266" s="19">
        <v>0</v>
      </c>
      <c r="Y1266" s="20">
        <v>0</v>
      </c>
      <c r="Z1266" s="19">
        <v>0</v>
      </c>
      <c r="AA1266" s="19">
        <v>0</v>
      </c>
      <c r="AB1266" t="str">
        <f>VLOOKUP(E:E,笔记匹配!A:N,3,FALSE)</f>
        <v>pp</v>
      </c>
      <c r="AC1266" t="str">
        <f>VLOOKUP(E:E,笔记匹配!A:N,2,FALSE)</f>
        <v>体脂秤</v>
      </c>
      <c r="AD1266" t="str">
        <f>VLOOKUP(E:E,笔记匹配!A:N,4,FALSE)</f>
        <v>云麦体脂秤3mini</v>
      </c>
      <c r="AE1266" t="str">
        <f>VLOOKUP(E:E,笔记匹配!A:N,14,FALSE)</f>
        <v>云麦体脂秤3mini</v>
      </c>
      <c r="AF1266" t="str">
        <f>VLOOKUP(E:E,笔记匹配!A:N,6,FALSE)</f>
        <v>110到88 一些减肥小建议｜如何正确运动</v>
      </c>
    </row>
    <row r="1267" spans="1:32">
      <c r="A1267" s="18" t="s">
        <v>169</v>
      </c>
      <c r="B1267" s="18" t="s">
        <v>1316</v>
      </c>
      <c r="C1267" s="19">
        <v>22072814</v>
      </c>
      <c r="D1267" s="18" t="s">
        <v>196</v>
      </c>
      <c r="E1267" s="18" t="s">
        <v>201</v>
      </c>
      <c r="F1267" s="18" t="s">
        <v>1317</v>
      </c>
      <c r="G1267" s="19">
        <v>5521358</v>
      </c>
      <c r="H1267" s="18" t="s">
        <v>1317</v>
      </c>
      <c r="I1267" s="19">
        <v>4629845</v>
      </c>
      <c r="J1267" s="18" t="s">
        <v>1015</v>
      </c>
      <c r="K1267" s="19">
        <v>89.06</v>
      </c>
      <c r="L1267" s="19">
        <v>1513</v>
      </c>
      <c r="M1267" s="19">
        <v>185</v>
      </c>
      <c r="N1267" s="20">
        <v>0.1223</v>
      </c>
      <c r="O1267" s="19">
        <v>0.48</v>
      </c>
      <c r="P1267" s="19">
        <v>58.86</v>
      </c>
      <c r="Q1267" s="19">
        <v>2</v>
      </c>
      <c r="R1267" s="19">
        <v>1</v>
      </c>
      <c r="S1267" s="19">
        <v>0</v>
      </c>
      <c r="T1267" s="19">
        <v>0</v>
      </c>
      <c r="U1267" s="19">
        <v>0</v>
      </c>
      <c r="V1267" s="19">
        <v>3</v>
      </c>
      <c r="W1267" s="19">
        <v>29.69</v>
      </c>
      <c r="X1267" s="19">
        <v>1</v>
      </c>
      <c r="Y1267" s="20">
        <v>0.0054</v>
      </c>
      <c r="Z1267" s="19">
        <v>0</v>
      </c>
      <c r="AA1267" s="19">
        <v>0</v>
      </c>
      <c r="AB1267" t="str">
        <f>VLOOKUP(E:E,笔记匹配!A:N,3,FALSE)</f>
        <v>包子熟了</v>
      </c>
      <c r="AC1267" t="str">
        <f>VLOOKUP(E:E,笔记匹配!A:N,2,FALSE)</f>
        <v>筋膜枪</v>
      </c>
      <c r="AD1267" t="str">
        <f>VLOOKUP(E:E,笔记匹配!A:N,4,FALSE)</f>
        <v>云麦筋膜枪</v>
      </c>
      <c r="AE1267" t="str">
        <f>VLOOKUP(E:E,笔记匹配!A:N,14,FALSE)</f>
        <v>云麦筋膜枪pb2</v>
      </c>
      <c r="AF1267" t="str">
        <f>VLOOKUP(E:E,笔记匹配!A:N,6,FALSE)</f>
        <v>筋膜枪测评|健身小白如何挑选筋膜枪？</v>
      </c>
    </row>
    <row r="1268" spans="1:32">
      <c r="A1268" s="18" t="s">
        <v>169</v>
      </c>
      <c r="B1268" s="18" t="s">
        <v>1316</v>
      </c>
      <c r="C1268" s="19">
        <v>22072908</v>
      </c>
      <c r="D1268" s="18" t="s">
        <v>196</v>
      </c>
      <c r="E1268" s="18" t="s">
        <v>201</v>
      </c>
      <c r="F1268" s="18" t="s">
        <v>1318</v>
      </c>
      <c r="G1268" s="19">
        <v>5521414</v>
      </c>
      <c r="H1268" s="18" t="s">
        <v>1318</v>
      </c>
      <c r="I1268" s="19">
        <v>4629891</v>
      </c>
      <c r="J1268" s="18" t="s">
        <v>1015</v>
      </c>
      <c r="K1268" s="19">
        <v>165.13</v>
      </c>
      <c r="L1268" s="19">
        <v>3002</v>
      </c>
      <c r="M1268" s="19">
        <v>221</v>
      </c>
      <c r="N1268" s="20">
        <v>0.0736</v>
      </c>
      <c r="O1268" s="19">
        <v>0.75</v>
      </c>
      <c r="P1268" s="19">
        <v>55.01</v>
      </c>
      <c r="Q1268" s="19">
        <v>2</v>
      </c>
      <c r="R1268" s="19">
        <v>0</v>
      </c>
      <c r="S1268" s="19">
        <v>0</v>
      </c>
      <c r="T1268" s="19">
        <v>0</v>
      </c>
      <c r="U1268" s="19">
        <v>0</v>
      </c>
      <c r="V1268" s="19">
        <v>2</v>
      </c>
      <c r="W1268" s="19">
        <v>82.56</v>
      </c>
      <c r="X1268" s="19">
        <v>1</v>
      </c>
      <c r="Y1268" s="20">
        <v>0.0045</v>
      </c>
      <c r="Z1268" s="19">
        <v>1</v>
      </c>
      <c r="AA1268" s="19">
        <v>1</v>
      </c>
      <c r="AB1268" t="str">
        <f>VLOOKUP(E:E,笔记匹配!A:N,3,FALSE)</f>
        <v>包子熟了</v>
      </c>
      <c r="AC1268" t="str">
        <f>VLOOKUP(E:E,笔记匹配!A:N,2,FALSE)</f>
        <v>筋膜枪</v>
      </c>
      <c r="AD1268" t="str">
        <f>VLOOKUP(E:E,笔记匹配!A:N,4,FALSE)</f>
        <v>云麦筋膜枪</v>
      </c>
      <c r="AE1268" t="str">
        <f>VLOOKUP(E:E,笔记匹配!A:N,14,FALSE)</f>
        <v>云麦筋膜枪pb2</v>
      </c>
      <c r="AF1268" t="str">
        <f>VLOOKUP(E:E,笔记匹配!A:N,6,FALSE)</f>
        <v>筋膜枪测评|健身小白如何挑选筋膜枪？</v>
      </c>
    </row>
    <row r="1269" spans="1:32">
      <c r="A1269" s="18" t="s">
        <v>169</v>
      </c>
      <c r="B1269" s="18" t="s">
        <v>1338</v>
      </c>
      <c r="C1269" s="19">
        <v>22516377</v>
      </c>
      <c r="D1269" s="18" t="s">
        <v>209</v>
      </c>
      <c r="E1269" s="18" t="s">
        <v>214</v>
      </c>
      <c r="F1269" s="18" t="s">
        <v>1341</v>
      </c>
      <c r="G1269" s="19">
        <v>5732455</v>
      </c>
      <c r="H1269" s="18" t="s">
        <v>1341</v>
      </c>
      <c r="I1269" s="19">
        <v>4792733</v>
      </c>
      <c r="J1269" s="18" t="s">
        <v>1015</v>
      </c>
      <c r="K1269" s="19">
        <v>1015.34</v>
      </c>
      <c r="L1269" s="19">
        <v>64525</v>
      </c>
      <c r="M1269" s="19">
        <v>3655</v>
      </c>
      <c r="N1269" s="20">
        <v>0.0566</v>
      </c>
      <c r="O1269" s="19">
        <v>0.28</v>
      </c>
      <c r="P1269" s="19">
        <v>15.74</v>
      </c>
      <c r="Q1269" s="19">
        <v>194</v>
      </c>
      <c r="R1269" s="19">
        <v>2</v>
      </c>
      <c r="S1269" s="19">
        <v>53</v>
      </c>
      <c r="T1269" s="19">
        <v>1</v>
      </c>
      <c r="U1269" s="19">
        <v>3</v>
      </c>
      <c r="V1269" s="19">
        <v>253</v>
      </c>
      <c r="W1269" s="19">
        <v>4.01</v>
      </c>
      <c r="X1269" s="19">
        <v>0</v>
      </c>
      <c r="Y1269" s="20">
        <v>0</v>
      </c>
      <c r="Z1269" s="19">
        <v>12</v>
      </c>
      <c r="AA1269" s="19">
        <v>14</v>
      </c>
      <c r="AB1269" t="str">
        <f>VLOOKUP(E:E,笔记匹配!A:N,3,FALSE)</f>
        <v>Zora張張</v>
      </c>
      <c r="AC1269" t="str">
        <f>VLOOKUP(E:E,笔记匹配!A:N,2,FALSE)</f>
        <v>筋膜枪</v>
      </c>
      <c r="AD1269" t="str">
        <f>VLOOKUP(E:E,笔记匹配!A:N,4,FALSE)</f>
        <v>云麦筋膜枪cc</v>
      </c>
      <c r="AE1269" t="str">
        <f>VLOOKUP(E:E,笔记匹配!A:N,14,FALSE)</f>
        <v>云麦筋膜枪ccgo</v>
      </c>
      <c r="AF1269" t="str">
        <f>VLOOKUP(E:E,笔记匹配!A:N,6,FALSE)</f>
        <v>宿舍姐妹花人手一个！这筋膜枪有点东西🧐</v>
      </c>
    </row>
    <row r="1270" spans="1:32">
      <c r="A1270" s="18" t="s">
        <v>169</v>
      </c>
      <c r="B1270" s="18" t="s">
        <v>1358</v>
      </c>
      <c r="C1270" s="19">
        <v>22943828</v>
      </c>
      <c r="D1270" s="18" t="s">
        <v>209</v>
      </c>
      <c r="E1270" s="18" t="s">
        <v>228</v>
      </c>
      <c r="F1270" s="18" t="s">
        <v>1359</v>
      </c>
      <c r="G1270" s="19">
        <v>5942327</v>
      </c>
      <c r="H1270" s="18" t="s">
        <v>1359</v>
      </c>
      <c r="I1270" s="19">
        <v>4951269</v>
      </c>
      <c r="J1270" s="18" t="s">
        <v>1015</v>
      </c>
      <c r="K1270" s="19">
        <v>0</v>
      </c>
      <c r="L1270" s="19">
        <v>0</v>
      </c>
      <c r="M1270" s="19">
        <v>0</v>
      </c>
      <c r="N1270" s="20">
        <v>0</v>
      </c>
      <c r="O1270" s="19">
        <v>0</v>
      </c>
      <c r="P1270" s="19">
        <v>0</v>
      </c>
      <c r="Q1270" s="19">
        <v>0</v>
      </c>
      <c r="R1270" s="19">
        <v>0</v>
      </c>
      <c r="S1270" s="19">
        <v>0</v>
      </c>
      <c r="T1270" s="19">
        <v>0</v>
      </c>
      <c r="U1270" s="19">
        <v>0</v>
      </c>
      <c r="V1270" s="19">
        <v>0</v>
      </c>
      <c r="W1270" s="19">
        <v>0</v>
      </c>
      <c r="X1270" s="19">
        <v>0</v>
      </c>
      <c r="Y1270" s="20">
        <v>0</v>
      </c>
      <c r="Z1270" s="19">
        <v>0</v>
      </c>
      <c r="AA1270" s="19">
        <v>0</v>
      </c>
      <c r="AB1270" t="str">
        <f>VLOOKUP(E:E,笔记匹配!A:N,3,FALSE)</f>
        <v>语宸要做插画师</v>
      </c>
      <c r="AC1270" t="str">
        <f>VLOOKUP(E:E,笔记匹配!A:N,2,FALSE)</f>
        <v>筋膜枪</v>
      </c>
      <c r="AD1270" t="str">
        <f>VLOOKUP(E:E,笔记匹配!A:N,4,FALSE)</f>
        <v>云麦筋膜枪cc </v>
      </c>
      <c r="AE1270" t="str">
        <f>VLOOKUP(E:E,笔记匹配!A:N,14,FALSE)</f>
        <v>云麦筋膜枪cc</v>
      </c>
      <c r="AF1270" t="str">
        <f>VLOOKUP(E:E,笔记匹配!A:N,6,FALSE)</f>
        <v>挑战在筋膜枪上画画</v>
      </c>
    </row>
    <row r="1271" spans="1:32">
      <c r="A1271" s="18" t="s">
        <v>169</v>
      </c>
      <c r="B1271" s="18" t="s">
        <v>1366</v>
      </c>
      <c r="C1271" s="19">
        <v>23019540</v>
      </c>
      <c r="D1271" s="18" t="s">
        <v>209</v>
      </c>
      <c r="E1271" s="18" t="s">
        <v>264</v>
      </c>
      <c r="F1271" s="18" t="s">
        <v>1367</v>
      </c>
      <c r="G1271" s="19">
        <v>5980615</v>
      </c>
      <c r="H1271" s="18" t="s">
        <v>1368</v>
      </c>
      <c r="I1271" s="19">
        <v>4980556</v>
      </c>
      <c r="J1271" s="18" t="s">
        <v>1015</v>
      </c>
      <c r="K1271" s="19">
        <v>0</v>
      </c>
      <c r="L1271" s="19">
        <v>0</v>
      </c>
      <c r="M1271" s="19">
        <v>0</v>
      </c>
      <c r="N1271" s="20">
        <v>0</v>
      </c>
      <c r="O1271" s="19">
        <v>0</v>
      </c>
      <c r="P1271" s="19">
        <v>0</v>
      </c>
      <c r="Q1271" s="19">
        <v>0</v>
      </c>
      <c r="R1271" s="19">
        <v>0</v>
      </c>
      <c r="S1271" s="19">
        <v>0</v>
      </c>
      <c r="T1271" s="19">
        <v>0</v>
      </c>
      <c r="U1271" s="19">
        <v>0</v>
      </c>
      <c r="V1271" s="19">
        <v>0</v>
      </c>
      <c r="W1271" s="19">
        <v>0</v>
      </c>
      <c r="X1271" s="19">
        <v>0</v>
      </c>
      <c r="Y1271" s="20">
        <v>0</v>
      </c>
      <c r="Z1271" s="19">
        <v>0</v>
      </c>
      <c r="AA1271" s="19">
        <v>0</v>
      </c>
      <c r="AB1271" t="str">
        <f>VLOOKUP(E:E,笔记匹配!A:N,3,FALSE)</f>
        <v>BD方丈</v>
      </c>
      <c r="AC1271" t="str">
        <f>VLOOKUP(E:E,笔记匹配!A:N,2,FALSE)</f>
        <v>筋膜枪</v>
      </c>
      <c r="AD1271" t="str">
        <f>VLOOKUP(E:E,笔记匹配!A:N,4,FALSE)</f>
        <v>云麦筋膜枪PB2</v>
      </c>
      <c r="AE1271" t="str">
        <f>VLOOKUP(E:E,笔记匹配!A:N,14,FALSE)</f>
        <v>云麦筋膜枪pb2</v>
      </c>
      <c r="AF1271" t="str">
        <f>VLOOKUP(E:E,笔记匹配!A:N,6,FALSE)</f>
        <v>翘臀不难？！筋膜枪使用敲重点</v>
      </c>
    </row>
    <row r="1272" spans="1:32">
      <c r="A1272" s="18" t="s">
        <v>169</v>
      </c>
      <c r="B1272" s="18" t="s">
        <v>1366</v>
      </c>
      <c r="C1272" s="19">
        <v>23019923</v>
      </c>
      <c r="D1272" s="18" t="s">
        <v>209</v>
      </c>
      <c r="E1272" s="18" t="s">
        <v>267</v>
      </c>
      <c r="F1272" s="18" t="s">
        <v>1369</v>
      </c>
      <c r="G1272" s="19">
        <v>5980832</v>
      </c>
      <c r="H1272" s="18" t="s">
        <v>1369</v>
      </c>
      <c r="I1272" s="19">
        <v>4980726</v>
      </c>
      <c r="J1272" s="18" t="s">
        <v>1015</v>
      </c>
      <c r="K1272" s="19">
        <v>0</v>
      </c>
      <c r="L1272" s="19">
        <v>0</v>
      </c>
      <c r="M1272" s="19">
        <v>0</v>
      </c>
      <c r="N1272" s="20">
        <v>0</v>
      </c>
      <c r="O1272" s="19">
        <v>0</v>
      </c>
      <c r="P1272" s="19">
        <v>0</v>
      </c>
      <c r="Q1272" s="19">
        <v>0</v>
      </c>
      <c r="R1272" s="19">
        <v>0</v>
      </c>
      <c r="S1272" s="19">
        <v>0</v>
      </c>
      <c r="T1272" s="19">
        <v>0</v>
      </c>
      <c r="U1272" s="19">
        <v>0</v>
      </c>
      <c r="V1272" s="19">
        <v>0</v>
      </c>
      <c r="W1272" s="19">
        <v>0</v>
      </c>
      <c r="X1272" s="19">
        <v>0</v>
      </c>
      <c r="Y1272" s="20">
        <v>0</v>
      </c>
      <c r="Z1272" s="19">
        <v>0</v>
      </c>
      <c r="AA1272" s="19">
        <v>0</v>
      </c>
      <c r="AB1272" t="str">
        <f>VLOOKUP(E:E,笔记匹配!A:N,3,FALSE)</f>
        <v>晚一子</v>
      </c>
      <c r="AC1272" t="str">
        <f>VLOOKUP(E:E,笔记匹配!A:N,2,FALSE)</f>
        <v>体脂秤</v>
      </c>
      <c r="AD1272" t="str">
        <f>VLOOKUP(E:E,笔记匹配!A:N,4,FALSE)</f>
        <v>云麦体脂秤3mini</v>
      </c>
      <c r="AE1272" t="str">
        <f>VLOOKUP(E:E,笔记匹配!A:N,14,FALSE)</f>
        <v>云麦体脂秤3mini</v>
      </c>
      <c r="AF1272" t="str">
        <f>VLOOKUP(E:E,笔记匹配!A:N,6,FALSE)</f>
        <v>120瘦到78斤｜小基数减脂心得分享</v>
      </c>
    </row>
    <row r="1273" spans="1:32">
      <c r="A1273" s="18" t="s">
        <v>169</v>
      </c>
      <c r="B1273" s="18" t="s">
        <v>1370</v>
      </c>
      <c r="C1273" s="19">
        <v>23020109</v>
      </c>
      <c r="D1273" s="18" t="s">
        <v>196</v>
      </c>
      <c r="E1273" s="18" t="s">
        <v>208</v>
      </c>
      <c r="F1273" s="18" t="s">
        <v>1371</v>
      </c>
      <c r="G1273" s="19">
        <v>5980913</v>
      </c>
      <c r="H1273" s="18" t="s">
        <v>1371</v>
      </c>
      <c r="I1273" s="19">
        <v>4980814</v>
      </c>
      <c r="J1273" s="18" t="s">
        <v>1015</v>
      </c>
      <c r="K1273" s="19">
        <v>524.89</v>
      </c>
      <c r="L1273" s="19">
        <v>23827</v>
      </c>
      <c r="M1273" s="19">
        <v>1212</v>
      </c>
      <c r="N1273" s="20">
        <v>0.0509</v>
      </c>
      <c r="O1273" s="19">
        <v>0.43</v>
      </c>
      <c r="P1273" s="19">
        <v>22.03</v>
      </c>
      <c r="Q1273" s="19">
        <v>10</v>
      </c>
      <c r="R1273" s="19">
        <v>0</v>
      </c>
      <c r="S1273" s="19">
        <v>5</v>
      </c>
      <c r="T1273" s="19">
        <v>0</v>
      </c>
      <c r="U1273" s="19">
        <v>1</v>
      </c>
      <c r="V1273" s="19">
        <v>16</v>
      </c>
      <c r="W1273" s="19">
        <v>32.81</v>
      </c>
      <c r="X1273" s="19">
        <v>0</v>
      </c>
      <c r="Y1273" s="20">
        <v>0</v>
      </c>
      <c r="Z1273" s="19">
        <v>5</v>
      </c>
      <c r="AA1273" s="19">
        <v>2</v>
      </c>
      <c r="AB1273" t="str">
        <f>VLOOKUP(E:E,笔记匹配!A:N,3,FALSE)</f>
        <v>小羊羔崽子</v>
      </c>
      <c r="AC1273" t="str">
        <f>VLOOKUP(E:E,笔记匹配!A:N,2,FALSE)</f>
        <v>筋膜枪</v>
      </c>
      <c r="AD1273" t="str">
        <f>VLOOKUP(E:E,笔记匹配!A:N,4,FALSE)</f>
        <v>云麦筋膜枪PB2</v>
      </c>
      <c r="AE1273" t="str">
        <f>VLOOKUP(E:E,笔记匹配!A:N,14,FALSE)</f>
        <v>云麦筋膜枪pb2</v>
      </c>
      <c r="AF1273" t="str">
        <f>VLOOKUP(E:E,笔记匹配!A:N,6,FALSE)</f>
        <v>用了多年泡沫轴，才知道筋膜枪是真的香！！！</v>
      </c>
    </row>
    <row r="1274" spans="1:32">
      <c r="A1274" s="18" t="s">
        <v>169</v>
      </c>
      <c r="B1274" s="18" t="s">
        <v>255</v>
      </c>
      <c r="C1274" s="19">
        <v>23095610</v>
      </c>
      <c r="D1274" s="18" t="s">
        <v>209</v>
      </c>
      <c r="E1274" s="18" t="s">
        <v>255</v>
      </c>
      <c r="F1274" s="18" t="s">
        <v>1372</v>
      </c>
      <c r="G1274" s="19">
        <v>6017655</v>
      </c>
      <c r="H1274" s="18" t="s">
        <v>1372</v>
      </c>
      <c r="I1274" s="19">
        <v>5008601</v>
      </c>
      <c r="J1274" s="18" t="s">
        <v>1015</v>
      </c>
      <c r="K1274" s="19">
        <v>239.12</v>
      </c>
      <c r="L1274" s="19">
        <v>13553</v>
      </c>
      <c r="M1274" s="19">
        <v>848</v>
      </c>
      <c r="N1274" s="20">
        <v>0.0626</v>
      </c>
      <c r="O1274" s="19">
        <v>0.28</v>
      </c>
      <c r="P1274" s="19">
        <v>17.64</v>
      </c>
      <c r="Q1274" s="19">
        <v>13</v>
      </c>
      <c r="R1274" s="19">
        <v>0</v>
      </c>
      <c r="S1274" s="19">
        <v>5</v>
      </c>
      <c r="T1274" s="19">
        <v>0</v>
      </c>
      <c r="U1274" s="19">
        <v>0</v>
      </c>
      <c r="V1274" s="19">
        <v>18</v>
      </c>
      <c r="W1274" s="19">
        <v>13.28</v>
      </c>
      <c r="X1274" s="19">
        <v>0</v>
      </c>
      <c r="Y1274" s="20">
        <v>0</v>
      </c>
      <c r="Z1274" s="19">
        <v>1</v>
      </c>
      <c r="AA1274" s="19">
        <v>0</v>
      </c>
      <c r="AB1274" t="str">
        <f>VLOOKUP(E:E,笔记匹配!A:N,3,FALSE)</f>
        <v>趁早早呀</v>
      </c>
      <c r="AC1274" t="str">
        <f>VLOOKUP(E:E,笔记匹配!A:N,2,FALSE)</f>
        <v>体脂秤</v>
      </c>
      <c r="AD1274" t="str">
        <f>VLOOKUP(E:E,笔记匹配!A:N,4,FALSE)</f>
        <v>云麦体脂秤3mini</v>
      </c>
      <c r="AE1274" t="str">
        <f>VLOOKUP(E:E,笔记匹配!A:N,14,FALSE)</f>
        <v>云麦体脂秤3mini</v>
      </c>
      <c r="AF1274" t="str">
        <f>VLOOKUP(E:E,笔记匹配!A:N,6,FALSE)</f>
        <v>不到百元get我的私人身材管理师|这波稳赚‼️</v>
      </c>
    </row>
    <row r="1275" spans="1:32">
      <c r="A1275" s="18" t="s">
        <v>169</v>
      </c>
      <c r="B1275" s="18" t="s">
        <v>1373</v>
      </c>
      <c r="C1275" s="19">
        <v>23095722</v>
      </c>
      <c r="D1275" s="18" t="s">
        <v>209</v>
      </c>
      <c r="E1275" s="18" t="s">
        <v>238</v>
      </c>
      <c r="F1275" s="18" t="s">
        <v>1374</v>
      </c>
      <c r="G1275" s="19">
        <v>6017685</v>
      </c>
      <c r="H1275" s="18" t="s">
        <v>1374</v>
      </c>
      <c r="I1275" s="19">
        <v>5008634</v>
      </c>
      <c r="J1275" s="18" t="s">
        <v>1015</v>
      </c>
      <c r="K1275" s="19">
        <v>360</v>
      </c>
      <c r="L1275" s="19">
        <v>14771</v>
      </c>
      <c r="M1275" s="19">
        <v>1716</v>
      </c>
      <c r="N1275" s="20">
        <v>0.1162</v>
      </c>
      <c r="O1275" s="19">
        <v>0.21</v>
      </c>
      <c r="P1275" s="19">
        <v>24.37</v>
      </c>
      <c r="Q1275" s="19">
        <v>178</v>
      </c>
      <c r="R1275" s="19">
        <v>0</v>
      </c>
      <c r="S1275" s="19">
        <v>215</v>
      </c>
      <c r="T1275" s="19">
        <v>26</v>
      </c>
      <c r="U1275" s="19">
        <v>12</v>
      </c>
      <c r="V1275" s="19">
        <v>431</v>
      </c>
      <c r="W1275" s="19">
        <v>0.84</v>
      </c>
      <c r="X1275" s="19">
        <v>1</v>
      </c>
      <c r="Y1275" s="20">
        <v>0.0006</v>
      </c>
      <c r="Z1275" s="19">
        <v>1</v>
      </c>
      <c r="AA1275" s="19">
        <v>5</v>
      </c>
      <c r="AB1275" t="str">
        <f>VLOOKUP(E:E,笔记匹配!A:N,3,FALSE)</f>
        <v>小岛大瑀</v>
      </c>
      <c r="AC1275" t="str">
        <f>VLOOKUP(E:E,笔记匹配!A:N,2,FALSE)</f>
        <v>体脂秤</v>
      </c>
      <c r="AD1275" t="str">
        <f>VLOOKUP(E:E,笔记匹配!A:N,4,FALSE)</f>
        <v>云麦体脂秤3mini </v>
      </c>
      <c r="AE1275" t="str">
        <f>VLOOKUP(E:E,笔记匹配!A:N,14,FALSE)</f>
        <v>云麦体脂秤3mini</v>
      </c>
      <c r="AF1275" t="str">
        <f>VLOOKUP(E:E,笔记匹配!A:N,6,FALSE)</f>
        <v>这个燃脂舞真的太❗️太❗️太简单了🔥停不下来</v>
      </c>
    </row>
    <row r="1276" spans="1:32">
      <c r="A1276" s="18" t="s">
        <v>169</v>
      </c>
      <c r="B1276" s="18" t="s">
        <v>1375</v>
      </c>
      <c r="C1276" s="19">
        <v>23095824</v>
      </c>
      <c r="D1276" s="18" t="s">
        <v>196</v>
      </c>
      <c r="E1276" s="18" t="s">
        <v>208</v>
      </c>
      <c r="F1276" s="18" t="s">
        <v>1376</v>
      </c>
      <c r="G1276" s="19">
        <v>6017761</v>
      </c>
      <c r="H1276" s="18" t="s">
        <v>1377</v>
      </c>
      <c r="I1276" s="19">
        <v>5008695</v>
      </c>
      <c r="J1276" s="18" t="s">
        <v>1015</v>
      </c>
      <c r="K1276" s="19">
        <v>38.99</v>
      </c>
      <c r="L1276" s="19">
        <v>1493</v>
      </c>
      <c r="M1276" s="19">
        <v>49</v>
      </c>
      <c r="N1276" s="20">
        <v>0.0328</v>
      </c>
      <c r="O1276" s="19">
        <v>0.8</v>
      </c>
      <c r="P1276" s="19">
        <v>26.12</v>
      </c>
      <c r="Q1276" s="19">
        <v>1</v>
      </c>
      <c r="R1276" s="19">
        <v>0</v>
      </c>
      <c r="S1276" s="19">
        <v>0</v>
      </c>
      <c r="T1276" s="19">
        <v>0</v>
      </c>
      <c r="U1276" s="19">
        <v>0</v>
      </c>
      <c r="V1276" s="19">
        <v>1</v>
      </c>
      <c r="W1276" s="19">
        <v>38.99</v>
      </c>
      <c r="X1276" s="19">
        <v>0</v>
      </c>
      <c r="Y1276" s="20">
        <v>0</v>
      </c>
      <c r="Z1276" s="19">
        <v>0</v>
      </c>
      <c r="AA1276" s="19">
        <v>0</v>
      </c>
      <c r="AB1276" t="str">
        <f>VLOOKUP(E:E,笔记匹配!A:N,3,FALSE)</f>
        <v>小羊羔崽子</v>
      </c>
      <c r="AC1276" t="str">
        <f>VLOOKUP(E:E,笔记匹配!A:N,2,FALSE)</f>
        <v>筋膜枪</v>
      </c>
      <c r="AD1276" t="str">
        <f>VLOOKUP(E:E,笔记匹配!A:N,4,FALSE)</f>
        <v>云麦筋膜枪PB2</v>
      </c>
      <c r="AE1276" t="str">
        <f>VLOOKUP(E:E,笔记匹配!A:N,14,FALSE)</f>
        <v>云麦筋膜枪pb2</v>
      </c>
      <c r="AF1276" t="str">
        <f>VLOOKUP(E:E,笔记匹配!A:N,6,FALSE)</f>
        <v>用了多年泡沫轴，才知道筋膜枪是真的香！！！</v>
      </c>
    </row>
    <row r="1277" spans="1:32">
      <c r="A1277" s="18" t="s">
        <v>169</v>
      </c>
      <c r="B1277" s="18" t="s">
        <v>1378</v>
      </c>
      <c r="C1277" s="19">
        <v>23095921</v>
      </c>
      <c r="D1277" s="18" t="s">
        <v>196</v>
      </c>
      <c r="E1277" s="18" t="s">
        <v>261</v>
      </c>
      <c r="F1277" s="18" t="s">
        <v>1376</v>
      </c>
      <c r="G1277" s="19">
        <v>6017761</v>
      </c>
      <c r="H1277" s="18" t="s">
        <v>1377</v>
      </c>
      <c r="I1277" s="19">
        <v>5008695</v>
      </c>
      <c r="J1277" s="18" t="s">
        <v>1015</v>
      </c>
      <c r="K1277" s="19">
        <v>488.69</v>
      </c>
      <c r="L1277" s="19">
        <v>5346</v>
      </c>
      <c r="M1277" s="19">
        <v>691</v>
      </c>
      <c r="N1277" s="20">
        <v>0.1293</v>
      </c>
      <c r="O1277" s="19">
        <v>0.71</v>
      </c>
      <c r="P1277" s="19">
        <v>91.41</v>
      </c>
      <c r="Q1277" s="19">
        <v>11</v>
      </c>
      <c r="R1277" s="19">
        <v>0</v>
      </c>
      <c r="S1277" s="19">
        <v>5</v>
      </c>
      <c r="T1277" s="19">
        <v>0</v>
      </c>
      <c r="U1277" s="19">
        <v>1</v>
      </c>
      <c r="V1277" s="19">
        <v>17</v>
      </c>
      <c r="W1277" s="19">
        <v>28.75</v>
      </c>
      <c r="X1277" s="19">
        <v>0</v>
      </c>
      <c r="Y1277" s="20">
        <v>0</v>
      </c>
      <c r="Z1277" s="19">
        <v>0</v>
      </c>
      <c r="AA1277" s="19">
        <v>0</v>
      </c>
      <c r="AB1277" t="str">
        <f>VLOOKUP(E:E,笔记匹配!A:N,3,FALSE)</f>
        <v>猪脚ivi</v>
      </c>
      <c r="AC1277" t="str">
        <f>VLOOKUP(E:E,笔记匹配!A:N,2,FALSE)</f>
        <v>筋膜枪</v>
      </c>
      <c r="AD1277" t="str">
        <f>VLOOKUP(E:E,笔记匹配!A:N,4,FALSE)</f>
        <v>云麦筋膜枪cc</v>
      </c>
      <c r="AE1277" t="str">
        <f>VLOOKUP(E:E,笔记匹配!A:N,14,FALSE)</f>
        <v>云麦筋膜枪cc</v>
      </c>
      <c r="AF1277" t="str">
        <f>VLOOKUP(E:E,笔记匹配!A:N,6,FALSE)</f>
        <v>拜托!!跳绳真的不粗腿‼️跳绳yyds！</v>
      </c>
    </row>
    <row r="1278" spans="1:32">
      <c r="A1278" s="18" t="s">
        <v>170</v>
      </c>
      <c r="B1278" s="18" t="s">
        <v>1267</v>
      </c>
      <c r="C1278" s="19">
        <v>21360243</v>
      </c>
      <c r="D1278" s="18" t="s">
        <v>209</v>
      </c>
      <c r="E1278" s="18" t="s">
        <v>220</v>
      </c>
      <c r="F1278" s="18" t="s">
        <v>1268</v>
      </c>
      <c r="G1278" s="19">
        <v>5192303</v>
      </c>
      <c r="H1278" s="18" t="s">
        <v>1269</v>
      </c>
      <c r="I1278" s="19">
        <v>4379647</v>
      </c>
      <c r="J1278" s="18" t="s">
        <v>1015</v>
      </c>
      <c r="K1278" s="19">
        <v>1004.83</v>
      </c>
      <c r="L1278" s="19">
        <v>52446</v>
      </c>
      <c r="M1278" s="19">
        <v>2320</v>
      </c>
      <c r="N1278" s="20">
        <v>0.0442</v>
      </c>
      <c r="O1278" s="19">
        <v>0.43</v>
      </c>
      <c r="P1278" s="19">
        <v>19.16</v>
      </c>
      <c r="Q1278" s="19">
        <v>112</v>
      </c>
      <c r="R1278" s="19">
        <v>1</v>
      </c>
      <c r="S1278" s="19">
        <v>49</v>
      </c>
      <c r="T1278" s="19">
        <v>0</v>
      </c>
      <c r="U1278" s="19">
        <v>0</v>
      </c>
      <c r="V1278" s="19">
        <v>162</v>
      </c>
      <c r="W1278" s="19">
        <v>6.2</v>
      </c>
      <c r="X1278" s="19">
        <v>0</v>
      </c>
      <c r="Y1278" s="20">
        <v>0</v>
      </c>
      <c r="Z1278" s="19">
        <v>9</v>
      </c>
      <c r="AA1278" s="19">
        <v>5</v>
      </c>
      <c r="AB1278" t="str">
        <f>VLOOKUP(E:E,笔记匹配!A:N,3,FALSE)</f>
        <v>一颗西兰花fa</v>
      </c>
      <c r="AC1278" t="str">
        <f>VLOOKUP(E:E,笔记匹配!A:N,2,FALSE)</f>
        <v>筋膜枪</v>
      </c>
      <c r="AD1278" t="str">
        <f>VLOOKUP(E:E,笔记匹配!A:N,4,FALSE)</f>
        <v>云麦筋膜枪PB2</v>
      </c>
      <c r="AE1278" t="str">
        <f>VLOOKUP(E:E,笔记匹配!A:N,14,FALSE)</f>
        <v>云麦筋膜枪pb2</v>
      </c>
      <c r="AF1278" t="str">
        <f>VLOOKUP(E:E,笔记匹配!A:N,6,FALSE)</f>
        <v>有没有姐妹跟我一样被肌肉腿困扰了好久！</v>
      </c>
    </row>
    <row r="1279" spans="1:32">
      <c r="A1279" s="18" t="s">
        <v>170</v>
      </c>
      <c r="B1279" s="18" t="s">
        <v>1294</v>
      </c>
      <c r="C1279" s="19">
        <v>21747929</v>
      </c>
      <c r="D1279" s="18" t="s">
        <v>209</v>
      </c>
      <c r="E1279" s="18" t="s">
        <v>208</v>
      </c>
      <c r="F1279" s="18" t="s">
        <v>1295</v>
      </c>
      <c r="G1279" s="19">
        <v>5366393</v>
      </c>
      <c r="H1279" s="18" t="s">
        <v>1295</v>
      </c>
      <c r="I1279" s="19">
        <v>4512630</v>
      </c>
      <c r="J1279" s="18" t="s">
        <v>1015</v>
      </c>
      <c r="K1279" s="19">
        <v>2840.13</v>
      </c>
      <c r="L1279" s="19">
        <v>129460</v>
      </c>
      <c r="M1279" s="19">
        <v>6827</v>
      </c>
      <c r="N1279" s="20">
        <v>0.0527</v>
      </c>
      <c r="O1279" s="19">
        <v>0.42</v>
      </c>
      <c r="P1279" s="19">
        <v>21.94</v>
      </c>
      <c r="Q1279" s="19">
        <v>160</v>
      </c>
      <c r="R1279" s="19">
        <v>1</v>
      </c>
      <c r="S1279" s="19">
        <v>92</v>
      </c>
      <c r="T1279" s="19">
        <v>2</v>
      </c>
      <c r="U1279" s="19">
        <v>5</v>
      </c>
      <c r="V1279" s="19">
        <v>260</v>
      </c>
      <c r="W1279" s="19">
        <v>10.92</v>
      </c>
      <c r="X1279" s="19">
        <v>0</v>
      </c>
      <c r="Y1279" s="20">
        <v>0</v>
      </c>
      <c r="Z1279" s="19">
        <v>11</v>
      </c>
      <c r="AA1279" s="19">
        <v>6</v>
      </c>
      <c r="AB1279" t="str">
        <f>VLOOKUP(E:E,笔记匹配!A:N,3,FALSE)</f>
        <v>小羊羔崽子</v>
      </c>
      <c r="AC1279" t="str">
        <f>VLOOKUP(E:E,笔记匹配!A:N,2,FALSE)</f>
        <v>筋膜枪</v>
      </c>
      <c r="AD1279" t="str">
        <f>VLOOKUP(E:E,笔记匹配!A:N,4,FALSE)</f>
        <v>云麦筋膜枪PB2</v>
      </c>
      <c r="AE1279" t="str">
        <f>VLOOKUP(E:E,笔记匹配!A:N,14,FALSE)</f>
        <v>云麦筋膜枪pb2</v>
      </c>
      <c r="AF1279" t="str">
        <f>VLOOKUP(E:E,笔记匹配!A:N,6,FALSE)</f>
        <v>用了多年泡沫轴，才知道筋膜枪是真的香！！！</v>
      </c>
    </row>
    <row r="1280" spans="1:32">
      <c r="A1280" s="18" t="s">
        <v>170</v>
      </c>
      <c r="B1280" s="18" t="s">
        <v>1297</v>
      </c>
      <c r="C1280" s="19">
        <v>21881635</v>
      </c>
      <c r="D1280" s="18" t="s">
        <v>196</v>
      </c>
      <c r="E1280" s="18" t="s">
        <v>234</v>
      </c>
      <c r="F1280" s="18" t="s">
        <v>1306</v>
      </c>
      <c r="G1280" s="19">
        <v>5429032</v>
      </c>
      <c r="H1280" s="18" t="s">
        <v>1307</v>
      </c>
      <c r="I1280" s="19">
        <v>4559792</v>
      </c>
      <c r="J1280" s="18" t="s">
        <v>1015</v>
      </c>
      <c r="K1280" s="19">
        <v>2.09</v>
      </c>
      <c r="L1280" s="19">
        <v>35</v>
      </c>
      <c r="M1280" s="19">
        <v>8</v>
      </c>
      <c r="N1280" s="20">
        <v>0.2286</v>
      </c>
      <c r="O1280" s="19">
        <v>0.26</v>
      </c>
      <c r="P1280" s="19">
        <v>59.71</v>
      </c>
      <c r="Q1280" s="19">
        <v>0</v>
      </c>
      <c r="R1280" s="19">
        <v>0</v>
      </c>
      <c r="S1280" s="19">
        <v>0</v>
      </c>
      <c r="T1280" s="19">
        <v>0</v>
      </c>
      <c r="U1280" s="19">
        <v>0</v>
      </c>
      <c r="V1280" s="19">
        <v>0</v>
      </c>
      <c r="W1280" s="19">
        <v>0</v>
      </c>
      <c r="X1280" s="19">
        <v>0</v>
      </c>
      <c r="Y1280" s="20">
        <v>0</v>
      </c>
      <c r="Z1280" s="19">
        <v>0</v>
      </c>
      <c r="AA1280" s="19">
        <v>0</v>
      </c>
      <c r="AB1280" t="str">
        <f>VLOOKUP(E:E,笔记匹配!A:N,3,FALSE)</f>
        <v>pp</v>
      </c>
      <c r="AC1280" t="str">
        <f>VLOOKUP(E:E,笔记匹配!A:N,2,FALSE)</f>
        <v>体脂秤</v>
      </c>
      <c r="AD1280" t="str">
        <f>VLOOKUP(E:E,笔记匹配!A:N,4,FALSE)</f>
        <v>云麦体脂秤3mini</v>
      </c>
      <c r="AE1280" t="str">
        <f>VLOOKUP(E:E,笔记匹配!A:N,14,FALSE)</f>
        <v>云麦体脂秤3mini</v>
      </c>
      <c r="AF1280" t="str">
        <f>VLOOKUP(E:E,笔记匹配!A:N,6,FALSE)</f>
        <v>110到88 一些减肥小建议｜如何正确运动</v>
      </c>
    </row>
    <row r="1281" spans="1:32">
      <c r="A1281" s="18" t="s">
        <v>170</v>
      </c>
      <c r="B1281" s="18" t="s">
        <v>1308</v>
      </c>
      <c r="C1281" s="19">
        <v>21881978</v>
      </c>
      <c r="D1281" s="18" t="s">
        <v>196</v>
      </c>
      <c r="E1281" s="18" t="s">
        <v>234</v>
      </c>
      <c r="F1281" s="18" t="s">
        <v>1309</v>
      </c>
      <c r="G1281" s="19">
        <v>5429663</v>
      </c>
      <c r="H1281" s="18" t="s">
        <v>1310</v>
      </c>
      <c r="I1281" s="19">
        <v>4560362</v>
      </c>
      <c r="J1281" s="18" t="s">
        <v>1015</v>
      </c>
      <c r="K1281" s="19">
        <v>303.03</v>
      </c>
      <c r="L1281" s="19">
        <v>5602</v>
      </c>
      <c r="M1281" s="19">
        <v>339</v>
      </c>
      <c r="N1281" s="20">
        <v>0.0605</v>
      </c>
      <c r="O1281" s="19">
        <v>0.89</v>
      </c>
      <c r="P1281" s="19">
        <v>54.09</v>
      </c>
      <c r="Q1281" s="19">
        <v>0</v>
      </c>
      <c r="R1281" s="19">
        <v>0</v>
      </c>
      <c r="S1281" s="19">
        <v>0</v>
      </c>
      <c r="T1281" s="19">
        <v>0</v>
      </c>
      <c r="U1281" s="19">
        <v>0</v>
      </c>
      <c r="V1281" s="19">
        <v>0</v>
      </c>
      <c r="W1281" s="19">
        <v>0</v>
      </c>
      <c r="X1281" s="19">
        <v>0</v>
      </c>
      <c r="Y1281" s="20">
        <v>0</v>
      </c>
      <c r="Z1281" s="19">
        <v>1</v>
      </c>
      <c r="AA1281" s="19">
        <v>0</v>
      </c>
      <c r="AB1281" t="str">
        <f>VLOOKUP(E:E,笔记匹配!A:N,3,FALSE)</f>
        <v>pp</v>
      </c>
      <c r="AC1281" t="str">
        <f>VLOOKUP(E:E,笔记匹配!A:N,2,FALSE)</f>
        <v>体脂秤</v>
      </c>
      <c r="AD1281" t="str">
        <f>VLOOKUP(E:E,笔记匹配!A:N,4,FALSE)</f>
        <v>云麦体脂秤3mini</v>
      </c>
      <c r="AE1281" t="str">
        <f>VLOOKUP(E:E,笔记匹配!A:N,14,FALSE)</f>
        <v>云麦体脂秤3mini</v>
      </c>
      <c r="AF1281" t="str">
        <f>VLOOKUP(E:E,笔记匹配!A:N,6,FALSE)</f>
        <v>110到88 一些减肥小建议｜如何正确运动</v>
      </c>
    </row>
    <row r="1282" spans="1:32">
      <c r="A1282" s="18" t="s">
        <v>170</v>
      </c>
      <c r="B1282" s="18" t="s">
        <v>1316</v>
      </c>
      <c r="C1282" s="19">
        <v>22072814</v>
      </c>
      <c r="D1282" s="18" t="s">
        <v>196</v>
      </c>
      <c r="E1282" s="18" t="s">
        <v>201</v>
      </c>
      <c r="F1282" s="18" t="s">
        <v>1317</v>
      </c>
      <c r="G1282" s="19">
        <v>5521358</v>
      </c>
      <c r="H1282" s="18" t="s">
        <v>1317</v>
      </c>
      <c r="I1282" s="19">
        <v>4629845</v>
      </c>
      <c r="J1282" s="18" t="s">
        <v>1015</v>
      </c>
      <c r="K1282" s="19">
        <v>108.02</v>
      </c>
      <c r="L1282" s="19">
        <v>1485</v>
      </c>
      <c r="M1282" s="19">
        <v>239</v>
      </c>
      <c r="N1282" s="20">
        <v>0.1609</v>
      </c>
      <c r="O1282" s="19">
        <v>0.45</v>
      </c>
      <c r="P1282" s="19">
        <v>72.74</v>
      </c>
      <c r="Q1282" s="19">
        <v>1</v>
      </c>
      <c r="R1282" s="19">
        <v>0</v>
      </c>
      <c r="S1282" s="19">
        <v>1</v>
      </c>
      <c r="T1282" s="19">
        <v>0</v>
      </c>
      <c r="U1282" s="19">
        <v>0</v>
      </c>
      <c r="V1282" s="19">
        <v>2</v>
      </c>
      <c r="W1282" s="19">
        <v>54.01</v>
      </c>
      <c r="X1282" s="19">
        <v>0</v>
      </c>
      <c r="Y1282" s="20">
        <v>0</v>
      </c>
      <c r="Z1282" s="19">
        <v>1</v>
      </c>
      <c r="AA1282" s="19">
        <v>1</v>
      </c>
      <c r="AB1282" t="str">
        <f>VLOOKUP(E:E,笔记匹配!A:N,3,FALSE)</f>
        <v>包子熟了</v>
      </c>
      <c r="AC1282" t="str">
        <f>VLOOKUP(E:E,笔记匹配!A:N,2,FALSE)</f>
        <v>筋膜枪</v>
      </c>
      <c r="AD1282" t="str">
        <f>VLOOKUP(E:E,笔记匹配!A:N,4,FALSE)</f>
        <v>云麦筋膜枪</v>
      </c>
      <c r="AE1282" t="str">
        <f>VLOOKUP(E:E,笔记匹配!A:N,14,FALSE)</f>
        <v>云麦筋膜枪pb2</v>
      </c>
      <c r="AF1282" t="str">
        <f>VLOOKUP(E:E,笔记匹配!A:N,6,FALSE)</f>
        <v>筋膜枪测评|健身小白如何挑选筋膜枪？</v>
      </c>
    </row>
    <row r="1283" spans="1:32">
      <c r="A1283" s="18" t="s">
        <v>170</v>
      </c>
      <c r="B1283" s="18" t="s">
        <v>1316</v>
      </c>
      <c r="C1283" s="19">
        <v>22072908</v>
      </c>
      <c r="D1283" s="18" t="s">
        <v>196</v>
      </c>
      <c r="E1283" s="18" t="s">
        <v>201</v>
      </c>
      <c r="F1283" s="18" t="s">
        <v>1318</v>
      </c>
      <c r="G1283" s="19">
        <v>5521414</v>
      </c>
      <c r="H1283" s="18" t="s">
        <v>1318</v>
      </c>
      <c r="I1283" s="19">
        <v>4629891</v>
      </c>
      <c r="J1283" s="18" t="s">
        <v>1015</v>
      </c>
      <c r="K1283" s="19">
        <v>509.85</v>
      </c>
      <c r="L1283" s="19">
        <v>6221</v>
      </c>
      <c r="M1283" s="19">
        <v>712</v>
      </c>
      <c r="N1283" s="20">
        <v>0.1145</v>
      </c>
      <c r="O1283" s="19">
        <v>0.72</v>
      </c>
      <c r="P1283" s="19">
        <v>81.96</v>
      </c>
      <c r="Q1283" s="19">
        <v>6</v>
      </c>
      <c r="R1283" s="19">
        <v>0</v>
      </c>
      <c r="S1283" s="19">
        <v>1</v>
      </c>
      <c r="T1283" s="19">
        <v>1</v>
      </c>
      <c r="U1283" s="19">
        <v>0</v>
      </c>
      <c r="V1283" s="19">
        <v>8</v>
      </c>
      <c r="W1283" s="19">
        <v>63.73</v>
      </c>
      <c r="X1283" s="19">
        <v>4</v>
      </c>
      <c r="Y1283" s="20">
        <v>0.0056</v>
      </c>
      <c r="Z1283" s="19">
        <v>2</v>
      </c>
      <c r="AA1283" s="19">
        <v>1</v>
      </c>
      <c r="AB1283" t="str">
        <f>VLOOKUP(E:E,笔记匹配!A:N,3,FALSE)</f>
        <v>包子熟了</v>
      </c>
      <c r="AC1283" t="str">
        <f>VLOOKUP(E:E,笔记匹配!A:N,2,FALSE)</f>
        <v>筋膜枪</v>
      </c>
      <c r="AD1283" t="str">
        <f>VLOOKUP(E:E,笔记匹配!A:N,4,FALSE)</f>
        <v>云麦筋膜枪</v>
      </c>
      <c r="AE1283" t="str">
        <f>VLOOKUP(E:E,笔记匹配!A:N,14,FALSE)</f>
        <v>云麦筋膜枪pb2</v>
      </c>
      <c r="AF1283" t="str">
        <f>VLOOKUP(E:E,笔记匹配!A:N,6,FALSE)</f>
        <v>筋膜枪测评|健身小白如何挑选筋膜枪？</v>
      </c>
    </row>
    <row r="1284" spans="1:32">
      <c r="A1284" s="18" t="s">
        <v>170</v>
      </c>
      <c r="B1284" s="18" t="s">
        <v>1324</v>
      </c>
      <c r="C1284" s="19">
        <v>22448358</v>
      </c>
      <c r="D1284" s="18" t="s">
        <v>196</v>
      </c>
      <c r="E1284" s="18" t="s">
        <v>238</v>
      </c>
      <c r="F1284" s="18" t="s">
        <v>1331</v>
      </c>
      <c r="G1284" s="19">
        <v>5699471</v>
      </c>
      <c r="H1284" s="18" t="s">
        <v>1331</v>
      </c>
      <c r="I1284" s="19">
        <v>4766957</v>
      </c>
      <c r="J1284" s="18" t="s">
        <v>1015</v>
      </c>
      <c r="K1284" s="19">
        <v>204.03</v>
      </c>
      <c r="L1284" s="19">
        <v>3810</v>
      </c>
      <c r="M1284" s="19">
        <v>431</v>
      </c>
      <c r="N1284" s="20">
        <v>0.1131</v>
      </c>
      <c r="O1284" s="19">
        <v>0.47</v>
      </c>
      <c r="P1284" s="19">
        <v>53.55</v>
      </c>
      <c r="Q1284" s="19">
        <v>28</v>
      </c>
      <c r="R1284" s="19">
        <v>0</v>
      </c>
      <c r="S1284" s="19">
        <v>27</v>
      </c>
      <c r="T1284" s="19">
        <v>5</v>
      </c>
      <c r="U1284" s="19">
        <v>2</v>
      </c>
      <c r="V1284" s="19">
        <v>62</v>
      </c>
      <c r="W1284" s="19">
        <v>3.29</v>
      </c>
      <c r="X1284" s="19">
        <v>1</v>
      </c>
      <c r="Y1284" s="20">
        <v>0.0023</v>
      </c>
      <c r="Z1284" s="19">
        <v>0</v>
      </c>
      <c r="AA1284" s="19">
        <v>4</v>
      </c>
      <c r="AB1284" t="str">
        <f>VLOOKUP(E:E,笔记匹配!A:N,3,FALSE)</f>
        <v>小岛大瑀</v>
      </c>
      <c r="AC1284" t="str">
        <f>VLOOKUP(E:E,笔记匹配!A:N,2,FALSE)</f>
        <v>体脂秤</v>
      </c>
      <c r="AD1284" t="str">
        <f>VLOOKUP(E:E,笔记匹配!A:N,4,FALSE)</f>
        <v>云麦体脂秤3mini </v>
      </c>
      <c r="AE1284" t="str">
        <f>VLOOKUP(E:E,笔记匹配!A:N,14,FALSE)</f>
        <v>云麦体脂秤3mini</v>
      </c>
      <c r="AF1284" t="str">
        <f>VLOOKUP(E:E,笔记匹配!A:N,6,FALSE)</f>
        <v>这个燃脂舞真的太❗️太❗️太简单了🔥停不下来</v>
      </c>
    </row>
    <row r="1285" spans="1:32">
      <c r="A1285" s="18" t="s">
        <v>170</v>
      </c>
      <c r="B1285" s="18" t="s">
        <v>1338</v>
      </c>
      <c r="C1285" s="19">
        <v>22516377</v>
      </c>
      <c r="D1285" s="18" t="s">
        <v>209</v>
      </c>
      <c r="E1285" s="18" t="s">
        <v>214</v>
      </c>
      <c r="F1285" s="18" t="s">
        <v>1341</v>
      </c>
      <c r="G1285" s="19">
        <v>5732455</v>
      </c>
      <c r="H1285" s="18" t="s">
        <v>1341</v>
      </c>
      <c r="I1285" s="19">
        <v>4792733</v>
      </c>
      <c r="J1285" s="18" t="s">
        <v>1015</v>
      </c>
      <c r="K1285" s="19">
        <v>1516.14</v>
      </c>
      <c r="L1285" s="19">
        <v>127057</v>
      </c>
      <c r="M1285" s="19">
        <v>6294</v>
      </c>
      <c r="N1285" s="20">
        <v>0.0495</v>
      </c>
      <c r="O1285" s="19">
        <v>0.24</v>
      </c>
      <c r="P1285" s="19">
        <v>11.93</v>
      </c>
      <c r="Q1285" s="19">
        <v>267</v>
      </c>
      <c r="R1285" s="19">
        <v>3</v>
      </c>
      <c r="S1285" s="19">
        <v>67</v>
      </c>
      <c r="T1285" s="19">
        <v>2</v>
      </c>
      <c r="U1285" s="19">
        <v>13</v>
      </c>
      <c r="V1285" s="19">
        <v>352</v>
      </c>
      <c r="W1285" s="19">
        <v>4.31</v>
      </c>
      <c r="X1285" s="19">
        <v>0</v>
      </c>
      <c r="Y1285" s="20">
        <v>0</v>
      </c>
      <c r="Z1285" s="19">
        <v>43</v>
      </c>
      <c r="AA1285" s="19">
        <v>19</v>
      </c>
      <c r="AB1285" t="str">
        <f>VLOOKUP(E:E,笔记匹配!A:N,3,FALSE)</f>
        <v>Zora張張</v>
      </c>
      <c r="AC1285" t="str">
        <f>VLOOKUP(E:E,笔记匹配!A:N,2,FALSE)</f>
        <v>筋膜枪</v>
      </c>
      <c r="AD1285" t="str">
        <f>VLOOKUP(E:E,笔记匹配!A:N,4,FALSE)</f>
        <v>云麦筋膜枪cc</v>
      </c>
      <c r="AE1285" t="str">
        <f>VLOOKUP(E:E,笔记匹配!A:N,14,FALSE)</f>
        <v>云麦筋膜枪ccgo</v>
      </c>
      <c r="AF1285" t="str">
        <f>VLOOKUP(E:E,笔记匹配!A:N,6,FALSE)</f>
        <v>宿舍姐妹花人手一个！这筋膜枪有点东西🧐</v>
      </c>
    </row>
    <row r="1286" spans="1:32">
      <c r="A1286" s="18" t="s">
        <v>170</v>
      </c>
      <c r="B1286" s="18" t="s">
        <v>1352</v>
      </c>
      <c r="C1286" s="19">
        <v>22845628</v>
      </c>
      <c r="D1286" s="18" t="s">
        <v>209</v>
      </c>
      <c r="E1286" s="18" t="s">
        <v>252</v>
      </c>
      <c r="F1286" s="18" t="s">
        <v>1353</v>
      </c>
      <c r="G1286" s="19">
        <v>5893381</v>
      </c>
      <c r="H1286" s="18" t="s">
        <v>1353</v>
      </c>
      <c r="I1286" s="19">
        <v>4914610</v>
      </c>
      <c r="J1286" s="18" t="s">
        <v>1015</v>
      </c>
      <c r="K1286" s="19">
        <v>0</v>
      </c>
      <c r="L1286" s="19">
        <v>0</v>
      </c>
      <c r="M1286" s="19">
        <v>0</v>
      </c>
      <c r="N1286" s="20">
        <v>0</v>
      </c>
      <c r="O1286" s="19">
        <v>0</v>
      </c>
      <c r="P1286" s="19">
        <v>0</v>
      </c>
      <c r="Q1286" s="19">
        <v>0</v>
      </c>
      <c r="R1286" s="19">
        <v>0</v>
      </c>
      <c r="S1286" s="19">
        <v>0</v>
      </c>
      <c r="T1286" s="19">
        <v>0</v>
      </c>
      <c r="U1286" s="19">
        <v>0</v>
      </c>
      <c r="V1286" s="19">
        <v>0</v>
      </c>
      <c r="W1286" s="19">
        <v>0</v>
      </c>
      <c r="X1286" s="19">
        <v>0</v>
      </c>
      <c r="Y1286" s="20">
        <v>0</v>
      </c>
      <c r="Z1286" s="19">
        <v>0</v>
      </c>
      <c r="AA1286" s="19">
        <v>0</v>
      </c>
      <c r="AB1286" t="str">
        <f>VLOOKUP(E:E,笔记匹配!A:N,3,FALSE)</f>
        <v>脆鱼日记</v>
      </c>
      <c r="AC1286" t="str">
        <f>VLOOKUP(E:E,笔记匹配!A:N,2,FALSE)</f>
        <v>筋膜枪</v>
      </c>
      <c r="AD1286" t="str">
        <f>VLOOKUP(E:E,笔记匹配!A:N,4,FALSE)</f>
        <v>云麦筋膜枪cc</v>
      </c>
      <c r="AE1286" t="str">
        <f>VLOOKUP(E:E,笔记匹配!A:N,14,FALSE)</f>
        <v>云麦筋膜枪ccgo</v>
      </c>
      <c r="AF1286" t="str">
        <f>VLOOKUP(E:E,笔记匹配!A:N,6,FALSE)</f>
        <v>每天坚持这4个动作🔥瘦脂包肌小腿‼️已瘦4cm</v>
      </c>
    </row>
    <row r="1287" spans="1:32">
      <c r="A1287" s="18" t="s">
        <v>170</v>
      </c>
      <c r="B1287" s="18" t="s">
        <v>1358</v>
      </c>
      <c r="C1287" s="19">
        <v>22943828</v>
      </c>
      <c r="D1287" s="18" t="s">
        <v>209</v>
      </c>
      <c r="E1287" s="18" t="s">
        <v>228</v>
      </c>
      <c r="F1287" s="18" t="s">
        <v>1359</v>
      </c>
      <c r="G1287" s="19">
        <v>5942327</v>
      </c>
      <c r="H1287" s="18" t="s">
        <v>1359</v>
      </c>
      <c r="I1287" s="19">
        <v>4951269</v>
      </c>
      <c r="J1287" s="18" t="s">
        <v>1015</v>
      </c>
      <c r="K1287" s="19">
        <v>0</v>
      </c>
      <c r="L1287" s="19">
        <v>0</v>
      </c>
      <c r="M1287" s="19">
        <v>0</v>
      </c>
      <c r="N1287" s="20">
        <v>0</v>
      </c>
      <c r="O1287" s="19">
        <v>0</v>
      </c>
      <c r="P1287" s="19">
        <v>0</v>
      </c>
      <c r="Q1287" s="19">
        <v>0</v>
      </c>
      <c r="R1287" s="19">
        <v>0</v>
      </c>
      <c r="S1287" s="19">
        <v>0</v>
      </c>
      <c r="T1287" s="19">
        <v>0</v>
      </c>
      <c r="U1287" s="19">
        <v>0</v>
      </c>
      <c r="V1287" s="19">
        <v>0</v>
      </c>
      <c r="W1287" s="19">
        <v>0</v>
      </c>
      <c r="X1287" s="19">
        <v>0</v>
      </c>
      <c r="Y1287" s="20">
        <v>0</v>
      </c>
      <c r="Z1287" s="19">
        <v>0</v>
      </c>
      <c r="AA1287" s="19">
        <v>0</v>
      </c>
      <c r="AB1287" t="str">
        <f>VLOOKUP(E:E,笔记匹配!A:N,3,FALSE)</f>
        <v>语宸要做插画师</v>
      </c>
      <c r="AC1287" t="str">
        <f>VLOOKUP(E:E,笔记匹配!A:N,2,FALSE)</f>
        <v>筋膜枪</v>
      </c>
      <c r="AD1287" t="str">
        <f>VLOOKUP(E:E,笔记匹配!A:N,4,FALSE)</f>
        <v>云麦筋膜枪cc </v>
      </c>
      <c r="AE1287" t="str">
        <f>VLOOKUP(E:E,笔记匹配!A:N,14,FALSE)</f>
        <v>云麦筋膜枪cc</v>
      </c>
      <c r="AF1287" t="str">
        <f>VLOOKUP(E:E,笔记匹配!A:N,6,FALSE)</f>
        <v>挑战在筋膜枪上画画</v>
      </c>
    </row>
    <row r="1288" spans="1:32">
      <c r="A1288" s="18" t="s">
        <v>170</v>
      </c>
      <c r="B1288" s="18" t="s">
        <v>1358</v>
      </c>
      <c r="C1288" s="19">
        <v>22944060</v>
      </c>
      <c r="D1288" s="18" t="s">
        <v>209</v>
      </c>
      <c r="E1288" s="18" t="s">
        <v>255</v>
      </c>
      <c r="F1288" s="18" t="s">
        <v>1362</v>
      </c>
      <c r="G1288" s="19">
        <v>5942417</v>
      </c>
      <c r="H1288" s="18" t="s">
        <v>1362</v>
      </c>
      <c r="I1288" s="19">
        <v>4951348</v>
      </c>
      <c r="J1288" s="18" t="s">
        <v>1015</v>
      </c>
      <c r="K1288" s="19">
        <v>0</v>
      </c>
      <c r="L1288" s="19">
        <v>0</v>
      </c>
      <c r="M1288" s="19">
        <v>0</v>
      </c>
      <c r="N1288" s="20">
        <v>0</v>
      </c>
      <c r="O1288" s="19">
        <v>0</v>
      </c>
      <c r="P1288" s="19">
        <v>0</v>
      </c>
      <c r="Q1288" s="19">
        <v>0</v>
      </c>
      <c r="R1288" s="19">
        <v>0</v>
      </c>
      <c r="S1288" s="19">
        <v>0</v>
      </c>
      <c r="T1288" s="19">
        <v>0</v>
      </c>
      <c r="U1288" s="19">
        <v>0</v>
      </c>
      <c r="V1288" s="19">
        <v>0</v>
      </c>
      <c r="W1288" s="19">
        <v>0</v>
      </c>
      <c r="X1288" s="19">
        <v>0</v>
      </c>
      <c r="Y1288" s="20">
        <v>0</v>
      </c>
      <c r="Z1288" s="19">
        <v>0</v>
      </c>
      <c r="AA1288" s="19">
        <v>0</v>
      </c>
      <c r="AB1288" t="str">
        <f>VLOOKUP(E:E,笔记匹配!A:N,3,FALSE)</f>
        <v>趁早早呀</v>
      </c>
      <c r="AC1288" t="str">
        <f>VLOOKUP(E:E,笔记匹配!A:N,2,FALSE)</f>
        <v>体脂秤</v>
      </c>
      <c r="AD1288" t="str">
        <f>VLOOKUP(E:E,笔记匹配!A:N,4,FALSE)</f>
        <v>云麦体脂秤3mini</v>
      </c>
      <c r="AE1288" t="str">
        <f>VLOOKUP(E:E,笔记匹配!A:N,14,FALSE)</f>
        <v>云麦体脂秤3mini</v>
      </c>
      <c r="AF1288" t="str">
        <f>VLOOKUP(E:E,笔记匹配!A:N,6,FALSE)</f>
        <v>不到百元get我的私人身材管理师|这波稳赚‼️</v>
      </c>
    </row>
    <row r="1289" spans="1:32">
      <c r="A1289" s="18" t="s">
        <v>170</v>
      </c>
      <c r="B1289" s="18" t="s">
        <v>1370</v>
      </c>
      <c r="C1289" s="19">
        <v>23020109</v>
      </c>
      <c r="D1289" s="18" t="s">
        <v>196</v>
      </c>
      <c r="E1289" s="18" t="s">
        <v>208</v>
      </c>
      <c r="F1289" s="18" t="s">
        <v>1371</v>
      </c>
      <c r="G1289" s="19">
        <v>5980913</v>
      </c>
      <c r="H1289" s="18" t="s">
        <v>1371</v>
      </c>
      <c r="I1289" s="19">
        <v>4980814</v>
      </c>
      <c r="J1289" s="18" t="s">
        <v>1015</v>
      </c>
      <c r="K1289" s="19">
        <v>516.42</v>
      </c>
      <c r="L1289" s="19">
        <v>22854</v>
      </c>
      <c r="M1289" s="19">
        <v>1130</v>
      </c>
      <c r="N1289" s="20">
        <v>0.0494</v>
      </c>
      <c r="O1289" s="19">
        <v>0.46</v>
      </c>
      <c r="P1289" s="19">
        <v>22.6</v>
      </c>
      <c r="Q1289" s="19">
        <v>16</v>
      </c>
      <c r="R1289" s="19">
        <v>0</v>
      </c>
      <c r="S1289" s="19">
        <v>6</v>
      </c>
      <c r="T1289" s="19">
        <v>0</v>
      </c>
      <c r="U1289" s="19">
        <v>0</v>
      </c>
      <c r="V1289" s="19">
        <v>22</v>
      </c>
      <c r="W1289" s="19">
        <v>23.47</v>
      </c>
      <c r="X1289" s="19">
        <v>0</v>
      </c>
      <c r="Y1289" s="20">
        <v>0</v>
      </c>
      <c r="Z1289" s="19">
        <v>5</v>
      </c>
      <c r="AA1289" s="19">
        <v>0</v>
      </c>
      <c r="AB1289" t="str">
        <f>VLOOKUP(E:E,笔记匹配!A:N,3,FALSE)</f>
        <v>小羊羔崽子</v>
      </c>
      <c r="AC1289" t="str">
        <f>VLOOKUP(E:E,笔记匹配!A:N,2,FALSE)</f>
        <v>筋膜枪</v>
      </c>
      <c r="AD1289" t="str">
        <f>VLOOKUP(E:E,笔记匹配!A:N,4,FALSE)</f>
        <v>云麦筋膜枪PB2</v>
      </c>
      <c r="AE1289" t="str">
        <f>VLOOKUP(E:E,笔记匹配!A:N,14,FALSE)</f>
        <v>云麦筋膜枪pb2</v>
      </c>
      <c r="AF1289" t="str">
        <f>VLOOKUP(E:E,笔记匹配!A:N,6,FALSE)</f>
        <v>用了多年泡沫轴，才知道筋膜枪是真的香！！！</v>
      </c>
    </row>
    <row r="1290" spans="1:32">
      <c r="A1290" s="18" t="s">
        <v>170</v>
      </c>
      <c r="B1290" s="18" t="s">
        <v>255</v>
      </c>
      <c r="C1290" s="19">
        <v>23095610</v>
      </c>
      <c r="D1290" s="18" t="s">
        <v>209</v>
      </c>
      <c r="E1290" s="18" t="s">
        <v>255</v>
      </c>
      <c r="F1290" s="18" t="s">
        <v>1372</v>
      </c>
      <c r="G1290" s="19">
        <v>6017655</v>
      </c>
      <c r="H1290" s="18" t="s">
        <v>1372</v>
      </c>
      <c r="I1290" s="19">
        <v>5008601</v>
      </c>
      <c r="J1290" s="18" t="s">
        <v>1015</v>
      </c>
      <c r="K1290" s="19">
        <v>0</v>
      </c>
      <c r="L1290" s="19">
        <v>4</v>
      </c>
      <c r="M1290" s="19">
        <v>0</v>
      </c>
      <c r="N1290" s="20">
        <v>0</v>
      </c>
      <c r="O1290" s="19">
        <v>0</v>
      </c>
      <c r="P1290" s="19">
        <v>0</v>
      </c>
      <c r="Q1290" s="19">
        <v>0</v>
      </c>
      <c r="R1290" s="19">
        <v>0</v>
      </c>
      <c r="S1290" s="19">
        <v>0</v>
      </c>
      <c r="T1290" s="19">
        <v>0</v>
      </c>
      <c r="U1290" s="19">
        <v>0</v>
      </c>
      <c r="V1290" s="19">
        <v>0</v>
      </c>
      <c r="W1290" s="19">
        <v>0</v>
      </c>
      <c r="X1290" s="19">
        <v>0</v>
      </c>
      <c r="Y1290" s="20">
        <v>0</v>
      </c>
      <c r="Z1290" s="19">
        <v>0</v>
      </c>
      <c r="AA1290" s="19">
        <v>0</v>
      </c>
      <c r="AB1290" t="str">
        <f>VLOOKUP(E:E,笔记匹配!A:N,3,FALSE)</f>
        <v>趁早早呀</v>
      </c>
      <c r="AC1290" t="str">
        <f>VLOOKUP(E:E,笔记匹配!A:N,2,FALSE)</f>
        <v>体脂秤</v>
      </c>
      <c r="AD1290" t="str">
        <f>VLOOKUP(E:E,笔记匹配!A:N,4,FALSE)</f>
        <v>云麦体脂秤3mini</v>
      </c>
      <c r="AE1290" t="str">
        <f>VLOOKUP(E:E,笔记匹配!A:N,14,FALSE)</f>
        <v>云麦体脂秤3mini</v>
      </c>
      <c r="AF1290" t="str">
        <f>VLOOKUP(E:E,笔记匹配!A:N,6,FALSE)</f>
        <v>不到百元get我的私人身材管理师|这波稳赚‼️</v>
      </c>
    </row>
    <row r="1291" spans="1:32">
      <c r="A1291" s="18" t="s">
        <v>170</v>
      </c>
      <c r="B1291" s="18" t="s">
        <v>1373</v>
      </c>
      <c r="C1291" s="19">
        <v>23095722</v>
      </c>
      <c r="D1291" s="18" t="s">
        <v>209</v>
      </c>
      <c r="E1291" s="18" t="s">
        <v>238</v>
      </c>
      <c r="F1291" s="18" t="s">
        <v>1374</v>
      </c>
      <c r="G1291" s="19">
        <v>6017685</v>
      </c>
      <c r="H1291" s="18" t="s">
        <v>1374</v>
      </c>
      <c r="I1291" s="19">
        <v>5008634</v>
      </c>
      <c r="J1291" s="18" t="s">
        <v>1015</v>
      </c>
      <c r="K1291" s="19">
        <v>0</v>
      </c>
      <c r="L1291" s="19">
        <v>0</v>
      </c>
      <c r="M1291" s="19">
        <v>0</v>
      </c>
      <c r="N1291" s="20">
        <v>0</v>
      </c>
      <c r="O1291" s="19">
        <v>0</v>
      </c>
      <c r="P1291" s="19">
        <v>0</v>
      </c>
      <c r="Q1291" s="19">
        <v>0</v>
      </c>
      <c r="R1291" s="19">
        <v>0</v>
      </c>
      <c r="S1291" s="19">
        <v>0</v>
      </c>
      <c r="T1291" s="19">
        <v>0</v>
      </c>
      <c r="U1291" s="19">
        <v>0</v>
      </c>
      <c r="V1291" s="19">
        <v>0</v>
      </c>
      <c r="W1291" s="19">
        <v>0</v>
      </c>
      <c r="X1291" s="19">
        <v>0</v>
      </c>
      <c r="Y1291" s="20">
        <v>0</v>
      </c>
      <c r="Z1291" s="19">
        <v>0</v>
      </c>
      <c r="AA1291" s="19">
        <v>0</v>
      </c>
      <c r="AB1291" t="str">
        <f>VLOOKUP(E:E,笔记匹配!A:N,3,FALSE)</f>
        <v>小岛大瑀</v>
      </c>
      <c r="AC1291" t="str">
        <f>VLOOKUP(E:E,笔记匹配!A:N,2,FALSE)</f>
        <v>体脂秤</v>
      </c>
      <c r="AD1291" t="str">
        <f>VLOOKUP(E:E,笔记匹配!A:N,4,FALSE)</f>
        <v>云麦体脂秤3mini </v>
      </c>
      <c r="AE1291" t="str">
        <f>VLOOKUP(E:E,笔记匹配!A:N,14,FALSE)</f>
        <v>云麦体脂秤3mini</v>
      </c>
      <c r="AF1291" t="str">
        <f>VLOOKUP(E:E,笔记匹配!A:N,6,FALSE)</f>
        <v>这个燃脂舞真的太❗️太❗️太简单了🔥停不下来</v>
      </c>
    </row>
    <row r="1292" spans="1:32">
      <c r="A1292" s="18" t="s">
        <v>170</v>
      </c>
      <c r="B1292" s="18" t="s">
        <v>1379</v>
      </c>
      <c r="C1292" s="19">
        <v>23177814</v>
      </c>
      <c r="D1292" s="18" t="s">
        <v>209</v>
      </c>
      <c r="E1292" s="18" t="s">
        <v>217</v>
      </c>
      <c r="F1292" s="18" t="s">
        <v>1380</v>
      </c>
      <c r="G1292" s="19">
        <v>6056558</v>
      </c>
      <c r="H1292" s="18" t="s">
        <v>1380</v>
      </c>
      <c r="I1292" s="19">
        <v>5038322</v>
      </c>
      <c r="J1292" s="18" t="s">
        <v>1015</v>
      </c>
      <c r="K1292" s="19">
        <v>505.53</v>
      </c>
      <c r="L1292" s="19">
        <v>20000</v>
      </c>
      <c r="M1292" s="19">
        <v>2043</v>
      </c>
      <c r="N1292" s="20">
        <v>0.1022</v>
      </c>
      <c r="O1292" s="19">
        <v>0.25</v>
      </c>
      <c r="P1292" s="19">
        <v>25.28</v>
      </c>
      <c r="Q1292" s="19">
        <v>84</v>
      </c>
      <c r="R1292" s="19">
        <v>0</v>
      </c>
      <c r="S1292" s="19">
        <v>50</v>
      </c>
      <c r="T1292" s="19">
        <v>0</v>
      </c>
      <c r="U1292" s="19">
        <v>2</v>
      </c>
      <c r="V1292" s="19">
        <v>136</v>
      </c>
      <c r="W1292" s="19">
        <v>3.72</v>
      </c>
      <c r="X1292" s="19">
        <v>0</v>
      </c>
      <c r="Y1292" s="20">
        <v>0</v>
      </c>
      <c r="Z1292" s="19">
        <v>3</v>
      </c>
      <c r="AA1292" s="19">
        <v>1</v>
      </c>
      <c r="AB1292" t="str">
        <f>VLOOKUP(E:E,笔记匹配!A:N,3,FALSE)</f>
        <v>野生辣妹Stacy</v>
      </c>
      <c r="AC1292" t="str">
        <f>VLOOKUP(E:E,笔记匹配!A:N,2,FALSE)</f>
        <v>筋膜枪</v>
      </c>
      <c r="AD1292" t="str">
        <f>VLOOKUP(E:E,笔记匹配!A:N,4,FALSE)</f>
        <v>云麦筋膜枪pb2</v>
      </c>
      <c r="AE1292" t="str">
        <f>VLOOKUP(E:E,笔记匹配!A:N,14,FALSE)</f>
        <v>云麦筋膜枪pb2</v>
      </c>
      <c r="AF1292" t="str">
        <f>VLOOKUP(E:E,笔记匹配!A:N,6,FALSE)</f>
        <v>辣妹瘦腿bi看！这玩意是真好使！</v>
      </c>
    </row>
    <row r="1293" spans="1:32">
      <c r="A1293" s="18" t="s">
        <v>170</v>
      </c>
      <c r="B1293" s="18" t="s">
        <v>1379</v>
      </c>
      <c r="C1293" s="19">
        <v>23177925</v>
      </c>
      <c r="D1293" s="18" t="s">
        <v>209</v>
      </c>
      <c r="E1293" s="18" t="s">
        <v>223</v>
      </c>
      <c r="F1293" s="18" t="s">
        <v>1381</v>
      </c>
      <c r="G1293" s="19">
        <v>6056608</v>
      </c>
      <c r="H1293" s="18" t="s">
        <v>1381</v>
      </c>
      <c r="I1293" s="19">
        <v>5038355</v>
      </c>
      <c r="J1293" s="18" t="s">
        <v>1015</v>
      </c>
      <c r="K1293" s="19">
        <v>325.27</v>
      </c>
      <c r="L1293" s="19">
        <v>14718</v>
      </c>
      <c r="M1293" s="19">
        <v>672</v>
      </c>
      <c r="N1293" s="20">
        <v>0.0457</v>
      </c>
      <c r="O1293" s="19">
        <v>0.48</v>
      </c>
      <c r="P1293" s="19">
        <v>22.1</v>
      </c>
      <c r="Q1293" s="19">
        <v>21</v>
      </c>
      <c r="R1293" s="19">
        <v>0</v>
      </c>
      <c r="S1293" s="19">
        <v>7</v>
      </c>
      <c r="T1293" s="19">
        <v>1</v>
      </c>
      <c r="U1293" s="19">
        <v>1</v>
      </c>
      <c r="V1293" s="19">
        <v>30</v>
      </c>
      <c r="W1293" s="19">
        <v>10.84</v>
      </c>
      <c r="X1293" s="19">
        <v>0</v>
      </c>
      <c r="Y1293" s="20">
        <v>0</v>
      </c>
      <c r="Z1293" s="19">
        <v>0</v>
      </c>
      <c r="AA1293" s="19">
        <v>1</v>
      </c>
      <c r="AB1293" t="str">
        <f>VLOOKUP(E:E,笔记匹配!A:N,3,FALSE)</f>
        <v>樱丸小桃子</v>
      </c>
      <c r="AC1293" t="str">
        <f>VLOOKUP(E:E,笔记匹配!A:N,2,FALSE)</f>
        <v>筋膜枪</v>
      </c>
      <c r="AD1293" t="str">
        <f>VLOOKUP(E:E,笔记匹配!A:N,4,FALSE)</f>
        <v>云麦筋膜枪cc</v>
      </c>
      <c r="AE1293" t="str">
        <f>VLOOKUP(E:E,笔记匹配!A:N,14,FALSE)</f>
        <v>云麦筋膜枪ccgo</v>
      </c>
      <c r="AF1293" t="str">
        <f>VLOOKUP(E:E,笔记匹配!A:N,6,FALSE)</f>
        <v>建议小腿粗的美少女人手一个的mini筋膜枪！</v>
      </c>
    </row>
    <row r="1294" spans="1:32">
      <c r="A1294" s="18" t="s">
        <v>170</v>
      </c>
      <c r="B1294" s="18" t="s">
        <v>1379</v>
      </c>
      <c r="C1294" s="19">
        <v>23178157</v>
      </c>
      <c r="D1294" s="18" t="s">
        <v>209</v>
      </c>
      <c r="E1294" s="18" t="s">
        <v>241</v>
      </c>
      <c r="F1294" s="18" t="s">
        <v>1382</v>
      </c>
      <c r="G1294" s="19">
        <v>6056747</v>
      </c>
      <c r="H1294" s="18" t="s">
        <v>1382</v>
      </c>
      <c r="I1294" s="19">
        <v>5038453</v>
      </c>
      <c r="J1294" s="18" t="s">
        <v>1015</v>
      </c>
      <c r="K1294" s="19">
        <v>507.85</v>
      </c>
      <c r="L1294" s="19">
        <v>62864</v>
      </c>
      <c r="M1294" s="19">
        <v>3001</v>
      </c>
      <c r="N1294" s="20">
        <v>0.0477</v>
      </c>
      <c r="O1294" s="19">
        <v>0.17</v>
      </c>
      <c r="P1294" s="19">
        <v>8.08</v>
      </c>
      <c r="Q1294" s="19">
        <v>48</v>
      </c>
      <c r="R1294" s="19">
        <v>1</v>
      </c>
      <c r="S1294" s="19">
        <v>14</v>
      </c>
      <c r="T1294" s="19">
        <v>3</v>
      </c>
      <c r="U1294" s="19">
        <v>3</v>
      </c>
      <c r="V1294" s="19">
        <v>69</v>
      </c>
      <c r="W1294" s="19">
        <v>7.36</v>
      </c>
      <c r="X1294" s="19">
        <v>0</v>
      </c>
      <c r="Y1294" s="20">
        <v>0</v>
      </c>
      <c r="Z1294" s="19">
        <v>3</v>
      </c>
      <c r="AA1294" s="19">
        <v>1</v>
      </c>
      <c r="AB1294" t="str">
        <f>VLOOKUP(E:E,笔记匹配!A:N,3,FALSE)</f>
        <v>秦亲亲</v>
      </c>
      <c r="AC1294" t="str">
        <f>VLOOKUP(E:E,笔记匹配!A:N,2,FALSE)</f>
        <v>体脂秤</v>
      </c>
      <c r="AD1294" t="str">
        <f>VLOOKUP(E:E,笔记匹配!A:N,4,FALSE)</f>
        <v>云麦体脂秤3mini</v>
      </c>
      <c r="AE1294" t="str">
        <f>VLOOKUP(E:E,笔记匹配!A:N,14,FALSE)</f>
        <v>云麦体脂秤3mini</v>
      </c>
      <c r="AF1294" t="str">
        <f>VLOOKUP(E:E,笔记匹配!A:N,6,FALSE)</f>
        <v>减脂期用什么体脂秤？跟着减脂博主买就对了！</v>
      </c>
    </row>
    <row r="1295" spans="1:32">
      <c r="A1295" s="18" t="s">
        <v>170</v>
      </c>
      <c r="B1295" s="18" t="s">
        <v>1383</v>
      </c>
      <c r="C1295" s="19">
        <v>23178271</v>
      </c>
      <c r="D1295" s="18" t="s">
        <v>196</v>
      </c>
      <c r="E1295" s="18" t="s">
        <v>258</v>
      </c>
      <c r="F1295" s="18" t="s">
        <v>1376</v>
      </c>
      <c r="G1295" s="19">
        <v>6017761</v>
      </c>
      <c r="H1295" s="18" t="s">
        <v>1377</v>
      </c>
      <c r="I1295" s="19">
        <v>5008695</v>
      </c>
      <c r="J1295" s="18" t="s">
        <v>1015</v>
      </c>
      <c r="K1295" s="19">
        <v>339.39</v>
      </c>
      <c r="L1295" s="19">
        <v>2878</v>
      </c>
      <c r="M1295" s="19">
        <v>378</v>
      </c>
      <c r="N1295" s="20">
        <v>0.1313</v>
      </c>
      <c r="O1295" s="19">
        <v>0.9</v>
      </c>
      <c r="P1295" s="19">
        <v>117.93</v>
      </c>
      <c r="Q1295" s="19">
        <v>14</v>
      </c>
      <c r="R1295" s="19">
        <v>0</v>
      </c>
      <c r="S1295" s="19">
        <v>6</v>
      </c>
      <c r="T1295" s="19">
        <v>1</v>
      </c>
      <c r="U1295" s="19">
        <v>1</v>
      </c>
      <c r="V1295" s="19">
        <v>22</v>
      </c>
      <c r="W1295" s="19">
        <v>15.43</v>
      </c>
      <c r="X1295" s="19">
        <v>0</v>
      </c>
      <c r="Y1295" s="20">
        <v>0</v>
      </c>
      <c r="Z1295" s="19">
        <v>0</v>
      </c>
      <c r="AA1295" s="19">
        <v>0</v>
      </c>
      <c r="AB1295" t="str">
        <f>VLOOKUP(E:E,笔记匹配!A:N,3,FALSE)</f>
        <v>猪脚ivi</v>
      </c>
      <c r="AC1295" t="str">
        <f>VLOOKUP(E:E,笔记匹配!A:N,2,FALSE)</f>
        <v>跳绳</v>
      </c>
      <c r="AD1295" t="str">
        <f>VLOOKUP(E:E,笔记匹配!A:N,4,FALSE)</f>
        <v>云麦跳绳2go</v>
      </c>
      <c r="AE1295" t="str">
        <f>VLOOKUP(E:E,笔记匹配!A:N,14,FALSE)</f>
        <v>云麦跳绳2go</v>
      </c>
      <c r="AF1295" t="str">
        <f>VLOOKUP(E:E,笔记匹配!A:N,6,FALSE)</f>
        <v>跳绳全部流程‼️做好这些 腿想粗都难</v>
      </c>
    </row>
    <row r="1296" spans="1:32">
      <c r="A1296" s="18" t="s">
        <v>171</v>
      </c>
      <c r="B1296" s="18" t="s">
        <v>1267</v>
      </c>
      <c r="C1296" s="19">
        <v>21360243</v>
      </c>
      <c r="D1296" s="18" t="s">
        <v>209</v>
      </c>
      <c r="E1296" s="18" t="s">
        <v>220</v>
      </c>
      <c r="F1296" s="18" t="s">
        <v>1268</v>
      </c>
      <c r="G1296" s="19">
        <v>5192303</v>
      </c>
      <c r="H1296" s="18" t="s">
        <v>1269</v>
      </c>
      <c r="I1296" s="19">
        <v>4379647</v>
      </c>
      <c r="J1296" s="18" t="s">
        <v>1015</v>
      </c>
      <c r="K1296" s="19">
        <v>1012.72</v>
      </c>
      <c r="L1296" s="19">
        <v>53638</v>
      </c>
      <c r="M1296" s="19">
        <v>2476</v>
      </c>
      <c r="N1296" s="20">
        <v>0.0462</v>
      </c>
      <c r="O1296" s="19">
        <v>0.41</v>
      </c>
      <c r="P1296" s="19">
        <v>18.88</v>
      </c>
      <c r="Q1296" s="19">
        <v>114</v>
      </c>
      <c r="R1296" s="19">
        <v>0</v>
      </c>
      <c r="S1296" s="19">
        <v>37</v>
      </c>
      <c r="T1296" s="19">
        <v>1</v>
      </c>
      <c r="U1296" s="19">
        <v>2</v>
      </c>
      <c r="V1296" s="19">
        <v>154</v>
      </c>
      <c r="W1296" s="19">
        <v>6.58</v>
      </c>
      <c r="X1296" s="19">
        <v>0</v>
      </c>
      <c r="Y1296" s="20">
        <v>0</v>
      </c>
      <c r="Z1296" s="19">
        <v>25</v>
      </c>
      <c r="AA1296" s="19">
        <v>6</v>
      </c>
      <c r="AB1296" t="str">
        <f>VLOOKUP(E:E,笔记匹配!A:N,3,FALSE)</f>
        <v>一颗西兰花fa</v>
      </c>
      <c r="AC1296" t="str">
        <f>VLOOKUP(E:E,笔记匹配!A:N,2,FALSE)</f>
        <v>筋膜枪</v>
      </c>
      <c r="AD1296" t="str">
        <f>VLOOKUP(E:E,笔记匹配!A:N,4,FALSE)</f>
        <v>云麦筋膜枪PB2</v>
      </c>
      <c r="AE1296" t="str">
        <f>VLOOKUP(E:E,笔记匹配!A:N,14,FALSE)</f>
        <v>云麦筋膜枪pb2</v>
      </c>
      <c r="AF1296" t="str">
        <f>VLOOKUP(E:E,笔记匹配!A:N,6,FALSE)</f>
        <v>有没有姐妹跟我一样被肌肉腿困扰了好久！</v>
      </c>
    </row>
    <row r="1297" spans="1:32">
      <c r="A1297" s="18" t="s">
        <v>171</v>
      </c>
      <c r="B1297" s="18" t="s">
        <v>1294</v>
      </c>
      <c r="C1297" s="19">
        <v>21747929</v>
      </c>
      <c r="D1297" s="18" t="s">
        <v>209</v>
      </c>
      <c r="E1297" s="18" t="s">
        <v>208</v>
      </c>
      <c r="F1297" s="18" t="s">
        <v>1295</v>
      </c>
      <c r="G1297" s="19">
        <v>5366393</v>
      </c>
      <c r="H1297" s="18" t="s">
        <v>1295</v>
      </c>
      <c r="I1297" s="19">
        <v>4512630</v>
      </c>
      <c r="J1297" s="18" t="s">
        <v>1015</v>
      </c>
      <c r="K1297" s="19">
        <v>3996.82</v>
      </c>
      <c r="L1297" s="19">
        <v>146478</v>
      </c>
      <c r="M1297" s="19">
        <v>7200</v>
      </c>
      <c r="N1297" s="20">
        <v>0.0492</v>
      </c>
      <c r="O1297" s="19">
        <v>0.56</v>
      </c>
      <c r="P1297" s="19">
        <v>27.29</v>
      </c>
      <c r="Q1297" s="19">
        <v>237</v>
      </c>
      <c r="R1297" s="19">
        <v>3</v>
      </c>
      <c r="S1297" s="19">
        <v>112</v>
      </c>
      <c r="T1297" s="19">
        <v>2</v>
      </c>
      <c r="U1297" s="19">
        <v>7</v>
      </c>
      <c r="V1297" s="19">
        <v>361</v>
      </c>
      <c r="W1297" s="19">
        <v>11.07</v>
      </c>
      <c r="X1297" s="19">
        <v>0</v>
      </c>
      <c r="Y1297" s="20">
        <v>0</v>
      </c>
      <c r="Z1297" s="19">
        <v>17</v>
      </c>
      <c r="AA1297" s="19">
        <v>12</v>
      </c>
      <c r="AB1297" t="str">
        <f>VLOOKUP(E:E,笔记匹配!A:N,3,FALSE)</f>
        <v>小羊羔崽子</v>
      </c>
      <c r="AC1297" t="str">
        <f>VLOOKUP(E:E,笔记匹配!A:N,2,FALSE)</f>
        <v>筋膜枪</v>
      </c>
      <c r="AD1297" t="str">
        <f>VLOOKUP(E:E,笔记匹配!A:N,4,FALSE)</f>
        <v>云麦筋膜枪PB2</v>
      </c>
      <c r="AE1297" t="str">
        <f>VLOOKUP(E:E,笔记匹配!A:N,14,FALSE)</f>
        <v>云麦筋膜枪pb2</v>
      </c>
      <c r="AF1297" t="str">
        <f>VLOOKUP(E:E,笔记匹配!A:N,6,FALSE)</f>
        <v>用了多年泡沫轴，才知道筋膜枪是真的香！！！</v>
      </c>
    </row>
    <row r="1298" spans="1:32">
      <c r="A1298" s="18" t="s">
        <v>171</v>
      </c>
      <c r="B1298" s="18" t="s">
        <v>1297</v>
      </c>
      <c r="C1298" s="19">
        <v>21881635</v>
      </c>
      <c r="D1298" s="18" t="s">
        <v>196</v>
      </c>
      <c r="E1298" s="18" t="s">
        <v>234</v>
      </c>
      <c r="F1298" s="18" t="s">
        <v>1306</v>
      </c>
      <c r="G1298" s="19">
        <v>5429032</v>
      </c>
      <c r="H1298" s="18" t="s">
        <v>1307</v>
      </c>
      <c r="I1298" s="19">
        <v>4559792</v>
      </c>
      <c r="J1298" s="18" t="s">
        <v>1015</v>
      </c>
      <c r="K1298" s="19">
        <v>0</v>
      </c>
      <c r="L1298" s="19">
        <v>1</v>
      </c>
      <c r="M1298" s="19">
        <v>0</v>
      </c>
      <c r="N1298" s="20">
        <v>0</v>
      </c>
      <c r="O1298" s="19">
        <v>0</v>
      </c>
      <c r="P1298" s="19">
        <v>0</v>
      </c>
      <c r="Q1298" s="19">
        <v>0</v>
      </c>
      <c r="R1298" s="19">
        <v>0</v>
      </c>
      <c r="S1298" s="19">
        <v>0</v>
      </c>
      <c r="T1298" s="19">
        <v>0</v>
      </c>
      <c r="U1298" s="19">
        <v>0</v>
      </c>
      <c r="V1298" s="19">
        <v>0</v>
      </c>
      <c r="W1298" s="19">
        <v>0</v>
      </c>
      <c r="X1298" s="19">
        <v>0</v>
      </c>
      <c r="Y1298" s="20">
        <v>0</v>
      </c>
      <c r="Z1298" s="19">
        <v>0</v>
      </c>
      <c r="AA1298" s="19">
        <v>0</v>
      </c>
      <c r="AB1298" t="str">
        <f>VLOOKUP(E:E,笔记匹配!A:N,3,FALSE)</f>
        <v>pp</v>
      </c>
      <c r="AC1298" t="str">
        <f>VLOOKUP(E:E,笔记匹配!A:N,2,FALSE)</f>
        <v>体脂秤</v>
      </c>
      <c r="AD1298" t="str">
        <f>VLOOKUP(E:E,笔记匹配!A:N,4,FALSE)</f>
        <v>云麦体脂秤3mini</v>
      </c>
      <c r="AE1298" t="str">
        <f>VLOOKUP(E:E,笔记匹配!A:N,14,FALSE)</f>
        <v>云麦体脂秤3mini</v>
      </c>
      <c r="AF1298" t="str">
        <f>VLOOKUP(E:E,笔记匹配!A:N,6,FALSE)</f>
        <v>110到88 一些减肥小建议｜如何正确运动</v>
      </c>
    </row>
    <row r="1299" spans="1:32">
      <c r="A1299" s="18" t="s">
        <v>171</v>
      </c>
      <c r="B1299" s="18" t="s">
        <v>1308</v>
      </c>
      <c r="C1299" s="19">
        <v>21881978</v>
      </c>
      <c r="D1299" s="18" t="s">
        <v>196</v>
      </c>
      <c r="E1299" s="18" t="s">
        <v>234</v>
      </c>
      <c r="F1299" s="18" t="s">
        <v>1309</v>
      </c>
      <c r="G1299" s="19">
        <v>5429663</v>
      </c>
      <c r="H1299" s="18" t="s">
        <v>1310</v>
      </c>
      <c r="I1299" s="19">
        <v>4560362</v>
      </c>
      <c r="J1299" s="18" t="s">
        <v>1015</v>
      </c>
      <c r="K1299" s="19">
        <v>0</v>
      </c>
      <c r="L1299" s="19">
        <v>1</v>
      </c>
      <c r="M1299" s="19">
        <v>0</v>
      </c>
      <c r="N1299" s="20">
        <v>0</v>
      </c>
      <c r="O1299" s="19">
        <v>0</v>
      </c>
      <c r="P1299" s="19">
        <v>0</v>
      </c>
      <c r="Q1299" s="19">
        <v>0</v>
      </c>
      <c r="R1299" s="19">
        <v>0</v>
      </c>
      <c r="S1299" s="19">
        <v>0</v>
      </c>
      <c r="T1299" s="19">
        <v>0</v>
      </c>
      <c r="U1299" s="19">
        <v>0</v>
      </c>
      <c r="V1299" s="19">
        <v>0</v>
      </c>
      <c r="W1299" s="19">
        <v>0</v>
      </c>
      <c r="X1299" s="19">
        <v>0</v>
      </c>
      <c r="Y1299" s="20">
        <v>0</v>
      </c>
      <c r="Z1299" s="19">
        <v>0</v>
      </c>
      <c r="AA1299" s="19">
        <v>0</v>
      </c>
      <c r="AB1299" t="str">
        <f>VLOOKUP(E:E,笔记匹配!A:N,3,FALSE)</f>
        <v>pp</v>
      </c>
      <c r="AC1299" t="str">
        <f>VLOOKUP(E:E,笔记匹配!A:N,2,FALSE)</f>
        <v>体脂秤</v>
      </c>
      <c r="AD1299" t="str">
        <f>VLOOKUP(E:E,笔记匹配!A:N,4,FALSE)</f>
        <v>云麦体脂秤3mini</v>
      </c>
      <c r="AE1299" t="str">
        <f>VLOOKUP(E:E,笔记匹配!A:N,14,FALSE)</f>
        <v>云麦体脂秤3mini</v>
      </c>
      <c r="AF1299" t="str">
        <f>VLOOKUP(E:E,笔记匹配!A:N,6,FALSE)</f>
        <v>110到88 一些减肥小建议｜如何正确运动</v>
      </c>
    </row>
    <row r="1300" spans="1:32">
      <c r="A1300" s="18" t="s">
        <v>171</v>
      </c>
      <c r="B1300" s="18" t="s">
        <v>1316</v>
      </c>
      <c r="C1300" s="19">
        <v>22072814</v>
      </c>
      <c r="D1300" s="18" t="s">
        <v>196</v>
      </c>
      <c r="E1300" s="18" t="s">
        <v>201</v>
      </c>
      <c r="F1300" s="18" t="s">
        <v>1317</v>
      </c>
      <c r="G1300" s="19">
        <v>5521358</v>
      </c>
      <c r="H1300" s="18" t="s">
        <v>1317</v>
      </c>
      <c r="I1300" s="19">
        <v>4629845</v>
      </c>
      <c r="J1300" s="18" t="s">
        <v>1015</v>
      </c>
      <c r="K1300" s="19">
        <v>56.78</v>
      </c>
      <c r="L1300" s="19">
        <v>932</v>
      </c>
      <c r="M1300" s="19">
        <v>113</v>
      </c>
      <c r="N1300" s="20">
        <v>0.1212</v>
      </c>
      <c r="O1300" s="19">
        <v>0.5</v>
      </c>
      <c r="P1300" s="19">
        <v>60.92</v>
      </c>
      <c r="Q1300" s="19">
        <v>1</v>
      </c>
      <c r="R1300" s="19">
        <v>0</v>
      </c>
      <c r="S1300" s="19">
        <v>1</v>
      </c>
      <c r="T1300" s="19">
        <v>0</v>
      </c>
      <c r="U1300" s="19">
        <v>0</v>
      </c>
      <c r="V1300" s="19">
        <v>2</v>
      </c>
      <c r="W1300" s="19">
        <v>28.39</v>
      </c>
      <c r="X1300" s="19">
        <v>0</v>
      </c>
      <c r="Y1300" s="20">
        <v>0</v>
      </c>
      <c r="Z1300" s="19">
        <v>0</v>
      </c>
      <c r="AA1300" s="19">
        <v>0</v>
      </c>
      <c r="AB1300" t="str">
        <f>VLOOKUP(E:E,笔记匹配!A:N,3,FALSE)</f>
        <v>包子熟了</v>
      </c>
      <c r="AC1300" t="str">
        <f>VLOOKUP(E:E,笔记匹配!A:N,2,FALSE)</f>
        <v>筋膜枪</v>
      </c>
      <c r="AD1300" t="str">
        <f>VLOOKUP(E:E,笔记匹配!A:N,4,FALSE)</f>
        <v>云麦筋膜枪</v>
      </c>
      <c r="AE1300" t="str">
        <f>VLOOKUP(E:E,笔记匹配!A:N,14,FALSE)</f>
        <v>云麦筋膜枪pb2</v>
      </c>
      <c r="AF1300" t="str">
        <f>VLOOKUP(E:E,笔记匹配!A:N,6,FALSE)</f>
        <v>筋膜枪测评|健身小白如何挑选筋膜枪？</v>
      </c>
    </row>
    <row r="1301" spans="1:32">
      <c r="A1301" s="18" t="s">
        <v>171</v>
      </c>
      <c r="B1301" s="18" t="s">
        <v>1316</v>
      </c>
      <c r="C1301" s="19">
        <v>22072908</v>
      </c>
      <c r="D1301" s="18" t="s">
        <v>196</v>
      </c>
      <c r="E1301" s="18" t="s">
        <v>201</v>
      </c>
      <c r="F1301" s="18" t="s">
        <v>1318</v>
      </c>
      <c r="G1301" s="19">
        <v>5521414</v>
      </c>
      <c r="H1301" s="18" t="s">
        <v>1318</v>
      </c>
      <c r="I1301" s="19">
        <v>4629891</v>
      </c>
      <c r="J1301" s="18" t="s">
        <v>1015</v>
      </c>
      <c r="K1301" s="19">
        <v>813.63</v>
      </c>
      <c r="L1301" s="19">
        <v>7162</v>
      </c>
      <c r="M1301" s="19">
        <v>890</v>
      </c>
      <c r="N1301" s="20">
        <v>0.1243</v>
      </c>
      <c r="O1301" s="19">
        <v>0.91</v>
      </c>
      <c r="P1301" s="19">
        <v>113.6</v>
      </c>
      <c r="Q1301" s="19">
        <v>6</v>
      </c>
      <c r="R1301" s="19">
        <v>0</v>
      </c>
      <c r="S1301" s="19">
        <v>1</v>
      </c>
      <c r="T1301" s="19">
        <v>0</v>
      </c>
      <c r="U1301" s="19">
        <v>0</v>
      </c>
      <c r="V1301" s="19">
        <v>7</v>
      </c>
      <c r="W1301" s="19">
        <v>116.23</v>
      </c>
      <c r="X1301" s="19">
        <v>7</v>
      </c>
      <c r="Y1301" s="20">
        <v>0.0079</v>
      </c>
      <c r="Z1301" s="19">
        <v>3</v>
      </c>
      <c r="AA1301" s="19">
        <v>0</v>
      </c>
      <c r="AB1301" t="str">
        <f>VLOOKUP(E:E,笔记匹配!A:N,3,FALSE)</f>
        <v>包子熟了</v>
      </c>
      <c r="AC1301" t="str">
        <f>VLOOKUP(E:E,笔记匹配!A:N,2,FALSE)</f>
        <v>筋膜枪</v>
      </c>
      <c r="AD1301" t="str">
        <f>VLOOKUP(E:E,笔记匹配!A:N,4,FALSE)</f>
        <v>云麦筋膜枪</v>
      </c>
      <c r="AE1301" t="str">
        <f>VLOOKUP(E:E,笔记匹配!A:N,14,FALSE)</f>
        <v>云麦筋膜枪pb2</v>
      </c>
      <c r="AF1301" t="str">
        <f>VLOOKUP(E:E,笔记匹配!A:N,6,FALSE)</f>
        <v>筋膜枪测评|健身小白如何挑选筋膜枪？</v>
      </c>
    </row>
    <row r="1302" spans="1:32">
      <c r="A1302" s="18" t="s">
        <v>171</v>
      </c>
      <c r="B1302" s="18" t="s">
        <v>1324</v>
      </c>
      <c r="C1302" s="19">
        <v>22448358</v>
      </c>
      <c r="D1302" s="18" t="s">
        <v>196</v>
      </c>
      <c r="E1302" s="18" t="s">
        <v>238</v>
      </c>
      <c r="F1302" s="18" t="s">
        <v>1331</v>
      </c>
      <c r="G1302" s="19">
        <v>5699471</v>
      </c>
      <c r="H1302" s="18" t="s">
        <v>1331</v>
      </c>
      <c r="I1302" s="19">
        <v>4766957</v>
      </c>
      <c r="J1302" s="18" t="s">
        <v>1015</v>
      </c>
      <c r="K1302" s="19">
        <v>345.69</v>
      </c>
      <c r="L1302" s="19">
        <v>3371</v>
      </c>
      <c r="M1302" s="19">
        <v>347</v>
      </c>
      <c r="N1302" s="20">
        <v>0.1029</v>
      </c>
      <c r="O1302" s="19">
        <v>1</v>
      </c>
      <c r="P1302" s="19">
        <v>102.55</v>
      </c>
      <c r="Q1302" s="19">
        <v>21</v>
      </c>
      <c r="R1302" s="19">
        <v>0</v>
      </c>
      <c r="S1302" s="19">
        <v>13</v>
      </c>
      <c r="T1302" s="19">
        <v>6</v>
      </c>
      <c r="U1302" s="19">
        <v>1</v>
      </c>
      <c r="V1302" s="19">
        <v>41</v>
      </c>
      <c r="W1302" s="19">
        <v>8.43</v>
      </c>
      <c r="X1302" s="19">
        <v>1</v>
      </c>
      <c r="Y1302" s="20">
        <v>0.0029</v>
      </c>
      <c r="Z1302" s="19">
        <v>1</v>
      </c>
      <c r="AA1302" s="19">
        <v>1</v>
      </c>
      <c r="AB1302" t="str">
        <f>VLOOKUP(E:E,笔记匹配!A:N,3,FALSE)</f>
        <v>小岛大瑀</v>
      </c>
      <c r="AC1302" t="str">
        <f>VLOOKUP(E:E,笔记匹配!A:N,2,FALSE)</f>
        <v>体脂秤</v>
      </c>
      <c r="AD1302" t="str">
        <f>VLOOKUP(E:E,笔记匹配!A:N,4,FALSE)</f>
        <v>云麦体脂秤3mini </v>
      </c>
      <c r="AE1302" t="str">
        <f>VLOOKUP(E:E,笔记匹配!A:N,14,FALSE)</f>
        <v>云麦体脂秤3mini</v>
      </c>
      <c r="AF1302" t="str">
        <f>VLOOKUP(E:E,笔记匹配!A:N,6,FALSE)</f>
        <v>这个燃脂舞真的太❗️太❗️太简单了🔥停不下来</v>
      </c>
    </row>
    <row r="1303" spans="1:32">
      <c r="A1303" s="18" t="s">
        <v>171</v>
      </c>
      <c r="B1303" s="18" t="s">
        <v>1338</v>
      </c>
      <c r="C1303" s="19">
        <v>22516377</v>
      </c>
      <c r="D1303" s="18" t="s">
        <v>209</v>
      </c>
      <c r="E1303" s="18" t="s">
        <v>214</v>
      </c>
      <c r="F1303" s="18" t="s">
        <v>1341</v>
      </c>
      <c r="G1303" s="19">
        <v>5732455</v>
      </c>
      <c r="H1303" s="18" t="s">
        <v>1341</v>
      </c>
      <c r="I1303" s="19">
        <v>4792733</v>
      </c>
      <c r="J1303" s="18" t="s">
        <v>1015</v>
      </c>
      <c r="K1303" s="19">
        <v>2417.47</v>
      </c>
      <c r="L1303" s="19">
        <v>173369</v>
      </c>
      <c r="M1303" s="19">
        <v>8861</v>
      </c>
      <c r="N1303" s="20">
        <v>0.0511</v>
      </c>
      <c r="O1303" s="19">
        <v>0.27</v>
      </c>
      <c r="P1303" s="19">
        <v>13.94</v>
      </c>
      <c r="Q1303" s="19">
        <v>481</v>
      </c>
      <c r="R1303" s="19">
        <v>2</v>
      </c>
      <c r="S1303" s="19">
        <v>162</v>
      </c>
      <c r="T1303" s="19">
        <v>0</v>
      </c>
      <c r="U1303" s="19">
        <v>10</v>
      </c>
      <c r="V1303" s="19">
        <v>655</v>
      </c>
      <c r="W1303" s="19">
        <v>3.69</v>
      </c>
      <c r="X1303" s="19">
        <v>0</v>
      </c>
      <c r="Y1303" s="20">
        <v>0</v>
      </c>
      <c r="Z1303" s="19">
        <v>23</v>
      </c>
      <c r="AA1303" s="19">
        <v>37</v>
      </c>
      <c r="AB1303" t="str">
        <f>VLOOKUP(E:E,笔记匹配!A:N,3,FALSE)</f>
        <v>Zora張張</v>
      </c>
      <c r="AC1303" t="str">
        <f>VLOOKUP(E:E,笔记匹配!A:N,2,FALSE)</f>
        <v>筋膜枪</v>
      </c>
      <c r="AD1303" t="str">
        <f>VLOOKUP(E:E,笔记匹配!A:N,4,FALSE)</f>
        <v>云麦筋膜枪cc</v>
      </c>
      <c r="AE1303" t="str">
        <f>VLOOKUP(E:E,笔记匹配!A:N,14,FALSE)</f>
        <v>云麦筋膜枪ccgo</v>
      </c>
      <c r="AF1303" t="str">
        <f>VLOOKUP(E:E,笔记匹配!A:N,6,FALSE)</f>
        <v>宿舍姐妹花人手一个！这筋膜枪有点东西🧐</v>
      </c>
    </row>
    <row r="1304" spans="1:32">
      <c r="A1304" s="18" t="s">
        <v>171</v>
      </c>
      <c r="B1304" s="18" t="s">
        <v>1358</v>
      </c>
      <c r="C1304" s="19">
        <v>22943828</v>
      </c>
      <c r="D1304" s="18" t="s">
        <v>209</v>
      </c>
      <c r="E1304" s="18" t="s">
        <v>228</v>
      </c>
      <c r="F1304" s="18" t="s">
        <v>1359</v>
      </c>
      <c r="G1304" s="19">
        <v>5942327</v>
      </c>
      <c r="H1304" s="18" t="s">
        <v>1359</v>
      </c>
      <c r="I1304" s="19">
        <v>4951269</v>
      </c>
      <c r="J1304" s="18" t="s">
        <v>1015</v>
      </c>
      <c r="K1304" s="19">
        <v>0</v>
      </c>
      <c r="L1304" s="19">
        <v>0</v>
      </c>
      <c r="M1304" s="19">
        <v>0</v>
      </c>
      <c r="N1304" s="20">
        <v>0</v>
      </c>
      <c r="O1304" s="19">
        <v>0</v>
      </c>
      <c r="P1304" s="19">
        <v>0</v>
      </c>
      <c r="Q1304" s="19">
        <v>0</v>
      </c>
      <c r="R1304" s="19">
        <v>0</v>
      </c>
      <c r="S1304" s="19">
        <v>0</v>
      </c>
      <c r="T1304" s="19">
        <v>0</v>
      </c>
      <c r="U1304" s="19">
        <v>0</v>
      </c>
      <c r="V1304" s="19">
        <v>0</v>
      </c>
      <c r="W1304" s="19">
        <v>0</v>
      </c>
      <c r="X1304" s="19">
        <v>0</v>
      </c>
      <c r="Y1304" s="20">
        <v>0</v>
      </c>
      <c r="Z1304" s="19">
        <v>0</v>
      </c>
      <c r="AA1304" s="19">
        <v>0</v>
      </c>
      <c r="AB1304" t="str">
        <f>VLOOKUP(E:E,笔记匹配!A:N,3,FALSE)</f>
        <v>语宸要做插画师</v>
      </c>
      <c r="AC1304" t="str">
        <f>VLOOKUP(E:E,笔记匹配!A:N,2,FALSE)</f>
        <v>筋膜枪</v>
      </c>
      <c r="AD1304" t="str">
        <f>VLOOKUP(E:E,笔记匹配!A:N,4,FALSE)</f>
        <v>云麦筋膜枪cc </v>
      </c>
      <c r="AE1304" t="str">
        <f>VLOOKUP(E:E,笔记匹配!A:N,14,FALSE)</f>
        <v>云麦筋膜枪cc</v>
      </c>
      <c r="AF1304" t="str">
        <f>VLOOKUP(E:E,笔记匹配!A:N,6,FALSE)</f>
        <v>挑战在筋膜枪上画画</v>
      </c>
    </row>
    <row r="1305" spans="1:32">
      <c r="A1305" s="18" t="s">
        <v>171</v>
      </c>
      <c r="B1305" s="18" t="s">
        <v>1370</v>
      </c>
      <c r="C1305" s="19">
        <v>23020109</v>
      </c>
      <c r="D1305" s="18" t="s">
        <v>196</v>
      </c>
      <c r="E1305" s="18" t="s">
        <v>208</v>
      </c>
      <c r="F1305" s="18" t="s">
        <v>1371</v>
      </c>
      <c r="G1305" s="19">
        <v>5980913</v>
      </c>
      <c r="H1305" s="18" t="s">
        <v>1371</v>
      </c>
      <c r="I1305" s="19">
        <v>4980814</v>
      </c>
      <c r="J1305" s="18" t="s">
        <v>1015</v>
      </c>
      <c r="K1305" s="19">
        <v>1029.35</v>
      </c>
      <c r="L1305" s="19">
        <v>41838</v>
      </c>
      <c r="M1305" s="19">
        <v>2067</v>
      </c>
      <c r="N1305" s="20">
        <v>0.0494</v>
      </c>
      <c r="O1305" s="19">
        <v>0.5</v>
      </c>
      <c r="P1305" s="19">
        <v>24.6</v>
      </c>
      <c r="Q1305" s="19">
        <v>29</v>
      </c>
      <c r="R1305" s="19">
        <v>0</v>
      </c>
      <c r="S1305" s="19">
        <v>12</v>
      </c>
      <c r="T1305" s="19">
        <v>1</v>
      </c>
      <c r="U1305" s="19">
        <v>0</v>
      </c>
      <c r="V1305" s="19">
        <v>42</v>
      </c>
      <c r="W1305" s="19">
        <v>24.51</v>
      </c>
      <c r="X1305" s="19">
        <v>0</v>
      </c>
      <c r="Y1305" s="20">
        <v>0</v>
      </c>
      <c r="Z1305" s="19">
        <v>9</v>
      </c>
      <c r="AA1305" s="19">
        <v>0</v>
      </c>
      <c r="AB1305" t="str">
        <f>VLOOKUP(E:E,笔记匹配!A:N,3,FALSE)</f>
        <v>小羊羔崽子</v>
      </c>
      <c r="AC1305" t="str">
        <f>VLOOKUP(E:E,笔记匹配!A:N,2,FALSE)</f>
        <v>筋膜枪</v>
      </c>
      <c r="AD1305" t="str">
        <f>VLOOKUP(E:E,笔记匹配!A:N,4,FALSE)</f>
        <v>云麦筋膜枪PB2</v>
      </c>
      <c r="AE1305" t="str">
        <f>VLOOKUP(E:E,笔记匹配!A:N,14,FALSE)</f>
        <v>云麦筋膜枪pb2</v>
      </c>
      <c r="AF1305" t="str">
        <f>VLOOKUP(E:E,笔记匹配!A:N,6,FALSE)</f>
        <v>用了多年泡沫轴，才知道筋膜枪是真的香！！！</v>
      </c>
    </row>
    <row r="1306" spans="1:32">
      <c r="A1306" s="18" t="s">
        <v>171</v>
      </c>
      <c r="B1306" s="18" t="s">
        <v>1379</v>
      </c>
      <c r="C1306" s="19">
        <v>23177814</v>
      </c>
      <c r="D1306" s="18" t="s">
        <v>209</v>
      </c>
      <c r="E1306" s="18" t="s">
        <v>217</v>
      </c>
      <c r="F1306" s="18" t="s">
        <v>1380</v>
      </c>
      <c r="G1306" s="19">
        <v>6056558</v>
      </c>
      <c r="H1306" s="18" t="s">
        <v>1380</v>
      </c>
      <c r="I1306" s="19">
        <v>5038322</v>
      </c>
      <c r="J1306" s="18" t="s">
        <v>1015</v>
      </c>
      <c r="K1306" s="19">
        <v>1.26</v>
      </c>
      <c r="L1306" s="19">
        <v>87</v>
      </c>
      <c r="M1306" s="19">
        <v>10</v>
      </c>
      <c r="N1306" s="20">
        <v>0.1149</v>
      </c>
      <c r="O1306" s="19">
        <v>0.13</v>
      </c>
      <c r="P1306" s="19">
        <v>14.48</v>
      </c>
      <c r="Q1306" s="19">
        <v>0</v>
      </c>
      <c r="R1306" s="19">
        <v>0</v>
      </c>
      <c r="S1306" s="19">
        <v>0</v>
      </c>
      <c r="T1306" s="19">
        <v>0</v>
      </c>
      <c r="U1306" s="19">
        <v>0</v>
      </c>
      <c r="V1306" s="19">
        <v>0</v>
      </c>
      <c r="W1306" s="19">
        <v>0</v>
      </c>
      <c r="X1306" s="19">
        <v>0</v>
      </c>
      <c r="Y1306" s="20">
        <v>0</v>
      </c>
      <c r="Z1306" s="19">
        <v>0</v>
      </c>
      <c r="AA1306" s="19">
        <v>0</v>
      </c>
      <c r="AB1306" t="str">
        <f>VLOOKUP(E:E,笔记匹配!A:N,3,FALSE)</f>
        <v>野生辣妹Stacy</v>
      </c>
      <c r="AC1306" t="str">
        <f>VLOOKUP(E:E,笔记匹配!A:N,2,FALSE)</f>
        <v>筋膜枪</v>
      </c>
      <c r="AD1306" t="str">
        <f>VLOOKUP(E:E,笔记匹配!A:N,4,FALSE)</f>
        <v>云麦筋膜枪pb2</v>
      </c>
      <c r="AE1306" t="str">
        <f>VLOOKUP(E:E,笔记匹配!A:N,14,FALSE)</f>
        <v>云麦筋膜枪pb2</v>
      </c>
      <c r="AF1306" t="str">
        <f>VLOOKUP(E:E,笔记匹配!A:N,6,FALSE)</f>
        <v>辣妹瘦腿bi看！这玩意是真好使！</v>
      </c>
    </row>
    <row r="1307" spans="1:32">
      <c r="A1307" s="18" t="s">
        <v>171</v>
      </c>
      <c r="B1307" s="18" t="s">
        <v>1379</v>
      </c>
      <c r="C1307" s="19">
        <v>23177925</v>
      </c>
      <c r="D1307" s="18" t="s">
        <v>209</v>
      </c>
      <c r="E1307" s="18" t="s">
        <v>223</v>
      </c>
      <c r="F1307" s="18" t="s">
        <v>1381</v>
      </c>
      <c r="G1307" s="19">
        <v>6056608</v>
      </c>
      <c r="H1307" s="18" t="s">
        <v>1381</v>
      </c>
      <c r="I1307" s="19">
        <v>5038355</v>
      </c>
      <c r="J1307" s="18" t="s">
        <v>1015</v>
      </c>
      <c r="K1307" s="19">
        <v>5.12</v>
      </c>
      <c r="L1307" s="19">
        <v>166</v>
      </c>
      <c r="M1307" s="19">
        <v>6</v>
      </c>
      <c r="N1307" s="20">
        <v>0.0361</v>
      </c>
      <c r="O1307" s="19">
        <v>0.85</v>
      </c>
      <c r="P1307" s="19">
        <v>30.84</v>
      </c>
      <c r="Q1307" s="19">
        <v>0</v>
      </c>
      <c r="R1307" s="19">
        <v>0</v>
      </c>
      <c r="S1307" s="19">
        <v>0</v>
      </c>
      <c r="T1307" s="19">
        <v>0</v>
      </c>
      <c r="U1307" s="19">
        <v>0</v>
      </c>
      <c r="V1307" s="19">
        <v>0</v>
      </c>
      <c r="W1307" s="19">
        <v>0</v>
      </c>
      <c r="X1307" s="19">
        <v>0</v>
      </c>
      <c r="Y1307" s="20">
        <v>0</v>
      </c>
      <c r="Z1307" s="19">
        <v>0</v>
      </c>
      <c r="AA1307" s="19">
        <v>0</v>
      </c>
      <c r="AB1307" t="str">
        <f>VLOOKUP(E:E,笔记匹配!A:N,3,FALSE)</f>
        <v>樱丸小桃子</v>
      </c>
      <c r="AC1307" t="str">
        <f>VLOOKUP(E:E,笔记匹配!A:N,2,FALSE)</f>
        <v>筋膜枪</v>
      </c>
      <c r="AD1307" t="str">
        <f>VLOOKUP(E:E,笔记匹配!A:N,4,FALSE)</f>
        <v>云麦筋膜枪cc</v>
      </c>
      <c r="AE1307" t="str">
        <f>VLOOKUP(E:E,笔记匹配!A:N,14,FALSE)</f>
        <v>云麦筋膜枪ccgo</v>
      </c>
      <c r="AF1307" t="str">
        <f>VLOOKUP(E:E,笔记匹配!A:N,6,FALSE)</f>
        <v>建议小腿粗的美少女人手一个的mini筋膜枪！</v>
      </c>
    </row>
    <row r="1308" spans="1:32">
      <c r="A1308" s="18" t="s">
        <v>171</v>
      </c>
      <c r="B1308" s="18" t="s">
        <v>1379</v>
      </c>
      <c r="C1308" s="19">
        <v>23178157</v>
      </c>
      <c r="D1308" s="18" t="s">
        <v>209</v>
      </c>
      <c r="E1308" s="18" t="s">
        <v>241</v>
      </c>
      <c r="F1308" s="18" t="s">
        <v>1382</v>
      </c>
      <c r="G1308" s="19">
        <v>6056747</v>
      </c>
      <c r="H1308" s="18" t="s">
        <v>1382</v>
      </c>
      <c r="I1308" s="19">
        <v>5038453</v>
      </c>
      <c r="J1308" s="18" t="s">
        <v>1015</v>
      </c>
      <c r="K1308" s="19">
        <v>2031.23</v>
      </c>
      <c r="L1308" s="19">
        <v>76858</v>
      </c>
      <c r="M1308" s="19">
        <v>5603</v>
      </c>
      <c r="N1308" s="20">
        <v>0.0729</v>
      </c>
      <c r="O1308" s="19">
        <v>0.36</v>
      </c>
      <c r="P1308" s="19">
        <v>26.43</v>
      </c>
      <c r="Q1308" s="19">
        <v>159</v>
      </c>
      <c r="R1308" s="19">
        <v>4</v>
      </c>
      <c r="S1308" s="19">
        <v>58</v>
      </c>
      <c r="T1308" s="19">
        <v>13</v>
      </c>
      <c r="U1308" s="19">
        <v>3</v>
      </c>
      <c r="V1308" s="19">
        <v>237</v>
      </c>
      <c r="W1308" s="19">
        <v>8.57</v>
      </c>
      <c r="X1308" s="19">
        <v>0</v>
      </c>
      <c r="Y1308" s="20">
        <v>0</v>
      </c>
      <c r="Z1308" s="19">
        <v>6</v>
      </c>
      <c r="AA1308" s="19">
        <v>1</v>
      </c>
      <c r="AB1308" t="str">
        <f>VLOOKUP(E:E,笔记匹配!A:N,3,FALSE)</f>
        <v>秦亲亲</v>
      </c>
      <c r="AC1308" t="str">
        <f>VLOOKUP(E:E,笔记匹配!A:N,2,FALSE)</f>
        <v>体脂秤</v>
      </c>
      <c r="AD1308" t="str">
        <f>VLOOKUP(E:E,笔记匹配!A:N,4,FALSE)</f>
        <v>云麦体脂秤3mini</v>
      </c>
      <c r="AE1308" t="str">
        <f>VLOOKUP(E:E,笔记匹配!A:N,14,FALSE)</f>
        <v>云麦体脂秤3mini</v>
      </c>
      <c r="AF1308" t="str">
        <f>VLOOKUP(E:E,笔记匹配!A:N,6,FALSE)</f>
        <v>减脂期用什么体脂秤？跟着减脂博主买就对了！</v>
      </c>
    </row>
    <row r="1309" spans="1:32">
      <c r="A1309" s="18" t="s">
        <v>171</v>
      </c>
      <c r="B1309" s="18" t="s">
        <v>247</v>
      </c>
      <c r="C1309" s="19">
        <v>23178412</v>
      </c>
      <c r="D1309" s="18" t="s">
        <v>209</v>
      </c>
      <c r="E1309" s="18" t="s">
        <v>247</v>
      </c>
      <c r="F1309" s="18" t="s">
        <v>1384</v>
      </c>
      <c r="G1309" s="19">
        <v>6056874</v>
      </c>
      <c r="H1309" s="18" t="s">
        <v>1384</v>
      </c>
      <c r="I1309" s="19">
        <v>5038547</v>
      </c>
      <c r="J1309" s="18" t="s">
        <v>1015</v>
      </c>
      <c r="K1309" s="19">
        <v>523.47</v>
      </c>
      <c r="L1309" s="19">
        <v>30346</v>
      </c>
      <c r="M1309" s="19">
        <v>976</v>
      </c>
      <c r="N1309" s="20">
        <v>0.0322</v>
      </c>
      <c r="O1309" s="19">
        <v>0.54</v>
      </c>
      <c r="P1309" s="19">
        <v>17.25</v>
      </c>
      <c r="Q1309" s="19">
        <v>62</v>
      </c>
      <c r="R1309" s="19">
        <v>0</v>
      </c>
      <c r="S1309" s="19">
        <v>39</v>
      </c>
      <c r="T1309" s="19">
        <v>5</v>
      </c>
      <c r="U1309" s="19">
        <v>0</v>
      </c>
      <c r="V1309" s="19">
        <v>106</v>
      </c>
      <c r="W1309" s="19">
        <v>4.94</v>
      </c>
      <c r="X1309" s="19">
        <v>0</v>
      </c>
      <c r="Y1309" s="20">
        <v>0</v>
      </c>
      <c r="Z1309" s="19">
        <v>0</v>
      </c>
      <c r="AA1309" s="19">
        <v>2</v>
      </c>
      <c r="AB1309" t="str">
        <f>VLOOKUP(E:E,笔记匹配!A:N,3,FALSE)</f>
        <v>蔓玉有点甜</v>
      </c>
      <c r="AC1309" t="str">
        <f>VLOOKUP(E:E,笔记匹配!A:N,2,FALSE)</f>
        <v>跳绳</v>
      </c>
      <c r="AD1309" t="str">
        <f>VLOOKUP(E:E,笔记匹配!A:N,4,FALSE)</f>
        <v>云麦跳绳2go</v>
      </c>
      <c r="AE1309" t="str">
        <f>VLOOKUP(E:E,笔记匹配!A:N,14,FALSE)</f>
        <v>云麦跳绳2go</v>
      </c>
      <c r="AF1309" t="str">
        <f>VLOOKUP(E:E,笔记匹配!A:N,6,FALSE)</f>
        <v>保姆级教程㊙手把手教你低成本轻松变美</v>
      </c>
    </row>
    <row r="1310" spans="1:32">
      <c r="A1310" s="18" t="s">
        <v>171</v>
      </c>
      <c r="B1310" s="18" t="s">
        <v>1385</v>
      </c>
      <c r="C1310" s="19">
        <v>23252885</v>
      </c>
      <c r="D1310" s="18" t="s">
        <v>196</v>
      </c>
      <c r="E1310" s="18" t="s">
        <v>238</v>
      </c>
      <c r="F1310" s="18" t="s">
        <v>1386</v>
      </c>
      <c r="G1310" s="19">
        <v>6095328</v>
      </c>
      <c r="H1310" s="18" t="s">
        <v>1386</v>
      </c>
      <c r="I1310" s="19">
        <v>5066383</v>
      </c>
      <c r="J1310" s="18" t="s">
        <v>1015</v>
      </c>
      <c r="K1310" s="19">
        <v>0</v>
      </c>
      <c r="L1310" s="19">
        <v>9</v>
      </c>
      <c r="M1310" s="19">
        <v>0</v>
      </c>
      <c r="N1310" s="20">
        <v>0</v>
      </c>
      <c r="O1310" s="19">
        <v>0</v>
      </c>
      <c r="P1310" s="19">
        <v>0</v>
      </c>
      <c r="Q1310" s="19">
        <v>0</v>
      </c>
      <c r="R1310" s="19">
        <v>0</v>
      </c>
      <c r="S1310" s="19">
        <v>0</v>
      </c>
      <c r="T1310" s="19">
        <v>0</v>
      </c>
      <c r="U1310" s="19">
        <v>0</v>
      </c>
      <c r="V1310" s="19">
        <v>0</v>
      </c>
      <c r="W1310" s="19">
        <v>0</v>
      </c>
      <c r="X1310" s="19">
        <v>0</v>
      </c>
      <c r="Y1310" s="20">
        <v>0</v>
      </c>
      <c r="Z1310" s="19">
        <v>0</v>
      </c>
      <c r="AA1310" s="19">
        <v>0</v>
      </c>
      <c r="AB1310" t="str">
        <f>VLOOKUP(E:E,笔记匹配!A:N,3,FALSE)</f>
        <v>小岛大瑀</v>
      </c>
      <c r="AC1310" t="str">
        <f>VLOOKUP(E:E,笔记匹配!A:N,2,FALSE)</f>
        <v>体脂秤</v>
      </c>
      <c r="AD1310" t="str">
        <f>VLOOKUP(E:E,笔记匹配!A:N,4,FALSE)</f>
        <v>云麦体脂秤3mini </v>
      </c>
      <c r="AE1310" t="str">
        <f>VLOOKUP(E:E,笔记匹配!A:N,14,FALSE)</f>
        <v>云麦体脂秤3mini</v>
      </c>
      <c r="AF1310" t="str">
        <f>VLOOKUP(E:E,笔记匹配!A:N,6,FALSE)</f>
        <v>这个燃脂舞真的太❗️太❗️太简单了🔥停不下来</v>
      </c>
    </row>
    <row r="1311" spans="1:32">
      <c r="A1311" s="18" t="s">
        <v>171</v>
      </c>
      <c r="B1311" s="18" t="s">
        <v>205</v>
      </c>
      <c r="C1311" s="19">
        <v>23253296</v>
      </c>
      <c r="D1311" s="18" t="s">
        <v>196</v>
      </c>
      <c r="E1311" s="18" t="s">
        <v>205</v>
      </c>
      <c r="F1311" s="18" t="s">
        <v>1386</v>
      </c>
      <c r="G1311" s="19">
        <v>6095328</v>
      </c>
      <c r="H1311" s="18" t="s">
        <v>1386</v>
      </c>
      <c r="I1311" s="19">
        <v>5066383</v>
      </c>
      <c r="J1311" s="18" t="s">
        <v>1015</v>
      </c>
      <c r="K1311" s="19">
        <v>311.58</v>
      </c>
      <c r="L1311" s="19">
        <v>5050</v>
      </c>
      <c r="M1311" s="19">
        <v>216</v>
      </c>
      <c r="N1311" s="20">
        <v>0.0428</v>
      </c>
      <c r="O1311" s="19">
        <v>1.44</v>
      </c>
      <c r="P1311" s="19">
        <v>61.7</v>
      </c>
      <c r="Q1311" s="19">
        <v>7</v>
      </c>
      <c r="R1311" s="19">
        <v>0</v>
      </c>
      <c r="S1311" s="19">
        <v>2</v>
      </c>
      <c r="T1311" s="19">
        <v>1</v>
      </c>
      <c r="U1311" s="19">
        <v>0</v>
      </c>
      <c r="V1311" s="19">
        <v>10</v>
      </c>
      <c r="W1311" s="19">
        <v>31.16</v>
      </c>
      <c r="X1311" s="19">
        <v>0</v>
      </c>
      <c r="Y1311" s="20">
        <v>0</v>
      </c>
      <c r="Z1311" s="19">
        <v>0</v>
      </c>
      <c r="AA1311" s="19">
        <v>0</v>
      </c>
      <c r="AB1311" t="str">
        <f>VLOOKUP(E:E,笔记匹配!A:N,3,FALSE)</f>
        <v>马可乐cora</v>
      </c>
      <c r="AC1311" t="str">
        <f>VLOOKUP(E:E,笔记匹配!A:N,2,FALSE)</f>
        <v>筋膜枪</v>
      </c>
      <c r="AD1311" t="str">
        <f>VLOOKUP(E:E,笔记匹配!A:N,4,FALSE)</f>
        <v>云麦筋膜枪PB2</v>
      </c>
      <c r="AE1311" t="str">
        <f>VLOOKUP(E:E,笔记匹配!A:N,14,FALSE)</f>
        <v>云麦筋膜枪pb2</v>
      </c>
      <c r="AF1311" t="str">
        <f>VLOOKUP(E:E,笔记匹配!A:N,6,FALSE)</f>
        <v>跳操的姐妹听我的用筋膜枪放松下肢真的有用</v>
      </c>
    </row>
    <row r="1312" spans="1:32">
      <c r="A1312" s="18" t="s">
        <v>172</v>
      </c>
      <c r="B1312" s="18" t="s">
        <v>1267</v>
      </c>
      <c r="C1312" s="19">
        <v>21360243</v>
      </c>
      <c r="D1312" s="18" t="s">
        <v>209</v>
      </c>
      <c r="E1312" s="18" t="s">
        <v>220</v>
      </c>
      <c r="F1312" s="18" t="s">
        <v>1268</v>
      </c>
      <c r="G1312" s="19">
        <v>5192303</v>
      </c>
      <c r="H1312" s="18" t="s">
        <v>1269</v>
      </c>
      <c r="I1312" s="19">
        <v>4379647</v>
      </c>
      <c r="J1312" s="18" t="s">
        <v>1015</v>
      </c>
      <c r="K1312" s="19">
        <v>2.05</v>
      </c>
      <c r="L1312" s="19">
        <v>59</v>
      </c>
      <c r="M1312" s="19">
        <v>3</v>
      </c>
      <c r="N1312" s="20">
        <v>0.0508</v>
      </c>
      <c r="O1312" s="19">
        <v>0.68</v>
      </c>
      <c r="P1312" s="19">
        <v>34.75</v>
      </c>
      <c r="Q1312" s="19">
        <v>-1</v>
      </c>
      <c r="R1312" s="19">
        <v>0</v>
      </c>
      <c r="S1312" s="19">
        <v>0</v>
      </c>
      <c r="T1312" s="19">
        <v>0</v>
      </c>
      <c r="U1312" s="19">
        <v>0</v>
      </c>
      <c r="V1312" s="19">
        <v>-1</v>
      </c>
      <c r="W1312" s="19">
        <v>0</v>
      </c>
      <c r="X1312" s="19">
        <v>0</v>
      </c>
      <c r="Y1312" s="20">
        <v>0</v>
      </c>
      <c r="Z1312" s="19">
        <v>0</v>
      </c>
      <c r="AA1312" s="19">
        <v>0</v>
      </c>
      <c r="AB1312" t="str">
        <f>VLOOKUP(E:E,笔记匹配!A:N,3,FALSE)</f>
        <v>一颗西兰花fa</v>
      </c>
      <c r="AC1312" t="str">
        <f>VLOOKUP(E:E,笔记匹配!A:N,2,FALSE)</f>
        <v>筋膜枪</v>
      </c>
      <c r="AD1312" t="str">
        <f>VLOOKUP(E:E,笔记匹配!A:N,4,FALSE)</f>
        <v>云麦筋膜枪PB2</v>
      </c>
      <c r="AE1312" t="str">
        <f>VLOOKUP(E:E,笔记匹配!A:N,14,FALSE)</f>
        <v>云麦筋膜枪pb2</v>
      </c>
      <c r="AF1312" t="str">
        <f>VLOOKUP(E:E,笔记匹配!A:N,6,FALSE)</f>
        <v>有没有姐妹跟我一样被肌肉腿困扰了好久！</v>
      </c>
    </row>
    <row r="1313" spans="1:32">
      <c r="A1313" s="18" t="s">
        <v>172</v>
      </c>
      <c r="B1313" s="18" t="s">
        <v>1294</v>
      </c>
      <c r="C1313" s="19">
        <v>21747929</v>
      </c>
      <c r="D1313" s="18" t="s">
        <v>209</v>
      </c>
      <c r="E1313" s="18" t="s">
        <v>208</v>
      </c>
      <c r="F1313" s="18" t="s">
        <v>1295</v>
      </c>
      <c r="G1313" s="19">
        <v>5366393</v>
      </c>
      <c r="H1313" s="18" t="s">
        <v>1295</v>
      </c>
      <c r="I1313" s="19">
        <v>4512630</v>
      </c>
      <c r="J1313" s="18" t="s">
        <v>1015</v>
      </c>
      <c r="K1313" s="19">
        <v>8.27</v>
      </c>
      <c r="L1313" s="19">
        <v>348</v>
      </c>
      <c r="M1313" s="19">
        <v>21</v>
      </c>
      <c r="N1313" s="20">
        <v>0.0603</v>
      </c>
      <c r="O1313" s="19">
        <v>0.39</v>
      </c>
      <c r="P1313" s="19">
        <v>23.76</v>
      </c>
      <c r="Q1313" s="19">
        <v>0</v>
      </c>
      <c r="R1313" s="19">
        <v>0</v>
      </c>
      <c r="S1313" s="19">
        <v>0</v>
      </c>
      <c r="T1313" s="19">
        <v>0</v>
      </c>
      <c r="U1313" s="19">
        <v>0</v>
      </c>
      <c r="V1313" s="19">
        <v>0</v>
      </c>
      <c r="W1313" s="19">
        <v>0</v>
      </c>
      <c r="X1313" s="19">
        <v>0</v>
      </c>
      <c r="Y1313" s="20">
        <v>0</v>
      </c>
      <c r="Z1313" s="19">
        <v>2</v>
      </c>
      <c r="AA1313" s="19">
        <v>0</v>
      </c>
      <c r="AB1313" t="str">
        <f>VLOOKUP(E:E,笔记匹配!A:N,3,FALSE)</f>
        <v>小羊羔崽子</v>
      </c>
      <c r="AC1313" t="str">
        <f>VLOOKUP(E:E,笔记匹配!A:N,2,FALSE)</f>
        <v>筋膜枪</v>
      </c>
      <c r="AD1313" t="str">
        <f>VLOOKUP(E:E,笔记匹配!A:N,4,FALSE)</f>
        <v>云麦筋膜枪PB2</v>
      </c>
      <c r="AE1313" t="str">
        <f>VLOOKUP(E:E,笔记匹配!A:N,14,FALSE)</f>
        <v>云麦筋膜枪pb2</v>
      </c>
      <c r="AF1313" t="str">
        <f>VLOOKUP(E:E,笔记匹配!A:N,6,FALSE)</f>
        <v>用了多年泡沫轴，才知道筋膜枪是真的香！！！</v>
      </c>
    </row>
    <row r="1314" spans="1:32">
      <c r="A1314" s="18" t="s">
        <v>172</v>
      </c>
      <c r="B1314" s="18" t="s">
        <v>1316</v>
      </c>
      <c r="C1314" s="19">
        <v>22072908</v>
      </c>
      <c r="D1314" s="18" t="s">
        <v>196</v>
      </c>
      <c r="E1314" s="18" t="s">
        <v>201</v>
      </c>
      <c r="F1314" s="18" t="s">
        <v>1318</v>
      </c>
      <c r="G1314" s="19">
        <v>5521414</v>
      </c>
      <c r="H1314" s="18" t="s">
        <v>1318</v>
      </c>
      <c r="I1314" s="19">
        <v>4629891</v>
      </c>
      <c r="J1314" s="18" t="s">
        <v>1015</v>
      </c>
      <c r="K1314" s="19">
        <v>1.27</v>
      </c>
      <c r="L1314" s="19">
        <v>41</v>
      </c>
      <c r="M1314" s="19">
        <v>1</v>
      </c>
      <c r="N1314" s="20">
        <v>0.0244</v>
      </c>
      <c r="O1314" s="19">
        <v>1.27</v>
      </c>
      <c r="P1314" s="19">
        <v>30.98</v>
      </c>
      <c r="Q1314" s="19">
        <v>0</v>
      </c>
      <c r="R1314" s="19">
        <v>0</v>
      </c>
      <c r="S1314" s="19">
        <v>0</v>
      </c>
      <c r="T1314" s="19">
        <v>0</v>
      </c>
      <c r="U1314" s="19">
        <v>0</v>
      </c>
      <c r="V1314" s="19">
        <v>0</v>
      </c>
      <c r="W1314" s="19">
        <v>0</v>
      </c>
      <c r="X1314" s="19">
        <v>0</v>
      </c>
      <c r="Y1314" s="20">
        <v>0</v>
      </c>
      <c r="Z1314" s="19">
        <v>0</v>
      </c>
      <c r="AA1314" s="19">
        <v>0</v>
      </c>
      <c r="AB1314" t="str">
        <f>VLOOKUP(E:E,笔记匹配!A:N,3,FALSE)</f>
        <v>包子熟了</v>
      </c>
      <c r="AC1314" t="str">
        <f>VLOOKUP(E:E,笔记匹配!A:N,2,FALSE)</f>
        <v>筋膜枪</v>
      </c>
      <c r="AD1314" t="str">
        <f>VLOOKUP(E:E,笔记匹配!A:N,4,FALSE)</f>
        <v>云麦筋膜枪</v>
      </c>
      <c r="AE1314" t="str">
        <f>VLOOKUP(E:E,笔记匹配!A:N,14,FALSE)</f>
        <v>云麦筋膜枪pb2</v>
      </c>
      <c r="AF1314" t="str">
        <f>VLOOKUP(E:E,笔记匹配!A:N,6,FALSE)</f>
        <v>筋膜枪测评|健身小白如何挑选筋膜枪？</v>
      </c>
    </row>
    <row r="1315" spans="1:32">
      <c r="A1315" s="18" t="s">
        <v>172</v>
      </c>
      <c r="B1315" s="18" t="s">
        <v>1338</v>
      </c>
      <c r="C1315" s="19">
        <v>22516377</v>
      </c>
      <c r="D1315" s="18" t="s">
        <v>209</v>
      </c>
      <c r="E1315" s="18" t="s">
        <v>214</v>
      </c>
      <c r="F1315" s="18" t="s">
        <v>1341</v>
      </c>
      <c r="G1315" s="19">
        <v>5732455</v>
      </c>
      <c r="H1315" s="18" t="s">
        <v>1341</v>
      </c>
      <c r="I1315" s="19">
        <v>4792733</v>
      </c>
      <c r="J1315" s="18" t="s">
        <v>1015</v>
      </c>
      <c r="K1315" s="19">
        <v>13.58</v>
      </c>
      <c r="L1315" s="19">
        <v>984</v>
      </c>
      <c r="M1315" s="19">
        <v>57</v>
      </c>
      <c r="N1315" s="20">
        <v>0.0579</v>
      </c>
      <c r="O1315" s="19">
        <v>0.24</v>
      </c>
      <c r="P1315" s="19">
        <v>13.8</v>
      </c>
      <c r="Q1315" s="19">
        <v>4</v>
      </c>
      <c r="R1315" s="19">
        <v>0</v>
      </c>
      <c r="S1315" s="19">
        <v>0</v>
      </c>
      <c r="T1315" s="19">
        <v>0</v>
      </c>
      <c r="U1315" s="19">
        <v>0</v>
      </c>
      <c r="V1315" s="19">
        <v>4</v>
      </c>
      <c r="W1315" s="19">
        <v>3.4</v>
      </c>
      <c r="X1315" s="19">
        <v>0</v>
      </c>
      <c r="Y1315" s="20">
        <v>0</v>
      </c>
      <c r="Z1315" s="19">
        <v>0</v>
      </c>
      <c r="AA1315" s="19">
        <v>0</v>
      </c>
      <c r="AB1315" t="str">
        <f>VLOOKUP(E:E,笔记匹配!A:N,3,FALSE)</f>
        <v>Zora張張</v>
      </c>
      <c r="AC1315" t="str">
        <f>VLOOKUP(E:E,笔记匹配!A:N,2,FALSE)</f>
        <v>筋膜枪</v>
      </c>
      <c r="AD1315" t="str">
        <f>VLOOKUP(E:E,笔记匹配!A:N,4,FALSE)</f>
        <v>云麦筋膜枪cc</v>
      </c>
      <c r="AE1315" t="str">
        <f>VLOOKUP(E:E,笔记匹配!A:N,14,FALSE)</f>
        <v>云麦筋膜枪ccgo</v>
      </c>
      <c r="AF1315" t="str">
        <f>VLOOKUP(E:E,笔记匹配!A:N,6,FALSE)</f>
        <v>宿舍姐妹花人手一个！这筋膜枪有点东西🧐</v>
      </c>
    </row>
    <row r="1316" spans="1:32">
      <c r="A1316" s="18" t="s">
        <v>172</v>
      </c>
      <c r="B1316" s="18" t="s">
        <v>1379</v>
      </c>
      <c r="C1316" s="19">
        <v>23178157</v>
      </c>
      <c r="D1316" s="18" t="s">
        <v>209</v>
      </c>
      <c r="E1316" s="18" t="s">
        <v>241</v>
      </c>
      <c r="F1316" s="18" t="s">
        <v>1382</v>
      </c>
      <c r="G1316" s="19">
        <v>6056747</v>
      </c>
      <c r="H1316" s="18" t="s">
        <v>1382</v>
      </c>
      <c r="I1316" s="19">
        <v>5038453</v>
      </c>
      <c r="J1316" s="18" t="s">
        <v>1015</v>
      </c>
      <c r="K1316" s="19">
        <v>0.21</v>
      </c>
      <c r="L1316" s="19">
        <v>21</v>
      </c>
      <c r="M1316" s="19">
        <v>1</v>
      </c>
      <c r="N1316" s="20">
        <v>0.0476</v>
      </c>
      <c r="O1316" s="19">
        <v>0.21</v>
      </c>
      <c r="P1316" s="19">
        <v>10</v>
      </c>
      <c r="Q1316" s="19">
        <v>0</v>
      </c>
      <c r="R1316" s="19">
        <v>0</v>
      </c>
      <c r="S1316" s="19">
        <v>0</v>
      </c>
      <c r="T1316" s="19">
        <v>0</v>
      </c>
      <c r="U1316" s="19">
        <v>0</v>
      </c>
      <c r="V1316" s="19">
        <v>0</v>
      </c>
      <c r="W1316" s="19">
        <v>0</v>
      </c>
      <c r="X1316" s="19">
        <v>0</v>
      </c>
      <c r="Y1316" s="20">
        <v>0</v>
      </c>
      <c r="Z1316" s="19">
        <v>0</v>
      </c>
      <c r="AA1316" s="19">
        <v>0</v>
      </c>
      <c r="AB1316" t="str">
        <f>VLOOKUP(E:E,笔记匹配!A:N,3,FALSE)</f>
        <v>秦亲亲</v>
      </c>
      <c r="AC1316" t="str">
        <f>VLOOKUP(E:E,笔记匹配!A:N,2,FALSE)</f>
        <v>体脂秤</v>
      </c>
      <c r="AD1316" t="str">
        <f>VLOOKUP(E:E,笔记匹配!A:N,4,FALSE)</f>
        <v>云麦体脂秤3mini</v>
      </c>
      <c r="AE1316" t="str">
        <f>VLOOKUP(E:E,笔记匹配!A:N,14,FALSE)</f>
        <v>云麦体脂秤3mini</v>
      </c>
      <c r="AF1316" t="str">
        <f>VLOOKUP(E:E,笔记匹配!A:N,6,FALSE)</f>
        <v>减脂期用什么体脂秤？跟着减脂博主买就对了！</v>
      </c>
    </row>
    <row r="1317" spans="1:32">
      <c r="A1317" s="16" t="s">
        <v>15</v>
      </c>
      <c r="B1317" s="18" t="s">
        <v>1387</v>
      </c>
      <c r="C1317" s="19">
        <v>18606962</v>
      </c>
      <c r="D1317" s="18" t="s">
        <v>209</v>
      </c>
      <c r="E1317" s="16" t="s">
        <v>593</v>
      </c>
      <c r="F1317" s="18" t="s">
        <v>1388</v>
      </c>
      <c r="G1317" s="19">
        <v>3851161</v>
      </c>
      <c r="H1317" s="18" t="s">
        <v>1388</v>
      </c>
      <c r="I1317" s="19">
        <v>3236290</v>
      </c>
      <c r="J1317" s="18" t="s">
        <v>1015</v>
      </c>
      <c r="K1317" s="16">
        <v>19067.98</v>
      </c>
      <c r="L1317" s="16">
        <v>1707999</v>
      </c>
      <c r="M1317" s="16">
        <v>133384</v>
      </c>
      <c r="N1317" s="21">
        <v>0.0781</v>
      </c>
      <c r="O1317" s="16">
        <v>0.14</v>
      </c>
      <c r="P1317" s="16">
        <v>11.16</v>
      </c>
      <c r="Q1317" s="16">
        <v>8283</v>
      </c>
      <c r="R1317" s="16">
        <v>145</v>
      </c>
      <c r="S1317" s="16">
        <v>4196</v>
      </c>
      <c r="T1317" s="16">
        <v>688</v>
      </c>
      <c r="U1317" s="16">
        <v>263</v>
      </c>
      <c r="V1317" s="16">
        <v>13575</v>
      </c>
      <c r="W1317" s="16">
        <v>1.4</v>
      </c>
      <c r="X1317" s="19">
        <v>1</v>
      </c>
      <c r="Y1317" s="20">
        <v>1</v>
      </c>
      <c r="Z1317" s="19">
        <v>1</v>
      </c>
      <c r="AA1317" s="19">
        <v>1</v>
      </c>
      <c r="AB1317" t="str">
        <f>VLOOKUP(E:E,笔记匹配!A:N,3,FALSE)</f>
        <v>我是张小胖</v>
      </c>
      <c r="AC1317" t="str">
        <f>VLOOKUP(E:E,笔记匹配!A:N,2,FALSE)</f>
        <v>筋膜枪</v>
      </c>
      <c r="AD1317" t="str">
        <f>VLOOKUP(E:E,笔记匹配!A:N,4,FALSE)</f>
        <v>云麦cc筋膜枪</v>
      </c>
      <c r="AE1317" t="str">
        <f>VLOOKUP(E:E,笔记匹配!A:N,14,FALSE)</f>
        <v>云麦筋膜枪cc</v>
      </c>
      <c r="AF1317" t="str">
        <f>VLOOKUP(E:E,笔记匹配!A:N,6,FALSE)</f>
        <v>跳绳的先后顺序➕筋膜枪的放松按摩❤️</v>
      </c>
    </row>
    <row r="1318" spans="1:32">
      <c r="A1318" s="16" t="s">
        <v>15</v>
      </c>
      <c r="B1318" s="18" t="s">
        <v>1389</v>
      </c>
      <c r="C1318" s="19">
        <v>18606963</v>
      </c>
      <c r="D1318" s="18" t="s">
        <v>209</v>
      </c>
      <c r="E1318" s="16" t="s">
        <v>312</v>
      </c>
      <c r="F1318" s="18" t="s">
        <v>1390</v>
      </c>
      <c r="G1318" s="19">
        <v>3851162</v>
      </c>
      <c r="H1318" s="18" t="s">
        <v>1390</v>
      </c>
      <c r="I1318" s="19">
        <v>3236291</v>
      </c>
      <c r="J1318" s="18" t="s">
        <v>1015</v>
      </c>
      <c r="K1318" s="16">
        <v>9206.39</v>
      </c>
      <c r="L1318" s="16">
        <v>97285</v>
      </c>
      <c r="M1318" s="16">
        <v>9288</v>
      </c>
      <c r="N1318" s="21">
        <v>0.0955</v>
      </c>
      <c r="O1318" s="16">
        <v>0.99</v>
      </c>
      <c r="P1318" s="16">
        <v>94.63</v>
      </c>
      <c r="Q1318" s="16">
        <v>481</v>
      </c>
      <c r="R1318" s="16">
        <v>5</v>
      </c>
      <c r="S1318" s="16">
        <v>433</v>
      </c>
      <c r="T1318" s="16">
        <v>19</v>
      </c>
      <c r="U1318" s="16">
        <v>36</v>
      </c>
      <c r="V1318" s="16">
        <v>974</v>
      </c>
      <c r="W1318" s="16">
        <v>9.45</v>
      </c>
      <c r="X1318" s="19">
        <v>2</v>
      </c>
      <c r="Y1318" s="20">
        <v>2</v>
      </c>
      <c r="Z1318" s="19">
        <v>2</v>
      </c>
      <c r="AA1318" s="19">
        <v>2</v>
      </c>
      <c r="AB1318" t="str">
        <f>VLOOKUP(E:E,笔记匹配!A:N,3,FALSE)</f>
        <v>郝有金</v>
      </c>
      <c r="AC1318" t="str">
        <f>VLOOKUP(E:E,笔记匹配!A:N,2,FALSE)</f>
        <v>筋膜枪</v>
      </c>
      <c r="AD1318" t="str">
        <f>VLOOKUP(E:E,笔记匹配!A:N,4,FALSE)</f>
        <v>云麦cc筋膜枪</v>
      </c>
      <c r="AE1318" t="str">
        <f>VLOOKUP(E:E,笔记匹配!A:N,14,FALSE)</f>
        <v>云麦筋膜枪cc</v>
      </c>
      <c r="AF1318" t="str">
        <f>VLOOKUP(E:E,笔记匹配!A:N,6,FALSE)</f>
        <v>别用错❗️筋膜枪正确使用方法，不同肌肉部位放松大全</v>
      </c>
    </row>
    <row r="1319" spans="1:32">
      <c r="A1319" s="16" t="s">
        <v>15</v>
      </c>
      <c r="B1319" s="18" t="s">
        <v>1391</v>
      </c>
      <c r="C1319" s="19">
        <v>18606964</v>
      </c>
      <c r="D1319" s="18" t="s">
        <v>209</v>
      </c>
      <c r="E1319" s="16" t="s">
        <v>597</v>
      </c>
      <c r="F1319" s="18" t="s">
        <v>1392</v>
      </c>
      <c r="G1319" s="19">
        <v>3851163</v>
      </c>
      <c r="H1319" s="18" t="s">
        <v>1392</v>
      </c>
      <c r="I1319" s="19">
        <v>3236292</v>
      </c>
      <c r="J1319" s="18" t="s">
        <v>1015</v>
      </c>
      <c r="K1319" s="16">
        <v>6649.95</v>
      </c>
      <c r="L1319" s="16">
        <v>90995</v>
      </c>
      <c r="M1319" s="16">
        <v>5253</v>
      </c>
      <c r="N1319" s="21">
        <v>0.0577</v>
      </c>
      <c r="O1319" s="16">
        <v>1.27</v>
      </c>
      <c r="P1319" s="16">
        <v>73.08</v>
      </c>
      <c r="Q1319" s="16">
        <v>198</v>
      </c>
      <c r="R1319" s="16">
        <v>2</v>
      </c>
      <c r="S1319" s="16">
        <v>192</v>
      </c>
      <c r="T1319" s="16">
        <v>15</v>
      </c>
      <c r="U1319" s="16">
        <v>13</v>
      </c>
      <c r="V1319" s="16">
        <v>420</v>
      </c>
      <c r="W1319" s="16">
        <v>15.83</v>
      </c>
      <c r="X1319" s="19">
        <v>3</v>
      </c>
      <c r="Y1319" s="20">
        <v>3</v>
      </c>
      <c r="Z1319" s="19">
        <v>3</v>
      </c>
      <c r="AA1319" s="19">
        <v>3</v>
      </c>
      <c r="AB1319" t="str">
        <f>VLOOKUP(E:E,笔记匹配!A:N,3,FALSE)</f>
        <v>肖儿</v>
      </c>
      <c r="AC1319" t="str">
        <f>VLOOKUP(E:E,笔记匹配!A:N,2,FALSE)</f>
        <v>筋膜枪</v>
      </c>
      <c r="AD1319" t="str">
        <f>VLOOKUP(E:E,笔记匹配!A:N,4,FALSE)</f>
        <v>云麦筋膜枪</v>
      </c>
      <c r="AE1319" t="str">
        <f>VLOOKUP(E:E,笔记匹配!A:N,14,FALSE)</f>
        <v>云麦筋膜枪cc</v>
      </c>
      <c r="AF1319" t="str">
        <f>VLOOKUP(E:E,笔记匹配!A:N,6,FALSE)</f>
        <v>每天3分钟消灭斜方肌(筋膜枪使用教程)</v>
      </c>
    </row>
    <row r="1320" spans="1:32">
      <c r="A1320" s="16" t="s">
        <v>15</v>
      </c>
      <c r="B1320" s="18" t="s">
        <v>1393</v>
      </c>
      <c r="C1320" s="19">
        <v>18606965</v>
      </c>
      <c r="D1320" s="18" t="s">
        <v>209</v>
      </c>
      <c r="E1320" s="16" t="s">
        <v>601</v>
      </c>
      <c r="F1320" s="18" t="s">
        <v>1394</v>
      </c>
      <c r="G1320" s="19">
        <v>3851164</v>
      </c>
      <c r="H1320" s="18" t="s">
        <v>1394</v>
      </c>
      <c r="I1320" s="19">
        <v>3236293</v>
      </c>
      <c r="J1320" s="18" t="s">
        <v>1015</v>
      </c>
      <c r="K1320" s="16">
        <v>5663.27</v>
      </c>
      <c r="L1320" s="16">
        <v>72812</v>
      </c>
      <c r="M1320" s="16">
        <v>6778</v>
      </c>
      <c r="N1320" s="21">
        <v>0.0931</v>
      </c>
      <c r="O1320" s="16">
        <v>0.84</v>
      </c>
      <c r="P1320" s="16">
        <v>77.78</v>
      </c>
      <c r="Q1320" s="16">
        <v>179</v>
      </c>
      <c r="R1320" s="16">
        <v>3</v>
      </c>
      <c r="S1320" s="16">
        <v>106</v>
      </c>
      <c r="T1320" s="16">
        <v>4</v>
      </c>
      <c r="U1320" s="16">
        <v>16</v>
      </c>
      <c r="V1320" s="16">
        <v>308</v>
      </c>
      <c r="W1320" s="16">
        <v>18.39</v>
      </c>
      <c r="X1320" s="19">
        <v>4</v>
      </c>
      <c r="Y1320" s="20">
        <v>4</v>
      </c>
      <c r="Z1320" s="19">
        <v>4</v>
      </c>
      <c r="AA1320" s="19">
        <v>4</v>
      </c>
      <c r="AB1320" t="str">
        <f>VLOOKUP(E:E,笔记匹配!A:N,3,FALSE)</f>
        <v>冷冷学姐</v>
      </c>
      <c r="AC1320" t="str">
        <f>VLOOKUP(E:E,笔记匹配!A:N,2,FALSE)</f>
        <v>筋膜枪</v>
      </c>
      <c r="AD1320" t="str">
        <f>VLOOKUP(E:E,笔记匹配!A:N,4,FALSE)</f>
        <v>云麦cc筋膜枪</v>
      </c>
      <c r="AE1320" t="str">
        <f>VLOOKUP(E:E,笔记匹配!A:N,14,FALSE)</f>
        <v>云麦筋膜枪cc</v>
      </c>
      <c r="AF1320" t="str">
        <f>VLOOKUP(E:E,笔记匹配!A:N,6,FALSE)</f>
        <v>筋膜枪｜怎么选不踩坑❌如何正确使用❓</v>
      </c>
    </row>
    <row r="1321" spans="1:32">
      <c r="A1321" s="16" t="s">
        <v>15</v>
      </c>
      <c r="B1321" s="18" t="s">
        <v>1395</v>
      </c>
      <c r="C1321" s="19">
        <v>18606966</v>
      </c>
      <c r="D1321" s="18" t="s">
        <v>209</v>
      </c>
      <c r="E1321" s="16" t="s">
        <v>605</v>
      </c>
      <c r="F1321" s="18" t="s">
        <v>1396</v>
      </c>
      <c r="G1321" s="19">
        <v>3851165</v>
      </c>
      <c r="H1321" s="18" t="s">
        <v>1396</v>
      </c>
      <c r="I1321" s="19">
        <v>3236294</v>
      </c>
      <c r="J1321" s="18" t="s">
        <v>1015</v>
      </c>
      <c r="K1321" s="16">
        <v>5611.22</v>
      </c>
      <c r="L1321" s="16">
        <v>233298</v>
      </c>
      <c r="M1321" s="16">
        <v>13625</v>
      </c>
      <c r="N1321" s="21">
        <v>0.0584</v>
      </c>
      <c r="O1321" s="16">
        <v>0.41</v>
      </c>
      <c r="P1321" s="16">
        <v>24.05</v>
      </c>
      <c r="Q1321" s="16">
        <v>779</v>
      </c>
      <c r="R1321" s="16">
        <v>2</v>
      </c>
      <c r="S1321" s="16">
        <v>267</v>
      </c>
      <c r="T1321" s="16">
        <v>93</v>
      </c>
      <c r="U1321" s="16">
        <v>8</v>
      </c>
      <c r="V1321" s="16">
        <v>1149</v>
      </c>
      <c r="W1321" s="16">
        <v>4.88</v>
      </c>
      <c r="X1321" s="19">
        <v>5</v>
      </c>
      <c r="Y1321" s="20">
        <v>5</v>
      </c>
      <c r="Z1321" s="19">
        <v>5</v>
      </c>
      <c r="AA1321" s="19">
        <v>5</v>
      </c>
      <c r="AB1321" t="str">
        <f>VLOOKUP(E:E,笔记匹配!A:N,3,FALSE)</f>
        <v>新理小姐</v>
      </c>
      <c r="AC1321" t="str">
        <f>VLOOKUP(E:E,笔记匹配!A:N,2,FALSE)</f>
        <v>体脂秤</v>
      </c>
      <c r="AD1321" t="str">
        <f>VLOOKUP(E:E,笔记匹配!A:N,4,FALSE)</f>
        <v>云麦体脂秤</v>
      </c>
      <c r="AE1321" t="str">
        <f>VLOOKUP(E:E,笔记匹配!A:N,14,FALSE)</f>
        <v>云麦体脂秤3mini</v>
      </c>
      <c r="AF1321" t="str">
        <f>VLOOKUP(E:E,笔记匹配!A:N,6,FALSE)</f>
        <v>5个小习惯养成易瘦体质✨懒人身材管理法</v>
      </c>
    </row>
    <row r="1322" spans="1:32">
      <c r="A1322" s="16" t="s">
        <v>15</v>
      </c>
      <c r="B1322" s="18" t="s">
        <v>1397</v>
      </c>
      <c r="C1322" s="19">
        <v>18606967</v>
      </c>
      <c r="D1322" s="18" t="s">
        <v>209</v>
      </c>
      <c r="E1322" s="16" t="s">
        <v>610</v>
      </c>
      <c r="F1322" s="18" t="s">
        <v>1398</v>
      </c>
      <c r="G1322" s="19">
        <v>3851166</v>
      </c>
      <c r="H1322" s="18" t="s">
        <v>1398</v>
      </c>
      <c r="I1322" s="19">
        <v>3236295</v>
      </c>
      <c r="J1322" s="18" t="s">
        <v>1015</v>
      </c>
      <c r="K1322" s="16">
        <v>5166.56</v>
      </c>
      <c r="L1322" s="16">
        <v>569696</v>
      </c>
      <c r="M1322" s="16">
        <v>51244</v>
      </c>
      <c r="N1322" s="21">
        <v>0.0899</v>
      </c>
      <c r="O1322" s="16">
        <v>0.1</v>
      </c>
      <c r="P1322" s="16">
        <v>9.07</v>
      </c>
      <c r="Q1322" s="16">
        <v>1000</v>
      </c>
      <c r="R1322" s="16">
        <v>43</v>
      </c>
      <c r="S1322" s="16">
        <v>383</v>
      </c>
      <c r="T1322" s="16">
        <v>56</v>
      </c>
      <c r="U1322" s="16">
        <v>25</v>
      </c>
      <c r="V1322" s="16">
        <v>1507</v>
      </c>
      <c r="W1322" s="16">
        <v>3.43</v>
      </c>
      <c r="X1322" s="19">
        <v>6</v>
      </c>
      <c r="Y1322" s="20">
        <v>6</v>
      </c>
      <c r="Z1322" s="19">
        <v>6</v>
      </c>
      <c r="AA1322" s="19">
        <v>6</v>
      </c>
      <c r="AB1322" t="str">
        <f>VLOOKUP(E:E,笔记匹配!A:N,3,FALSE)</f>
        <v>是芝芝啊</v>
      </c>
      <c r="AC1322" t="str">
        <f>VLOOKUP(E:E,笔记匹配!A:N,2,FALSE)</f>
        <v>体脂秤</v>
      </c>
      <c r="AD1322" t="str">
        <f>VLOOKUP(E:E,笔记匹配!A:N,4,FALSE)</f>
        <v>云麦体脂秤3mini</v>
      </c>
      <c r="AE1322" t="str">
        <f>VLOOKUP(E:E,笔记匹配!A:N,14,FALSE)</f>
        <v>云麦体脂秤3mini</v>
      </c>
      <c r="AF1322" t="str">
        <f>VLOOKUP(E:E,笔记匹配!A:N,6,FALSE)</f>
        <v>降体脂干货|为什么你的腹肌一直出不来？可能是体脂率太高了</v>
      </c>
    </row>
    <row r="1323" spans="1:32">
      <c r="A1323" s="16" t="s">
        <v>15</v>
      </c>
      <c r="B1323" s="18" t="s">
        <v>1399</v>
      </c>
      <c r="C1323" s="19">
        <v>18606968</v>
      </c>
      <c r="D1323" s="18" t="s">
        <v>209</v>
      </c>
      <c r="E1323" s="16" t="s">
        <v>614</v>
      </c>
      <c r="F1323" s="18" t="s">
        <v>1400</v>
      </c>
      <c r="G1323" s="19">
        <v>3851167</v>
      </c>
      <c r="H1323" s="18" t="s">
        <v>1400</v>
      </c>
      <c r="I1323" s="19">
        <v>3236296</v>
      </c>
      <c r="J1323" s="18" t="s">
        <v>1015</v>
      </c>
      <c r="K1323" s="16">
        <v>4390.27</v>
      </c>
      <c r="L1323" s="16">
        <v>655981</v>
      </c>
      <c r="M1323" s="16">
        <v>61433</v>
      </c>
      <c r="N1323" s="21">
        <v>0.0937</v>
      </c>
      <c r="O1323" s="16">
        <v>0.07</v>
      </c>
      <c r="P1323" s="16">
        <v>6.69</v>
      </c>
      <c r="Q1323" s="16">
        <v>1285</v>
      </c>
      <c r="R1323" s="16">
        <v>16</v>
      </c>
      <c r="S1323" s="16">
        <v>994</v>
      </c>
      <c r="T1323" s="16">
        <v>255</v>
      </c>
      <c r="U1323" s="16">
        <v>146</v>
      </c>
      <c r="V1323" s="16">
        <v>2696</v>
      </c>
      <c r="W1323" s="16">
        <v>1.63</v>
      </c>
      <c r="X1323" s="19">
        <v>7</v>
      </c>
      <c r="Y1323" s="20">
        <v>7</v>
      </c>
      <c r="Z1323" s="19">
        <v>7</v>
      </c>
      <c r="AA1323" s="19">
        <v>7</v>
      </c>
      <c r="AB1323" t="str">
        <f>VLOOKUP(E:E,笔记匹配!A:N,3,FALSE)</f>
        <v>鱼丸逆袭记</v>
      </c>
      <c r="AC1323" t="str">
        <f>VLOOKUP(E:E,笔记匹配!A:N,2,FALSE)</f>
        <v>体脂秤</v>
      </c>
      <c r="AD1323" t="str">
        <f>VLOOKUP(E:E,笔记匹配!A:N,4,FALSE)</f>
        <v>云麦体脂秤3mini</v>
      </c>
      <c r="AE1323" t="str">
        <f>VLOOKUP(E:E,笔记匹配!A:N,14,FALSE)</f>
        <v>云麦体脂秤3mini</v>
      </c>
      <c r="AF1323" t="str">
        <f>VLOOKUP(E:E,笔记匹配!A:N,6,FALSE)</f>
        <v>28天虐腹计划！瘦肚子就看这篇 ！巨有效</v>
      </c>
    </row>
    <row r="1324" spans="1:32">
      <c r="A1324" s="16" t="s">
        <v>15</v>
      </c>
      <c r="B1324" s="18" t="s">
        <v>1401</v>
      </c>
      <c r="C1324" s="19">
        <v>18606969</v>
      </c>
      <c r="D1324" s="18" t="s">
        <v>209</v>
      </c>
      <c r="E1324" s="16" t="s">
        <v>618</v>
      </c>
      <c r="F1324" s="18" t="s">
        <v>1402</v>
      </c>
      <c r="G1324" s="19">
        <v>3851168</v>
      </c>
      <c r="H1324" s="18" t="s">
        <v>1402</v>
      </c>
      <c r="I1324" s="19">
        <v>3236297</v>
      </c>
      <c r="J1324" s="18" t="s">
        <v>1015</v>
      </c>
      <c r="K1324" s="16">
        <v>2849.49</v>
      </c>
      <c r="L1324" s="16">
        <v>76007</v>
      </c>
      <c r="M1324" s="16">
        <v>4064</v>
      </c>
      <c r="N1324" s="21">
        <v>0.0535</v>
      </c>
      <c r="O1324" s="16">
        <v>0.7</v>
      </c>
      <c r="P1324" s="16">
        <v>37.49</v>
      </c>
      <c r="Q1324" s="16">
        <v>49</v>
      </c>
      <c r="R1324" s="16">
        <v>4</v>
      </c>
      <c r="S1324" s="16">
        <v>15</v>
      </c>
      <c r="T1324" s="16">
        <v>13</v>
      </c>
      <c r="U1324" s="16">
        <v>4</v>
      </c>
      <c r="V1324" s="16">
        <v>85</v>
      </c>
      <c r="W1324" s="16">
        <v>33.52</v>
      </c>
      <c r="X1324" s="19">
        <v>8</v>
      </c>
      <c r="Y1324" s="20">
        <v>8</v>
      </c>
      <c r="Z1324" s="19">
        <v>8</v>
      </c>
      <c r="AA1324" s="19">
        <v>8</v>
      </c>
      <c r="AB1324" t="str">
        <f>VLOOKUP(E:E,笔记匹配!A:N,3,FALSE)</f>
        <v>叫我y老师</v>
      </c>
      <c r="AC1324" t="str">
        <f>VLOOKUP(E:E,笔记匹配!A:N,2,FALSE)</f>
        <v>体脂秤</v>
      </c>
      <c r="AD1324" t="str">
        <f>VLOOKUP(E:E,笔记匹配!A:N,4,FALSE)</f>
        <v>云麦体脂秤3mini</v>
      </c>
      <c r="AE1324" t="str">
        <f>VLOOKUP(E:E,笔记匹配!A:N,14,FALSE)</f>
        <v>云麦体脂秤3mini</v>
      </c>
      <c r="AF1324" t="str">
        <f>VLOOKUP(E:E,笔记匹配!A:N,6,FALSE)</f>
        <v>体脂秤测16%|侧腰肉多 别再练侧腰！</v>
      </c>
    </row>
    <row r="1325" spans="1:32">
      <c r="A1325" s="16" t="s">
        <v>15</v>
      </c>
      <c r="B1325" s="18" t="s">
        <v>1403</v>
      </c>
      <c r="C1325" s="19">
        <v>18606970</v>
      </c>
      <c r="D1325" s="18" t="s">
        <v>209</v>
      </c>
      <c r="E1325" s="16" t="s">
        <v>622</v>
      </c>
      <c r="F1325" s="18" t="s">
        <v>1404</v>
      </c>
      <c r="G1325" s="19">
        <v>3851169</v>
      </c>
      <c r="H1325" s="18" t="s">
        <v>1404</v>
      </c>
      <c r="I1325" s="19">
        <v>3236298</v>
      </c>
      <c r="J1325" s="18" t="s">
        <v>1015</v>
      </c>
      <c r="K1325" s="16">
        <v>1887.46</v>
      </c>
      <c r="L1325" s="16">
        <v>390831</v>
      </c>
      <c r="M1325" s="16">
        <v>26648</v>
      </c>
      <c r="N1325" s="21">
        <v>0.0682</v>
      </c>
      <c r="O1325" s="16">
        <v>0.07</v>
      </c>
      <c r="P1325" s="16">
        <v>4.83</v>
      </c>
      <c r="Q1325" s="16">
        <v>943</v>
      </c>
      <c r="R1325" s="16">
        <v>13</v>
      </c>
      <c r="S1325" s="16">
        <v>460</v>
      </c>
      <c r="T1325" s="16">
        <v>52</v>
      </c>
      <c r="U1325" s="16">
        <v>30</v>
      </c>
      <c r="V1325" s="16">
        <v>1498</v>
      </c>
      <c r="W1325" s="16">
        <v>1.26</v>
      </c>
      <c r="X1325" s="19">
        <v>9</v>
      </c>
      <c r="Y1325" s="20">
        <v>9</v>
      </c>
      <c r="Z1325" s="19">
        <v>9</v>
      </c>
      <c r="AA1325" s="19">
        <v>9</v>
      </c>
      <c r="AB1325" t="str">
        <f>VLOOKUP(E:E,笔记匹配!A:N,3,FALSE)</f>
        <v>理疗师雨辰</v>
      </c>
      <c r="AC1325" t="str">
        <f>VLOOKUP(E:E,笔记匹配!A:N,2,FALSE)</f>
        <v>筋膜枪</v>
      </c>
      <c r="AD1325" t="str">
        <f>VLOOKUP(E:E,笔记匹配!A:N,4,FALSE)</f>
        <v>云麦cc筋膜枪</v>
      </c>
      <c r="AE1325" t="str">
        <f>VLOOKUP(E:E,笔记匹配!A:N,14,FALSE)</f>
        <v>云麦筋膜枪cc</v>
      </c>
      <c r="AF1325" t="str">
        <f>VLOOKUP(E:E,笔记匹配!A:N,6,FALSE)</f>
        <v>斜方肌厚？圆肩驼背？筋膜枪帮你解决</v>
      </c>
    </row>
    <row r="1326" spans="1:32">
      <c r="A1326" s="16" t="s">
        <v>15</v>
      </c>
      <c r="B1326" s="18" t="s">
        <v>1405</v>
      </c>
      <c r="C1326" s="19">
        <v>18606971</v>
      </c>
      <c r="D1326" s="18" t="s">
        <v>209</v>
      </c>
      <c r="E1326" s="16" t="s">
        <v>626</v>
      </c>
      <c r="F1326" s="18" t="s">
        <v>1406</v>
      </c>
      <c r="G1326" s="19">
        <v>3851170</v>
      </c>
      <c r="H1326" s="18" t="s">
        <v>1406</v>
      </c>
      <c r="I1326" s="19">
        <v>3236299</v>
      </c>
      <c r="J1326" s="18" t="s">
        <v>1015</v>
      </c>
      <c r="K1326" s="16">
        <v>1655.14</v>
      </c>
      <c r="L1326" s="16">
        <v>170979</v>
      </c>
      <c r="M1326" s="16">
        <v>8217</v>
      </c>
      <c r="N1326" s="21">
        <v>0.0481</v>
      </c>
      <c r="O1326" s="16">
        <v>0.2</v>
      </c>
      <c r="P1326" s="16">
        <v>9.68</v>
      </c>
      <c r="Q1326" s="16">
        <v>86</v>
      </c>
      <c r="R1326" s="16">
        <v>0</v>
      </c>
      <c r="S1326" s="16">
        <v>34</v>
      </c>
      <c r="T1326" s="16">
        <v>11</v>
      </c>
      <c r="U1326" s="16">
        <v>3</v>
      </c>
      <c r="V1326" s="16">
        <v>134</v>
      </c>
      <c r="W1326" s="16">
        <v>12.35</v>
      </c>
      <c r="X1326" s="19">
        <v>10</v>
      </c>
      <c r="Y1326" s="20">
        <v>10</v>
      </c>
      <c r="Z1326" s="19">
        <v>10</v>
      </c>
      <c r="AA1326" s="19">
        <v>10</v>
      </c>
      <c r="AB1326" t="str">
        <f>VLOOKUP(E:E,笔记匹配!A:N,3,FALSE)</f>
        <v>西瓜班陈雯</v>
      </c>
      <c r="AC1326" t="str">
        <f>VLOOKUP(E:E,笔记匹配!A:N,2,FALSE)</f>
        <v>体脂秤</v>
      </c>
      <c r="AD1326" t="str">
        <f>VLOOKUP(E:E,笔记匹配!A:N,4,FALSE)</f>
        <v>云麦体脂秤</v>
      </c>
      <c r="AE1326" t="str">
        <f>VLOOKUP(E:E,笔记匹配!A:N,14,FALSE)</f>
        <v>云麦体脂秤3mini</v>
      </c>
      <c r="AF1326" t="str">
        <f>VLOOKUP(E:E,笔记匹配!A:N,6,FALSE)</f>
        <v>体脂秤|️120到80斤/养成易瘦体减体脂✅</v>
      </c>
    </row>
    <row r="1327" spans="1:32">
      <c r="A1327" s="16" t="s">
        <v>15</v>
      </c>
      <c r="B1327" s="18" t="s">
        <v>1407</v>
      </c>
      <c r="C1327" s="19">
        <v>18606972</v>
      </c>
      <c r="D1327" s="18" t="s">
        <v>209</v>
      </c>
      <c r="E1327" s="16" t="s">
        <v>630</v>
      </c>
      <c r="F1327" s="18" t="s">
        <v>1408</v>
      </c>
      <c r="G1327" s="19">
        <v>3851171</v>
      </c>
      <c r="H1327" s="18" t="s">
        <v>1408</v>
      </c>
      <c r="I1327" s="19">
        <v>3236300</v>
      </c>
      <c r="J1327" s="18" t="s">
        <v>1015</v>
      </c>
      <c r="K1327" s="16">
        <v>734.27</v>
      </c>
      <c r="L1327" s="16">
        <v>10328</v>
      </c>
      <c r="M1327" s="16">
        <v>919</v>
      </c>
      <c r="N1327" s="21">
        <v>0.089</v>
      </c>
      <c r="O1327" s="16">
        <v>0.8</v>
      </c>
      <c r="P1327" s="16">
        <v>71.1</v>
      </c>
      <c r="Q1327" s="16">
        <v>14</v>
      </c>
      <c r="R1327" s="16">
        <v>0</v>
      </c>
      <c r="S1327" s="16">
        <v>7</v>
      </c>
      <c r="T1327" s="16">
        <v>0</v>
      </c>
      <c r="U1327" s="16">
        <v>0</v>
      </c>
      <c r="V1327" s="16">
        <v>21</v>
      </c>
      <c r="W1327" s="16">
        <v>34.97</v>
      </c>
      <c r="X1327" s="19">
        <v>11</v>
      </c>
      <c r="Y1327" s="20">
        <v>11</v>
      </c>
      <c r="Z1327" s="19">
        <v>11</v>
      </c>
      <c r="AA1327" s="19">
        <v>11</v>
      </c>
      <c r="AB1327" t="str">
        <f>VLOOKUP(E:E,笔记匹配!A:N,3,FALSE)</f>
        <v>电荷荷荷</v>
      </c>
      <c r="AC1327" t="str">
        <f>VLOOKUP(E:E,笔记匹配!A:N,2,FALSE)</f>
        <v>筋膜枪</v>
      </c>
      <c r="AD1327" t="str">
        <f>VLOOKUP(E:E,笔记匹配!A:N,4,FALSE)</f>
        <v>云麦cc筋膜枪</v>
      </c>
      <c r="AE1327" t="str">
        <f>VLOOKUP(E:E,笔记匹配!A:N,14,FALSE)</f>
        <v>云麦筋膜枪cc</v>
      </c>
      <c r="AF1327" t="str">
        <f>VLOOKUP(E:E,笔记匹配!A:N,6,FALSE)</f>
        <v>筋膜枪放松|圆肩驼背姐妹给我练！</v>
      </c>
    </row>
    <row r="1328" spans="1:32">
      <c r="A1328" s="16" t="s">
        <v>15</v>
      </c>
      <c r="B1328" s="18" t="s">
        <v>1409</v>
      </c>
      <c r="C1328" s="19">
        <v>18606973</v>
      </c>
      <c r="D1328" s="18" t="s">
        <v>209</v>
      </c>
      <c r="E1328" s="16" t="s">
        <v>234</v>
      </c>
      <c r="F1328" s="18" t="s">
        <v>1410</v>
      </c>
      <c r="G1328" s="19">
        <v>3851172</v>
      </c>
      <c r="H1328" s="18" t="s">
        <v>1410</v>
      </c>
      <c r="I1328" s="19">
        <v>3236301</v>
      </c>
      <c r="J1328" s="18" t="s">
        <v>1015</v>
      </c>
      <c r="K1328" s="16">
        <v>690.66</v>
      </c>
      <c r="L1328" s="16">
        <v>89568</v>
      </c>
      <c r="M1328" s="16">
        <v>8487</v>
      </c>
      <c r="N1328" s="21">
        <v>0.0948</v>
      </c>
      <c r="O1328" s="16">
        <v>0.08</v>
      </c>
      <c r="P1328" s="16">
        <v>7.71</v>
      </c>
      <c r="Q1328" s="16">
        <v>227</v>
      </c>
      <c r="R1328" s="16">
        <v>7</v>
      </c>
      <c r="S1328" s="16">
        <v>49</v>
      </c>
      <c r="T1328" s="16">
        <v>18</v>
      </c>
      <c r="U1328" s="16">
        <v>4</v>
      </c>
      <c r="V1328" s="16">
        <v>305</v>
      </c>
      <c r="W1328" s="16">
        <v>2.26</v>
      </c>
      <c r="X1328" s="19">
        <v>12</v>
      </c>
      <c r="Y1328" s="20">
        <v>12</v>
      </c>
      <c r="Z1328" s="19">
        <v>12</v>
      </c>
      <c r="AA1328" s="19">
        <v>12</v>
      </c>
      <c r="AB1328" t="str">
        <f>VLOOKUP(E:E,笔记匹配!A:N,3,FALSE)</f>
        <v>pp</v>
      </c>
      <c r="AC1328" t="str">
        <f>VLOOKUP(E:E,笔记匹配!A:N,2,FALSE)</f>
        <v>体脂秤</v>
      </c>
      <c r="AD1328" t="str">
        <f>VLOOKUP(E:E,笔记匹配!A:N,4,FALSE)</f>
        <v>云麦体脂秤3mini</v>
      </c>
      <c r="AE1328" t="str">
        <f>VLOOKUP(E:E,笔记匹配!A:N,14,FALSE)</f>
        <v>云麦体脂秤3mini</v>
      </c>
      <c r="AF1328" t="str">
        <f>VLOOKUP(E:E,笔记匹配!A:N,6,FALSE)</f>
        <v>110到88 一些减肥小建议｜如何正确运动</v>
      </c>
    </row>
    <row r="1329" spans="1:32">
      <c r="A1329" s="16" t="s">
        <v>15</v>
      </c>
      <c r="B1329" s="18" t="s">
        <v>1411</v>
      </c>
      <c r="C1329" s="19">
        <v>18606974</v>
      </c>
      <c r="D1329" s="18" t="s">
        <v>209</v>
      </c>
      <c r="E1329" s="16" t="s">
        <v>642</v>
      </c>
      <c r="F1329" s="18" t="s">
        <v>1412</v>
      </c>
      <c r="G1329" s="19">
        <v>3851173</v>
      </c>
      <c r="H1329" s="18" t="s">
        <v>1412</v>
      </c>
      <c r="I1329" s="19">
        <v>3236302</v>
      </c>
      <c r="J1329" s="18" t="s">
        <v>1015</v>
      </c>
      <c r="K1329" s="16">
        <v>449.56</v>
      </c>
      <c r="L1329" s="16">
        <v>205901</v>
      </c>
      <c r="M1329" s="16">
        <v>26969</v>
      </c>
      <c r="N1329" s="21">
        <v>0.131</v>
      </c>
      <c r="O1329" s="16">
        <v>0.02</v>
      </c>
      <c r="P1329" s="16">
        <v>2.18</v>
      </c>
      <c r="Q1329" s="16">
        <v>154</v>
      </c>
      <c r="R1329" s="16">
        <v>9</v>
      </c>
      <c r="S1329" s="16">
        <v>62</v>
      </c>
      <c r="T1329" s="16">
        <v>36</v>
      </c>
      <c r="U1329" s="16">
        <v>11</v>
      </c>
      <c r="V1329" s="16">
        <v>272</v>
      </c>
      <c r="W1329" s="16">
        <v>1.65</v>
      </c>
      <c r="X1329" s="19">
        <v>13</v>
      </c>
      <c r="Y1329" s="20">
        <v>13</v>
      </c>
      <c r="Z1329" s="19">
        <v>13</v>
      </c>
      <c r="AA1329" s="19">
        <v>13</v>
      </c>
      <c r="AB1329" t="str">
        <f>VLOOKUP(E:E,笔记匹配!A:N,3,FALSE)</f>
        <v>陈背心</v>
      </c>
      <c r="AC1329" t="str">
        <f>VLOOKUP(E:E,笔记匹配!A:N,2,FALSE)</f>
        <v>筋膜枪</v>
      </c>
      <c r="AD1329" t="str">
        <f>VLOOKUP(E:E,笔记匹配!A:N,4,FALSE)</f>
        <v>云麦cc筋膜枪</v>
      </c>
      <c r="AE1329" t="str">
        <f>VLOOKUP(E:E,笔记匹配!A:N,14,FALSE)</f>
        <v>云麦筋膜枪cc</v>
      </c>
      <c r="AF1329" t="str">
        <f>VLOOKUP(E:E,笔记匹配!A:N,6,FALSE)</f>
        <v>120斤到100斤 小基数减脂 跑步不粗腿方法</v>
      </c>
    </row>
    <row r="1330" spans="1:32">
      <c r="A1330" s="16" t="s">
        <v>15</v>
      </c>
      <c r="B1330" s="18" t="s">
        <v>1413</v>
      </c>
      <c r="C1330" s="19">
        <v>18606975</v>
      </c>
      <c r="D1330" s="18" t="s">
        <v>209</v>
      </c>
      <c r="E1330" s="16" t="s">
        <v>400</v>
      </c>
      <c r="F1330" s="18" t="s">
        <v>1414</v>
      </c>
      <c r="G1330" s="19">
        <v>3851174</v>
      </c>
      <c r="H1330" s="18" t="s">
        <v>1414</v>
      </c>
      <c r="I1330" s="19">
        <v>3236303</v>
      </c>
      <c r="J1330" s="18" t="s">
        <v>1015</v>
      </c>
      <c r="K1330" s="16">
        <v>436.86</v>
      </c>
      <c r="L1330" s="16">
        <v>34334</v>
      </c>
      <c r="M1330" s="16">
        <v>2597</v>
      </c>
      <c r="N1330" s="21">
        <v>0.0756</v>
      </c>
      <c r="O1330" s="16">
        <v>0.17</v>
      </c>
      <c r="P1330" s="16">
        <v>12.72</v>
      </c>
      <c r="Q1330" s="16">
        <v>230</v>
      </c>
      <c r="R1330" s="16">
        <v>1</v>
      </c>
      <c r="S1330" s="16">
        <v>141</v>
      </c>
      <c r="T1330" s="16">
        <v>10</v>
      </c>
      <c r="U1330" s="16">
        <v>5</v>
      </c>
      <c r="V1330" s="16">
        <v>387</v>
      </c>
      <c r="W1330" s="16">
        <v>1.13</v>
      </c>
      <c r="X1330" s="19">
        <v>14</v>
      </c>
      <c r="Y1330" s="20">
        <v>14</v>
      </c>
      <c r="Z1330" s="19">
        <v>14</v>
      </c>
      <c r="AA1330" s="19">
        <v>14</v>
      </c>
      <c r="AB1330" t="str">
        <f>VLOOKUP(E:E,笔记匹配!A:N,3,FALSE)</f>
        <v>小雪教瑜伽</v>
      </c>
      <c r="AC1330" t="str">
        <f>VLOOKUP(E:E,笔记匹配!A:N,2,FALSE)</f>
        <v>筋膜枪</v>
      </c>
      <c r="AD1330" t="str">
        <f>VLOOKUP(E:E,笔记匹配!A:N,4,FALSE)</f>
        <v>云麦筋膜枪cc</v>
      </c>
      <c r="AE1330" t="str">
        <f>VLOOKUP(E:E,笔记匹配!A:N,14,FALSE)</f>
        <v>云麦筋膜枪cc</v>
      </c>
      <c r="AF1330" t="str">
        <f>VLOOKUP(E:E,笔记匹配!A:N,6,FALSE)</f>
        <v>瘦肌肉腿必备&amp;筋膜枪按摩跟练教程</v>
      </c>
    </row>
    <row r="1331" spans="1:32">
      <c r="A1331" s="16" t="s">
        <v>15</v>
      </c>
      <c r="B1331" s="18" t="s">
        <v>1415</v>
      </c>
      <c r="C1331" s="19">
        <v>18606976</v>
      </c>
      <c r="D1331" s="18" t="s">
        <v>209</v>
      </c>
      <c r="E1331" s="16" t="s">
        <v>634</v>
      </c>
      <c r="F1331" s="18" t="s">
        <v>1416</v>
      </c>
      <c r="G1331" s="19">
        <v>3851175</v>
      </c>
      <c r="H1331" s="18" t="s">
        <v>1416</v>
      </c>
      <c r="I1331" s="19">
        <v>3236304</v>
      </c>
      <c r="J1331" s="18" t="s">
        <v>1015</v>
      </c>
      <c r="K1331" s="16">
        <v>413.88</v>
      </c>
      <c r="L1331" s="16">
        <v>32590</v>
      </c>
      <c r="M1331" s="16">
        <v>2362</v>
      </c>
      <c r="N1331" s="21">
        <v>0.0725</v>
      </c>
      <c r="O1331" s="16">
        <v>0.18</v>
      </c>
      <c r="P1331" s="16">
        <v>12.7</v>
      </c>
      <c r="Q1331" s="16">
        <v>202</v>
      </c>
      <c r="R1331" s="16">
        <v>2</v>
      </c>
      <c r="S1331" s="16">
        <v>103</v>
      </c>
      <c r="T1331" s="16">
        <v>23</v>
      </c>
      <c r="U1331" s="16">
        <v>4</v>
      </c>
      <c r="V1331" s="16">
        <v>334</v>
      </c>
      <c r="W1331" s="16">
        <v>1.24</v>
      </c>
      <c r="X1331" s="19">
        <v>15</v>
      </c>
      <c r="Y1331" s="20">
        <v>15</v>
      </c>
      <c r="Z1331" s="19">
        <v>15</v>
      </c>
      <c r="AA1331" s="19">
        <v>15</v>
      </c>
      <c r="AB1331" t="str">
        <f>VLOOKUP(E:E,笔记匹配!A:N,3,FALSE)</f>
        <v>陈以柒</v>
      </c>
      <c r="AC1331" t="str">
        <f>VLOOKUP(E:E,笔记匹配!A:N,2,FALSE)</f>
        <v>筋膜枪</v>
      </c>
      <c r="AD1331" t="str">
        <f>VLOOKUP(E:E,笔记匹配!A:N,4,FALSE)</f>
        <v>云麦cc筋膜枪</v>
      </c>
      <c r="AE1331" t="str">
        <f>VLOOKUP(E:E,笔记匹配!A:N,14,FALSE)</f>
        <v>云麦筋膜枪cc</v>
      </c>
      <c r="AF1331" t="str">
        <f>VLOOKUP(E:E,笔记匹配!A:N,6,FALSE)</f>
        <v>久坐久站肌肉腿❓4⃣个动作get“漫画腿”</v>
      </c>
    </row>
    <row r="1332" spans="1:32">
      <c r="A1332" s="16" t="s">
        <v>15</v>
      </c>
      <c r="B1332" s="18" t="s">
        <v>1417</v>
      </c>
      <c r="C1332" s="19">
        <v>18606977</v>
      </c>
      <c r="D1332" s="18" t="s">
        <v>209</v>
      </c>
      <c r="E1332" s="16" t="s">
        <v>638</v>
      </c>
      <c r="F1332" s="18" t="s">
        <v>1418</v>
      </c>
      <c r="G1332" s="19">
        <v>3851176</v>
      </c>
      <c r="H1332" s="18" t="s">
        <v>1418</v>
      </c>
      <c r="I1332" s="19">
        <v>3236305</v>
      </c>
      <c r="J1332" s="18" t="s">
        <v>1015</v>
      </c>
      <c r="K1332" s="16">
        <v>199.55</v>
      </c>
      <c r="L1332" s="16">
        <v>20710</v>
      </c>
      <c r="M1332" s="16">
        <v>2641</v>
      </c>
      <c r="N1332" s="21">
        <v>0.1275</v>
      </c>
      <c r="O1332" s="16">
        <v>0.08</v>
      </c>
      <c r="P1332" s="16">
        <v>9.64</v>
      </c>
      <c r="Q1332" s="16">
        <v>51</v>
      </c>
      <c r="R1332" s="16">
        <v>0</v>
      </c>
      <c r="S1332" s="16">
        <v>25</v>
      </c>
      <c r="T1332" s="16">
        <v>24</v>
      </c>
      <c r="U1332" s="16">
        <v>4</v>
      </c>
      <c r="V1332" s="16">
        <v>104</v>
      </c>
      <c r="W1332" s="16">
        <v>1.92</v>
      </c>
      <c r="X1332" s="19">
        <v>16</v>
      </c>
      <c r="Y1332" s="20">
        <v>16</v>
      </c>
      <c r="Z1332" s="19">
        <v>16</v>
      </c>
      <c r="AA1332" s="19">
        <v>16</v>
      </c>
      <c r="AB1332" t="str">
        <f>VLOOKUP(E:E,笔记匹配!A:N,3,FALSE)</f>
        <v>厨小花的减脂餐</v>
      </c>
      <c r="AC1332" t="str">
        <f>VLOOKUP(E:E,笔记匹配!A:N,2,FALSE)</f>
        <v>体脂秤</v>
      </c>
      <c r="AD1332" t="str">
        <f>VLOOKUP(E:E,笔记匹配!A:N,4,FALSE)</f>
        <v>云麦体脂秤3mini</v>
      </c>
      <c r="AE1332" t="str">
        <f>VLOOKUP(E:E,笔记匹配!A:N,14,FALSE)</f>
        <v>云麦体脂秤3mini</v>
      </c>
      <c r="AF1332" t="str">
        <f>VLOOKUP(E:E,笔记匹配!A:N,6,FALSE)</f>
        <v>减脂餐7️⃣9️⃣天✨上班｜带饭人｜便当🍱</v>
      </c>
    </row>
    <row r="1333" spans="1:32">
      <c r="A1333" s="18" t="s">
        <v>173</v>
      </c>
      <c r="B1333" s="18" t="s">
        <v>247</v>
      </c>
      <c r="C1333" s="19">
        <v>24941624</v>
      </c>
      <c r="D1333" s="18" t="s">
        <v>209</v>
      </c>
      <c r="E1333" s="18" t="s">
        <v>247</v>
      </c>
      <c r="F1333" s="18" t="s">
        <v>1419</v>
      </c>
      <c r="G1333" s="19">
        <v>6702550</v>
      </c>
      <c r="H1333" s="18" t="s">
        <v>1419</v>
      </c>
      <c r="I1333" s="19">
        <v>5544655</v>
      </c>
      <c r="J1333" s="18" t="s">
        <v>1015</v>
      </c>
      <c r="K1333" s="19">
        <v>505.57</v>
      </c>
      <c r="L1333" s="19">
        <v>29805</v>
      </c>
      <c r="M1333" s="19">
        <v>2053</v>
      </c>
      <c r="N1333" s="20">
        <v>0.0689</v>
      </c>
      <c r="O1333" s="19">
        <v>0.25</v>
      </c>
      <c r="P1333" s="19">
        <v>16.96</v>
      </c>
      <c r="Q1333" s="19">
        <v>126</v>
      </c>
      <c r="R1333" s="19">
        <v>0</v>
      </c>
      <c r="S1333" s="19">
        <v>71</v>
      </c>
      <c r="T1333" s="19">
        <v>6</v>
      </c>
      <c r="U1333" s="19">
        <v>1</v>
      </c>
      <c r="V1333" s="19">
        <v>204</v>
      </c>
      <c r="W1333" s="19">
        <v>2.48</v>
      </c>
      <c r="X1333" s="19">
        <v>0</v>
      </c>
      <c r="Y1333" s="20">
        <v>0</v>
      </c>
      <c r="Z1333" s="19">
        <v>5</v>
      </c>
      <c r="AA1333" s="19">
        <v>10</v>
      </c>
      <c r="AB1333" t="str">
        <f>VLOOKUP(E:E,笔记匹配!A:N,3,FALSE)</f>
        <v>蔓玉有点甜</v>
      </c>
      <c r="AC1333" t="str">
        <f>VLOOKUP(E:E,笔记匹配!A:N,2,FALSE)</f>
        <v>跳绳</v>
      </c>
      <c r="AD1333" t="str">
        <f>VLOOKUP(E:E,笔记匹配!A:N,4,FALSE)</f>
        <v>云麦跳绳2go</v>
      </c>
      <c r="AE1333" t="str">
        <f>VLOOKUP(E:E,笔记匹配!A:N,14,FALSE)</f>
        <v>云麦跳绳2go</v>
      </c>
      <c r="AF1333" t="str">
        <f>VLOOKUP(E:E,笔记匹配!A:N,6,FALSE)</f>
        <v>保姆级教程㊙手把手教你低成本轻松变美</v>
      </c>
    </row>
    <row r="1334" spans="1:32">
      <c r="A1334" s="18" t="s">
        <v>173</v>
      </c>
      <c r="B1334" s="18" t="s">
        <v>432</v>
      </c>
      <c r="C1334" s="19">
        <v>24941722</v>
      </c>
      <c r="D1334" s="18" t="s">
        <v>209</v>
      </c>
      <c r="E1334" s="18" t="s">
        <v>432</v>
      </c>
      <c r="F1334" s="18" t="s">
        <v>1420</v>
      </c>
      <c r="G1334" s="19">
        <v>6702577</v>
      </c>
      <c r="H1334" s="18" t="s">
        <v>1420</v>
      </c>
      <c r="I1334" s="19">
        <v>5544687</v>
      </c>
      <c r="J1334" s="18" t="s">
        <v>1015</v>
      </c>
      <c r="K1334" s="19">
        <v>506.89</v>
      </c>
      <c r="L1334" s="19">
        <v>52077</v>
      </c>
      <c r="M1334" s="19">
        <v>3273</v>
      </c>
      <c r="N1334" s="20">
        <v>0.0628</v>
      </c>
      <c r="O1334" s="19">
        <v>0.15</v>
      </c>
      <c r="P1334" s="19">
        <v>9.73</v>
      </c>
      <c r="Q1334" s="19">
        <v>135</v>
      </c>
      <c r="R1334" s="19">
        <v>1</v>
      </c>
      <c r="S1334" s="19">
        <v>64</v>
      </c>
      <c r="T1334" s="19">
        <v>4</v>
      </c>
      <c r="U1334" s="19">
        <v>3</v>
      </c>
      <c r="V1334" s="19">
        <v>207</v>
      </c>
      <c r="W1334" s="19">
        <v>2.45</v>
      </c>
      <c r="X1334" s="19">
        <v>0</v>
      </c>
      <c r="Y1334" s="20">
        <v>0</v>
      </c>
      <c r="Z1334" s="19">
        <v>1</v>
      </c>
      <c r="AA1334" s="19">
        <v>7</v>
      </c>
      <c r="AB1334" t="str">
        <f>VLOOKUP(E:E,笔记匹配!A:N,3,FALSE)</f>
        <v>Miss小宝</v>
      </c>
      <c r="AC1334" t="str">
        <f>VLOOKUP(E:E,笔记匹配!A:N,2,FALSE)</f>
        <v>筋膜枪</v>
      </c>
      <c r="AD1334" t="str">
        <f>VLOOKUP(E:E,笔记匹配!A:N,4,FALSE)</f>
        <v>云麦筋膜枪pb2</v>
      </c>
      <c r="AE1334" t="str">
        <f>VLOOKUP(E:E,笔记匹配!A:N,14,FALSE)</f>
        <v>云麦筋膜枪pb2</v>
      </c>
      <c r="AF1334" t="str">
        <f>VLOOKUP(E:E,笔记匹配!A:N,6,FALSE)</f>
        <v>如何正确跑步不粗腿！正确跑步全攻略</v>
      </c>
    </row>
    <row r="1335" spans="1:32">
      <c r="A1335" s="18" t="s">
        <v>174</v>
      </c>
      <c r="B1335" s="18" t="s">
        <v>247</v>
      </c>
      <c r="C1335" s="19">
        <v>24941624</v>
      </c>
      <c r="D1335" s="18" t="s">
        <v>209</v>
      </c>
      <c r="E1335" s="18" t="s">
        <v>247</v>
      </c>
      <c r="F1335" s="18" t="s">
        <v>1419</v>
      </c>
      <c r="G1335" s="19">
        <v>6702550</v>
      </c>
      <c r="H1335" s="18" t="s">
        <v>1419</v>
      </c>
      <c r="I1335" s="19">
        <v>5544655</v>
      </c>
      <c r="J1335" s="18" t="s">
        <v>1015</v>
      </c>
      <c r="K1335" s="19">
        <v>0.65</v>
      </c>
      <c r="L1335" s="19">
        <v>51</v>
      </c>
      <c r="M1335" s="19">
        <v>2</v>
      </c>
      <c r="N1335" s="20">
        <v>0.0392</v>
      </c>
      <c r="O1335" s="19">
        <v>0.32</v>
      </c>
      <c r="P1335" s="19">
        <v>12.75</v>
      </c>
      <c r="Q1335" s="19">
        <v>0</v>
      </c>
      <c r="R1335" s="19">
        <v>0</v>
      </c>
      <c r="S1335" s="19">
        <v>0</v>
      </c>
      <c r="T1335" s="19">
        <v>0</v>
      </c>
      <c r="U1335" s="19">
        <v>0</v>
      </c>
      <c r="V1335" s="19">
        <v>0</v>
      </c>
      <c r="W1335" s="19">
        <v>0</v>
      </c>
      <c r="X1335" s="19">
        <v>0</v>
      </c>
      <c r="Y1335" s="20">
        <v>0</v>
      </c>
      <c r="Z1335" s="19">
        <v>0</v>
      </c>
      <c r="AA1335" s="19">
        <v>0</v>
      </c>
      <c r="AB1335" t="str">
        <f>VLOOKUP(E:E,笔记匹配!A:N,3,FALSE)</f>
        <v>蔓玉有点甜</v>
      </c>
      <c r="AC1335" t="str">
        <f>VLOOKUP(E:E,笔记匹配!A:N,2,FALSE)</f>
        <v>跳绳</v>
      </c>
      <c r="AD1335" t="str">
        <f>VLOOKUP(E:E,笔记匹配!A:N,4,FALSE)</f>
        <v>云麦跳绳2go</v>
      </c>
      <c r="AE1335" t="str">
        <f>VLOOKUP(E:E,笔记匹配!A:N,14,FALSE)</f>
        <v>云麦跳绳2go</v>
      </c>
      <c r="AF1335" t="str">
        <f>VLOOKUP(E:E,笔记匹配!A:N,6,FALSE)</f>
        <v>保姆级教程㊙手把手教你低成本轻松变美</v>
      </c>
    </row>
    <row r="1336" spans="1:32">
      <c r="A1336" s="18" t="s">
        <v>174</v>
      </c>
      <c r="B1336" s="18" t="s">
        <v>432</v>
      </c>
      <c r="C1336" s="19">
        <v>24941722</v>
      </c>
      <c r="D1336" s="18" t="s">
        <v>209</v>
      </c>
      <c r="E1336" s="18" t="s">
        <v>432</v>
      </c>
      <c r="F1336" s="18" t="s">
        <v>1420</v>
      </c>
      <c r="G1336" s="19">
        <v>6702577</v>
      </c>
      <c r="H1336" s="18" t="s">
        <v>1420</v>
      </c>
      <c r="I1336" s="19">
        <v>5544687</v>
      </c>
      <c r="J1336" s="18" t="s">
        <v>1015</v>
      </c>
      <c r="K1336" s="19">
        <v>1311.03</v>
      </c>
      <c r="L1336" s="19">
        <v>145972</v>
      </c>
      <c r="M1336" s="19">
        <v>16112</v>
      </c>
      <c r="N1336" s="20">
        <v>0.1104</v>
      </c>
      <c r="O1336" s="19">
        <v>0.08</v>
      </c>
      <c r="P1336" s="19">
        <v>8.98</v>
      </c>
      <c r="Q1336" s="19">
        <v>198</v>
      </c>
      <c r="R1336" s="19">
        <v>17</v>
      </c>
      <c r="S1336" s="19">
        <v>66</v>
      </c>
      <c r="T1336" s="19">
        <v>73</v>
      </c>
      <c r="U1336" s="19">
        <v>14</v>
      </c>
      <c r="V1336" s="19">
        <v>368</v>
      </c>
      <c r="W1336" s="19">
        <v>3.56</v>
      </c>
      <c r="X1336" s="19">
        <v>0</v>
      </c>
      <c r="Y1336" s="20">
        <v>0</v>
      </c>
      <c r="Z1336" s="19">
        <v>14</v>
      </c>
      <c r="AA1336" s="19">
        <v>8</v>
      </c>
      <c r="AB1336" t="str">
        <f>VLOOKUP(E:E,笔记匹配!A:N,3,FALSE)</f>
        <v>Miss小宝</v>
      </c>
      <c r="AC1336" t="str">
        <f>VLOOKUP(E:E,笔记匹配!A:N,2,FALSE)</f>
        <v>筋膜枪</v>
      </c>
      <c r="AD1336" t="str">
        <f>VLOOKUP(E:E,笔记匹配!A:N,4,FALSE)</f>
        <v>云麦筋膜枪pb2</v>
      </c>
      <c r="AE1336" t="str">
        <f>VLOOKUP(E:E,笔记匹配!A:N,14,FALSE)</f>
        <v>云麦筋膜枪pb2</v>
      </c>
      <c r="AF1336" t="str">
        <f>VLOOKUP(E:E,笔记匹配!A:N,6,FALSE)</f>
        <v>如何正确跑步不粗腿！正确跑步全攻略</v>
      </c>
    </row>
    <row r="1337" spans="1:32">
      <c r="A1337" s="18" t="s">
        <v>174</v>
      </c>
      <c r="B1337" s="18" t="s">
        <v>962</v>
      </c>
      <c r="C1337" s="19">
        <v>24991923</v>
      </c>
      <c r="D1337" s="18" t="s">
        <v>209</v>
      </c>
      <c r="E1337" s="18" t="s">
        <v>962</v>
      </c>
      <c r="F1337" s="18" t="s">
        <v>1421</v>
      </c>
      <c r="G1337" s="19">
        <v>6725293</v>
      </c>
      <c r="H1337" s="18" t="s">
        <v>1421</v>
      </c>
      <c r="I1337" s="19">
        <v>5562274</v>
      </c>
      <c r="J1337" s="18" t="s">
        <v>1015</v>
      </c>
      <c r="K1337" s="19">
        <v>505.48</v>
      </c>
      <c r="L1337" s="19">
        <v>40012</v>
      </c>
      <c r="M1337" s="19">
        <v>6085</v>
      </c>
      <c r="N1337" s="20">
        <v>0.1521</v>
      </c>
      <c r="O1337" s="19">
        <v>0.08</v>
      </c>
      <c r="P1337" s="19">
        <v>12.63</v>
      </c>
      <c r="Q1337" s="19">
        <v>189</v>
      </c>
      <c r="R1337" s="19">
        <v>6</v>
      </c>
      <c r="S1337" s="19">
        <v>13</v>
      </c>
      <c r="T1337" s="19">
        <v>22</v>
      </c>
      <c r="U1337" s="19">
        <v>1</v>
      </c>
      <c r="V1337" s="19">
        <v>231</v>
      </c>
      <c r="W1337" s="19">
        <v>2.19</v>
      </c>
      <c r="X1337" s="19">
        <v>0</v>
      </c>
      <c r="Y1337" s="20">
        <v>0</v>
      </c>
      <c r="Z1337" s="19">
        <v>5</v>
      </c>
      <c r="AA1337" s="19">
        <v>0</v>
      </c>
      <c r="AB1337" t="str">
        <f>VLOOKUP(E:E,笔记匹配!A:N,3,FALSE)</f>
        <v>嘎嘎今天不要懒_</v>
      </c>
      <c r="AC1337" t="str">
        <f>VLOOKUP(E:E,笔记匹配!A:N,2,FALSE)</f>
        <v>跳绳</v>
      </c>
      <c r="AD1337" t="str">
        <f>VLOOKUP(E:E,笔记匹配!A:N,4,FALSE)</f>
        <v>云麦跳绳2go</v>
      </c>
      <c r="AE1337" t="str">
        <f>VLOOKUP(E:E,笔记匹配!A:N,14,FALSE)</f>
        <v>云麦跳绳2go</v>
      </c>
      <c r="AF1337" t="str">
        <f>VLOOKUP(E:E,笔记匹配!A:N,6,FALSE)</f>
        <v>115到95｜女大学生在校减脂vlog</v>
      </c>
    </row>
    <row r="1338" spans="1:32">
      <c r="A1338" s="18" t="s">
        <v>175</v>
      </c>
      <c r="B1338" s="18" t="s">
        <v>432</v>
      </c>
      <c r="C1338" s="19">
        <v>24941722</v>
      </c>
      <c r="D1338" s="18" t="s">
        <v>209</v>
      </c>
      <c r="E1338" s="18" t="s">
        <v>432</v>
      </c>
      <c r="F1338" s="18" t="s">
        <v>1420</v>
      </c>
      <c r="G1338" s="19">
        <v>6702577</v>
      </c>
      <c r="H1338" s="18" t="s">
        <v>1420</v>
      </c>
      <c r="I1338" s="19">
        <v>5544687</v>
      </c>
      <c r="J1338" s="18" t="s">
        <v>1015</v>
      </c>
      <c r="K1338" s="19">
        <v>1.8</v>
      </c>
      <c r="L1338" s="19">
        <v>206</v>
      </c>
      <c r="M1338" s="19">
        <v>14</v>
      </c>
      <c r="N1338" s="20">
        <v>0.068</v>
      </c>
      <c r="O1338" s="19">
        <v>0.13</v>
      </c>
      <c r="P1338" s="19">
        <v>8.74</v>
      </c>
      <c r="Q1338" s="19">
        <v>0</v>
      </c>
      <c r="R1338" s="19">
        <v>0</v>
      </c>
      <c r="S1338" s="19">
        <v>0</v>
      </c>
      <c r="T1338" s="19">
        <v>0</v>
      </c>
      <c r="U1338" s="19">
        <v>0</v>
      </c>
      <c r="V1338" s="19">
        <v>0</v>
      </c>
      <c r="W1338" s="19">
        <v>0</v>
      </c>
      <c r="X1338" s="19">
        <v>0</v>
      </c>
      <c r="Y1338" s="20">
        <v>0</v>
      </c>
      <c r="Z1338" s="19">
        <v>0</v>
      </c>
      <c r="AA1338" s="19">
        <v>0</v>
      </c>
      <c r="AB1338" t="str">
        <f>VLOOKUP(E:E,笔记匹配!A:N,3,FALSE)</f>
        <v>Miss小宝</v>
      </c>
      <c r="AC1338" t="str">
        <f>VLOOKUP(E:E,笔记匹配!A:N,2,FALSE)</f>
        <v>筋膜枪</v>
      </c>
      <c r="AD1338" t="str">
        <f>VLOOKUP(E:E,笔记匹配!A:N,4,FALSE)</f>
        <v>云麦筋膜枪pb2</v>
      </c>
      <c r="AE1338" t="str">
        <f>VLOOKUP(E:E,笔记匹配!A:N,14,FALSE)</f>
        <v>云麦筋膜枪pb2</v>
      </c>
      <c r="AF1338" t="str">
        <f>VLOOKUP(E:E,笔记匹配!A:N,6,FALSE)</f>
        <v>如何正确跑步不粗腿！正确跑步全攻略</v>
      </c>
    </row>
    <row r="1339" spans="1:32">
      <c r="A1339" s="18" t="s">
        <v>175</v>
      </c>
      <c r="B1339" s="18" t="s">
        <v>440</v>
      </c>
      <c r="C1339" s="19">
        <v>25066640</v>
      </c>
      <c r="D1339" s="18" t="s">
        <v>209</v>
      </c>
      <c r="E1339" s="18" t="s">
        <v>440</v>
      </c>
      <c r="F1339" s="18" t="s">
        <v>1422</v>
      </c>
      <c r="G1339" s="19">
        <v>6759755</v>
      </c>
      <c r="H1339" s="18" t="s">
        <v>1422</v>
      </c>
      <c r="I1339" s="19">
        <v>5588587</v>
      </c>
      <c r="J1339" s="18" t="s">
        <v>1015</v>
      </c>
      <c r="K1339" s="19">
        <v>505.56</v>
      </c>
      <c r="L1339" s="19">
        <v>51875</v>
      </c>
      <c r="M1339" s="19">
        <v>5612</v>
      </c>
      <c r="N1339" s="20">
        <v>0.1082</v>
      </c>
      <c r="O1339" s="19">
        <v>0.09</v>
      </c>
      <c r="P1339" s="19">
        <v>9.75</v>
      </c>
      <c r="Q1339" s="19">
        <v>90</v>
      </c>
      <c r="R1339" s="19">
        <v>1</v>
      </c>
      <c r="S1339" s="19">
        <v>31</v>
      </c>
      <c r="T1339" s="19">
        <v>5</v>
      </c>
      <c r="U1339" s="19">
        <v>1</v>
      </c>
      <c r="V1339" s="19">
        <v>128</v>
      </c>
      <c r="W1339" s="19">
        <v>3.95</v>
      </c>
      <c r="X1339" s="19">
        <v>0</v>
      </c>
      <c r="Y1339" s="20">
        <v>0</v>
      </c>
      <c r="Z1339" s="19">
        <v>9</v>
      </c>
      <c r="AA1339" s="19">
        <v>16</v>
      </c>
      <c r="AB1339" t="str">
        <f>VLOOKUP(E:E,笔记匹配!A:N,3,FALSE)</f>
        <v>oOO小饼</v>
      </c>
      <c r="AC1339" t="str">
        <f>VLOOKUP(E:E,笔记匹配!A:N,2,FALSE)</f>
        <v>筋膜枪</v>
      </c>
      <c r="AD1339" t="str">
        <f>VLOOKUP(E:E,笔记匹配!A:N,4,FALSE)</f>
        <v>云麦筋膜枪cc</v>
      </c>
      <c r="AE1339" t="str">
        <f>VLOOKUP(E:E,笔记匹配!A:N,14,FALSE)</f>
        <v>云麦筋膜枪ccgo</v>
      </c>
      <c r="AF1339" t="str">
        <f>VLOOKUP(E:E,笔记匹配!A:N,6,FALSE)</f>
        <v>直腿❗️你可以永远相信它❗️</v>
      </c>
    </row>
    <row r="1340" spans="1:32">
      <c r="A1340" s="18" t="s">
        <v>175</v>
      </c>
      <c r="B1340" s="18" t="s">
        <v>201</v>
      </c>
      <c r="C1340" s="19">
        <v>25066769</v>
      </c>
      <c r="D1340" s="18" t="s">
        <v>209</v>
      </c>
      <c r="E1340" s="18" t="s">
        <v>201</v>
      </c>
      <c r="F1340" s="18" t="s">
        <v>1423</v>
      </c>
      <c r="G1340" s="19">
        <v>6759811</v>
      </c>
      <c r="H1340" s="18" t="s">
        <v>1423</v>
      </c>
      <c r="I1340" s="19">
        <v>5588631</v>
      </c>
      <c r="J1340" s="18" t="s">
        <v>1015</v>
      </c>
      <c r="K1340" s="19">
        <v>502.96</v>
      </c>
      <c r="L1340" s="19">
        <v>52036</v>
      </c>
      <c r="M1340" s="19">
        <v>2313</v>
      </c>
      <c r="N1340" s="20">
        <v>0.0444</v>
      </c>
      <c r="O1340" s="19">
        <v>0.22</v>
      </c>
      <c r="P1340" s="19">
        <v>9.67</v>
      </c>
      <c r="Q1340" s="19">
        <v>79</v>
      </c>
      <c r="R1340" s="19">
        <v>0</v>
      </c>
      <c r="S1340" s="19">
        <v>18</v>
      </c>
      <c r="T1340" s="19">
        <v>0</v>
      </c>
      <c r="U1340" s="19">
        <v>3</v>
      </c>
      <c r="V1340" s="19">
        <v>100</v>
      </c>
      <c r="W1340" s="19">
        <v>5.03</v>
      </c>
      <c r="X1340" s="19">
        <v>17</v>
      </c>
      <c r="Y1340" s="20">
        <v>0.0073</v>
      </c>
      <c r="Z1340" s="19">
        <v>7</v>
      </c>
      <c r="AA1340" s="19">
        <v>4</v>
      </c>
      <c r="AB1340" t="str">
        <f>VLOOKUP(E:E,笔记匹配!A:N,3,FALSE)</f>
        <v>包子熟了</v>
      </c>
      <c r="AC1340" t="str">
        <f>VLOOKUP(E:E,笔记匹配!A:N,2,FALSE)</f>
        <v>筋膜枪</v>
      </c>
      <c r="AD1340" t="str">
        <f>VLOOKUP(E:E,笔记匹配!A:N,4,FALSE)</f>
        <v>云麦筋膜枪</v>
      </c>
      <c r="AE1340" t="str">
        <f>VLOOKUP(E:E,笔记匹配!A:N,14,FALSE)</f>
        <v>云麦筋膜枪pb2</v>
      </c>
      <c r="AF1340" t="str">
        <f>VLOOKUP(E:E,笔记匹配!A:N,6,FALSE)</f>
        <v>筋膜枪测评|健身小白如何挑选筋膜枪？</v>
      </c>
    </row>
    <row r="1341" spans="1:32">
      <c r="A1341" s="18" t="s">
        <v>175</v>
      </c>
      <c r="B1341" s="18" t="s">
        <v>387</v>
      </c>
      <c r="C1341" s="19">
        <v>25066825</v>
      </c>
      <c r="D1341" s="18" t="s">
        <v>209</v>
      </c>
      <c r="E1341" s="18" t="s">
        <v>387</v>
      </c>
      <c r="F1341" s="18" t="s">
        <v>965</v>
      </c>
      <c r="G1341" s="19">
        <v>6759850</v>
      </c>
      <c r="H1341" s="18" t="s">
        <v>1424</v>
      </c>
      <c r="I1341" s="19">
        <v>5588665</v>
      </c>
      <c r="J1341" s="18" t="s">
        <v>1015</v>
      </c>
      <c r="K1341" s="19">
        <v>508.35</v>
      </c>
      <c r="L1341" s="19">
        <v>69445</v>
      </c>
      <c r="M1341" s="19">
        <v>5697</v>
      </c>
      <c r="N1341" s="20">
        <v>0.082</v>
      </c>
      <c r="O1341" s="19">
        <v>0.09</v>
      </c>
      <c r="P1341" s="19">
        <v>7.32</v>
      </c>
      <c r="Q1341" s="19">
        <v>111</v>
      </c>
      <c r="R1341" s="19">
        <v>5</v>
      </c>
      <c r="S1341" s="19">
        <v>50</v>
      </c>
      <c r="T1341" s="19">
        <v>4</v>
      </c>
      <c r="U1341" s="19">
        <v>2</v>
      </c>
      <c r="V1341" s="19">
        <v>172</v>
      </c>
      <c r="W1341" s="19">
        <v>2.96</v>
      </c>
      <c r="X1341" s="19">
        <v>0</v>
      </c>
      <c r="Y1341" s="20">
        <v>0</v>
      </c>
      <c r="Z1341" s="19">
        <v>21</v>
      </c>
      <c r="AA1341" s="19">
        <v>34</v>
      </c>
      <c r="AB1341" t="str">
        <f>VLOOKUP(E:E,笔记匹配!A:N,3,FALSE)</f>
        <v>芒果腻</v>
      </c>
      <c r="AC1341" t="str">
        <f>VLOOKUP(E:E,笔记匹配!A:N,2,FALSE)</f>
        <v>跳绳</v>
      </c>
      <c r="AD1341" t="str">
        <f>VLOOKUP(E:E,笔记匹配!A:N,4,FALSE)</f>
        <v>云麦跳绳2go</v>
      </c>
      <c r="AE1341" t="str">
        <f>VLOOKUP(E:E,笔记匹配!A:N,14,FALSE)</f>
        <v>云麦跳绳2go</v>
      </c>
      <c r="AF1341" t="str">
        <f>VLOOKUP(E:E,笔记匹配!A:N,6,FALSE)</f>
        <v>5天腰围小了2cm‼️空腹有氧试试跳绳间歇法</v>
      </c>
    </row>
    <row r="1342" spans="1:32">
      <c r="A1342" s="18" t="s">
        <v>176</v>
      </c>
      <c r="B1342" s="18" t="s">
        <v>201</v>
      </c>
      <c r="C1342" s="19">
        <v>25066769</v>
      </c>
      <c r="D1342" s="18" t="s">
        <v>209</v>
      </c>
      <c r="E1342" s="18" t="s">
        <v>201</v>
      </c>
      <c r="F1342" s="18" t="s">
        <v>1423</v>
      </c>
      <c r="G1342" s="19">
        <v>6759811</v>
      </c>
      <c r="H1342" s="18" t="s">
        <v>1423</v>
      </c>
      <c r="I1342" s="19">
        <v>5588631</v>
      </c>
      <c r="J1342" s="18" t="s">
        <v>1015</v>
      </c>
      <c r="K1342" s="19">
        <v>1.85</v>
      </c>
      <c r="L1342" s="19">
        <v>319</v>
      </c>
      <c r="M1342" s="19">
        <v>14</v>
      </c>
      <c r="N1342" s="20">
        <v>0.0439</v>
      </c>
      <c r="O1342" s="19">
        <v>0.13</v>
      </c>
      <c r="P1342" s="19">
        <v>5.8</v>
      </c>
      <c r="Q1342" s="19">
        <v>0</v>
      </c>
      <c r="R1342" s="19">
        <v>0</v>
      </c>
      <c r="S1342" s="19">
        <v>0</v>
      </c>
      <c r="T1342" s="19">
        <v>0</v>
      </c>
      <c r="U1342" s="19">
        <v>0</v>
      </c>
      <c r="V1342" s="19">
        <v>0</v>
      </c>
      <c r="W1342" s="19">
        <v>0</v>
      </c>
      <c r="X1342" s="19">
        <v>0</v>
      </c>
      <c r="Y1342" s="20">
        <v>0</v>
      </c>
      <c r="Z1342" s="19">
        <v>0</v>
      </c>
      <c r="AA1342" s="19">
        <v>0</v>
      </c>
      <c r="AB1342" t="str">
        <f>VLOOKUP(E:E,笔记匹配!A:N,3,FALSE)</f>
        <v>包子熟了</v>
      </c>
      <c r="AC1342" t="str">
        <f>VLOOKUP(E:E,笔记匹配!A:N,2,FALSE)</f>
        <v>筋膜枪</v>
      </c>
      <c r="AD1342" t="str">
        <f>VLOOKUP(E:E,笔记匹配!A:N,4,FALSE)</f>
        <v>云麦筋膜枪</v>
      </c>
      <c r="AE1342" t="str">
        <f>VLOOKUP(E:E,笔记匹配!A:N,14,FALSE)</f>
        <v>云麦筋膜枪pb2</v>
      </c>
      <c r="AF1342" t="str">
        <f>VLOOKUP(E:E,笔记匹配!A:N,6,FALSE)</f>
        <v>筋膜枪测评|健身小白如何挑选筋膜枪？</v>
      </c>
    </row>
    <row r="1343" spans="1:32">
      <c r="A1343" s="18" t="s">
        <v>176</v>
      </c>
      <c r="B1343" s="18" t="s">
        <v>220</v>
      </c>
      <c r="C1343" s="19">
        <v>25105925</v>
      </c>
      <c r="D1343" s="18" t="s">
        <v>209</v>
      </c>
      <c r="E1343" s="18" t="s">
        <v>220</v>
      </c>
      <c r="F1343" s="18" t="s">
        <v>1425</v>
      </c>
      <c r="G1343" s="19">
        <v>6779533</v>
      </c>
      <c r="H1343" s="18" t="s">
        <v>1425</v>
      </c>
      <c r="I1343" s="19">
        <v>5603469</v>
      </c>
      <c r="J1343" s="18" t="s">
        <v>1015</v>
      </c>
      <c r="K1343" s="19">
        <v>984.27</v>
      </c>
      <c r="L1343" s="19">
        <v>63543</v>
      </c>
      <c r="M1343" s="19">
        <v>4058</v>
      </c>
      <c r="N1343" s="20">
        <v>0.0639</v>
      </c>
      <c r="O1343" s="19">
        <v>0.24</v>
      </c>
      <c r="P1343" s="19">
        <v>15.49</v>
      </c>
      <c r="Q1343" s="19">
        <v>244</v>
      </c>
      <c r="R1343" s="19">
        <v>1</v>
      </c>
      <c r="S1343" s="19">
        <v>120</v>
      </c>
      <c r="T1343" s="19">
        <v>1</v>
      </c>
      <c r="U1343" s="19">
        <v>4</v>
      </c>
      <c r="V1343" s="19">
        <v>370</v>
      </c>
      <c r="W1343" s="19">
        <v>2.66</v>
      </c>
      <c r="X1343" s="19">
        <v>0</v>
      </c>
      <c r="Y1343" s="20">
        <v>0</v>
      </c>
      <c r="Z1343" s="19">
        <v>9</v>
      </c>
      <c r="AA1343" s="19">
        <v>6</v>
      </c>
      <c r="AB1343" t="str">
        <f>VLOOKUP(E:E,笔记匹配!A:N,3,FALSE)</f>
        <v>一颗西兰花fa</v>
      </c>
      <c r="AC1343" t="str">
        <f>VLOOKUP(E:E,笔记匹配!A:N,2,FALSE)</f>
        <v>筋膜枪</v>
      </c>
      <c r="AD1343" t="str">
        <f>VLOOKUP(E:E,笔记匹配!A:N,4,FALSE)</f>
        <v>云麦筋膜枪PB2</v>
      </c>
      <c r="AE1343" t="str">
        <f>VLOOKUP(E:E,笔记匹配!A:N,14,FALSE)</f>
        <v>云麦筋膜枪pb2</v>
      </c>
      <c r="AF1343" t="str">
        <f>VLOOKUP(E:E,笔记匹配!A:N,6,FALSE)</f>
        <v>有没有姐妹跟我一样被肌肉腿困扰了好久！</v>
      </c>
    </row>
    <row r="1344" spans="1:32">
      <c r="A1344" s="18" t="s">
        <v>176</v>
      </c>
      <c r="B1344" s="18" t="s">
        <v>214</v>
      </c>
      <c r="C1344" s="19">
        <v>25105983</v>
      </c>
      <c r="D1344" s="18" t="s">
        <v>209</v>
      </c>
      <c r="E1344" s="18" t="s">
        <v>214</v>
      </c>
      <c r="F1344" s="18" t="s">
        <v>1426</v>
      </c>
      <c r="G1344" s="19">
        <v>6779552</v>
      </c>
      <c r="H1344" s="18" t="s">
        <v>1426</v>
      </c>
      <c r="I1344" s="19">
        <v>5603494</v>
      </c>
      <c r="J1344" s="18" t="s">
        <v>1015</v>
      </c>
      <c r="K1344" s="19">
        <v>505.02</v>
      </c>
      <c r="L1344" s="19">
        <v>64069</v>
      </c>
      <c r="M1344" s="19">
        <v>4071</v>
      </c>
      <c r="N1344" s="20">
        <v>0.0635</v>
      </c>
      <c r="O1344" s="19">
        <v>0.12</v>
      </c>
      <c r="P1344" s="19">
        <v>7.88</v>
      </c>
      <c r="Q1344" s="19">
        <v>148</v>
      </c>
      <c r="R1344" s="19">
        <v>0</v>
      </c>
      <c r="S1344" s="19">
        <v>52</v>
      </c>
      <c r="T1344" s="19">
        <v>2</v>
      </c>
      <c r="U1344" s="19">
        <v>1</v>
      </c>
      <c r="V1344" s="19">
        <v>203</v>
      </c>
      <c r="W1344" s="19">
        <v>2.49</v>
      </c>
      <c r="X1344" s="19">
        <v>0</v>
      </c>
      <c r="Y1344" s="20">
        <v>0</v>
      </c>
      <c r="Z1344" s="19">
        <v>16</v>
      </c>
      <c r="AA1344" s="19">
        <v>6</v>
      </c>
      <c r="AB1344" t="str">
        <f>VLOOKUP(E:E,笔记匹配!A:N,3,FALSE)</f>
        <v>Zora張張</v>
      </c>
      <c r="AC1344" t="str">
        <f>VLOOKUP(E:E,笔记匹配!A:N,2,FALSE)</f>
        <v>筋膜枪</v>
      </c>
      <c r="AD1344" t="str">
        <f>VLOOKUP(E:E,笔记匹配!A:N,4,FALSE)</f>
        <v>云麦筋膜枪cc</v>
      </c>
      <c r="AE1344" t="str">
        <f>VLOOKUP(E:E,笔记匹配!A:N,14,FALSE)</f>
        <v>云麦筋膜枪ccgo</v>
      </c>
      <c r="AF1344" t="str">
        <f>VLOOKUP(E:E,笔记匹配!A:N,6,FALSE)</f>
        <v>宿舍姐妹花人手一个！这筋膜枪有点东西🧐</v>
      </c>
    </row>
    <row r="1345" spans="1:32">
      <c r="A1345" s="18" t="s">
        <v>176</v>
      </c>
      <c r="B1345" s="18" t="s">
        <v>258</v>
      </c>
      <c r="C1345" s="19">
        <v>25106098</v>
      </c>
      <c r="D1345" s="18" t="s">
        <v>209</v>
      </c>
      <c r="E1345" s="18" t="s">
        <v>258</v>
      </c>
      <c r="F1345" s="18" t="s">
        <v>1427</v>
      </c>
      <c r="G1345" s="19">
        <v>6779635</v>
      </c>
      <c r="H1345" s="18" t="s">
        <v>1427</v>
      </c>
      <c r="I1345" s="19">
        <v>5603554</v>
      </c>
      <c r="J1345" s="18" t="s">
        <v>1015</v>
      </c>
      <c r="K1345" s="19">
        <v>515.7</v>
      </c>
      <c r="L1345" s="19">
        <v>31791</v>
      </c>
      <c r="M1345" s="19">
        <v>4517</v>
      </c>
      <c r="N1345" s="20">
        <v>0.1421</v>
      </c>
      <c r="O1345" s="19">
        <v>0.11</v>
      </c>
      <c r="P1345" s="19">
        <v>16.22</v>
      </c>
      <c r="Q1345" s="19">
        <v>226</v>
      </c>
      <c r="R1345" s="19">
        <v>3</v>
      </c>
      <c r="S1345" s="19">
        <v>123</v>
      </c>
      <c r="T1345" s="19">
        <v>6</v>
      </c>
      <c r="U1345" s="19">
        <v>9</v>
      </c>
      <c r="V1345" s="19">
        <v>367</v>
      </c>
      <c r="W1345" s="19">
        <v>1.41</v>
      </c>
      <c r="X1345" s="19">
        <v>0</v>
      </c>
      <c r="Y1345" s="20">
        <v>0</v>
      </c>
      <c r="Z1345" s="19">
        <v>3</v>
      </c>
      <c r="AA1345" s="19">
        <v>5</v>
      </c>
      <c r="AB1345" t="str">
        <f>VLOOKUP(E:E,笔记匹配!A:N,3,FALSE)</f>
        <v>猪脚ivi</v>
      </c>
      <c r="AC1345" t="str">
        <f>VLOOKUP(E:E,笔记匹配!A:N,2,FALSE)</f>
        <v>跳绳</v>
      </c>
      <c r="AD1345" t="str">
        <f>VLOOKUP(E:E,笔记匹配!A:N,4,FALSE)</f>
        <v>云麦跳绳2go</v>
      </c>
      <c r="AE1345" t="str">
        <f>VLOOKUP(E:E,笔记匹配!A:N,14,FALSE)</f>
        <v>云麦跳绳2go</v>
      </c>
      <c r="AF1345" t="str">
        <f>VLOOKUP(E:E,笔记匹配!A:N,6,FALSE)</f>
        <v>跳绳全部流程‼️做好这些 腿想粗都难</v>
      </c>
    </row>
    <row r="1346" spans="1:32">
      <c r="A1346" s="18" t="s">
        <v>177</v>
      </c>
      <c r="B1346" s="18" t="s">
        <v>201</v>
      </c>
      <c r="C1346" s="19">
        <v>25066769</v>
      </c>
      <c r="D1346" s="18" t="s">
        <v>209</v>
      </c>
      <c r="E1346" s="18" t="s">
        <v>201</v>
      </c>
      <c r="F1346" s="18" t="s">
        <v>1423</v>
      </c>
      <c r="G1346" s="19">
        <v>6759811</v>
      </c>
      <c r="H1346" s="18" t="s">
        <v>1423</v>
      </c>
      <c r="I1346" s="19">
        <v>5588631</v>
      </c>
      <c r="J1346" s="18" t="s">
        <v>1015</v>
      </c>
      <c r="K1346" s="19">
        <v>477.03</v>
      </c>
      <c r="L1346" s="19">
        <v>39545</v>
      </c>
      <c r="M1346" s="19">
        <v>1761</v>
      </c>
      <c r="N1346" s="20">
        <v>0.0445</v>
      </c>
      <c r="O1346" s="19">
        <v>0.27</v>
      </c>
      <c r="P1346" s="19">
        <v>12.06</v>
      </c>
      <c r="Q1346" s="19">
        <v>72</v>
      </c>
      <c r="R1346" s="19">
        <v>1</v>
      </c>
      <c r="S1346" s="19">
        <v>23</v>
      </c>
      <c r="T1346" s="19">
        <v>1</v>
      </c>
      <c r="U1346" s="19">
        <v>1</v>
      </c>
      <c r="V1346" s="19">
        <v>98</v>
      </c>
      <c r="W1346" s="19">
        <v>4.87</v>
      </c>
      <c r="X1346" s="19">
        <v>21</v>
      </c>
      <c r="Y1346" s="20">
        <v>0.0119</v>
      </c>
      <c r="Z1346" s="19">
        <v>2</v>
      </c>
      <c r="AA1346" s="19">
        <v>5</v>
      </c>
      <c r="AB1346" t="str">
        <f>VLOOKUP(E:E,笔记匹配!A:N,3,FALSE)</f>
        <v>包子熟了</v>
      </c>
      <c r="AC1346" t="str">
        <f>VLOOKUP(E:E,笔记匹配!A:N,2,FALSE)</f>
        <v>筋膜枪</v>
      </c>
      <c r="AD1346" t="str">
        <f>VLOOKUP(E:E,笔记匹配!A:N,4,FALSE)</f>
        <v>云麦筋膜枪</v>
      </c>
      <c r="AE1346" t="str">
        <f>VLOOKUP(E:E,笔记匹配!A:N,14,FALSE)</f>
        <v>云麦筋膜枪pb2</v>
      </c>
      <c r="AF1346" t="str">
        <f>VLOOKUP(E:E,笔记匹配!A:N,6,FALSE)</f>
        <v>筋膜枪测评|健身小白如何挑选筋膜枪？</v>
      </c>
    </row>
    <row r="1347" spans="1:32">
      <c r="A1347" s="18" t="s">
        <v>177</v>
      </c>
      <c r="B1347" s="18" t="s">
        <v>387</v>
      </c>
      <c r="C1347" s="19">
        <v>25066825</v>
      </c>
      <c r="D1347" s="18" t="s">
        <v>209</v>
      </c>
      <c r="E1347" s="18" t="s">
        <v>387</v>
      </c>
      <c r="F1347" s="18" t="s">
        <v>965</v>
      </c>
      <c r="G1347" s="19">
        <v>6759850</v>
      </c>
      <c r="H1347" s="18" t="s">
        <v>1424</v>
      </c>
      <c r="I1347" s="19">
        <v>5588665</v>
      </c>
      <c r="J1347" s="18" t="s">
        <v>1015</v>
      </c>
      <c r="K1347" s="19">
        <v>507.76</v>
      </c>
      <c r="L1347" s="19">
        <v>46454</v>
      </c>
      <c r="M1347" s="19">
        <v>5900</v>
      </c>
      <c r="N1347" s="20">
        <v>0.127</v>
      </c>
      <c r="O1347" s="19">
        <v>0.09</v>
      </c>
      <c r="P1347" s="19">
        <v>10.93</v>
      </c>
      <c r="Q1347" s="19">
        <v>71</v>
      </c>
      <c r="R1347" s="19">
        <v>2</v>
      </c>
      <c r="S1347" s="19">
        <v>46</v>
      </c>
      <c r="T1347" s="19">
        <v>6</v>
      </c>
      <c r="U1347" s="19">
        <v>0</v>
      </c>
      <c r="V1347" s="19">
        <v>125</v>
      </c>
      <c r="W1347" s="19">
        <v>4.06</v>
      </c>
      <c r="X1347" s="19">
        <v>0</v>
      </c>
      <c r="Y1347" s="20">
        <v>0</v>
      </c>
      <c r="Z1347" s="19">
        <v>26</v>
      </c>
      <c r="AA1347" s="19">
        <v>30</v>
      </c>
      <c r="AB1347" t="str">
        <f>VLOOKUP(E:E,笔记匹配!A:N,3,FALSE)</f>
        <v>芒果腻</v>
      </c>
      <c r="AC1347" t="str">
        <f>VLOOKUP(E:E,笔记匹配!A:N,2,FALSE)</f>
        <v>跳绳</v>
      </c>
      <c r="AD1347" t="str">
        <f>VLOOKUP(E:E,笔记匹配!A:N,4,FALSE)</f>
        <v>云麦跳绳2go</v>
      </c>
      <c r="AE1347" t="str">
        <f>VLOOKUP(E:E,笔记匹配!A:N,14,FALSE)</f>
        <v>云麦跳绳2go</v>
      </c>
      <c r="AF1347" t="str">
        <f>VLOOKUP(E:E,笔记匹配!A:N,6,FALSE)</f>
        <v>5天腰围小了2cm‼️空腹有氧试试跳绳间歇法</v>
      </c>
    </row>
    <row r="1348" spans="1:32">
      <c r="A1348" s="18" t="s">
        <v>177</v>
      </c>
      <c r="B1348" s="18" t="s">
        <v>220</v>
      </c>
      <c r="C1348" s="19">
        <v>25105925</v>
      </c>
      <c r="D1348" s="18" t="s">
        <v>209</v>
      </c>
      <c r="E1348" s="18" t="s">
        <v>220</v>
      </c>
      <c r="F1348" s="18" t="s">
        <v>1425</v>
      </c>
      <c r="G1348" s="19">
        <v>6779533</v>
      </c>
      <c r="H1348" s="18" t="s">
        <v>1425</v>
      </c>
      <c r="I1348" s="19">
        <v>5603469</v>
      </c>
      <c r="J1348" s="18" t="s">
        <v>1015</v>
      </c>
      <c r="K1348" s="19">
        <v>1240.59</v>
      </c>
      <c r="L1348" s="19">
        <v>97786</v>
      </c>
      <c r="M1348" s="19">
        <v>4975</v>
      </c>
      <c r="N1348" s="20">
        <v>0.0509</v>
      </c>
      <c r="O1348" s="19">
        <v>0.25</v>
      </c>
      <c r="P1348" s="19">
        <v>12.69</v>
      </c>
      <c r="Q1348" s="19">
        <v>314</v>
      </c>
      <c r="R1348" s="19">
        <v>1</v>
      </c>
      <c r="S1348" s="19">
        <v>148</v>
      </c>
      <c r="T1348" s="19">
        <v>0</v>
      </c>
      <c r="U1348" s="19">
        <v>6</v>
      </c>
      <c r="V1348" s="19">
        <v>469</v>
      </c>
      <c r="W1348" s="19">
        <v>2.65</v>
      </c>
      <c r="X1348" s="19">
        <v>0</v>
      </c>
      <c r="Y1348" s="20">
        <v>0</v>
      </c>
      <c r="Z1348" s="19">
        <v>8</v>
      </c>
      <c r="AA1348" s="19">
        <v>4</v>
      </c>
      <c r="AB1348" t="str">
        <f>VLOOKUP(E:E,笔记匹配!A:N,3,FALSE)</f>
        <v>一颗西兰花fa</v>
      </c>
      <c r="AC1348" t="str">
        <f>VLOOKUP(E:E,笔记匹配!A:N,2,FALSE)</f>
        <v>筋膜枪</v>
      </c>
      <c r="AD1348" t="str">
        <f>VLOOKUP(E:E,笔记匹配!A:N,4,FALSE)</f>
        <v>云麦筋膜枪PB2</v>
      </c>
      <c r="AE1348" t="str">
        <f>VLOOKUP(E:E,笔记匹配!A:N,14,FALSE)</f>
        <v>云麦筋膜枪pb2</v>
      </c>
      <c r="AF1348" t="str">
        <f>VLOOKUP(E:E,笔记匹配!A:N,6,FALSE)</f>
        <v>有没有姐妹跟我一样被肌肉腿困扰了好久！</v>
      </c>
    </row>
    <row r="1349" spans="1:32">
      <c r="A1349" s="18" t="s">
        <v>177</v>
      </c>
      <c r="B1349" s="18" t="s">
        <v>214</v>
      </c>
      <c r="C1349" s="19">
        <v>25105983</v>
      </c>
      <c r="D1349" s="18" t="s">
        <v>209</v>
      </c>
      <c r="E1349" s="18" t="s">
        <v>214</v>
      </c>
      <c r="F1349" s="18" t="s">
        <v>1426</v>
      </c>
      <c r="G1349" s="19">
        <v>6779552</v>
      </c>
      <c r="H1349" s="18" t="s">
        <v>1426</v>
      </c>
      <c r="I1349" s="19">
        <v>5603494</v>
      </c>
      <c r="J1349" s="18" t="s">
        <v>1015</v>
      </c>
      <c r="K1349" s="19">
        <v>1017.2</v>
      </c>
      <c r="L1349" s="19">
        <v>121159</v>
      </c>
      <c r="M1349" s="19">
        <v>7380</v>
      </c>
      <c r="N1349" s="20">
        <v>0.0609</v>
      </c>
      <c r="O1349" s="19">
        <v>0.14</v>
      </c>
      <c r="P1349" s="19">
        <v>8.4</v>
      </c>
      <c r="Q1349" s="19">
        <v>343</v>
      </c>
      <c r="R1349" s="19">
        <v>3</v>
      </c>
      <c r="S1349" s="19">
        <v>108</v>
      </c>
      <c r="T1349" s="19">
        <v>1</v>
      </c>
      <c r="U1349" s="19">
        <v>4</v>
      </c>
      <c r="V1349" s="19">
        <v>459</v>
      </c>
      <c r="W1349" s="19">
        <v>2.22</v>
      </c>
      <c r="X1349" s="19">
        <v>0</v>
      </c>
      <c r="Y1349" s="20">
        <v>0</v>
      </c>
      <c r="Z1349" s="19">
        <v>29</v>
      </c>
      <c r="AA1349" s="19">
        <v>17</v>
      </c>
      <c r="AB1349" t="str">
        <f>VLOOKUP(E:E,笔记匹配!A:N,3,FALSE)</f>
        <v>Zora張張</v>
      </c>
      <c r="AC1349" t="str">
        <f>VLOOKUP(E:E,笔记匹配!A:N,2,FALSE)</f>
        <v>筋膜枪</v>
      </c>
      <c r="AD1349" t="str">
        <f>VLOOKUP(E:E,笔记匹配!A:N,4,FALSE)</f>
        <v>云麦筋膜枪cc</v>
      </c>
      <c r="AE1349" t="str">
        <f>VLOOKUP(E:E,笔记匹配!A:N,14,FALSE)</f>
        <v>云麦筋膜枪ccgo</v>
      </c>
      <c r="AF1349" t="str">
        <f>VLOOKUP(E:E,笔记匹配!A:N,6,FALSE)</f>
        <v>宿舍姐妹花人手一个！这筋膜枪有点东西🧐</v>
      </c>
    </row>
    <row r="1350" spans="1:32">
      <c r="A1350" s="18" t="s">
        <v>177</v>
      </c>
      <c r="B1350" s="18" t="s">
        <v>258</v>
      </c>
      <c r="C1350" s="19">
        <v>25106098</v>
      </c>
      <c r="D1350" s="18" t="s">
        <v>209</v>
      </c>
      <c r="E1350" s="18" t="s">
        <v>258</v>
      </c>
      <c r="F1350" s="18" t="s">
        <v>1427</v>
      </c>
      <c r="G1350" s="19">
        <v>6779635</v>
      </c>
      <c r="H1350" s="18" t="s">
        <v>1427</v>
      </c>
      <c r="I1350" s="19">
        <v>5603554</v>
      </c>
      <c r="J1350" s="18" t="s">
        <v>1015</v>
      </c>
      <c r="K1350" s="19">
        <v>548.09</v>
      </c>
      <c r="L1350" s="19">
        <v>71689</v>
      </c>
      <c r="M1350" s="19">
        <v>6971</v>
      </c>
      <c r="N1350" s="20">
        <v>0.0972</v>
      </c>
      <c r="O1350" s="19">
        <v>0.08</v>
      </c>
      <c r="P1350" s="19">
        <v>7.65</v>
      </c>
      <c r="Q1350" s="19">
        <v>224</v>
      </c>
      <c r="R1350" s="19">
        <v>5</v>
      </c>
      <c r="S1350" s="19">
        <v>123</v>
      </c>
      <c r="T1350" s="19">
        <v>5</v>
      </c>
      <c r="U1350" s="19">
        <v>10</v>
      </c>
      <c r="V1350" s="19">
        <v>367</v>
      </c>
      <c r="W1350" s="19">
        <v>1.49</v>
      </c>
      <c r="X1350" s="19">
        <v>0</v>
      </c>
      <c r="Y1350" s="20">
        <v>0</v>
      </c>
      <c r="Z1350" s="19">
        <v>1</v>
      </c>
      <c r="AA1350" s="19">
        <v>9</v>
      </c>
      <c r="AB1350" t="str">
        <f>VLOOKUP(E:E,笔记匹配!A:N,3,FALSE)</f>
        <v>猪脚ivi</v>
      </c>
      <c r="AC1350" t="str">
        <f>VLOOKUP(E:E,笔记匹配!A:N,2,FALSE)</f>
        <v>跳绳</v>
      </c>
      <c r="AD1350" t="str">
        <f>VLOOKUP(E:E,笔记匹配!A:N,4,FALSE)</f>
        <v>云麦跳绳2go</v>
      </c>
      <c r="AE1350" t="str">
        <f>VLOOKUP(E:E,笔记匹配!A:N,14,FALSE)</f>
        <v>云麦跳绳2go</v>
      </c>
      <c r="AF1350" t="str">
        <f>VLOOKUP(E:E,笔记匹配!A:N,6,FALSE)</f>
        <v>跳绳全部流程‼️做好这些 腿想粗都难</v>
      </c>
    </row>
    <row r="1351" spans="1:32">
      <c r="A1351" s="18" t="s">
        <v>177</v>
      </c>
      <c r="B1351" s="18" t="s">
        <v>208</v>
      </c>
      <c r="C1351" s="19">
        <v>25178456</v>
      </c>
      <c r="D1351" s="18" t="s">
        <v>209</v>
      </c>
      <c r="E1351" s="18" t="s">
        <v>208</v>
      </c>
      <c r="F1351" s="18" t="s">
        <v>1428</v>
      </c>
      <c r="G1351" s="19">
        <v>6811834</v>
      </c>
      <c r="H1351" s="18" t="s">
        <v>1428</v>
      </c>
      <c r="I1351" s="19">
        <v>5629385</v>
      </c>
      <c r="J1351" s="18" t="s">
        <v>1015</v>
      </c>
      <c r="K1351" s="19">
        <v>506.61</v>
      </c>
      <c r="L1351" s="19">
        <v>45566</v>
      </c>
      <c r="M1351" s="19">
        <v>3756</v>
      </c>
      <c r="N1351" s="20">
        <v>0.0824</v>
      </c>
      <c r="O1351" s="19">
        <v>0.13</v>
      </c>
      <c r="P1351" s="19">
        <v>11.12</v>
      </c>
      <c r="Q1351" s="19">
        <v>80</v>
      </c>
      <c r="R1351" s="19">
        <v>0</v>
      </c>
      <c r="S1351" s="19">
        <v>49</v>
      </c>
      <c r="T1351" s="19">
        <v>1</v>
      </c>
      <c r="U1351" s="19">
        <v>2</v>
      </c>
      <c r="V1351" s="19">
        <v>132</v>
      </c>
      <c r="W1351" s="19">
        <v>3.84</v>
      </c>
      <c r="X1351" s="19">
        <v>0</v>
      </c>
      <c r="Y1351" s="20">
        <v>0</v>
      </c>
      <c r="Z1351" s="19">
        <v>3</v>
      </c>
      <c r="AA1351" s="19">
        <v>5</v>
      </c>
      <c r="AB1351" t="str">
        <f>VLOOKUP(E:E,笔记匹配!A:N,3,FALSE)</f>
        <v>小羊羔崽子</v>
      </c>
      <c r="AC1351" t="str">
        <f>VLOOKUP(E:E,笔记匹配!A:N,2,FALSE)</f>
        <v>筋膜枪</v>
      </c>
      <c r="AD1351" t="str">
        <f>VLOOKUP(E:E,笔记匹配!A:N,4,FALSE)</f>
        <v>云麦筋膜枪PB2</v>
      </c>
      <c r="AE1351" t="str">
        <f>VLOOKUP(E:E,笔记匹配!A:N,14,FALSE)</f>
        <v>云麦筋膜枪pb2</v>
      </c>
      <c r="AF1351" t="str">
        <f>VLOOKUP(E:E,笔记匹配!A:N,6,FALSE)</f>
        <v>用了多年泡沫轴，才知道筋膜枪是真的香！！！</v>
      </c>
    </row>
    <row r="1352" spans="1:32">
      <c r="A1352" s="18" t="s">
        <v>177</v>
      </c>
      <c r="B1352" s="18" t="s">
        <v>558</v>
      </c>
      <c r="C1352" s="19">
        <v>25178656</v>
      </c>
      <c r="D1352" s="18" t="s">
        <v>209</v>
      </c>
      <c r="E1352" s="18" t="s">
        <v>558</v>
      </c>
      <c r="F1352" s="18" t="s">
        <v>1429</v>
      </c>
      <c r="G1352" s="19">
        <v>6811939</v>
      </c>
      <c r="H1352" s="18" t="s">
        <v>1429</v>
      </c>
      <c r="I1352" s="19">
        <v>5629470</v>
      </c>
      <c r="J1352" s="18" t="s">
        <v>1015</v>
      </c>
      <c r="K1352" s="19">
        <v>294.63</v>
      </c>
      <c r="L1352" s="19">
        <v>16358</v>
      </c>
      <c r="M1352" s="19">
        <v>1023</v>
      </c>
      <c r="N1352" s="20">
        <v>0.0625</v>
      </c>
      <c r="O1352" s="19">
        <v>0.29</v>
      </c>
      <c r="P1352" s="19">
        <v>18.01</v>
      </c>
      <c r="Q1352" s="19">
        <v>47</v>
      </c>
      <c r="R1352" s="19">
        <v>0</v>
      </c>
      <c r="S1352" s="19">
        <v>13</v>
      </c>
      <c r="T1352" s="19">
        <v>0</v>
      </c>
      <c r="U1352" s="19">
        <v>1</v>
      </c>
      <c r="V1352" s="19">
        <v>61</v>
      </c>
      <c r="W1352" s="19">
        <v>4.83</v>
      </c>
      <c r="X1352" s="19">
        <v>0</v>
      </c>
      <c r="Y1352" s="20">
        <v>0</v>
      </c>
      <c r="Z1352" s="19">
        <v>2</v>
      </c>
      <c r="AA1352" s="19">
        <v>0</v>
      </c>
      <c r="AB1352" t="str">
        <f>VLOOKUP(E:E,笔记匹配!A:N,3,FALSE)</f>
        <v>臃肿大白鹅</v>
      </c>
      <c r="AC1352" t="str">
        <f>VLOOKUP(E:E,笔记匹配!A:N,2,FALSE)</f>
        <v>筋膜枪</v>
      </c>
      <c r="AD1352" t="str">
        <f>VLOOKUP(E:E,笔记匹配!A:N,4,FALSE)</f>
        <v>云麦筋膜枪PB2</v>
      </c>
      <c r="AE1352" t="str">
        <f>VLOOKUP(E:E,笔记匹配!A:N,14,FALSE)</f>
        <v>云麦筋膜枪pb2</v>
      </c>
      <c r="AF1352" t="str">
        <f>VLOOKUP(E:E,笔记匹配!A:N,6,FALSE)</f>
        <v>姐妹们都给我用这个筋膜枪！改善小粗腿绝了！</v>
      </c>
    </row>
    <row r="1353" spans="1:32">
      <c r="A1353" s="18" t="s">
        <v>177</v>
      </c>
      <c r="B1353" s="18" t="s">
        <v>398</v>
      </c>
      <c r="C1353" s="19">
        <v>25178876</v>
      </c>
      <c r="D1353" s="18" t="s">
        <v>209</v>
      </c>
      <c r="E1353" s="18" t="s">
        <v>398</v>
      </c>
      <c r="F1353" s="18" t="s">
        <v>1430</v>
      </c>
      <c r="G1353" s="19">
        <v>6812062</v>
      </c>
      <c r="H1353" s="18" t="s">
        <v>1430</v>
      </c>
      <c r="I1353" s="19">
        <v>5629576</v>
      </c>
      <c r="J1353" s="18" t="s">
        <v>1015</v>
      </c>
      <c r="K1353" s="19">
        <v>400.22</v>
      </c>
      <c r="L1353" s="19">
        <v>22613</v>
      </c>
      <c r="M1353" s="19">
        <v>1748</v>
      </c>
      <c r="N1353" s="20">
        <v>0.0773</v>
      </c>
      <c r="O1353" s="19">
        <v>0.23</v>
      </c>
      <c r="P1353" s="19">
        <v>17.7</v>
      </c>
      <c r="Q1353" s="19">
        <v>46</v>
      </c>
      <c r="R1353" s="19">
        <v>4</v>
      </c>
      <c r="S1353" s="19">
        <v>21</v>
      </c>
      <c r="T1353" s="19">
        <v>1</v>
      </c>
      <c r="U1353" s="19">
        <v>10</v>
      </c>
      <c r="V1353" s="19">
        <v>82</v>
      </c>
      <c r="W1353" s="19">
        <v>4.88</v>
      </c>
      <c r="X1353" s="19">
        <v>0</v>
      </c>
      <c r="Y1353" s="20">
        <v>0</v>
      </c>
      <c r="Z1353" s="19">
        <v>9</v>
      </c>
      <c r="AA1353" s="19">
        <v>15</v>
      </c>
      <c r="AB1353" t="str">
        <f>VLOOKUP(E:E,笔记匹配!A:N,3,FALSE)</f>
        <v>蛋卷er</v>
      </c>
      <c r="AC1353" t="str">
        <f>VLOOKUP(E:E,笔记匹配!A:N,2,FALSE)</f>
        <v>筋膜枪</v>
      </c>
      <c r="AD1353" t="str">
        <f>VLOOKUP(E:E,笔记匹配!A:N,4,FALSE)</f>
        <v>云麦筋膜枪cc</v>
      </c>
      <c r="AE1353" t="str">
        <f>VLOOKUP(E:E,笔记匹配!A:N,14,FALSE)</f>
        <v>云麦筋膜枪cc</v>
      </c>
      <c r="AF1353" t="str">
        <f>VLOOKUP(E:E,笔记匹配!A:N,6,FALSE)</f>
        <v>筋膜枪测评！手把手教你正确选择筋膜枪！！</v>
      </c>
    </row>
    <row r="1354" spans="1:32">
      <c r="A1354" s="18" t="s">
        <v>178</v>
      </c>
      <c r="B1354" s="18" t="s">
        <v>201</v>
      </c>
      <c r="C1354" s="19">
        <v>25066769</v>
      </c>
      <c r="D1354" s="18" t="s">
        <v>209</v>
      </c>
      <c r="E1354" s="18" t="s">
        <v>201</v>
      </c>
      <c r="F1354" s="18" t="s">
        <v>1423</v>
      </c>
      <c r="G1354" s="19">
        <v>6759811</v>
      </c>
      <c r="H1354" s="18" t="s">
        <v>1423</v>
      </c>
      <c r="I1354" s="19">
        <v>5588631</v>
      </c>
      <c r="J1354" s="18" t="s">
        <v>1015</v>
      </c>
      <c r="K1354" s="19">
        <v>498.62</v>
      </c>
      <c r="L1354" s="19">
        <v>33647</v>
      </c>
      <c r="M1354" s="19">
        <v>1802</v>
      </c>
      <c r="N1354" s="20">
        <v>0.0536</v>
      </c>
      <c r="O1354" s="19">
        <v>0.28</v>
      </c>
      <c r="P1354" s="19">
        <v>14.82</v>
      </c>
      <c r="Q1354" s="19">
        <v>53</v>
      </c>
      <c r="R1354" s="19">
        <v>0</v>
      </c>
      <c r="S1354" s="19">
        <v>23</v>
      </c>
      <c r="T1354" s="19">
        <v>1</v>
      </c>
      <c r="U1354" s="19">
        <v>1</v>
      </c>
      <c r="V1354" s="19">
        <v>78</v>
      </c>
      <c r="W1354" s="19">
        <v>6.39</v>
      </c>
      <c r="X1354" s="19">
        <v>9</v>
      </c>
      <c r="Y1354" s="20">
        <v>0.005</v>
      </c>
      <c r="Z1354" s="19">
        <v>12</v>
      </c>
      <c r="AA1354" s="19">
        <v>3</v>
      </c>
      <c r="AB1354" t="str">
        <f>VLOOKUP(E:E,笔记匹配!A:N,3,FALSE)</f>
        <v>包子熟了</v>
      </c>
      <c r="AC1354" t="str">
        <f>VLOOKUP(E:E,笔记匹配!A:N,2,FALSE)</f>
        <v>筋膜枪</v>
      </c>
      <c r="AD1354" t="str">
        <f>VLOOKUP(E:E,笔记匹配!A:N,4,FALSE)</f>
        <v>云麦筋膜枪</v>
      </c>
      <c r="AE1354" t="str">
        <f>VLOOKUP(E:E,笔记匹配!A:N,14,FALSE)</f>
        <v>云麦筋膜枪pb2</v>
      </c>
      <c r="AF1354" t="str">
        <f>VLOOKUP(E:E,笔记匹配!A:N,6,FALSE)</f>
        <v>筋膜枪测评|健身小白如何挑选筋膜枪？</v>
      </c>
    </row>
    <row r="1355" spans="1:32">
      <c r="A1355" s="18" t="s">
        <v>178</v>
      </c>
      <c r="B1355" s="18" t="s">
        <v>387</v>
      </c>
      <c r="C1355" s="19">
        <v>25066825</v>
      </c>
      <c r="D1355" s="18" t="s">
        <v>209</v>
      </c>
      <c r="E1355" s="18" t="s">
        <v>387</v>
      </c>
      <c r="F1355" s="18" t="s">
        <v>965</v>
      </c>
      <c r="G1355" s="19">
        <v>6759850</v>
      </c>
      <c r="H1355" s="18" t="s">
        <v>1424</v>
      </c>
      <c r="I1355" s="19">
        <v>5588665</v>
      </c>
      <c r="J1355" s="18" t="s">
        <v>1015</v>
      </c>
      <c r="K1355" s="19">
        <v>0.44</v>
      </c>
      <c r="L1355" s="19">
        <v>20</v>
      </c>
      <c r="M1355" s="19">
        <v>2</v>
      </c>
      <c r="N1355" s="20">
        <v>0.1</v>
      </c>
      <c r="O1355" s="19">
        <v>0.22</v>
      </c>
      <c r="P1355" s="19">
        <v>22</v>
      </c>
      <c r="Q1355" s="19">
        <v>0</v>
      </c>
      <c r="R1355" s="19">
        <v>0</v>
      </c>
      <c r="S1355" s="19">
        <v>1</v>
      </c>
      <c r="T1355" s="19">
        <v>0</v>
      </c>
      <c r="U1355" s="19">
        <v>0</v>
      </c>
      <c r="V1355" s="19">
        <v>1</v>
      </c>
      <c r="W1355" s="19">
        <v>0.44</v>
      </c>
      <c r="X1355" s="19">
        <v>0</v>
      </c>
      <c r="Y1355" s="20">
        <v>0</v>
      </c>
      <c r="Z1355" s="19">
        <v>0</v>
      </c>
      <c r="AA1355" s="19">
        <v>0</v>
      </c>
      <c r="AB1355" t="str">
        <f>VLOOKUP(E:E,笔记匹配!A:N,3,FALSE)</f>
        <v>芒果腻</v>
      </c>
      <c r="AC1355" t="str">
        <f>VLOOKUP(E:E,笔记匹配!A:N,2,FALSE)</f>
        <v>跳绳</v>
      </c>
      <c r="AD1355" t="str">
        <f>VLOOKUP(E:E,笔记匹配!A:N,4,FALSE)</f>
        <v>云麦跳绳2go</v>
      </c>
      <c r="AE1355" t="str">
        <f>VLOOKUP(E:E,笔记匹配!A:N,14,FALSE)</f>
        <v>云麦跳绳2go</v>
      </c>
      <c r="AF1355" t="str">
        <f>VLOOKUP(E:E,笔记匹配!A:N,6,FALSE)</f>
        <v>5天腰围小了2cm‼️空腹有氧试试跳绳间歇法</v>
      </c>
    </row>
    <row r="1356" spans="1:32">
      <c r="A1356" s="18" t="s">
        <v>178</v>
      </c>
      <c r="B1356" s="18" t="s">
        <v>220</v>
      </c>
      <c r="C1356" s="19">
        <v>25105925</v>
      </c>
      <c r="D1356" s="18" t="s">
        <v>209</v>
      </c>
      <c r="E1356" s="18" t="s">
        <v>220</v>
      </c>
      <c r="F1356" s="18" t="s">
        <v>1425</v>
      </c>
      <c r="G1356" s="19">
        <v>6779533</v>
      </c>
      <c r="H1356" s="18" t="s">
        <v>1425</v>
      </c>
      <c r="I1356" s="19">
        <v>5603469</v>
      </c>
      <c r="J1356" s="18" t="s">
        <v>1015</v>
      </c>
      <c r="K1356" s="19">
        <v>491.06</v>
      </c>
      <c r="L1356" s="19">
        <v>49070</v>
      </c>
      <c r="M1356" s="19">
        <v>2638</v>
      </c>
      <c r="N1356" s="20">
        <v>0.0538</v>
      </c>
      <c r="O1356" s="19">
        <v>0.19</v>
      </c>
      <c r="P1356" s="19">
        <v>10.01</v>
      </c>
      <c r="Q1356" s="19">
        <v>132</v>
      </c>
      <c r="R1356" s="19">
        <v>0</v>
      </c>
      <c r="S1356" s="19">
        <v>66</v>
      </c>
      <c r="T1356" s="19">
        <v>0</v>
      </c>
      <c r="U1356" s="19">
        <v>2</v>
      </c>
      <c r="V1356" s="19">
        <v>200</v>
      </c>
      <c r="W1356" s="19">
        <v>2.46</v>
      </c>
      <c r="X1356" s="19">
        <v>0</v>
      </c>
      <c r="Y1356" s="20">
        <v>0</v>
      </c>
      <c r="Z1356" s="19">
        <v>6</v>
      </c>
      <c r="AA1356" s="19">
        <v>4</v>
      </c>
      <c r="AB1356" t="str">
        <f>VLOOKUP(E:E,笔记匹配!A:N,3,FALSE)</f>
        <v>一颗西兰花fa</v>
      </c>
      <c r="AC1356" t="str">
        <f>VLOOKUP(E:E,笔记匹配!A:N,2,FALSE)</f>
        <v>筋膜枪</v>
      </c>
      <c r="AD1356" t="str">
        <f>VLOOKUP(E:E,笔记匹配!A:N,4,FALSE)</f>
        <v>云麦筋膜枪PB2</v>
      </c>
      <c r="AE1356" t="str">
        <f>VLOOKUP(E:E,笔记匹配!A:N,14,FALSE)</f>
        <v>云麦筋膜枪pb2</v>
      </c>
      <c r="AF1356" t="str">
        <f>VLOOKUP(E:E,笔记匹配!A:N,6,FALSE)</f>
        <v>有没有姐妹跟我一样被肌肉腿困扰了好久！</v>
      </c>
    </row>
    <row r="1357" spans="1:32">
      <c r="A1357" s="18" t="s">
        <v>178</v>
      </c>
      <c r="B1357" s="18" t="s">
        <v>214</v>
      </c>
      <c r="C1357" s="19">
        <v>25105983</v>
      </c>
      <c r="D1357" s="18" t="s">
        <v>209</v>
      </c>
      <c r="E1357" s="18" t="s">
        <v>214</v>
      </c>
      <c r="F1357" s="18" t="s">
        <v>1426</v>
      </c>
      <c r="G1357" s="19">
        <v>6779552</v>
      </c>
      <c r="H1357" s="18" t="s">
        <v>1426</v>
      </c>
      <c r="I1357" s="19">
        <v>5603494</v>
      </c>
      <c r="J1357" s="18" t="s">
        <v>1015</v>
      </c>
      <c r="K1357" s="19">
        <v>1011.12</v>
      </c>
      <c r="L1357" s="19">
        <v>105238</v>
      </c>
      <c r="M1357" s="19">
        <v>7058</v>
      </c>
      <c r="N1357" s="20">
        <v>0.0671</v>
      </c>
      <c r="O1357" s="19">
        <v>0.14</v>
      </c>
      <c r="P1357" s="19">
        <v>9.61</v>
      </c>
      <c r="Q1357" s="19">
        <v>318</v>
      </c>
      <c r="R1357" s="19">
        <v>2</v>
      </c>
      <c r="S1357" s="19">
        <v>125</v>
      </c>
      <c r="T1357" s="19">
        <v>1</v>
      </c>
      <c r="U1357" s="19">
        <v>12</v>
      </c>
      <c r="V1357" s="19">
        <v>458</v>
      </c>
      <c r="W1357" s="19">
        <v>2.21</v>
      </c>
      <c r="X1357" s="19">
        <v>0</v>
      </c>
      <c r="Y1357" s="20">
        <v>0</v>
      </c>
      <c r="Z1357" s="19">
        <v>35</v>
      </c>
      <c r="AA1357" s="19">
        <v>21</v>
      </c>
      <c r="AB1357" t="str">
        <f>VLOOKUP(E:E,笔记匹配!A:N,3,FALSE)</f>
        <v>Zora張張</v>
      </c>
      <c r="AC1357" t="str">
        <f>VLOOKUP(E:E,笔记匹配!A:N,2,FALSE)</f>
        <v>筋膜枪</v>
      </c>
      <c r="AD1357" t="str">
        <f>VLOOKUP(E:E,笔记匹配!A:N,4,FALSE)</f>
        <v>云麦筋膜枪cc</v>
      </c>
      <c r="AE1357" t="str">
        <f>VLOOKUP(E:E,笔记匹配!A:N,14,FALSE)</f>
        <v>云麦筋膜枪ccgo</v>
      </c>
      <c r="AF1357" t="str">
        <f>VLOOKUP(E:E,笔记匹配!A:N,6,FALSE)</f>
        <v>宿舍姐妹花人手一个！这筋膜枪有点东西🧐</v>
      </c>
    </row>
    <row r="1358" spans="1:32">
      <c r="A1358" s="18" t="s">
        <v>178</v>
      </c>
      <c r="B1358" s="18" t="s">
        <v>258</v>
      </c>
      <c r="C1358" s="19">
        <v>25106098</v>
      </c>
      <c r="D1358" s="18" t="s">
        <v>209</v>
      </c>
      <c r="E1358" s="18" t="s">
        <v>258</v>
      </c>
      <c r="F1358" s="18" t="s">
        <v>1427</v>
      </c>
      <c r="G1358" s="19">
        <v>6779635</v>
      </c>
      <c r="H1358" s="18" t="s">
        <v>1427</v>
      </c>
      <c r="I1358" s="19">
        <v>5603554</v>
      </c>
      <c r="J1358" s="18" t="s">
        <v>1015</v>
      </c>
      <c r="K1358" s="19">
        <v>1081.1</v>
      </c>
      <c r="L1358" s="19">
        <v>127559</v>
      </c>
      <c r="M1358" s="19">
        <v>13233</v>
      </c>
      <c r="N1358" s="20">
        <v>0.1037</v>
      </c>
      <c r="O1358" s="19">
        <v>0.08</v>
      </c>
      <c r="P1358" s="19">
        <v>8.48</v>
      </c>
      <c r="Q1358" s="19">
        <v>384</v>
      </c>
      <c r="R1358" s="19">
        <v>8</v>
      </c>
      <c r="S1358" s="19">
        <v>255</v>
      </c>
      <c r="T1358" s="19">
        <v>7</v>
      </c>
      <c r="U1358" s="19">
        <v>25</v>
      </c>
      <c r="V1358" s="19">
        <v>679</v>
      </c>
      <c r="W1358" s="19">
        <v>1.59</v>
      </c>
      <c r="X1358" s="19">
        <v>0</v>
      </c>
      <c r="Y1358" s="20">
        <v>0</v>
      </c>
      <c r="Z1358" s="19">
        <v>10</v>
      </c>
      <c r="AA1358" s="19">
        <v>11</v>
      </c>
      <c r="AB1358" t="str">
        <f>VLOOKUP(E:E,笔记匹配!A:N,3,FALSE)</f>
        <v>猪脚ivi</v>
      </c>
      <c r="AC1358" t="str">
        <f>VLOOKUP(E:E,笔记匹配!A:N,2,FALSE)</f>
        <v>跳绳</v>
      </c>
      <c r="AD1358" t="str">
        <f>VLOOKUP(E:E,笔记匹配!A:N,4,FALSE)</f>
        <v>云麦跳绳2go</v>
      </c>
      <c r="AE1358" t="str">
        <f>VLOOKUP(E:E,笔记匹配!A:N,14,FALSE)</f>
        <v>云麦跳绳2go</v>
      </c>
      <c r="AF1358" t="str">
        <f>VLOOKUP(E:E,笔记匹配!A:N,6,FALSE)</f>
        <v>跳绳全部流程‼️做好这些 腿想粗都难</v>
      </c>
    </row>
    <row r="1359" spans="1:32">
      <c r="A1359" s="18" t="s">
        <v>178</v>
      </c>
      <c r="B1359" s="18" t="s">
        <v>208</v>
      </c>
      <c r="C1359" s="19">
        <v>25178456</v>
      </c>
      <c r="D1359" s="18" t="s">
        <v>209</v>
      </c>
      <c r="E1359" s="18" t="s">
        <v>208</v>
      </c>
      <c r="F1359" s="18" t="s">
        <v>1428</v>
      </c>
      <c r="G1359" s="19">
        <v>6811834</v>
      </c>
      <c r="H1359" s="18" t="s">
        <v>1428</v>
      </c>
      <c r="I1359" s="19">
        <v>5629385</v>
      </c>
      <c r="J1359" s="18" t="s">
        <v>1015</v>
      </c>
      <c r="K1359" s="19">
        <v>1481.56</v>
      </c>
      <c r="L1359" s="19">
        <v>117214</v>
      </c>
      <c r="M1359" s="19">
        <v>8100</v>
      </c>
      <c r="N1359" s="20">
        <v>0.0691</v>
      </c>
      <c r="O1359" s="19">
        <v>0.18</v>
      </c>
      <c r="P1359" s="19">
        <v>12.64</v>
      </c>
      <c r="Q1359" s="19">
        <v>200</v>
      </c>
      <c r="R1359" s="19">
        <v>1</v>
      </c>
      <c r="S1359" s="19">
        <v>121</v>
      </c>
      <c r="T1359" s="19">
        <v>2</v>
      </c>
      <c r="U1359" s="19">
        <v>8</v>
      </c>
      <c r="V1359" s="19">
        <v>332</v>
      </c>
      <c r="W1359" s="19">
        <v>4.46</v>
      </c>
      <c r="X1359" s="19">
        <v>0</v>
      </c>
      <c r="Y1359" s="20">
        <v>0</v>
      </c>
      <c r="Z1359" s="19">
        <v>15</v>
      </c>
      <c r="AA1359" s="19">
        <v>7</v>
      </c>
      <c r="AB1359" t="str">
        <f>VLOOKUP(E:E,笔记匹配!A:N,3,FALSE)</f>
        <v>小羊羔崽子</v>
      </c>
      <c r="AC1359" t="str">
        <f>VLOOKUP(E:E,笔记匹配!A:N,2,FALSE)</f>
        <v>筋膜枪</v>
      </c>
      <c r="AD1359" t="str">
        <f>VLOOKUP(E:E,笔记匹配!A:N,4,FALSE)</f>
        <v>云麦筋膜枪PB2</v>
      </c>
      <c r="AE1359" t="str">
        <f>VLOOKUP(E:E,笔记匹配!A:N,14,FALSE)</f>
        <v>云麦筋膜枪pb2</v>
      </c>
      <c r="AF1359" t="str">
        <f>VLOOKUP(E:E,笔记匹配!A:N,6,FALSE)</f>
        <v>用了多年泡沫轴，才知道筋膜枪是真的香！！！</v>
      </c>
    </row>
    <row r="1360" spans="1:32">
      <c r="A1360" s="18" t="s">
        <v>178</v>
      </c>
      <c r="B1360" s="18" t="s">
        <v>558</v>
      </c>
      <c r="C1360" s="19">
        <v>25178656</v>
      </c>
      <c r="D1360" s="18" t="s">
        <v>209</v>
      </c>
      <c r="E1360" s="18" t="s">
        <v>558</v>
      </c>
      <c r="F1360" s="18" t="s">
        <v>1429</v>
      </c>
      <c r="G1360" s="19">
        <v>6811939</v>
      </c>
      <c r="H1360" s="18" t="s">
        <v>1429</v>
      </c>
      <c r="I1360" s="19">
        <v>5629470</v>
      </c>
      <c r="J1360" s="18" t="s">
        <v>1015</v>
      </c>
      <c r="K1360" s="19">
        <v>5.78</v>
      </c>
      <c r="L1360" s="19">
        <v>404</v>
      </c>
      <c r="M1360" s="19">
        <v>24</v>
      </c>
      <c r="N1360" s="20">
        <v>0.0594</v>
      </c>
      <c r="O1360" s="19">
        <v>0.24</v>
      </c>
      <c r="P1360" s="19">
        <v>14.31</v>
      </c>
      <c r="Q1360" s="19">
        <v>4</v>
      </c>
      <c r="R1360" s="19">
        <v>0</v>
      </c>
      <c r="S1360" s="19">
        <v>0</v>
      </c>
      <c r="T1360" s="19">
        <v>0</v>
      </c>
      <c r="U1360" s="19">
        <v>0</v>
      </c>
      <c r="V1360" s="19">
        <v>4</v>
      </c>
      <c r="W1360" s="19">
        <v>1.44</v>
      </c>
      <c r="X1360" s="19">
        <v>0</v>
      </c>
      <c r="Y1360" s="20">
        <v>0</v>
      </c>
      <c r="Z1360" s="19">
        <v>0</v>
      </c>
      <c r="AA1360" s="19">
        <v>0</v>
      </c>
      <c r="AB1360" t="str">
        <f>VLOOKUP(E:E,笔记匹配!A:N,3,FALSE)</f>
        <v>臃肿大白鹅</v>
      </c>
      <c r="AC1360" t="str">
        <f>VLOOKUP(E:E,笔记匹配!A:N,2,FALSE)</f>
        <v>筋膜枪</v>
      </c>
      <c r="AD1360" t="str">
        <f>VLOOKUP(E:E,笔记匹配!A:N,4,FALSE)</f>
        <v>云麦筋膜枪PB2</v>
      </c>
      <c r="AE1360" t="str">
        <f>VLOOKUP(E:E,笔记匹配!A:N,14,FALSE)</f>
        <v>云麦筋膜枪pb2</v>
      </c>
      <c r="AF1360" t="str">
        <f>VLOOKUP(E:E,笔记匹配!A:N,6,FALSE)</f>
        <v>姐妹们都给我用这个筋膜枪！改善小粗腿绝了！</v>
      </c>
    </row>
    <row r="1361" spans="1:32">
      <c r="A1361" s="18" t="s">
        <v>178</v>
      </c>
      <c r="B1361" s="18" t="s">
        <v>398</v>
      </c>
      <c r="C1361" s="19">
        <v>25178876</v>
      </c>
      <c r="D1361" s="18" t="s">
        <v>209</v>
      </c>
      <c r="E1361" s="18" t="s">
        <v>398</v>
      </c>
      <c r="F1361" s="18" t="s">
        <v>1430</v>
      </c>
      <c r="G1361" s="19">
        <v>6812062</v>
      </c>
      <c r="H1361" s="18" t="s">
        <v>1430</v>
      </c>
      <c r="I1361" s="19">
        <v>5629576</v>
      </c>
      <c r="J1361" s="18" t="s">
        <v>1015</v>
      </c>
      <c r="K1361" s="19">
        <v>9.18</v>
      </c>
      <c r="L1361" s="19">
        <v>445</v>
      </c>
      <c r="M1361" s="19">
        <v>51</v>
      </c>
      <c r="N1361" s="20">
        <v>0.1146</v>
      </c>
      <c r="O1361" s="19">
        <v>0.18</v>
      </c>
      <c r="P1361" s="19">
        <v>20.63</v>
      </c>
      <c r="Q1361" s="19">
        <v>0</v>
      </c>
      <c r="R1361" s="19">
        <v>0</v>
      </c>
      <c r="S1361" s="19">
        <v>1</v>
      </c>
      <c r="T1361" s="19">
        <v>0</v>
      </c>
      <c r="U1361" s="19">
        <v>0</v>
      </c>
      <c r="V1361" s="19">
        <v>1</v>
      </c>
      <c r="W1361" s="19">
        <v>9.18</v>
      </c>
      <c r="X1361" s="19">
        <v>0</v>
      </c>
      <c r="Y1361" s="20">
        <v>0</v>
      </c>
      <c r="Z1361" s="19">
        <v>0</v>
      </c>
      <c r="AA1361" s="19">
        <v>0</v>
      </c>
      <c r="AB1361" t="str">
        <f>VLOOKUP(E:E,笔记匹配!A:N,3,FALSE)</f>
        <v>蛋卷er</v>
      </c>
      <c r="AC1361" t="str">
        <f>VLOOKUP(E:E,笔记匹配!A:N,2,FALSE)</f>
        <v>筋膜枪</v>
      </c>
      <c r="AD1361" t="str">
        <f>VLOOKUP(E:E,笔记匹配!A:N,4,FALSE)</f>
        <v>云麦筋膜枪cc</v>
      </c>
      <c r="AE1361" t="str">
        <f>VLOOKUP(E:E,笔记匹配!A:N,14,FALSE)</f>
        <v>云麦筋膜枪cc</v>
      </c>
      <c r="AF1361" t="str">
        <f>VLOOKUP(E:E,笔记匹配!A:N,6,FALSE)</f>
        <v>筋膜枪测评！手把手教你正确选择筋膜枪！！</v>
      </c>
    </row>
    <row r="1362" spans="1:32">
      <c r="A1362" s="18" t="s">
        <v>178</v>
      </c>
      <c r="B1362" s="18" t="s">
        <v>385</v>
      </c>
      <c r="C1362" s="19">
        <v>25244107</v>
      </c>
      <c r="D1362" s="18" t="s">
        <v>209</v>
      </c>
      <c r="E1362" s="18" t="s">
        <v>385</v>
      </c>
      <c r="F1362" s="18" t="s">
        <v>1431</v>
      </c>
      <c r="G1362" s="19">
        <v>6841351</v>
      </c>
      <c r="H1362" s="18" t="s">
        <v>1431</v>
      </c>
      <c r="I1362" s="19">
        <v>5653063</v>
      </c>
      <c r="J1362" s="18" t="s">
        <v>1015</v>
      </c>
      <c r="K1362" s="19">
        <v>508.02</v>
      </c>
      <c r="L1362" s="19">
        <v>39547</v>
      </c>
      <c r="M1362" s="19">
        <v>1863</v>
      </c>
      <c r="N1362" s="20">
        <v>0.0471</v>
      </c>
      <c r="O1362" s="19">
        <v>0.27</v>
      </c>
      <c r="P1362" s="19">
        <v>12.85</v>
      </c>
      <c r="Q1362" s="19">
        <v>55</v>
      </c>
      <c r="R1362" s="19">
        <v>2</v>
      </c>
      <c r="S1362" s="19">
        <v>12</v>
      </c>
      <c r="T1362" s="19">
        <v>0</v>
      </c>
      <c r="U1362" s="19">
        <v>1</v>
      </c>
      <c r="V1362" s="19">
        <v>70</v>
      </c>
      <c r="W1362" s="19">
        <v>7.26</v>
      </c>
      <c r="X1362" s="19">
        <v>0</v>
      </c>
      <c r="Y1362" s="20">
        <v>0</v>
      </c>
      <c r="Z1362" s="19">
        <v>7</v>
      </c>
      <c r="AA1362" s="19">
        <v>1</v>
      </c>
      <c r="AB1362" t="str">
        <f>VLOOKUP(E:E,笔记匹配!A:N,3,FALSE)</f>
        <v>一颗紫菜</v>
      </c>
      <c r="AC1362" t="str">
        <f>VLOOKUP(E:E,笔记匹配!A:N,2,FALSE)</f>
        <v>筋膜枪</v>
      </c>
      <c r="AD1362" t="str">
        <f>VLOOKUP(E:E,笔记匹配!A:N,4,FALSE)</f>
        <v>云麦筋膜枪cc</v>
      </c>
      <c r="AE1362" t="str">
        <f>VLOOKUP(E:E,笔记匹配!A:N,14,FALSE)</f>
        <v>云麦筋膜枪ccgo</v>
      </c>
      <c r="AF1362" t="str">
        <f>VLOOKUP(E:E,笔记匹配!A:N,6,FALSE)</f>
        <v>改善粗腿肌肉腿！宅家按摩神器轻松全款拿下！</v>
      </c>
    </row>
    <row r="1363" spans="1:32">
      <c r="A1363" s="18" t="s">
        <v>179</v>
      </c>
      <c r="B1363" s="18" t="s">
        <v>201</v>
      </c>
      <c r="C1363" s="19">
        <v>25066769</v>
      </c>
      <c r="D1363" s="18" t="s">
        <v>209</v>
      </c>
      <c r="E1363" s="18" t="s">
        <v>201</v>
      </c>
      <c r="F1363" s="18" t="s">
        <v>1423</v>
      </c>
      <c r="G1363" s="19">
        <v>6759811</v>
      </c>
      <c r="H1363" s="18" t="s">
        <v>1423</v>
      </c>
      <c r="I1363" s="19">
        <v>5588631</v>
      </c>
      <c r="J1363" s="18" t="s">
        <v>1015</v>
      </c>
      <c r="K1363" s="19">
        <v>403.88</v>
      </c>
      <c r="L1363" s="19">
        <v>24628</v>
      </c>
      <c r="M1363" s="19">
        <v>1040</v>
      </c>
      <c r="N1363" s="20">
        <v>0.0422</v>
      </c>
      <c r="O1363" s="19">
        <v>0.39</v>
      </c>
      <c r="P1363" s="19">
        <v>16.4</v>
      </c>
      <c r="Q1363" s="19">
        <v>34</v>
      </c>
      <c r="R1363" s="19">
        <v>1</v>
      </c>
      <c r="S1363" s="19">
        <v>19</v>
      </c>
      <c r="T1363" s="19">
        <v>0</v>
      </c>
      <c r="U1363" s="19">
        <v>3</v>
      </c>
      <c r="V1363" s="19">
        <v>57</v>
      </c>
      <c r="W1363" s="19">
        <v>7.09</v>
      </c>
      <c r="X1363" s="19">
        <v>7</v>
      </c>
      <c r="Y1363" s="20">
        <v>0.0067</v>
      </c>
      <c r="Z1363" s="19">
        <v>0</v>
      </c>
      <c r="AA1363" s="19">
        <v>6</v>
      </c>
      <c r="AB1363" t="str">
        <f>VLOOKUP(E:E,笔记匹配!A:N,3,FALSE)</f>
        <v>包子熟了</v>
      </c>
      <c r="AC1363" t="str">
        <f>VLOOKUP(E:E,笔记匹配!A:N,2,FALSE)</f>
        <v>筋膜枪</v>
      </c>
      <c r="AD1363" t="str">
        <f>VLOOKUP(E:E,笔记匹配!A:N,4,FALSE)</f>
        <v>云麦筋膜枪</v>
      </c>
      <c r="AE1363" t="str">
        <f>VLOOKUP(E:E,笔记匹配!A:N,14,FALSE)</f>
        <v>云麦筋膜枪pb2</v>
      </c>
      <c r="AF1363" t="str">
        <f>VLOOKUP(E:E,笔记匹配!A:N,6,FALSE)</f>
        <v>筋膜枪测评|健身小白如何挑选筋膜枪？</v>
      </c>
    </row>
    <row r="1364" spans="1:32">
      <c r="A1364" s="18" t="s">
        <v>179</v>
      </c>
      <c r="B1364" s="18" t="s">
        <v>220</v>
      </c>
      <c r="C1364" s="19">
        <v>25105925</v>
      </c>
      <c r="D1364" s="18" t="s">
        <v>209</v>
      </c>
      <c r="E1364" s="18" t="s">
        <v>220</v>
      </c>
      <c r="F1364" s="18" t="s">
        <v>1425</v>
      </c>
      <c r="G1364" s="19">
        <v>6779533</v>
      </c>
      <c r="H1364" s="18" t="s">
        <v>1425</v>
      </c>
      <c r="I1364" s="19">
        <v>5603469</v>
      </c>
      <c r="J1364" s="18" t="s">
        <v>1015</v>
      </c>
      <c r="K1364" s="19">
        <v>598.01</v>
      </c>
      <c r="L1364" s="19">
        <v>40349</v>
      </c>
      <c r="M1364" s="19">
        <v>1926</v>
      </c>
      <c r="N1364" s="20">
        <v>0.0477</v>
      </c>
      <c r="O1364" s="19">
        <v>0.31</v>
      </c>
      <c r="P1364" s="19">
        <v>14.82</v>
      </c>
      <c r="Q1364" s="19">
        <v>146</v>
      </c>
      <c r="R1364" s="19">
        <v>0</v>
      </c>
      <c r="S1364" s="19">
        <v>62</v>
      </c>
      <c r="T1364" s="19">
        <v>0</v>
      </c>
      <c r="U1364" s="19">
        <v>0</v>
      </c>
      <c r="V1364" s="19">
        <v>208</v>
      </c>
      <c r="W1364" s="19">
        <v>2.88</v>
      </c>
      <c r="X1364" s="19">
        <v>0</v>
      </c>
      <c r="Y1364" s="20">
        <v>0</v>
      </c>
      <c r="Z1364" s="19">
        <v>5</v>
      </c>
      <c r="AA1364" s="19">
        <v>1</v>
      </c>
      <c r="AB1364" t="str">
        <f>VLOOKUP(E:E,笔记匹配!A:N,3,FALSE)</f>
        <v>一颗西兰花fa</v>
      </c>
      <c r="AC1364" t="str">
        <f>VLOOKUP(E:E,笔记匹配!A:N,2,FALSE)</f>
        <v>筋膜枪</v>
      </c>
      <c r="AD1364" t="str">
        <f>VLOOKUP(E:E,笔记匹配!A:N,4,FALSE)</f>
        <v>云麦筋膜枪PB2</v>
      </c>
      <c r="AE1364" t="str">
        <f>VLOOKUP(E:E,笔记匹配!A:N,14,FALSE)</f>
        <v>云麦筋膜枪pb2</v>
      </c>
      <c r="AF1364" t="str">
        <f>VLOOKUP(E:E,笔记匹配!A:N,6,FALSE)</f>
        <v>有没有姐妹跟我一样被肌肉腿困扰了好久！</v>
      </c>
    </row>
    <row r="1365" spans="1:32">
      <c r="A1365" s="18" t="s">
        <v>179</v>
      </c>
      <c r="B1365" s="18" t="s">
        <v>214</v>
      </c>
      <c r="C1365" s="19">
        <v>25105983</v>
      </c>
      <c r="D1365" s="18" t="s">
        <v>209</v>
      </c>
      <c r="E1365" s="18" t="s">
        <v>214</v>
      </c>
      <c r="F1365" s="18" t="s">
        <v>1426</v>
      </c>
      <c r="G1365" s="19">
        <v>6779552</v>
      </c>
      <c r="H1365" s="18" t="s">
        <v>1426</v>
      </c>
      <c r="I1365" s="19">
        <v>5603494</v>
      </c>
      <c r="J1365" s="18" t="s">
        <v>1015</v>
      </c>
      <c r="K1365" s="19">
        <v>827.71</v>
      </c>
      <c r="L1365" s="19">
        <v>82701</v>
      </c>
      <c r="M1365" s="19">
        <v>3915</v>
      </c>
      <c r="N1365" s="20">
        <v>0.0473</v>
      </c>
      <c r="O1365" s="19">
        <v>0.21</v>
      </c>
      <c r="P1365" s="19">
        <v>10.01</v>
      </c>
      <c r="Q1365" s="19">
        <v>220</v>
      </c>
      <c r="R1365" s="19">
        <v>1</v>
      </c>
      <c r="S1365" s="19">
        <v>88</v>
      </c>
      <c r="T1365" s="19">
        <v>0</v>
      </c>
      <c r="U1365" s="19">
        <v>3</v>
      </c>
      <c r="V1365" s="19">
        <v>312</v>
      </c>
      <c r="W1365" s="19">
        <v>2.65</v>
      </c>
      <c r="X1365" s="19">
        <v>0</v>
      </c>
      <c r="Y1365" s="20">
        <v>0</v>
      </c>
      <c r="Z1365" s="19">
        <v>17</v>
      </c>
      <c r="AA1365" s="19">
        <v>6</v>
      </c>
      <c r="AB1365" t="str">
        <f>VLOOKUP(E:E,笔记匹配!A:N,3,FALSE)</f>
        <v>Zora張張</v>
      </c>
      <c r="AC1365" t="str">
        <f>VLOOKUP(E:E,笔记匹配!A:N,2,FALSE)</f>
        <v>筋膜枪</v>
      </c>
      <c r="AD1365" t="str">
        <f>VLOOKUP(E:E,笔记匹配!A:N,4,FALSE)</f>
        <v>云麦筋膜枪cc</v>
      </c>
      <c r="AE1365" t="str">
        <f>VLOOKUP(E:E,笔记匹配!A:N,14,FALSE)</f>
        <v>云麦筋膜枪ccgo</v>
      </c>
      <c r="AF1365" t="str">
        <f>VLOOKUP(E:E,笔记匹配!A:N,6,FALSE)</f>
        <v>宿舍姐妹花人手一个！这筋膜枪有点东西🧐</v>
      </c>
    </row>
    <row r="1366" spans="1:32">
      <c r="A1366" s="18" t="s">
        <v>179</v>
      </c>
      <c r="B1366" s="18" t="s">
        <v>258</v>
      </c>
      <c r="C1366" s="19">
        <v>25106098</v>
      </c>
      <c r="D1366" s="18" t="s">
        <v>209</v>
      </c>
      <c r="E1366" s="18" t="s">
        <v>258</v>
      </c>
      <c r="F1366" s="18" t="s">
        <v>1427</v>
      </c>
      <c r="G1366" s="19">
        <v>6779635</v>
      </c>
      <c r="H1366" s="18" t="s">
        <v>1427</v>
      </c>
      <c r="I1366" s="19">
        <v>5603554</v>
      </c>
      <c r="J1366" s="18" t="s">
        <v>1015</v>
      </c>
      <c r="K1366" s="19">
        <v>547.8</v>
      </c>
      <c r="L1366" s="19">
        <v>72971</v>
      </c>
      <c r="M1366" s="19">
        <v>6996</v>
      </c>
      <c r="N1366" s="20">
        <v>0.0959</v>
      </c>
      <c r="O1366" s="19">
        <v>0.08</v>
      </c>
      <c r="P1366" s="19">
        <v>7.51</v>
      </c>
      <c r="Q1366" s="19">
        <v>183</v>
      </c>
      <c r="R1366" s="19">
        <v>3</v>
      </c>
      <c r="S1366" s="19">
        <v>134</v>
      </c>
      <c r="T1366" s="19">
        <v>5</v>
      </c>
      <c r="U1366" s="19">
        <v>7</v>
      </c>
      <c r="V1366" s="19">
        <v>332</v>
      </c>
      <c r="W1366" s="19">
        <v>1.65</v>
      </c>
      <c r="X1366" s="19">
        <v>0</v>
      </c>
      <c r="Y1366" s="20">
        <v>0</v>
      </c>
      <c r="Z1366" s="19">
        <v>15</v>
      </c>
      <c r="AA1366" s="19">
        <v>5</v>
      </c>
      <c r="AB1366" t="str">
        <f>VLOOKUP(E:E,笔记匹配!A:N,3,FALSE)</f>
        <v>猪脚ivi</v>
      </c>
      <c r="AC1366" t="str">
        <f>VLOOKUP(E:E,笔记匹配!A:N,2,FALSE)</f>
        <v>跳绳</v>
      </c>
      <c r="AD1366" t="str">
        <f>VLOOKUP(E:E,笔记匹配!A:N,4,FALSE)</f>
        <v>云麦跳绳2go</v>
      </c>
      <c r="AE1366" t="str">
        <f>VLOOKUP(E:E,笔记匹配!A:N,14,FALSE)</f>
        <v>云麦跳绳2go</v>
      </c>
      <c r="AF1366" t="str">
        <f>VLOOKUP(E:E,笔记匹配!A:N,6,FALSE)</f>
        <v>跳绳全部流程‼️做好这些 腿想粗都难</v>
      </c>
    </row>
    <row r="1367" spans="1:32">
      <c r="A1367" s="18" t="s">
        <v>179</v>
      </c>
      <c r="B1367" s="18" t="s">
        <v>208</v>
      </c>
      <c r="C1367" s="19">
        <v>25178456</v>
      </c>
      <c r="D1367" s="18" t="s">
        <v>209</v>
      </c>
      <c r="E1367" s="18" t="s">
        <v>208</v>
      </c>
      <c r="F1367" s="18" t="s">
        <v>1428</v>
      </c>
      <c r="G1367" s="19">
        <v>6811834</v>
      </c>
      <c r="H1367" s="18" t="s">
        <v>1428</v>
      </c>
      <c r="I1367" s="19">
        <v>5629385</v>
      </c>
      <c r="J1367" s="18" t="s">
        <v>1015</v>
      </c>
      <c r="K1367" s="19">
        <v>494.92</v>
      </c>
      <c r="L1367" s="19">
        <v>54107</v>
      </c>
      <c r="M1367" s="19">
        <v>3468</v>
      </c>
      <c r="N1367" s="20">
        <v>0.0641</v>
      </c>
      <c r="O1367" s="19">
        <v>0.14</v>
      </c>
      <c r="P1367" s="19">
        <v>9.15</v>
      </c>
      <c r="Q1367" s="19">
        <v>47</v>
      </c>
      <c r="R1367" s="19">
        <v>0</v>
      </c>
      <c r="S1367" s="19">
        <v>35</v>
      </c>
      <c r="T1367" s="19">
        <v>1</v>
      </c>
      <c r="U1367" s="19">
        <v>0</v>
      </c>
      <c r="V1367" s="19">
        <v>83</v>
      </c>
      <c r="W1367" s="19">
        <v>5.96</v>
      </c>
      <c r="X1367" s="19">
        <v>0</v>
      </c>
      <c r="Y1367" s="20">
        <v>0</v>
      </c>
      <c r="Z1367" s="19">
        <v>6</v>
      </c>
      <c r="AA1367" s="19">
        <v>0</v>
      </c>
      <c r="AB1367" t="str">
        <f>VLOOKUP(E:E,笔记匹配!A:N,3,FALSE)</f>
        <v>小羊羔崽子</v>
      </c>
      <c r="AC1367" t="str">
        <f>VLOOKUP(E:E,笔记匹配!A:N,2,FALSE)</f>
        <v>筋膜枪</v>
      </c>
      <c r="AD1367" t="str">
        <f>VLOOKUP(E:E,笔记匹配!A:N,4,FALSE)</f>
        <v>云麦筋膜枪PB2</v>
      </c>
      <c r="AE1367" t="str">
        <f>VLOOKUP(E:E,笔记匹配!A:N,14,FALSE)</f>
        <v>云麦筋膜枪pb2</v>
      </c>
      <c r="AF1367" t="str">
        <f>VLOOKUP(E:E,笔记匹配!A:N,6,FALSE)</f>
        <v>用了多年泡沫轴，才知道筋膜枪是真的香！！！</v>
      </c>
    </row>
    <row r="1368" spans="1:32">
      <c r="A1368" s="18" t="s">
        <v>179</v>
      </c>
      <c r="B1368" s="18" t="s">
        <v>385</v>
      </c>
      <c r="C1368" s="19">
        <v>25244107</v>
      </c>
      <c r="D1368" s="18" t="s">
        <v>209</v>
      </c>
      <c r="E1368" s="18" t="s">
        <v>385</v>
      </c>
      <c r="F1368" s="18" t="s">
        <v>1431</v>
      </c>
      <c r="G1368" s="19">
        <v>6841351</v>
      </c>
      <c r="H1368" s="18" t="s">
        <v>1431</v>
      </c>
      <c r="I1368" s="19">
        <v>5653063</v>
      </c>
      <c r="J1368" s="18" t="s">
        <v>1015</v>
      </c>
      <c r="K1368" s="19">
        <v>508.79</v>
      </c>
      <c r="L1368" s="19">
        <v>37525</v>
      </c>
      <c r="M1368" s="19">
        <v>2245</v>
      </c>
      <c r="N1368" s="20">
        <v>0.0598</v>
      </c>
      <c r="O1368" s="19">
        <v>0.23</v>
      </c>
      <c r="P1368" s="19">
        <v>13.56</v>
      </c>
      <c r="Q1368" s="19">
        <v>41</v>
      </c>
      <c r="R1368" s="19">
        <v>0</v>
      </c>
      <c r="S1368" s="19">
        <v>12</v>
      </c>
      <c r="T1368" s="19">
        <v>1</v>
      </c>
      <c r="U1368" s="19">
        <v>1</v>
      </c>
      <c r="V1368" s="19">
        <v>55</v>
      </c>
      <c r="W1368" s="19">
        <v>9.25</v>
      </c>
      <c r="X1368" s="19">
        <v>0</v>
      </c>
      <c r="Y1368" s="20">
        <v>0</v>
      </c>
      <c r="Z1368" s="19">
        <v>2</v>
      </c>
      <c r="AA1368" s="19">
        <v>2</v>
      </c>
      <c r="AB1368" t="str">
        <f>VLOOKUP(E:E,笔记匹配!A:N,3,FALSE)</f>
        <v>一颗紫菜</v>
      </c>
      <c r="AC1368" t="str">
        <f>VLOOKUP(E:E,笔记匹配!A:N,2,FALSE)</f>
        <v>筋膜枪</v>
      </c>
      <c r="AD1368" t="str">
        <f>VLOOKUP(E:E,笔记匹配!A:N,4,FALSE)</f>
        <v>云麦筋膜枪cc</v>
      </c>
      <c r="AE1368" t="str">
        <f>VLOOKUP(E:E,笔记匹配!A:N,14,FALSE)</f>
        <v>云麦筋膜枪ccgo</v>
      </c>
      <c r="AF1368" t="str">
        <f>VLOOKUP(E:E,笔记匹配!A:N,6,FALSE)</f>
        <v>改善粗腿肌肉腿！宅家按摩神器轻松全款拿下！</v>
      </c>
    </row>
    <row r="1369" spans="1:32">
      <c r="A1369" s="18" t="s">
        <v>179</v>
      </c>
      <c r="B1369" s="18" t="s">
        <v>201</v>
      </c>
      <c r="C1369" s="19">
        <v>25314758</v>
      </c>
      <c r="D1369" s="18" t="s">
        <v>196</v>
      </c>
      <c r="E1369" s="18" t="s">
        <v>201</v>
      </c>
      <c r="F1369" s="18" t="s">
        <v>1432</v>
      </c>
      <c r="G1369" s="19">
        <v>6872965</v>
      </c>
      <c r="H1369" s="18" t="s">
        <v>1432</v>
      </c>
      <c r="I1369" s="19">
        <v>5677972</v>
      </c>
      <c r="J1369" s="18" t="s">
        <v>1015</v>
      </c>
      <c r="K1369" s="19">
        <v>220.23</v>
      </c>
      <c r="L1369" s="19">
        <v>7631</v>
      </c>
      <c r="M1369" s="19">
        <v>372</v>
      </c>
      <c r="N1369" s="20">
        <v>0.0487</v>
      </c>
      <c r="O1369" s="19">
        <v>0.59</v>
      </c>
      <c r="P1369" s="19">
        <v>28.86</v>
      </c>
      <c r="Q1369" s="19">
        <v>2</v>
      </c>
      <c r="R1369" s="19">
        <v>0</v>
      </c>
      <c r="S1369" s="19">
        <v>2</v>
      </c>
      <c r="T1369" s="19">
        <v>0</v>
      </c>
      <c r="U1369" s="19">
        <v>0</v>
      </c>
      <c r="V1369" s="19">
        <v>4</v>
      </c>
      <c r="W1369" s="19">
        <v>55.06</v>
      </c>
      <c r="X1369" s="19">
        <v>3</v>
      </c>
      <c r="Y1369" s="20">
        <v>0.0081</v>
      </c>
      <c r="Z1369" s="19">
        <v>1</v>
      </c>
      <c r="AA1369" s="19">
        <v>1</v>
      </c>
      <c r="AB1369" t="str">
        <f>VLOOKUP(E:E,笔记匹配!A:N,3,FALSE)</f>
        <v>包子熟了</v>
      </c>
      <c r="AC1369" t="str">
        <f>VLOOKUP(E:E,笔记匹配!A:N,2,FALSE)</f>
        <v>筋膜枪</v>
      </c>
      <c r="AD1369" t="str">
        <f>VLOOKUP(E:E,笔记匹配!A:N,4,FALSE)</f>
        <v>云麦筋膜枪</v>
      </c>
      <c r="AE1369" t="str">
        <f>VLOOKUP(E:E,笔记匹配!A:N,14,FALSE)</f>
        <v>云麦筋膜枪pb2</v>
      </c>
      <c r="AF1369" t="str">
        <f>VLOOKUP(E:E,笔记匹配!A:N,6,FALSE)</f>
        <v>筋膜枪测评|健身小白如何挑选筋膜枪？</v>
      </c>
    </row>
    <row r="1370" spans="1:32">
      <c r="A1370" s="18" t="s">
        <v>179</v>
      </c>
      <c r="B1370" s="18" t="s">
        <v>1433</v>
      </c>
      <c r="C1370" s="19">
        <v>25314842</v>
      </c>
      <c r="D1370" s="18" t="s">
        <v>196</v>
      </c>
      <c r="E1370" s="18" t="s">
        <v>201</v>
      </c>
      <c r="F1370" s="18" t="s">
        <v>1434</v>
      </c>
      <c r="G1370" s="19">
        <v>6872994</v>
      </c>
      <c r="H1370" s="18" t="s">
        <v>1434</v>
      </c>
      <c r="I1370" s="19">
        <v>5678058</v>
      </c>
      <c r="J1370" s="18" t="s">
        <v>1015</v>
      </c>
      <c r="K1370" s="19">
        <v>0.68</v>
      </c>
      <c r="L1370" s="19">
        <v>74</v>
      </c>
      <c r="M1370" s="19">
        <v>2</v>
      </c>
      <c r="N1370" s="20">
        <v>0.027</v>
      </c>
      <c r="O1370" s="19">
        <v>0.34</v>
      </c>
      <c r="P1370" s="19">
        <v>9.19</v>
      </c>
      <c r="Q1370" s="19">
        <v>0</v>
      </c>
      <c r="R1370" s="19">
        <v>0</v>
      </c>
      <c r="S1370" s="19">
        <v>0</v>
      </c>
      <c r="T1370" s="19">
        <v>0</v>
      </c>
      <c r="U1370" s="19">
        <v>0</v>
      </c>
      <c r="V1370" s="19">
        <v>0</v>
      </c>
      <c r="W1370" s="19">
        <v>0</v>
      </c>
      <c r="X1370" s="19">
        <v>0</v>
      </c>
      <c r="Y1370" s="20">
        <v>0</v>
      </c>
      <c r="Z1370" s="19">
        <v>0</v>
      </c>
      <c r="AA1370" s="19">
        <v>0</v>
      </c>
      <c r="AB1370" t="str">
        <f>VLOOKUP(E:E,笔记匹配!A:N,3,FALSE)</f>
        <v>包子熟了</v>
      </c>
      <c r="AC1370" t="str">
        <f>VLOOKUP(E:E,笔记匹配!A:N,2,FALSE)</f>
        <v>筋膜枪</v>
      </c>
      <c r="AD1370" t="str">
        <f>VLOOKUP(E:E,笔记匹配!A:N,4,FALSE)</f>
        <v>云麦筋膜枪</v>
      </c>
      <c r="AE1370" t="str">
        <f>VLOOKUP(E:E,笔记匹配!A:N,14,FALSE)</f>
        <v>云麦筋膜枪pb2</v>
      </c>
      <c r="AF1370" t="str">
        <f>VLOOKUP(E:E,笔记匹配!A:N,6,FALSE)</f>
        <v>筋膜枪测评|健身小白如何挑选筋膜枪？</v>
      </c>
    </row>
    <row r="1371" spans="1:32">
      <c r="A1371" s="18" t="s">
        <v>179</v>
      </c>
      <c r="B1371" s="18" t="s">
        <v>214</v>
      </c>
      <c r="C1371" s="19">
        <v>25314916</v>
      </c>
      <c r="D1371" s="18" t="s">
        <v>196</v>
      </c>
      <c r="E1371" s="18" t="s">
        <v>214</v>
      </c>
      <c r="F1371" s="18" t="s">
        <v>1434</v>
      </c>
      <c r="G1371" s="19">
        <v>6872994</v>
      </c>
      <c r="H1371" s="18" t="s">
        <v>1434</v>
      </c>
      <c r="I1371" s="19">
        <v>5678058</v>
      </c>
      <c r="J1371" s="18" t="s">
        <v>1015</v>
      </c>
      <c r="K1371" s="19">
        <v>504.93</v>
      </c>
      <c r="L1371" s="19">
        <v>17070</v>
      </c>
      <c r="M1371" s="19">
        <v>807</v>
      </c>
      <c r="N1371" s="20">
        <v>0.0473</v>
      </c>
      <c r="O1371" s="19">
        <v>0.63</v>
      </c>
      <c r="P1371" s="19">
        <v>29.58</v>
      </c>
      <c r="Q1371" s="19">
        <v>16</v>
      </c>
      <c r="R1371" s="19">
        <v>2</v>
      </c>
      <c r="S1371" s="19">
        <v>7</v>
      </c>
      <c r="T1371" s="19">
        <v>0</v>
      </c>
      <c r="U1371" s="19">
        <v>0</v>
      </c>
      <c r="V1371" s="19">
        <v>25</v>
      </c>
      <c r="W1371" s="19">
        <v>20.2</v>
      </c>
      <c r="X1371" s="19">
        <v>0</v>
      </c>
      <c r="Y1371" s="20">
        <v>0</v>
      </c>
      <c r="Z1371" s="19">
        <v>4</v>
      </c>
      <c r="AA1371" s="19">
        <v>0</v>
      </c>
      <c r="AB1371" t="str">
        <f>VLOOKUP(E:E,笔记匹配!A:N,3,FALSE)</f>
        <v>Zora張張</v>
      </c>
      <c r="AC1371" t="str">
        <f>VLOOKUP(E:E,笔记匹配!A:N,2,FALSE)</f>
        <v>筋膜枪</v>
      </c>
      <c r="AD1371" t="str">
        <f>VLOOKUP(E:E,笔记匹配!A:N,4,FALSE)</f>
        <v>云麦筋膜枪cc</v>
      </c>
      <c r="AE1371" t="str">
        <f>VLOOKUP(E:E,笔记匹配!A:N,14,FALSE)</f>
        <v>云麦筋膜枪ccgo</v>
      </c>
      <c r="AF1371" t="str">
        <f>VLOOKUP(E:E,笔记匹配!A:N,6,FALSE)</f>
        <v>宿舍姐妹花人手一个！这筋膜枪有点东西🧐</v>
      </c>
    </row>
    <row r="1372" spans="1:32">
      <c r="A1372" s="18" t="s">
        <v>179</v>
      </c>
      <c r="B1372" s="18" t="s">
        <v>389</v>
      </c>
      <c r="C1372" s="19">
        <v>25315073</v>
      </c>
      <c r="D1372" s="18" t="s">
        <v>209</v>
      </c>
      <c r="E1372" s="18" t="s">
        <v>389</v>
      </c>
      <c r="F1372" s="18" t="s">
        <v>1435</v>
      </c>
      <c r="G1372" s="19">
        <v>6873109</v>
      </c>
      <c r="H1372" s="18" t="s">
        <v>1435</v>
      </c>
      <c r="I1372" s="19">
        <v>5678142</v>
      </c>
      <c r="J1372" s="18" t="s">
        <v>1015</v>
      </c>
      <c r="K1372" s="19">
        <v>505.79</v>
      </c>
      <c r="L1372" s="19">
        <v>48392</v>
      </c>
      <c r="M1372" s="19">
        <v>4755</v>
      </c>
      <c r="N1372" s="20">
        <v>0.0983</v>
      </c>
      <c r="O1372" s="19">
        <v>0.11</v>
      </c>
      <c r="P1372" s="19">
        <v>10.45</v>
      </c>
      <c r="Q1372" s="19">
        <v>55</v>
      </c>
      <c r="R1372" s="19">
        <v>5</v>
      </c>
      <c r="S1372" s="19">
        <v>6</v>
      </c>
      <c r="T1372" s="19">
        <v>2</v>
      </c>
      <c r="U1372" s="19">
        <v>2</v>
      </c>
      <c r="V1372" s="19">
        <v>70</v>
      </c>
      <c r="W1372" s="19">
        <v>7.23</v>
      </c>
      <c r="X1372" s="19">
        <v>0</v>
      </c>
      <c r="Y1372" s="20">
        <v>0</v>
      </c>
      <c r="Z1372" s="19">
        <v>7</v>
      </c>
      <c r="AA1372" s="19">
        <v>4</v>
      </c>
      <c r="AB1372" t="str">
        <f>VLOOKUP(E:E,笔记匹配!A:N,3,FALSE)</f>
        <v>Morii</v>
      </c>
      <c r="AC1372" t="str">
        <f>VLOOKUP(E:E,笔记匹配!A:N,2,FALSE)</f>
        <v>跳绳</v>
      </c>
      <c r="AD1372" t="str">
        <f>VLOOKUP(E:E,笔记匹配!A:N,4,FALSE)</f>
        <v>云麦跳绳2go</v>
      </c>
      <c r="AE1372" t="str">
        <f>VLOOKUP(E:E,笔记匹配!A:N,14,FALSE)</f>
        <v>云麦跳绳2go</v>
      </c>
      <c r="AF1372" t="str">
        <f>VLOOKUP(E:E,笔记匹配!A:N,6,FALSE)</f>
        <v>跳出马甲线！一根无绳跳绳就够了</v>
      </c>
    </row>
    <row r="1373" spans="1:32">
      <c r="A1373" s="18" t="s">
        <v>180</v>
      </c>
      <c r="B1373" s="18" t="s">
        <v>201</v>
      </c>
      <c r="C1373" s="19">
        <v>25066769</v>
      </c>
      <c r="D1373" s="18" t="s">
        <v>209</v>
      </c>
      <c r="E1373" s="18" t="s">
        <v>201</v>
      </c>
      <c r="F1373" s="18" t="s">
        <v>1423</v>
      </c>
      <c r="G1373" s="19">
        <v>6759811</v>
      </c>
      <c r="H1373" s="18" t="s">
        <v>1423</v>
      </c>
      <c r="I1373" s="19">
        <v>5588631</v>
      </c>
      <c r="J1373" s="18" t="s">
        <v>1015</v>
      </c>
      <c r="K1373" s="19">
        <v>253.92</v>
      </c>
      <c r="L1373" s="19">
        <v>13942</v>
      </c>
      <c r="M1373" s="19">
        <v>551</v>
      </c>
      <c r="N1373" s="20">
        <v>0.0395</v>
      </c>
      <c r="O1373" s="19">
        <v>0.46</v>
      </c>
      <c r="P1373" s="19">
        <v>18.21</v>
      </c>
      <c r="Q1373" s="19">
        <v>28</v>
      </c>
      <c r="R1373" s="19">
        <v>2</v>
      </c>
      <c r="S1373" s="19">
        <v>9</v>
      </c>
      <c r="T1373" s="19">
        <v>0</v>
      </c>
      <c r="U1373" s="19">
        <v>3</v>
      </c>
      <c r="V1373" s="19">
        <v>42</v>
      </c>
      <c r="W1373" s="19">
        <v>6.05</v>
      </c>
      <c r="X1373" s="19">
        <v>4</v>
      </c>
      <c r="Y1373" s="20">
        <v>0.0073</v>
      </c>
      <c r="Z1373" s="19">
        <v>4</v>
      </c>
      <c r="AA1373" s="19">
        <v>0</v>
      </c>
      <c r="AB1373" t="str">
        <f>VLOOKUP(E:E,笔记匹配!A:N,3,FALSE)</f>
        <v>包子熟了</v>
      </c>
      <c r="AC1373" t="str">
        <f>VLOOKUP(E:E,笔记匹配!A:N,2,FALSE)</f>
        <v>筋膜枪</v>
      </c>
      <c r="AD1373" t="str">
        <f>VLOOKUP(E:E,笔记匹配!A:N,4,FALSE)</f>
        <v>云麦筋膜枪</v>
      </c>
      <c r="AE1373" t="str">
        <f>VLOOKUP(E:E,笔记匹配!A:N,14,FALSE)</f>
        <v>云麦筋膜枪pb2</v>
      </c>
      <c r="AF1373" t="str">
        <f>VLOOKUP(E:E,笔记匹配!A:N,6,FALSE)</f>
        <v>筋膜枪测评|健身小白如何挑选筋膜枪？</v>
      </c>
    </row>
    <row r="1374" spans="1:32">
      <c r="A1374" s="18" t="s">
        <v>180</v>
      </c>
      <c r="B1374" s="18" t="s">
        <v>220</v>
      </c>
      <c r="C1374" s="19">
        <v>25105925</v>
      </c>
      <c r="D1374" s="18" t="s">
        <v>209</v>
      </c>
      <c r="E1374" s="18" t="s">
        <v>220</v>
      </c>
      <c r="F1374" s="18" t="s">
        <v>1425</v>
      </c>
      <c r="G1374" s="19">
        <v>6779533</v>
      </c>
      <c r="H1374" s="18" t="s">
        <v>1425</v>
      </c>
      <c r="I1374" s="19">
        <v>5603469</v>
      </c>
      <c r="J1374" s="18" t="s">
        <v>1015</v>
      </c>
      <c r="K1374" s="19">
        <v>979.88</v>
      </c>
      <c r="L1374" s="19">
        <v>64843</v>
      </c>
      <c r="M1374" s="19">
        <v>3238</v>
      </c>
      <c r="N1374" s="20">
        <v>0.0499</v>
      </c>
      <c r="O1374" s="19">
        <v>0.3</v>
      </c>
      <c r="P1374" s="19">
        <v>15.11</v>
      </c>
      <c r="Q1374" s="19">
        <v>169</v>
      </c>
      <c r="R1374" s="19">
        <v>4</v>
      </c>
      <c r="S1374" s="19">
        <v>78</v>
      </c>
      <c r="T1374" s="19">
        <v>2</v>
      </c>
      <c r="U1374" s="19">
        <v>4</v>
      </c>
      <c r="V1374" s="19">
        <v>257</v>
      </c>
      <c r="W1374" s="19">
        <v>3.81</v>
      </c>
      <c r="X1374" s="19">
        <v>0</v>
      </c>
      <c r="Y1374" s="20">
        <v>0</v>
      </c>
      <c r="Z1374" s="19">
        <v>16</v>
      </c>
      <c r="AA1374" s="19">
        <v>6</v>
      </c>
      <c r="AB1374" t="str">
        <f>VLOOKUP(E:E,笔记匹配!A:N,3,FALSE)</f>
        <v>一颗西兰花fa</v>
      </c>
      <c r="AC1374" t="str">
        <f>VLOOKUP(E:E,笔记匹配!A:N,2,FALSE)</f>
        <v>筋膜枪</v>
      </c>
      <c r="AD1374" t="str">
        <f>VLOOKUP(E:E,笔记匹配!A:N,4,FALSE)</f>
        <v>云麦筋膜枪PB2</v>
      </c>
      <c r="AE1374" t="str">
        <f>VLOOKUP(E:E,笔记匹配!A:N,14,FALSE)</f>
        <v>云麦筋膜枪pb2</v>
      </c>
      <c r="AF1374" t="str">
        <f>VLOOKUP(E:E,笔记匹配!A:N,6,FALSE)</f>
        <v>有没有姐妹跟我一样被肌肉腿困扰了好久！</v>
      </c>
    </row>
    <row r="1375" spans="1:32">
      <c r="A1375" s="18" t="s">
        <v>180</v>
      </c>
      <c r="B1375" s="18" t="s">
        <v>214</v>
      </c>
      <c r="C1375" s="19">
        <v>25105983</v>
      </c>
      <c r="D1375" s="18" t="s">
        <v>209</v>
      </c>
      <c r="E1375" s="18" t="s">
        <v>214</v>
      </c>
      <c r="F1375" s="18" t="s">
        <v>1426</v>
      </c>
      <c r="G1375" s="19">
        <v>6779552</v>
      </c>
      <c r="H1375" s="18" t="s">
        <v>1426</v>
      </c>
      <c r="I1375" s="19">
        <v>5603494</v>
      </c>
      <c r="J1375" s="18" t="s">
        <v>1015</v>
      </c>
      <c r="K1375" s="19">
        <v>787.79</v>
      </c>
      <c r="L1375" s="19">
        <v>67544</v>
      </c>
      <c r="M1375" s="19">
        <v>3739</v>
      </c>
      <c r="N1375" s="20">
        <v>0.0554</v>
      </c>
      <c r="O1375" s="19">
        <v>0.21</v>
      </c>
      <c r="P1375" s="19">
        <v>11.66</v>
      </c>
      <c r="Q1375" s="19">
        <v>188</v>
      </c>
      <c r="R1375" s="19">
        <v>4</v>
      </c>
      <c r="S1375" s="19">
        <v>69</v>
      </c>
      <c r="T1375" s="19">
        <v>2</v>
      </c>
      <c r="U1375" s="19">
        <v>4</v>
      </c>
      <c r="V1375" s="19">
        <v>267</v>
      </c>
      <c r="W1375" s="19">
        <v>2.95</v>
      </c>
      <c r="X1375" s="19">
        <v>0</v>
      </c>
      <c r="Y1375" s="20">
        <v>0</v>
      </c>
      <c r="Z1375" s="19">
        <v>12</v>
      </c>
      <c r="AA1375" s="19">
        <v>14</v>
      </c>
      <c r="AB1375" t="str">
        <f>VLOOKUP(E:E,笔记匹配!A:N,3,FALSE)</f>
        <v>Zora張張</v>
      </c>
      <c r="AC1375" t="str">
        <f>VLOOKUP(E:E,笔记匹配!A:N,2,FALSE)</f>
        <v>筋膜枪</v>
      </c>
      <c r="AD1375" t="str">
        <f>VLOOKUP(E:E,笔记匹配!A:N,4,FALSE)</f>
        <v>云麦筋膜枪cc</v>
      </c>
      <c r="AE1375" t="str">
        <f>VLOOKUP(E:E,笔记匹配!A:N,14,FALSE)</f>
        <v>云麦筋膜枪ccgo</v>
      </c>
      <c r="AF1375" t="str">
        <f>VLOOKUP(E:E,笔记匹配!A:N,6,FALSE)</f>
        <v>宿舍姐妹花人手一个！这筋膜枪有点东西🧐</v>
      </c>
    </row>
    <row r="1376" spans="1:32">
      <c r="A1376" s="18" t="s">
        <v>180</v>
      </c>
      <c r="B1376" s="18" t="s">
        <v>258</v>
      </c>
      <c r="C1376" s="19">
        <v>25106098</v>
      </c>
      <c r="D1376" s="18" t="s">
        <v>209</v>
      </c>
      <c r="E1376" s="18" t="s">
        <v>258</v>
      </c>
      <c r="F1376" s="18" t="s">
        <v>1427</v>
      </c>
      <c r="G1376" s="19">
        <v>6779635</v>
      </c>
      <c r="H1376" s="18" t="s">
        <v>1427</v>
      </c>
      <c r="I1376" s="19">
        <v>5603554</v>
      </c>
      <c r="J1376" s="18" t="s">
        <v>1015</v>
      </c>
      <c r="K1376" s="19">
        <v>526.32</v>
      </c>
      <c r="L1376" s="19">
        <v>73519</v>
      </c>
      <c r="M1376" s="19">
        <v>6557</v>
      </c>
      <c r="N1376" s="20">
        <v>0.0892</v>
      </c>
      <c r="O1376" s="19">
        <v>0.08</v>
      </c>
      <c r="P1376" s="19">
        <v>7.16</v>
      </c>
      <c r="Q1376" s="19">
        <v>138</v>
      </c>
      <c r="R1376" s="19">
        <v>3</v>
      </c>
      <c r="S1376" s="19">
        <v>99</v>
      </c>
      <c r="T1376" s="19">
        <v>3</v>
      </c>
      <c r="U1376" s="19">
        <v>8</v>
      </c>
      <c r="V1376" s="19">
        <v>251</v>
      </c>
      <c r="W1376" s="19">
        <v>2.1</v>
      </c>
      <c r="X1376" s="19">
        <v>0</v>
      </c>
      <c r="Y1376" s="20">
        <v>0</v>
      </c>
      <c r="Z1376" s="19">
        <v>2</v>
      </c>
      <c r="AA1376" s="19">
        <v>1</v>
      </c>
      <c r="AB1376" t="str">
        <f>VLOOKUP(E:E,笔记匹配!A:N,3,FALSE)</f>
        <v>猪脚ivi</v>
      </c>
      <c r="AC1376" t="str">
        <f>VLOOKUP(E:E,笔记匹配!A:N,2,FALSE)</f>
        <v>跳绳</v>
      </c>
      <c r="AD1376" t="str">
        <f>VLOOKUP(E:E,笔记匹配!A:N,4,FALSE)</f>
        <v>云麦跳绳2go</v>
      </c>
      <c r="AE1376" t="str">
        <f>VLOOKUP(E:E,笔记匹配!A:N,14,FALSE)</f>
        <v>云麦跳绳2go</v>
      </c>
      <c r="AF1376" t="str">
        <f>VLOOKUP(E:E,笔记匹配!A:N,6,FALSE)</f>
        <v>跳绳全部流程‼️做好这些 腿想粗都难</v>
      </c>
    </row>
    <row r="1377" spans="1:32">
      <c r="A1377" s="18" t="s">
        <v>180</v>
      </c>
      <c r="B1377" s="18" t="s">
        <v>208</v>
      </c>
      <c r="C1377" s="19">
        <v>25178456</v>
      </c>
      <c r="D1377" s="18" t="s">
        <v>209</v>
      </c>
      <c r="E1377" s="18" t="s">
        <v>208</v>
      </c>
      <c r="F1377" s="18" t="s">
        <v>1428</v>
      </c>
      <c r="G1377" s="19">
        <v>6811834</v>
      </c>
      <c r="H1377" s="18" t="s">
        <v>1428</v>
      </c>
      <c r="I1377" s="19">
        <v>5629385</v>
      </c>
      <c r="J1377" s="18" t="s">
        <v>1015</v>
      </c>
      <c r="K1377" s="19">
        <v>3.11</v>
      </c>
      <c r="L1377" s="19">
        <v>355</v>
      </c>
      <c r="M1377" s="19">
        <v>26</v>
      </c>
      <c r="N1377" s="20">
        <v>0.0732</v>
      </c>
      <c r="O1377" s="19">
        <v>0.12</v>
      </c>
      <c r="P1377" s="19">
        <v>8.76</v>
      </c>
      <c r="Q1377" s="19">
        <v>0</v>
      </c>
      <c r="R1377" s="19">
        <v>0</v>
      </c>
      <c r="S1377" s="19">
        <v>1</v>
      </c>
      <c r="T1377" s="19">
        <v>0</v>
      </c>
      <c r="U1377" s="19">
        <v>0</v>
      </c>
      <c r="V1377" s="19">
        <v>1</v>
      </c>
      <c r="W1377" s="19">
        <v>3.11</v>
      </c>
      <c r="X1377" s="19">
        <v>0</v>
      </c>
      <c r="Y1377" s="20">
        <v>0</v>
      </c>
      <c r="Z1377" s="19">
        <v>0</v>
      </c>
      <c r="AA1377" s="19">
        <v>0</v>
      </c>
      <c r="AB1377" t="str">
        <f>VLOOKUP(E:E,笔记匹配!A:N,3,FALSE)</f>
        <v>小羊羔崽子</v>
      </c>
      <c r="AC1377" t="str">
        <f>VLOOKUP(E:E,笔记匹配!A:N,2,FALSE)</f>
        <v>筋膜枪</v>
      </c>
      <c r="AD1377" t="str">
        <f>VLOOKUP(E:E,笔记匹配!A:N,4,FALSE)</f>
        <v>云麦筋膜枪PB2</v>
      </c>
      <c r="AE1377" t="str">
        <f>VLOOKUP(E:E,笔记匹配!A:N,14,FALSE)</f>
        <v>云麦筋膜枪pb2</v>
      </c>
      <c r="AF1377" t="str">
        <f>VLOOKUP(E:E,笔记匹配!A:N,6,FALSE)</f>
        <v>用了多年泡沫轴，才知道筋膜枪是真的香！！！</v>
      </c>
    </row>
    <row r="1378" spans="1:32">
      <c r="A1378" s="18" t="s">
        <v>180</v>
      </c>
      <c r="B1378" s="18" t="s">
        <v>385</v>
      </c>
      <c r="C1378" s="19">
        <v>25244107</v>
      </c>
      <c r="D1378" s="18" t="s">
        <v>209</v>
      </c>
      <c r="E1378" s="18" t="s">
        <v>385</v>
      </c>
      <c r="F1378" s="18" t="s">
        <v>1431</v>
      </c>
      <c r="G1378" s="19">
        <v>6841351</v>
      </c>
      <c r="H1378" s="18" t="s">
        <v>1431</v>
      </c>
      <c r="I1378" s="19">
        <v>5653063</v>
      </c>
      <c r="J1378" s="18" t="s">
        <v>1015</v>
      </c>
      <c r="K1378" s="19">
        <v>0</v>
      </c>
      <c r="L1378" s="19">
        <v>34</v>
      </c>
      <c r="M1378" s="19">
        <v>0</v>
      </c>
      <c r="N1378" s="20">
        <v>0</v>
      </c>
      <c r="O1378" s="19">
        <v>0</v>
      </c>
      <c r="P1378" s="19">
        <v>0</v>
      </c>
      <c r="Q1378" s="19">
        <v>0</v>
      </c>
      <c r="R1378" s="19">
        <v>0</v>
      </c>
      <c r="S1378" s="19">
        <v>0</v>
      </c>
      <c r="T1378" s="19">
        <v>0</v>
      </c>
      <c r="U1378" s="19">
        <v>0</v>
      </c>
      <c r="V1378" s="19">
        <v>0</v>
      </c>
      <c r="W1378" s="19">
        <v>0</v>
      </c>
      <c r="X1378" s="19">
        <v>0</v>
      </c>
      <c r="Y1378" s="20">
        <v>0</v>
      </c>
      <c r="Z1378" s="19">
        <v>0</v>
      </c>
      <c r="AA1378" s="19">
        <v>0</v>
      </c>
      <c r="AB1378" t="str">
        <f>VLOOKUP(E:E,笔记匹配!A:N,3,FALSE)</f>
        <v>一颗紫菜</v>
      </c>
      <c r="AC1378" t="str">
        <f>VLOOKUP(E:E,笔记匹配!A:N,2,FALSE)</f>
        <v>筋膜枪</v>
      </c>
      <c r="AD1378" t="str">
        <f>VLOOKUP(E:E,笔记匹配!A:N,4,FALSE)</f>
        <v>云麦筋膜枪cc</v>
      </c>
      <c r="AE1378" t="str">
        <f>VLOOKUP(E:E,笔记匹配!A:N,14,FALSE)</f>
        <v>云麦筋膜枪ccgo</v>
      </c>
      <c r="AF1378" t="str">
        <f>VLOOKUP(E:E,笔记匹配!A:N,6,FALSE)</f>
        <v>改善粗腿肌肉腿！宅家按摩神器轻松全款拿下！</v>
      </c>
    </row>
    <row r="1379" spans="1:32">
      <c r="A1379" s="18" t="s">
        <v>180</v>
      </c>
      <c r="B1379" s="18" t="s">
        <v>201</v>
      </c>
      <c r="C1379" s="19">
        <v>25314758</v>
      </c>
      <c r="D1379" s="18" t="s">
        <v>196</v>
      </c>
      <c r="E1379" s="18" t="s">
        <v>201</v>
      </c>
      <c r="F1379" s="18" t="s">
        <v>1432</v>
      </c>
      <c r="G1379" s="19">
        <v>6872965</v>
      </c>
      <c r="H1379" s="18" t="s">
        <v>1436</v>
      </c>
      <c r="I1379" s="19">
        <v>5677972</v>
      </c>
      <c r="J1379" s="18" t="s">
        <v>1015</v>
      </c>
      <c r="K1379" s="19">
        <v>204.11</v>
      </c>
      <c r="L1379" s="19">
        <v>4077</v>
      </c>
      <c r="M1379" s="19">
        <v>312</v>
      </c>
      <c r="N1379" s="20">
        <v>0.0765</v>
      </c>
      <c r="O1379" s="19">
        <v>0.65</v>
      </c>
      <c r="P1379" s="19">
        <v>50.06</v>
      </c>
      <c r="Q1379" s="19">
        <v>2</v>
      </c>
      <c r="R1379" s="19">
        <v>0</v>
      </c>
      <c r="S1379" s="19">
        <v>0</v>
      </c>
      <c r="T1379" s="19">
        <v>0</v>
      </c>
      <c r="U1379" s="19">
        <v>0</v>
      </c>
      <c r="V1379" s="19">
        <v>2</v>
      </c>
      <c r="W1379" s="19">
        <v>102.06</v>
      </c>
      <c r="X1379" s="19">
        <v>0</v>
      </c>
      <c r="Y1379" s="20">
        <v>0</v>
      </c>
      <c r="Z1379" s="19">
        <v>3</v>
      </c>
      <c r="AA1379" s="19">
        <v>0</v>
      </c>
      <c r="AB1379" t="str">
        <f>VLOOKUP(E:E,笔记匹配!A:N,3,FALSE)</f>
        <v>包子熟了</v>
      </c>
      <c r="AC1379" t="str">
        <f>VLOOKUP(E:E,笔记匹配!A:N,2,FALSE)</f>
        <v>筋膜枪</v>
      </c>
      <c r="AD1379" t="str">
        <f>VLOOKUP(E:E,笔记匹配!A:N,4,FALSE)</f>
        <v>云麦筋膜枪</v>
      </c>
      <c r="AE1379" t="str">
        <f>VLOOKUP(E:E,笔记匹配!A:N,14,FALSE)</f>
        <v>云麦筋膜枪pb2</v>
      </c>
      <c r="AF1379" t="str">
        <f>VLOOKUP(E:E,笔记匹配!A:N,6,FALSE)</f>
        <v>筋膜枪测评|健身小白如何挑选筋膜枪？</v>
      </c>
    </row>
    <row r="1380" spans="1:32">
      <c r="A1380" s="18" t="s">
        <v>180</v>
      </c>
      <c r="B1380" s="18" t="s">
        <v>214</v>
      </c>
      <c r="C1380" s="19">
        <v>25314916</v>
      </c>
      <c r="D1380" s="18" t="s">
        <v>196</v>
      </c>
      <c r="E1380" s="18" t="s">
        <v>214</v>
      </c>
      <c r="F1380" s="18" t="s">
        <v>1434</v>
      </c>
      <c r="G1380" s="19">
        <v>6872994</v>
      </c>
      <c r="H1380" s="18" t="s">
        <v>1437</v>
      </c>
      <c r="I1380" s="19">
        <v>5678058</v>
      </c>
      <c r="J1380" s="18" t="s">
        <v>1015</v>
      </c>
      <c r="K1380" s="19">
        <v>307.55</v>
      </c>
      <c r="L1380" s="19">
        <v>10062</v>
      </c>
      <c r="M1380" s="19">
        <v>465</v>
      </c>
      <c r="N1380" s="20">
        <v>0.0462</v>
      </c>
      <c r="O1380" s="19">
        <v>0.66</v>
      </c>
      <c r="P1380" s="19">
        <v>30.57</v>
      </c>
      <c r="Q1380" s="19">
        <v>4</v>
      </c>
      <c r="R1380" s="19">
        <v>0</v>
      </c>
      <c r="S1380" s="19">
        <v>2</v>
      </c>
      <c r="T1380" s="19">
        <v>0</v>
      </c>
      <c r="U1380" s="19">
        <v>0</v>
      </c>
      <c r="V1380" s="19">
        <v>6</v>
      </c>
      <c r="W1380" s="19">
        <v>51.26</v>
      </c>
      <c r="X1380" s="19">
        <v>0</v>
      </c>
      <c r="Y1380" s="20">
        <v>0</v>
      </c>
      <c r="Z1380" s="19">
        <v>1</v>
      </c>
      <c r="AA1380" s="19">
        <v>2</v>
      </c>
      <c r="AB1380" t="str">
        <f>VLOOKUP(E:E,笔记匹配!A:N,3,FALSE)</f>
        <v>Zora張張</v>
      </c>
      <c r="AC1380" t="str">
        <f>VLOOKUP(E:E,笔记匹配!A:N,2,FALSE)</f>
        <v>筋膜枪</v>
      </c>
      <c r="AD1380" t="str">
        <f>VLOOKUP(E:E,笔记匹配!A:N,4,FALSE)</f>
        <v>云麦筋膜枪cc</v>
      </c>
      <c r="AE1380" t="str">
        <f>VLOOKUP(E:E,笔记匹配!A:N,14,FALSE)</f>
        <v>云麦筋膜枪ccgo</v>
      </c>
      <c r="AF1380" t="str">
        <f>VLOOKUP(E:E,笔记匹配!A:N,6,FALSE)</f>
        <v>宿舍姐妹花人手一个！这筋膜枪有点东西🧐</v>
      </c>
    </row>
    <row r="1381" spans="1:32">
      <c r="A1381" s="18" t="s">
        <v>180</v>
      </c>
      <c r="B1381" s="18" t="s">
        <v>389</v>
      </c>
      <c r="C1381" s="19">
        <v>25315073</v>
      </c>
      <c r="D1381" s="18" t="s">
        <v>209</v>
      </c>
      <c r="E1381" s="18" t="s">
        <v>389</v>
      </c>
      <c r="F1381" s="18" t="s">
        <v>1435</v>
      </c>
      <c r="G1381" s="19">
        <v>6873109</v>
      </c>
      <c r="H1381" s="18" t="s">
        <v>1435</v>
      </c>
      <c r="I1381" s="19">
        <v>5678142</v>
      </c>
      <c r="J1381" s="18" t="s">
        <v>1015</v>
      </c>
      <c r="K1381" s="19">
        <v>0.13</v>
      </c>
      <c r="L1381" s="19">
        <v>45</v>
      </c>
      <c r="M1381" s="19">
        <v>2</v>
      </c>
      <c r="N1381" s="20">
        <v>0.0444</v>
      </c>
      <c r="O1381" s="19">
        <v>0.06</v>
      </c>
      <c r="P1381" s="19">
        <v>2.89</v>
      </c>
      <c r="Q1381" s="19">
        <v>0</v>
      </c>
      <c r="R1381" s="19">
        <v>0</v>
      </c>
      <c r="S1381" s="19">
        <v>0</v>
      </c>
      <c r="T1381" s="19">
        <v>0</v>
      </c>
      <c r="U1381" s="19">
        <v>0</v>
      </c>
      <c r="V1381" s="19">
        <v>0</v>
      </c>
      <c r="W1381" s="19">
        <v>0</v>
      </c>
      <c r="X1381" s="19">
        <v>0</v>
      </c>
      <c r="Y1381" s="20">
        <v>0</v>
      </c>
      <c r="Z1381" s="19">
        <v>0</v>
      </c>
      <c r="AA1381" s="19">
        <v>0</v>
      </c>
      <c r="AB1381" t="str">
        <f>VLOOKUP(E:E,笔记匹配!A:N,3,FALSE)</f>
        <v>Morii</v>
      </c>
      <c r="AC1381" t="str">
        <f>VLOOKUP(E:E,笔记匹配!A:N,2,FALSE)</f>
        <v>跳绳</v>
      </c>
      <c r="AD1381" t="str">
        <f>VLOOKUP(E:E,笔记匹配!A:N,4,FALSE)</f>
        <v>云麦跳绳2go</v>
      </c>
      <c r="AE1381" t="str">
        <f>VLOOKUP(E:E,笔记匹配!A:N,14,FALSE)</f>
        <v>云麦跳绳2go</v>
      </c>
      <c r="AF1381" t="str">
        <f>VLOOKUP(E:E,笔记匹配!A:N,6,FALSE)</f>
        <v>跳出马甲线！一根无绳跳绳就够了</v>
      </c>
    </row>
    <row r="1382" spans="1:32">
      <c r="A1382" s="18" t="s">
        <v>180</v>
      </c>
      <c r="B1382" s="18" t="s">
        <v>403</v>
      </c>
      <c r="C1382" s="19">
        <v>25391742</v>
      </c>
      <c r="D1382" s="18" t="s">
        <v>209</v>
      </c>
      <c r="E1382" s="18" t="s">
        <v>403</v>
      </c>
      <c r="F1382" s="18" t="s">
        <v>1438</v>
      </c>
      <c r="G1382" s="19">
        <v>6908546</v>
      </c>
      <c r="H1382" s="18" t="s">
        <v>1438</v>
      </c>
      <c r="I1382" s="19">
        <v>5706379</v>
      </c>
      <c r="J1382" s="18" t="s">
        <v>1015</v>
      </c>
      <c r="K1382" s="19">
        <v>290.47</v>
      </c>
      <c r="L1382" s="19">
        <v>17733</v>
      </c>
      <c r="M1382" s="19">
        <v>716</v>
      </c>
      <c r="N1382" s="20">
        <v>0.0404</v>
      </c>
      <c r="O1382" s="19">
        <v>0.41</v>
      </c>
      <c r="P1382" s="19">
        <v>16.38</v>
      </c>
      <c r="Q1382" s="19">
        <v>31</v>
      </c>
      <c r="R1382" s="19">
        <v>1</v>
      </c>
      <c r="S1382" s="19">
        <v>9</v>
      </c>
      <c r="T1382" s="19">
        <v>0</v>
      </c>
      <c r="U1382" s="19">
        <v>1</v>
      </c>
      <c r="V1382" s="19">
        <v>42</v>
      </c>
      <c r="W1382" s="19">
        <v>6.92</v>
      </c>
      <c r="X1382" s="19">
        <v>0</v>
      </c>
      <c r="Y1382" s="20">
        <v>0</v>
      </c>
      <c r="Z1382" s="19">
        <v>1</v>
      </c>
      <c r="AA1382" s="19">
        <v>0</v>
      </c>
      <c r="AB1382" t="str">
        <f>VLOOKUP(E:E,笔记匹配!A:N,3,FALSE)</f>
        <v>是33崽</v>
      </c>
      <c r="AC1382" t="str">
        <f>VLOOKUP(E:E,笔记匹配!A:N,2,FALSE)</f>
        <v>筋膜枪</v>
      </c>
      <c r="AD1382" t="str">
        <f>VLOOKUP(E:E,笔记匹配!A:N,4,FALSE)</f>
        <v>云麦筋膜枪cc</v>
      </c>
      <c r="AE1382" t="str">
        <f>VLOOKUP(E:E,笔记匹配!A:N,14,FALSE)</f>
        <v>云麦筋膜枪ccgo</v>
      </c>
      <c r="AF1382" t="str">
        <f>VLOOKUP(E:E,笔记匹配!A:N,6,FALSE)</f>
        <v>9命！介么可爱的筋膜枪！送到心坎上的礼物</v>
      </c>
    </row>
    <row r="1383" spans="1:32">
      <c r="A1383" s="18" t="s">
        <v>181</v>
      </c>
      <c r="B1383" s="18" t="s">
        <v>1164</v>
      </c>
      <c r="C1383" s="19">
        <v>18170615</v>
      </c>
      <c r="D1383" s="18" t="s">
        <v>209</v>
      </c>
      <c r="E1383" s="18" t="s">
        <v>205</v>
      </c>
      <c r="F1383" s="18" t="s">
        <v>1165</v>
      </c>
      <c r="G1383" s="19">
        <v>3639848</v>
      </c>
      <c r="H1383" s="18" t="s">
        <v>1166</v>
      </c>
      <c r="I1383" s="19">
        <v>3024741</v>
      </c>
      <c r="J1383" s="18" t="s">
        <v>1015</v>
      </c>
      <c r="K1383" s="19">
        <v>0</v>
      </c>
      <c r="L1383" s="19">
        <v>0</v>
      </c>
      <c r="M1383" s="19">
        <v>0</v>
      </c>
      <c r="N1383" s="20">
        <v>0</v>
      </c>
      <c r="O1383" s="19">
        <v>0</v>
      </c>
      <c r="P1383" s="19">
        <v>0</v>
      </c>
      <c r="Q1383" s="19">
        <v>0</v>
      </c>
      <c r="R1383" s="19">
        <v>0</v>
      </c>
      <c r="S1383" s="19">
        <v>0</v>
      </c>
      <c r="T1383" s="19">
        <v>0</v>
      </c>
      <c r="U1383" s="19">
        <v>0</v>
      </c>
      <c r="V1383" s="19">
        <v>0</v>
      </c>
      <c r="W1383" s="19">
        <v>0</v>
      </c>
      <c r="X1383" s="19">
        <v>0</v>
      </c>
      <c r="Y1383" s="20">
        <v>0</v>
      </c>
      <c r="Z1383" s="19">
        <v>0</v>
      </c>
      <c r="AA1383" s="19">
        <v>0</v>
      </c>
      <c r="AB1383" t="str">
        <f>VLOOKUP(E:E,笔记匹配!A:N,3,FALSE)</f>
        <v>马可乐cora</v>
      </c>
      <c r="AC1383" t="str">
        <f>VLOOKUP(E:E,笔记匹配!A:N,2,FALSE)</f>
        <v>筋膜枪</v>
      </c>
      <c r="AD1383" t="str">
        <f>VLOOKUP(E:E,笔记匹配!A:N,4,FALSE)</f>
        <v>云麦筋膜枪PB2</v>
      </c>
      <c r="AE1383" t="str">
        <f>VLOOKUP(E:E,笔记匹配!A:N,14,FALSE)</f>
        <v>云麦筋膜枪pb2</v>
      </c>
      <c r="AF1383" t="str">
        <f>VLOOKUP(E:E,笔记匹配!A:N,6,FALSE)</f>
        <v>跳操的姐妹听我的用筋膜枪放松下肢真的有用</v>
      </c>
    </row>
    <row r="1384" spans="1:32">
      <c r="A1384" s="18" t="s">
        <v>181</v>
      </c>
      <c r="B1384" s="18" t="s">
        <v>1207</v>
      </c>
      <c r="C1384" s="19">
        <v>19261230</v>
      </c>
      <c r="D1384" s="18" t="s">
        <v>209</v>
      </c>
      <c r="E1384" s="18" t="s">
        <v>579</v>
      </c>
      <c r="F1384" s="18" t="s">
        <v>1208</v>
      </c>
      <c r="G1384" s="19">
        <v>4155782</v>
      </c>
      <c r="H1384" s="18" t="s">
        <v>1208</v>
      </c>
      <c r="I1384" s="19">
        <v>3538615</v>
      </c>
      <c r="J1384" s="18" t="s">
        <v>1015</v>
      </c>
      <c r="K1384" s="19">
        <v>0</v>
      </c>
      <c r="L1384" s="19">
        <v>0</v>
      </c>
      <c r="M1384" s="19">
        <v>0</v>
      </c>
      <c r="N1384" s="20">
        <v>0</v>
      </c>
      <c r="O1384" s="19">
        <v>0</v>
      </c>
      <c r="P1384" s="19">
        <v>0</v>
      </c>
      <c r="Q1384" s="19">
        <v>0</v>
      </c>
      <c r="R1384" s="19">
        <v>0</v>
      </c>
      <c r="S1384" s="19">
        <v>0</v>
      </c>
      <c r="T1384" s="19">
        <v>0</v>
      </c>
      <c r="U1384" s="19">
        <v>0</v>
      </c>
      <c r="V1384" s="19">
        <v>0</v>
      </c>
      <c r="W1384" s="19">
        <v>0</v>
      </c>
      <c r="X1384" s="19">
        <v>0</v>
      </c>
      <c r="Y1384" s="20">
        <v>0</v>
      </c>
      <c r="Z1384" s="19">
        <v>0</v>
      </c>
      <c r="AA1384" s="19">
        <v>0</v>
      </c>
      <c r="AB1384" t="str">
        <f>VLOOKUP(E:E,笔记匹配!A:N,3,FALSE)</f>
        <v>Lucas雨田</v>
      </c>
      <c r="AC1384" t="str">
        <f>VLOOKUP(E:E,笔记匹配!A:N,2,FALSE)</f>
        <v>筋膜枪</v>
      </c>
      <c r="AD1384" t="str">
        <f>VLOOKUP(E:E,笔记匹配!A:N,4,FALSE)</f>
        <v>云麦筋膜枪PB2</v>
      </c>
      <c r="AE1384" t="str">
        <f>VLOOKUP(E:E,笔记匹配!A:N,14,FALSE)</f>
        <v>云麦筋膜枪pb2</v>
      </c>
      <c r="AF1384" t="str">
        <f>VLOOKUP(E:E,笔记匹配!A:N,6,FALSE)</f>
        <v>2个游泳后的放松技巧⭐️自主拉伸、筋膜枪按摩</v>
      </c>
    </row>
    <row r="1385" spans="1:32">
      <c r="A1385" s="18" t="s">
        <v>181</v>
      </c>
      <c r="B1385" s="18" t="s">
        <v>440</v>
      </c>
      <c r="C1385" s="19">
        <v>25066640</v>
      </c>
      <c r="D1385" s="18" t="s">
        <v>209</v>
      </c>
      <c r="E1385" s="18" t="s">
        <v>440</v>
      </c>
      <c r="F1385" s="18" t="s">
        <v>1422</v>
      </c>
      <c r="G1385" s="19">
        <v>6759755</v>
      </c>
      <c r="H1385" s="18" t="s">
        <v>1422</v>
      </c>
      <c r="I1385" s="19">
        <v>5588587</v>
      </c>
      <c r="J1385" s="18" t="s">
        <v>1015</v>
      </c>
      <c r="K1385" s="19">
        <v>0</v>
      </c>
      <c r="L1385" s="19">
        <v>0</v>
      </c>
      <c r="M1385" s="19">
        <v>0</v>
      </c>
      <c r="N1385" s="20">
        <v>0</v>
      </c>
      <c r="O1385" s="19">
        <v>0</v>
      </c>
      <c r="P1385" s="19">
        <v>0</v>
      </c>
      <c r="Q1385" s="19">
        <v>0</v>
      </c>
      <c r="R1385" s="19">
        <v>0</v>
      </c>
      <c r="S1385" s="19">
        <v>0</v>
      </c>
      <c r="T1385" s="19">
        <v>0</v>
      </c>
      <c r="U1385" s="19">
        <v>0</v>
      </c>
      <c r="V1385" s="19">
        <v>0</v>
      </c>
      <c r="W1385" s="19">
        <v>0</v>
      </c>
      <c r="X1385" s="19">
        <v>0</v>
      </c>
      <c r="Y1385" s="20">
        <v>0</v>
      </c>
      <c r="Z1385" s="19">
        <v>0</v>
      </c>
      <c r="AA1385" s="19">
        <v>0</v>
      </c>
      <c r="AB1385" t="str">
        <f>VLOOKUP(E:E,笔记匹配!A:N,3,FALSE)</f>
        <v>oOO小饼</v>
      </c>
      <c r="AC1385" t="str">
        <f>VLOOKUP(E:E,笔记匹配!A:N,2,FALSE)</f>
        <v>筋膜枪</v>
      </c>
      <c r="AD1385" t="str">
        <f>VLOOKUP(E:E,笔记匹配!A:N,4,FALSE)</f>
        <v>云麦筋膜枪cc</v>
      </c>
      <c r="AE1385" t="str">
        <f>VLOOKUP(E:E,笔记匹配!A:N,14,FALSE)</f>
        <v>云麦筋膜枪ccgo</v>
      </c>
      <c r="AF1385" t="str">
        <f>VLOOKUP(E:E,笔记匹配!A:N,6,FALSE)</f>
        <v>直腿❗️你可以永远相信它❗️</v>
      </c>
    </row>
    <row r="1386" spans="1:32">
      <c r="A1386" s="18" t="s">
        <v>181</v>
      </c>
      <c r="B1386" s="18" t="s">
        <v>201</v>
      </c>
      <c r="C1386" s="19">
        <v>25066769</v>
      </c>
      <c r="D1386" s="18" t="s">
        <v>209</v>
      </c>
      <c r="E1386" s="18" t="s">
        <v>201</v>
      </c>
      <c r="F1386" s="18" t="s">
        <v>1423</v>
      </c>
      <c r="G1386" s="19">
        <v>6759811</v>
      </c>
      <c r="H1386" s="18" t="s">
        <v>1423</v>
      </c>
      <c r="I1386" s="19">
        <v>5588631</v>
      </c>
      <c r="J1386" s="18" t="s">
        <v>1015</v>
      </c>
      <c r="K1386" s="19">
        <v>3.12</v>
      </c>
      <c r="L1386" s="19">
        <v>174</v>
      </c>
      <c r="M1386" s="19">
        <v>10</v>
      </c>
      <c r="N1386" s="20">
        <v>0.0575</v>
      </c>
      <c r="O1386" s="19">
        <v>0.31</v>
      </c>
      <c r="P1386" s="19">
        <v>17.93</v>
      </c>
      <c r="Q1386" s="19">
        <v>0</v>
      </c>
      <c r="R1386" s="19">
        <v>0</v>
      </c>
      <c r="S1386" s="19">
        <v>0</v>
      </c>
      <c r="T1386" s="19">
        <v>0</v>
      </c>
      <c r="U1386" s="19">
        <v>0</v>
      </c>
      <c r="V1386" s="19">
        <v>0</v>
      </c>
      <c r="W1386" s="19">
        <v>0</v>
      </c>
      <c r="X1386" s="19">
        <v>0</v>
      </c>
      <c r="Y1386" s="20">
        <v>0</v>
      </c>
      <c r="Z1386" s="19">
        <v>0</v>
      </c>
      <c r="AA1386" s="19">
        <v>0</v>
      </c>
      <c r="AB1386" t="str">
        <f>VLOOKUP(E:E,笔记匹配!A:N,3,FALSE)</f>
        <v>包子熟了</v>
      </c>
      <c r="AC1386" t="str">
        <f>VLOOKUP(E:E,笔记匹配!A:N,2,FALSE)</f>
        <v>筋膜枪</v>
      </c>
      <c r="AD1386" t="str">
        <f>VLOOKUP(E:E,笔记匹配!A:N,4,FALSE)</f>
        <v>云麦筋膜枪</v>
      </c>
      <c r="AE1386" t="str">
        <f>VLOOKUP(E:E,笔记匹配!A:N,14,FALSE)</f>
        <v>云麦筋膜枪pb2</v>
      </c>
      <c r="AF1386" t="str">
        <f>VLOOKUP(E:E,笔记匹配!A:N,6,FALSE)</f>
        <v>筋膜枪测评|健身小白如何挑选筋膜枪？</v>
      </c>
    </row>
    <row r="1387" spans="1:32">
      <c r="A1387" s="18" t="s">
        <v>181</v>
      </c>
      <c r="B1387" s="18" t="s">
        <v>220</v>
      </c>
      <c r="C1387" s="19">
        <v>25105925</v>
      </c>
      <c r="D1387" s="18" t="s">
        <v>209</v>
      </c>
      <c r="E1387" s="18" t="s">
        <v>220</v>
      </c>
      <c r="F1387" s="18" t="s">
        <v>1425</v>
      </c>
      <c r="G1387" s="19">
        <v>6779533</v>
      </c>
      <c r="H1387" s="18" t="s">
        <v>1425</v>
      </c>
      <c r="I1387" s="19">
        <v>5603469</v>
      </c>
      <c r="J1387" s="18" t="s">
        <v>1015</v>
      </c>
      <c r="K1387" s="19">
        <v>863.66</v>
      </c>
      <c r="L1387" s="19">
        <v>46985</v>
      </c>
      <c r="M1387" s="19">
        <v>2509</v>
      </c>
      <c r="N1387" s="20">
        <v>0.0534</v>
      </c>
      <c r="O1387" s="19">
        <v>0.34</v>
      </c>
      <c r="P1387" s="19">
        <v>18.38</v>
      </c>
      <c r="Q1387" s="19">
        <v>128</v>
      </c>
      <c r="R1387" s="19">
        <v>0</v>
      </c>
      <c r="S1387" s="19">
        <v>60</v>
      </c>
      <c r="T1387" s="19">
        <v>0</v>
      </c>
      <c r="U1387" s="19">
        <v>2</v>
      </c>
      <c r="V1387" s="19">
        <v>190</v>
      </c>
      <c r="W1387" s="19">
        <v>4.55</v>
      </c>
      <c r="X1387" s="19">
        <v>0</v>
      </c>
      <c r="Y1387" s="20">
        <v>0</v>
      </c>
      <c r="Z1387" s="19">
        <v>11</v>
      </c>
      <c r="AA1387" s="19">
        <v>4</v>
      </c>
      <c r="AB1387" t="str">
        <f>VLOOKUP(E:E,笔记匹配!A:N,3,FALSE)</f>
        <v>一颗西兰花fa</v>
      </c>
      <c r="AC1387" t="str">
        <f>VLOOKUP(E:E,笔记匹配!A:N,2,FALSE)</f>
        <v>筋膜枪</v>
      </c>
      <c r="AD1387" t="str">
        <f>VLOOKUP(E:E,笔记匹配!A:N,4,FALSE)</f>
        <v>云麦筋膜枪PB2</v>
      </c>
      <c r="AE1387" t="str">
        <f>VLOOKUP(E:E,笔记匹配!A:N,14,FALSE)</f>
        <v>云麦筋膜枪pb2</v>
      </c>
      <c r="AF1387" t="str">
        <f>VLOOKUP(E:E,笔记匹配!A:N,6,FALSE)</f>
        <v>有没有姐妹跟我一样被肌肉腿困扰了好久！</v>
      </c>
    </row>
    <row r="1388" spans="1:32">
      <c r="A1388" s="18" t="s">
        <v>181</v>
      </c>
      <c r="B1388" s="18" t="s">
        <v>214</v>
      </c>
      <c r="C1388" s="19">
        <v>25105983</v>
      </c>
      <c r="D1388" s="18" t="s">
        <v>209</v>
      </c>
      <c r="E1388" s="18" t="s">
        <v>214</v>
      </c>
      <c r="F1388" s="18" t="s">
        <v>1426</v>
      </c>
      <c r="G1388" s="19">
        <v>6779552</v>
      </c>
      <c r="H1388" s="18" t="s">
        <v>1426</v>
      </c>
      <c r="I1388" s="19">
        <v>5603494</v>
      </c>
      <c r="J1388" s="18" t="s">
        <v>1015</v>
      </c>
      <c r="K1388" s="19">
        <v>1010.73</v>
      </c>
      <c r="L1388" s="19">
        <v>73280</v>
      </c>
      <c r="M1388" s="19">
        <v>4703</v>
      </c>
      <c r="N1388" s="20">
        <v>0.0642</v>
      </c>
      <c r="O1388" s="19">
        <v>0.21</v>
      </c>
      <c r="P1388" s="19">
        <v>13.79</v>
      </c>
      <c r="Q1388" s="19">
        <v>249</v>
      </c>
      <c r="R1388" s="19">
        <v>1</v>
      </c>
      <c r="S1388" s="19">
        <v>84</v>
      </c>
      <c r="T1388" s="19">
        <v>0</v>
      </c>
      <c r="U1388" s="19">
        <v>3</v>
      </c>
      <c r="V1388" s="19">
        <v>337</v>
      </c>
      <c r="W1388" s="19">
        <v>3</v>
      </c>
      <c r="X1388" s="19">
        <v>0</v>
      </c>
      <c r="Y1388" s="20">
        <v>0</v>
      </c>
      <c r="Z1388" s="19">
        <v>18</v>
      </c>
      <c r="AA1388" s="19">
        <v>12</v>
      </c>
      <c r="AB1388" t="str">
        <f>VLOOKUP(E:E,笔记匹配!A:N,3,FALSE)</f>
        <v>Zora張張</v>
      </c>
      <c r="AC1388" t="str">
        <f>VLOOKUP(E:E,笔记匹配!A:N,2,FALSE)</f>
        <v>筋膜枪</v>
      </c>
      <c r="AD1388" t="str">
        <f>VLOOKUP(E:E,笔记匹配!A:N,4,FALSE)</f>
        <v>云麦筋膜枪cc</v>
      </c>
      <c r="AE1388" t="str">
        <f>VLOOKUP(E:E,笔记匹配!A:N,14,FALSE)</f>
        <v>云麦筋膜枪ccgo</v>
      </c>
      <c r="AF1388" t="str">
        <f>VLOOKUP(E:E,笔记匹配!A:N,6,FALSE)</f>
        <v>宿舍姐妹花人手一个！这筋膜枪有点东西🧐</v>
      </c>
    </row>
    <row r="1389" spans="1:32">
      <c r="A1389" s="18" t="s">
        <v>181</v>
      </c>
      <c r="B1389" s="18" t="s">
        <v>258</v>
      </c>
      <c r="C1389" s="19">
        <v>25106098</v>
      </c>
      <c r="D1389" s="18" t="s">
        <v>209</v>
      </c>
      <c r="E1389" s="18" t="s">
        <v>258</v>
      </c>
      <c r="F1389" s="18" t="s">
        <v>1427</v>
      </c>
      <c r="G1389" s="19">
        <v>6779635</v>
      </c>
      <c r="H1389" s="18" t="s">
        <v>1427</v>
      </c>
      <c r="I1389" s="19">
        <v>5603554</v>
      </c>
      <c r="J1389" s="18" t="s">
        <v>1015</v>
      </c>
      <c r="K1389" s="19">
        <v>316.93</v>
      </c>
      <c r="L1389" s="19">
        <v>42095</v>
      </c>
      <c r="M1389" s="19">
        <v>4345</v>
      </c>
      <c r="N1389" s="20">
        <v>0.1032</v>
      </c>
      <c r="O1389" s="19">
        <v>0.07</v>
      </c>
      <c r="P1389" s="19">
        <v>7.53</v>
      </c>
      <c r="Q1389" s="19">
        <v>57</v>
      </c>
      <c r="R1389" s="19">
        <v>2</v>
      </c>
      <c r="S1389" s="19">
        <v>62</v>
      </c>
      <c r="T1389" s="19">
        <v>1</v>
      </c>
      <c r="U1389" s="19">
        <v>6</v>
      </c>
      <c r="V1389" s="19">
        <v>128</v>
      </c>
      <c r="W1389" s="19">
        <v>2.48</v>
      </c>
      <c r="X1389" s="19">
        <v>0</v>
      </c>
      <c r="Y1389" s="20">
        <v>0</v>
      </c>
      <c r="Z1389" s="19">
        <v>1</v>
      </c>
      <c r="AA1389" s="19">
        <v>1</v>
      </c>
      <c r="AB1389" t="str">
        <f>VLOOKUP(E:E,笔记匹配!A:N,3,FALSE)</f>
        <v>猪脚ivi</v>
      </c>
      <c r="AC1389" t="str">
        <f>VLOOKUP(E:E,笔记匹配!A:N,2,FALSE)</f>
        <v>跳绳</v>
      </c>
      <c r="AD1389" t="str">
        <f>VLOOKUP(E:E,笔记匹配!A:N,4,FALSE)</f>
        <v>云麦跳绳2go</v>
      </c>
      <c r="AE1389" t="str">
        <f>VLOOKUP(E:E,笔记匹配!A:N,14,FALSE)</f>
        <v>云麦跳绳2go</v>
      </c>
      <c r="AF1389" t="str">
        <f>VLOOKUP(E:E,笔记匹配!A:N,6,FALSE)</f>
        <v>跳绳全部流程‼️做好这些 腿想粗都难</v>
      </c>
    </row>
    <row r="1390" spans="1:32">
      <c r="A1390" s="18" t="s">
        <v>181</v>
      </c>
      <c r="B1390" s="18" t="s">
        <v>398</v>
      </c>
      <c r="C1390" s="19">
        <v>25178876</v>
      </c>
      <c r="D1390" s="18" t="s">
        <v>209</v>
      </c>
      <c r="E1390" s="18" t="s">
        <v>398</v>
      </c>
      <c r="F1390" s="18" t="s">
        <v>1430</v>
      </c>
      <c r="G1390" s="19">
        <v>6812062</v>
      </c>
      <c r="H1390" s="18" t="s">
        <v>1430</v>
      </c>
      <c r="I1390" s="19">
        <v>5629576</v>
      </c>
      <c r="J1390" s="18" t="s">
        <v>1015</v>
      </c>
      <c r="K1390" s="19">
        <v>0</v>
      </c>
      <c r="L1390" s="19">
        <v>0</v>
      </c>
      <c r="M1390" s="19">
        <v>0</v>
      </c>
      <c r="N1390" s="20">
        <v>0</v>
      </c>
      <c r="O1390" s="19">
        <v>0</v>
      </c>
      <c r="P1390" s="19">
        <v>0</v>
      </c>
      <c r="Q1390" s="19">
        <v>0</v>
      </c>
      <c r="R1390" s="19">
        <v>0</v>
      </c>
      <c r="S1390" s="19">
        <v>0</v>
      </c>
      <c r="T1390" s="19">
        <v>0</v>
      </c>
      <c r="U1390" s="19">
        <v>0</v>
      </c>
      <c r="V1390" s="19">
        <v>0</v>
      </c>
      <c r="W1390" s="19">
        <v>0</v>
      </c>
      <c r="X1390" s="19">
        <v>0</v>
      </c>
      <c r="Y1390" s="20">
        <v>0</v>
      </c>
      <c r="Z1390" s="19">
        <v>0</v>
      </c>
      <c r="AA1390" s="19">
        <v>0</v>
      </c>
      <c r="AB1390" t="str">
        <f>VLOOKUP(E:E,笔记匹配!A:N,3,FALSE)</f>
        <v>蛋卷er</v>
      </c>
      <c r="AC1390" t="str">
        <f>VLOOKUP(E:E,笔记匹配!A:N,2,FALSE)</f>
        <v>筋膜枪</v>
      </c>
      <c r="AD1390" t="str">
        <f>VLOOKUP(E:E,笔记匹配!A:N,4,FALSE)</f>
        <v>云麦筋膜枪cc</v>
      </c>
      <c r="AE1390" t="str">
        <f>VLOOKUP(E:E,笔记匹配!A:N,14,FALSE)</f>
        <v>云麦筋膜枪cc</v>
      </c>
      <c r="AF1390" t="str">
        <f>VLOOKUP(E:E,笔记匹配!A:N,6,FALSE)</f>
        <v>筋膜枪测评！手把手教你正确选择筋膜枪！！</v>
      </c>
    </row>
    <row r="1391" spans="1:32">
      <c r="A1391" s="18" t="s">
        <v>181</v>
      </c>
      <c r="B1391" s="18" t="s">
        <v>385</v>
      </c>
      <c r="C1391" s="19">
        <v>25244107</v>
      </c>
      <c r="D1391" s="18" t="s">
        <v>209</v>
      </c>
      <c r="E1391" s="18" t="s">
        <v>385</v>
      </c>
      <c r="F1391" s="18" t="s">
        <v>1431</v>
      </c>
      <c r="G1391" s="19">
        <v>6841351</v>
      </c>
      <c r="H1391" s="18" t="s">
        <v>1431</v>
      </c>
      <c r="I1391" s="19">
        <v>5653063</v>
      </c>
      <c r="J1391" s="18" t="s">
        <v>1015</v>
      </c>
      <c r="K1391" s="19">
        <v>0</v>
      </c>
      <c r="L1391" s="19">
        <v>0</v>
      </c>
      <c r="M1391" s="19">
        <v>0</v>
      </c>
      <c r="N1391" s="20">
        <v>0</v>
      </c>
      <c r="O1391" s="19">
        <v>0</v>
      </c>
      <c r="P1391" s="19">
        <v>0</v>
      </c>
      <c r="Q1391" s="19">
        <v>0</v>
      </c>
      <c r="R1391" s="19">
        <v>0</v>
      </c>
      <c r="S1391" s="19">
        <v>0</v>
      </c>
      <c r="T1391" s="19">
        <v>0</v>
      </c>
      <c r="U1391" s="19">
        <v>0</v>
      </c>
      <c r="V1391" s="19">
        <v>0</v>
      </c>
      <c r="W1391" s="19">
        <v>0</v>
      </c>
      <c r="X1391" s="19">
        <v>0</v>
      </c>
      <c r="Y1391" s="20">
        <v>0</v>
      </c>
      <c r="Z1391" s="19">
        <v>0</v>
      </c>
      <c r="AA1391" s="19">
        <v>0</v>
      </c>
      <c r="AB1391" t="str">
        <f>VLOOKUP(E:E,笔记匹配!A:N,3,FALSE)</f>
        <v>一颗紫菜</v>
      </c>
      <c r="AC1391" t="str">
        <f>VLOOKUP(E:E,笔记匹配!A:N,2,FALSE)</f>
        <v>筋膜枪</v>
      </c>
      <c r="AD1391" t="str">
        <f>VLOOKUP(E:E,笔记匹配!A:N,4,FALSE)</f>
        <v>云麦筋膜枪cc</v>
      </c>
      <c r="AE1391" t="str">
        <f>VLOOKUP(E:E,笔记匹配!A:N,14,FALSE)</f>
        <v>云麦筋膜枪ccgo</v>
      </c>
      <c r="AF1391" t="str">
        <f>VLOOKUP(E:E,笔记匹配!A:N,6,FALSE)</f>
        <v>改善粗腿肌肉腿！宅家按摩神器轻松全款拿下！</v>
      </c>
    </row>
    <row r="1392" spans="1:32">
      <c r="A1392" s="18" t="s">
        <v>181</v>
      </c>
      <c r="B1392" s="18" t="s">
        <v>201</v>
      </c>
      <c r="C1392" s="19">
        <v>25314758</v>
      </c>
      <c r="D1392" s="18" t="s">
        <v>196</v>
      </c>
      <c r="E1392" s="18" t="s">
        <v>201</v>
      </c>
      <c r="F1392" s="18" t="s">
        <v>1432</v>
      </c>
      <c r="G1392" s="19">
        <v>6872965</v>
      </c>
      <c r="H1392" s="18" t="s">
        <v>1436</v>
      </c>
      <c r="I1392" s="19">
        <v>5677972</v>
      </c>
      <c r="J1392" s="18" t="s">
        <v>1015</v>
      </c>
      <c r="K1392" s="19">
        <v>203.12</v>
      </c>
      <c r="L1392" s="19">
        <v>3633</v>
      </c>
      <c r="M1392" s="19">
        <v>451</v>
      </c>
      <c r="N1392" s="20">
        <v>0.1241</v>
      </c>
      <c r="O1392" s="19">
        <v>0.45</v>
      </c>
      <c r="P1392" s="19">
        <v>55.91</v>
      </c>
      <c r="Q1392" s="19">
        <v>4</v>
      </c>
      <c r="R1392" s="19">
        <v>0</v>
      </c>
      <c r="S1392" s="19">
        <v>1</v>
      </c>
      <c r="T1392" s="19">
        <v>0</v>
      </c>
      <c r="U1392" s="19">
        <v>1</v>
      </c>
      <c r="V1392" s="19">
        <v>6</v>
      </c>
      <c r="W1392" s="19">
        <v>33.85</v>
      </c>
      <c r="X1392" s="19">
        <v>3</v>
      </c>
      <c r="Y1392" s="20">
        <v>0.0067</v>
      </c>
      <c r="Z1392" s="19">
        <v>1</v>
      </c>
      <c r="AA1392" s="19">
        <v>1</v>
      </c>
      <c r="AB1392" t="str">
        <f>VLOOKUP(E:E,笔记匹配!A:N,3,FALSE)</f>
        <v>包子熟了</v>
      </c>
      <c r="AC1392" t="str">
        <f>VLOOKUP(E:E,笔记匹配!A:N,2,FALSE)</f>
        <v>筋膜枪</v>
      </c>
      <c r="AD1392" t="str">
        <f>VLOOKUP(E:E,笔记匹配!A:N,4,FALSE)</f>
        <v>云麦筋膜枪</v>
      </c>
      <c r="AE1392" t="str">
        <f>VLOOKUP(E:E,笔记匹配!A:N,14,FALSE)</f>
        <v>云麦筋膜枪pb2</v>
      </c>
      <c r="AF1392" t="str">
        <f>VLOOKUP(E:E,笔记匹配!A:N,6,FALSE)</f>
        <v>筋膜枪测评|健身小白如何挑选筋膜枪？</v>
      </c>
    </row>
    <row r="1393" spans="1:32">
      <c r="A1393" s="18" t="s">
        <v>181</v>
      </c>
      <c r="B1393" s="18" t="s">
        <v>389</v>
      </c>
      <c r="C1393" s="19">
        <v>25315073</v>
      </c>
      <c r="D1393" s="18" t="s">
        <v>209</v>
      </c>
      <c r="E1393" s="18" t="s">
        <v>389</v>
      </c>
      <c r="F1393" s="18" t="s">
        <v>1435</v>
      </c>
      <c r="G1393" s="19">
        <v>6873109</v>
      </c>
      <c r="H1393" s="18" t="s">
        <v>1435</v>
      </c>
      <c r="I1393" s="19">
        <v>5678142</v>
      </c>
      <c r="J1393" s="18" t="s">
        <v>1015</v>
      </c>
      <c r="K1393" s="19">
        <v>0</v>
      </c>
      <c r="L1393" s="19">
        <v>0</v>
      </c>
      <c r="M1393" s="19">
        <v>0</v>
      </c>
      <c r="N1393" s="20">
        <v>0</v>
      </c>
      <c r="O1393" s="19">
        <v>0</v>
      </c>
      <c r="P1393" s="19">
        <v>0</v>
      </c>
      <c r="Q1393" s="19">
        <v>0</v>
      </c>
      <c r="R1393" s="19">
        <v>0</v>
      </c>
      <c r="S1393" s="19">
        <v>0</v>
      </c>
      <c r="T1393" s="19">
        <v>0</v>
      </c>
      <c r="U1393" s="19">
        <v>0</v>
      </c>
      <c r="V1393" s="19">
        <v>0</v>
      </c>
      <c r="W1393" s="19">
        <v>0</v>
      </c>
      <c r="X1393" s="19">
        <v>0</v>
      </c>
      <c r="Y1393" s="20">
        <v>0</v>
      </c>
      <c r="Z1393" s="19">
        <v>0</v>
      </c>
      <c r="AA1393" s="19">
        <v>0</v>
      </c>
      <c r="AB1393" t="str">
        <f>VLOOKUP(E:E,笔记匹配!A:N,3,FALSE)</f>
        <v>Morii</v>
      </c>
      <c r="AC1393" t="str">
        <f>VLOOKUP(E:E,笔记匹配!A:N,2,FALSE)</f>
        <v>跳绳</v>
      </c>
      <c r="AD1393" t="str">
        <f>VLOOKUP(E:E,笔记匹配!A:N,4,FALSE)</f>
        <v>云麦跳绳2go</v>
      </c>
      <c r="AE1393" t="str">
        <f>VLOOKUP(E:E,笔记匹配!A:N,14,FALSE)</f>
        <v>云麦跳绳2go</v>
      </c>
      <c r="AF1393" t="str">
        <f>VLOOKUP(E:E,笔记匹配!A:N,6,FALSE)</f>
        <v>跳出马甲线！一根无绳跳绳就够了</v>
      </c>
    </row>
    <row r="1394" spans="1:32">
      <c r="A1394" s="18" t="s">
        <v>181</v>
      </c>
      <c r="B1394" s="18" t="s">
        <v>403</v>
      </c>
      <c r="C1394" s="19">
        <v>25391742</v>
      </c>
      <c r="D1394" s="18" t="s">
        <v>209</v>
      </c>
      <c r="E1394" s="18" t="s">
        <v>403</v>
      </c>
      <c r="F1394" s="18" t="s">
        <v>1438</v>
      </c>
      <c r="G1394" s="19">
        <v>6908546</v>
      </c>
      <c r="H1394" s="18" t="s">
        <v>1438</v>
      </c>
      <c r="I1394" s="19">
        <v>5706379</v>
      </c>
      <c r="J1394" s="18" t="s">
        <v>1015</v>
      </c>
      <c r="K1394" s="19">
        <v>4.53</v>
      </c>
      <c r="L1394" s="19">
        <v>165</v>
      </c>
      <c r="M1394" s="19">
        <v>10</v>
      </c>
      <c r="N1394" s="20">
        <v>0.0606</v>
      </c>
      <c r="O1394" s="19">
        <v>0.45</v>
      </c>
      <c r="P1394" s="19">
        <v>27.45</v>
      </c>
      <c r="Q1394" s="19">
        <v>0</v>
      </c>
      <c r="R1394" s="19">
        <v>0</v>
      </c>
      <c r="S1394" s="19">
        <v>1</v>
      </c>
      <c r="T1394" s="19">
        <v>0</v>
      </c>
      <c r="U1394" s="19">
        <v>0</v>
      </c>
      <c r="V1394" s="19">
        <v>1</v>
      </c>
      <c r="W1394" s="19">
        <v>4.53</v>
      </c>
      <c r="X1394" s="19">
        <v>0</v>
      </c>
      <c r="Y1394" s="20">
        <v>0</v>
      </c>
      <c r="Z1394" s="19">
        <v>1</v>
      </c>
      <c r="AA1394" s="19">
        <v>0</v>
      </c>
      <c r="AB1394" t="str">
        <f>VLOOKUP(E:E,笔记匹配!A:N,3,FALSE)</f>
        <v>是33崽</v>
      </c>
      <c r="AC1394" t="str">
        <f>VLOOKUP(E:E,笔记匹配!A:N,2,FALSE)</f>
        <v>筋膜枪</v>
      </c>
      <c r="AD1394" t="str">
        <f>VLOOKUP(E:E,笔记匹配!A:N,4,FALSE)</f>
        <v>云麦筋膜枪cc</v>
      </c>
      <c r="AE1394" t="str">
        <f>VLOOKUP(E:E,笔记匹配!A:N,14,FALSE)</f>
        <v>云麦筋膜枪ccgo</v>
      </c>
      <c r="AF1394" t="str">
        <f>VLOOKUP(E:E,笔记匹配!A:N,6,FALSE)</f>
        <v>9命！介么可爱的筋膜枪！送到心坎上的礼物</v>
      </c>
    </row>
    <row r="1395" spans="1:32">
      <c r="A1395" s="18" t="s">
        <v>181</v>
      </c>
      <c r="B1395" s="18" t="s">
        <v>205</v>
      </c>
      <c r="C1395" s="19">
        <v>25485889</v>
      </c>
      <c r="D1395" s="18" t="s">
        <v>209</v>
      </c>
      <c r="E1395" s="18" t="s">
        <v>205</v>
      </c>
      <c r="F1395" s="18" t="s">
        <v>1439</v>
      </c>
      <c r="G1395" s="19">
        <v>6951868</v>
      </c>
      <c r="H1395" s="18" t="s">
        <v>1439</v>
      </c>
      <c r="I1395" s="19">
        <v>5740102</v>
      </c>
      <c r="J1395" s="18" t="s">
        <v>1015</v>
      </c>
      <c r="K1395" s="19">
        <v>303.48</v>
      </c>
      <c r="L1395" s="19">
        <v>12836</v>
      </c>
      <c r="M1395" s="19">
        <v>1120</v>
      </c>
      <c r="N1395" s="20">
        <v>0.0873</v>
      </c>
      <c r="O1395" s="19">
        <v>0.27</v>
      </c>
      <c r="P1395" s="19">
        <v>23.64</v>
      </c>
      <c r="Q1395" s="19">
        <v>85</v>
      </c>
      <c r="R1395" s="19">
        <v>0</v>
      </c>
      <c r="S1395" s="19">
        <v>92</v>
      </c>
      <c r="T1395" s="19">
        <v>5</v>
      </c>
      <c r="U1395" s="19">
        <v>5</v>
      </c>
      <c r="V1395" s="19">
        <v>187</v>
      </c>
      <c r="W1395" s="19">
        <v>1.62</v>
      </c>
      <c r="X1395" s="19">
        <v>0</v>
      </c>
      <c r="Y1395" s="20">
        <v>0</v>
      </c>
      <c r="Z1395" s="19">
        <v>1</v>
      </c>
      <c r="AA1395" s="19">
        <v>6</v>
      </c>
      <c r="AB1395" t="str">
        <f>VLOOKUP(E:E,笔记匹配!A:N,3,FALSE)</f>
        <v>马可乐cora</v>
      </c>
      <c r="AC1395" t="str">
        <f>VLOOKUP(E:E,笔记匹配!A:N,2,FALSE)</f>
        <v>筋膜枪</v>
      </c>
      <c r="AD1395" t="str">
        <f>VLOOKUP(E:E,笔记匹配!A:N,4,FALSE)</f>
        <v>云麦筋膜枪PB2</v>
      </c>
      <c r="AE1395" t="str">
        <f>VLOOKUP(E:E,笔记匹配!A:N,14,FALSE)</f>
        <v>云麦筋膜枪pb2</v>
      </c>
      <c r="AF1395" t="str">
        <f>VLOOKUP(E:E,笔记匹配!A:N,6,FALSE)</f>
        <v>跳操的姐妹听我的用筋膜枪放松下肢真的有用</v>
      </c>
    </row>
    <row r="1396" spans="1:32">
      <c r="A1396" s="18" t="s">
        <v>182</v>
      </c>
      <c r="B1396" s="18" t="s">
        <v>432</v>
      </c>
      <c r="C1396" s="19">
        <v>24941722</v>
      </c>
      <c r="D1396" s="18" t="s">
        <v>209</v>
      </c>
      <c r="E1396" s="18" t="s">
        <v>432</v>
      </c>
      <c r="F1396" s="18" t="s">
        <v>1420</v>
      </c>
      <c r="G1396" s="19">
        <v>6702577</v>
      </c>
      <c r="H1396" s="18" t="s">
        <v>1420</v>
      </c>
      <c r="I1396" s="19">
        <v>5544687</v>
      </c>
      <c r="J1396" s="18" t="s">
        <v>1015</v>
      </c>
      <c r="K1396" s="19">
        <v>0</v>
      </c>
      <c r="L1396" s="19">
        <v>0</v>
      </c>
      <c r="M1396" s="19">
        <v>0</v>
      </c>
      <c r="N1396" s="20">
        <v>0</v>
      </c>
      <c r="O1396" s="19">
        <v>0</v>
      </c>
      <c r="P1396" s="19">
        <v>0</v>
      </c>
      <c r="Q1396" s="19">
        <v>0</v>
      </c>
      <c r="R1396" s="19">
        <v>0</v>
      </c>
      <c r="S1396" s="19">
        <v>0</v>
      </c>
      <c r="T1396" s="19">
        <v>0</v>
      </c>
      <c r="U1396" s="19">
        <v>0</v>
      </c>
      <c r="V1396" s="19">
        <v>0</v>
      </c>
      <c r="W1396" s="19">
        <v>0</v>
      </c>
      <c r="X1396" s="19">
        <v>0</v>
      </c>
      <c r="Y1396" s="20">
        <v>0</v>
      </c>
      <c r="Z1396" s="19">
        <v>0</v>
      </c>
      <c r="AA1396" s="19">
        <v>0</v>
      </c>
      <c r="AB1396" t="str">
        <f>VLOOKUP(E:E,笔记匹配!A:N,3,FALSE)</f>
        <v>Miss小宝</v>
      </c>
      <c r="AC1396" t="str">
        <f>VLOOKUP(E:E,笔记匹配!A:N,2,FALSE)</f>
        <v>筋膜枪</v>
      </c>
      <c r="AD1396" t="str">
        <f>VLOOKUP(E:E,笔记匹配!A:N,4,FALSE)</f>
        <v>云麦筋膜枪pb2</v>
      </c>
      <c r="AE1396" t="str">
        <f>VLOOKUP(E:E,笔记匹配!A:N,14,FALSE)</f>
        <v>云麦筋膜枪pb2</v>
      </c>
      <c r="AF1396" t="str">
        <f>VLOOKUP(E:E,笔记匹配!A:N,6,FALSE)</f>
        <v>如何正确跑步不粗腿！正确跑步全攻略</v>
      </c>
    </row>
    <row r="1397" spans="1:32">
      <c r="A1397" s="18" t="s">
        <v>182</v>
      </c>
      <c r="B1397" s="18" t="s">
        <v>201</v>
      </c>
      <c r="C1397" s="19">
        <v>25066769</v>
      </c>
      <c r="D1397" s="18" t="s">
        <v>209</v>
      </c>
      <c r="E1397" s="18" t="s">
        <v>201</v>
      </c>
      <c r="F1397" s="18" t="s">
        <v>1423</v>
      </c>
      <c r="G1397" s="19">
        <v>6759811</v>
      </c>
      <c r="H1397" s="18" t="s">
        <v>1423</v>
      </c>
      <c r="I1397" s="19">
        <v>5588631</v>
      </c>
      <c r="J1397" s="18" t="s">
        <v>1015</v>
      </c>
      <c r="K1397" s="19">
        <v>0</v>
      </c>
      <c r="L1397" s="19">
        <v>0</v>
      </c>
      <c r="M1397" s="19">
        <v>0</v>
      </c>
      <c r="N1397" s="20">
        <v>0</v>
      </c>
      <c r="O1397" s="19">
        <v>0</v>
      </c>
      <c r="P1397" s="19">
        <v>0</v>
      </c>
      <c r="Q1397" s="19">
        <v>0</v>
      </c>
      <c r="R1397" s="19">
        <v>0</v>
      </c>
      <c r="S1397" s="19">
        <v>0</v>
      </c>
      <c r="T1397" s="19">
        <v>0</v>
      </c>
      <c r="U1397" s="19">
        <v>0</v>
      </c>
      <c r="V1397" s="19">
        <v>0</v>
      </c>
      <c r="W1397" s="19">
        <v>0</v>
      </c>
      <c r="X1397" s="19">
        <v>0</v>
      </c>
      <c r="Y1397" s="20">
        <v>0</v>
      </c>
      <c r="Z1397" s="19">
        <v>0</v>
      </c>
      <c r="AA1397" s="19">
        <v>0</v>
      </c>
      <c r="AB1397" t="str">
        <f>VLOOKUP(E:E,笔记匹配!A:N,3,FALSE)</f>
        <v>包子熟了</v>
      </c>
      <c r="AC1397" t="str">
        <f>VLOOKUP(E:E,笔记匹配!A:N,2,FALSE)</f>
        <v>筋膜枪</v>
      </c>
      <c r="AD1397" t="str">
        <f>VLOOKUP(E:E,笔记匹配!A:N,4,FALSE)</f>
        <v>云麦筋膜枪</v>
      </c>
      <c r="AE1397" t="str">
        <f>VLOOKUP(E:E,笔记匹配!A:N,14,FALSE)</f>
        <v>云麦筋膜枪pb2</v>
      </c>
      <c r="AF1397" t="str">
        <f>VLOOKUP(E:E,笔记匹配!A:N,6,FALSE)</f>
        <v>筋膜枪测评|健身小白如何挑选筋膜枪？</v>
      </c>
    </row>
    <row r="1398" spans="1:32">
      <c r="A1398" s="18" t="s">
        <v>182</v>
      </c>
      <c r="B1398" s="18" t="s">
        <v>220</v>
      </c>
      <c r="C1398" s="19">
        <v>25105925</v>
      </c>
      <c r="D1398" s="18" t="s">
        <v>209</v>
      </c>
      <c r="E1398" s="18" t="s">
        <v>220</v>
      </c>
      <c r="F1398" s="18" t="s">
        <v>1425</v>
      </c>
      <c r="G1398" s="19">
        <v>6779533</v>
      </c>
      <c r="H1398" s="18" t="s">
        <v>1425</v>
      </c>
      <c r="I1398" s="19">
        <v>5603469</v>
      </c>
      <c r="J1398" s="18" t="s">
        <v>1015</v>
      </c>
      <c r="K1398" s="19">
        <v>1506.84</v>
      </c>
      <c r="L1398" s="19">
        <v>75988</v>
      </c>
      <c r="M1398" s="19">
        <v>3810</v>
      </c>
      <c r="N1398" s="20">
        <v>0.0501</v>
      </c>
      <c r="O1398" s="19">
        <v>0.4</v>
      </c>
      <c r="P1398" s="19">
        <v>19.83</v>
      </c>
      <c r="Q1398" s="19">
        <v>263</v>
      </c>
      <c r="R1398" s="19">
        <v>1</v>
      </c>
      <c r="S1398" s="19">
        <v>103</v>
      </c>
      <c r="T1398" s="19">
        <v>1</v>
      </c>
      <c r="U1398" s="19">
        <v>6</v>
      </c>
      <c r="V1398" s="19">
        <v>374</v>
      </c>
      <c r="W1398" s="19">
        <v>4.03</v>
      </c>
      <c r="X1398" s="19">
        <v>0</v>
      </c>
      <c r="Y1398" s="20">
        <v>0</v>
      </c>
      <c r="Z1398" s="19">
        <v>12</v>
      </c>
      <c r="AA1398" s="19">
        <v>4</v>
      </c>
      <c r="AB1398" t="str">
        <f>VLOOKUP(E:E,笔记匹配!A:N,3,FALSE)</f>
        <v>一颗西兰花fa</v>
      </c>
      <c r="AC1398" t="str">
        <f>VLOOKUP(E:E,笔记匹配!A:N,2,FALSE)</f>
        <v>筋膜枪</v>
      </c>
      <c r="AD1398" t="str">
        <f>VLOOKUP(E:E,笔记匹配!A:N,4,FALSE)</f>
        <v>云麦筋膜枪PB2</v>
      </c>
      <c r="AE1398" t="str">
        <f>VLOOKUP(E:E,笔记匹配!A:N,14,FALSE)</f>
        <v>云麦筋膜枪pb2</v>
      </c>
      <c r="AF1398" t="str">
        <f>VLOOKUP(E:E,笔记匹配!A:N,6,FALSE)</f>
        <v>有没有姐妹跟我一样被肌肉腿困扰了好久！</v>
      </c>
    </row>
    <row r="1399" spans="1:32">
      <c r="A1399" s="18" t="s">
        <v>182</v>
      </c>
      <c r="B1399" s="18" t="s">
        <v>214</v>
      </c>
      <c r="C1399" s="19">
        <v>25105983</v>
      </c>
      <c r="D1399" s="18" t="s">
        <v>209</v>
      </c>
      <c r="E1399" s="18" t="s">
        <v>214</v>
      </c>
      <c r="F1399" s="18" t="s">
        <v>1426</v>
      </c>
      <c r="G1399" s="19">
        <v>6779552</v>
      </c>
      <c r="H1399" s="18" t="s">
        <v>1426</v>
      </c>
      <c r="I1399" s="19">
        <v>5603494</v>
      </c>
      <c r="J1399" s="18" t="s">
        <v>1015</v>
      </c>
      <c r="K1399" s="19">
        <v>1008.62</v>
      </c>
      <c r="L1399" s="19">
        <v>85983</v>
      </c>
      <c r="M1399" s="19">
        <v>5563</v>
      </c>
      <c r="N1399" s="20">
        <v>0.0647</v>
      </c>
      <c r="O1399" s="19">
        <v>0.18</v>
      </c>
      <c r="P1399" s="19">
        <v>11.73</v>
      </c>
      <c r="Q1399" s="19">
        <v>223</v>
      </c>
      <c r="R1399" s="19">
        <v>2</v>
      </c>
      <c r="S1399" s="19">
        <v>58</v>
      </c>
      <c r="T1399" s="19">
        <v>2</v>
      </c>
      <c r="U1399" s="19">
        <v>1</v>
      </c>
      <c r="V1399" s="19">
        <v>286</v>
      </c>
      <c r="W1399" s="19">
        <v>3.53</v>
      </c>
      <c r="X1399" s="19">
        <v>0</v>
      </c>
      <c r="Y1399" s="20">
        <v>0</v>
      </c>
      <c r="Z1399" s="19">
        <v>23</v>
      </c>
      <c r="AA1399" s="19">
        <v>17</v>
      </c>
      <c r="AB1399" t="str">
        <f>VLOOKUP(E:E,笔记匹配!A:N,3,FALSE)</f>
        <v>Zora張張</v>
      </c>
      <c r="AC1399" t="str">
        <f>VLOOKUP(E:E,笔记匹配!A:N,2,FALSE)</f>
        <v>筋膜枪</v>
      </c>
      <c r="AD1399" t="str">
        <f>VLOOKUP(E:E,笔记匹配!A:N,4,FALSE)</f>
        <v>云麦筋膜枪cc</v>
      </c>
      <c r="AE1399" t="str">
        <f>VLOOKUP(E:E,笔记匹配!A:N,14,FALSE)</f>
        <v>云麦筋膜枪ccgo</v>
      </c>
      <c r="AF1399" t="str">
        <f>VLOOKUP(E:E,笔记匹配!A:N,6,FALSE)</f>
        <v>宿舍姐妹花人手一个！这筋膜枪有点东西🧐</v>
      </c>
    </row>
    <row r="1400" spans="1:32">
      <c r="A1400" s="18" t="s">
        <v>182</v>
      </c>
      <c r="B1400" s="18" t="s">
        <v>258</v>
      </c>
      <c r="C1400" s="19">
        <v>25106098</v>
      </c>
      <c r="D1400" s="18" t="s">
        <v>209</v>
      </c>
      <c r="E1400" s="18" t="s">
        <v>258</v>
      </c>
      <c r="F1400" s="18" t="s">
        <v>1427</v>
      </c>
      <c r="G1400" s="19">
        <v>6779635</v>
      </c>
      <c r="H1400" s="18" t="s">
        <v>1427</v>
      </c>
      <c r="I1400" s="19">
        <v>5603554</v>
      </c>
      <c r="J1400" s="18" t="s">
        <v>1015</v>
      </c>
      <c r="K1400" s="19">
        <v>306.27</v>
      </c>
      <c r="L1400" s="19">
        <v>43646</v>
      </c>
      <c r="M1400" s="19">
        <v>4246</v>
      </c>
      <c r="N1400" s="20">
        <v>0.0973</v>
      </c>
      <c r="O1400" s="19">
        <v>0.07</v>
      </c>
      <c r="P1400" s="19">
        <v>7.02</v>
      </c>
      <c r="Q1400" s="19">
        <v>58</v>
      </c>
      <c r="R1400" s="19">
        <v>2</v>
      </c>
      <c r="S1400" s="19">
        <v>40</v>
      </c>
      <c r="T1400" s="19">
        <v>0</v>
      </c>
      <c r="U1400" s="19">
        <v>7</v>
      </c>
      <c r="V1400" s="19">
        <v>107</v>
      </c>
      <c r="W1400" s="19">
        <v>2.86</v>
      </c>
      <c r="X1400" s="19">
        <v>0</v>
      </c>
      <c r="Y1400" s="20">
        <v>0</v>
      </c>
      <c r="Z1400" s="19">
        <v>1</v>
      </c>
      <c r="AA1400" s="19">
        <v>1</v>
      </c>
      <c r="AB1400" t="str">
        <f>VLOOKUP(E:E,笔记匹配!A:N,3,FALSE)</f>
        <v>猪脚ivi</v>
      </c>
      <c r="AC1400" t="str">
        <f>VLOOKUP(E:E,笔记匹配!A:N,2,FALSE)</f>
        <v>跳绳</v>
      </c>
      <c r="AD1400" t="str">
        <f>VLOOKUP(E:E,笔记匹配!A:N,4,FALSE)</f>
        <v>云麦跳绳2go</v>
      </c>
      <c r="AE1400" t="str">
        <f>VLOOKUP(E:E,笔记匹配!A:N,14,FALSE)</f>
        <v>云麦跳绳2go</v>
      </c>
      <c r="AF1400" t="str">
        <f>VLOOKUP(E:E,笔记匹配!A:N,6,FALSE)</f>
        <v>跳绳全部流程‼️做好这些 腿想粗都难</v>
      </c>
    </row>
    <row r="1401" spans="1:32">
      <c r="A1401" s="18" t="s">
        <v>182</v>
      </c>
      <c r="B1401" s="18" t="s">
        <v>385</v>
      </c>
      <c r="C1401" s="19">
        <v>25244107</v>
      </c>
      <c r="D1401" s="18" t="s">
        <v>209</v>
      </c>
      <c r="E1401" s="18" t="s">
        <v>385</v>
      </c>
      <c r="F1401" s="18" t="s">
        <v>1431</v>
      </c>
      <c r="G1401" s="19">
        <v>6841351</v>
      </c>
      <c r="H1401" s="18" t="s">
        <v>1431</v>
      </c>
      <c r="I1401" s="19">
        <v>5653063</v>
      </c>
      <c r="J1401" s="18" t="s">
        <v>1015</v>
      </c>
      <c r="K1401" s="19">
        <v>0</v>
      </c>
      <c r="L1401" s="19">
        <v>0</v>
      </c>
      <c r="M1401" s="19">
        <v>0</v>
      </c>
      <c r="N1401" s="20">
        <v>0</v>
      </c>
      <c r="O1401" s="19">
        <v>0</v>
      </c>
      <c r="P1401" s="19">
        <v>0</v>
      </c>
      <c r="Q1401" s="19">
        <v>0</v>
      </c>
      <c r="R1401" s="19">
        <v>0</v>
      </c>
      <c r="S1401" s="19">
        <v>0</v>
      </c>
      <c r="T1401" s="19">
        <v>0</v>
      </c>
      <c r="U1401" s="19">
        <v>0</v>
      </c>
      <c r="V1401" s="19">
        <v>0</v>
      </c>
      <c r="W1401" s="19">
        <v>0</v>
      </c>
      <c r="X1401" s="19">
        <v>0</v>
      </c>
      <c r="Y1401" s="20">
        <v>0</v>
      </c>
      <c r="Z1401" s="19">
        <v>0</v>
      </c>
      <c r="AA1401" s="19">
        <v>0</v>
      </c>
      <c r="AB1401" t="str">
        <f>VLOOKUP(E:E,笔记匹配!A:N,3,FALSE)</f>
        <v>一颗紫菜</v>
      </c>
      <c r="AC1401" t="str">
        <f>VLOOKUP(E:E,笔记匹配!A:N,2,FALSE)</f>
        <v>筋膜枪</v>
      </c>
      <c r="AD1401" t="str">
        <f>VLOOKUP(E:E,笔记匹配!A:N,4,FALSE)</f>
        <v>云麦筋膜枪cc</v>
      </c>
      <c r="AE1401" t="str">
        <f>VLOOKUP(E:E,笔记匹配!A:N,14,FALSE)</f>
        <v>云麦筋膜枪ccgo</v>
      </c>
      <c r="AF1401" t="str">
        <f>VLOOKUP(E:E,笔记匹配!A:N,6,FALSE)</f>
        <v>改善粗腿肌肉腿！宅家按摩神器轻松全款拿下！</v>
      </c>
    </row>
    <row r="1402" spans="1:32">
      <c r="A1402" s="18" t="s">
        <v>182</v>
      </c>
      <c r="B1402" s="18" t="s">
        <v>201</v>
      </c>
      <c r="C1402" s="19">
        <v>25314758</v>
      </c>
      <c r="D1402" s="18" t="s">
        <v>196</v>
      </c>
      <c r="E1402" s="18" t="s">
        <v>201</v>
      </c>
      <c r="F1402" s="18" t="s">
        <v>1432</v>
      </c>
      <c r="G1402" s="19">
        <v>6872965</v>
      </c>
      <c r="H1402" s="18" t="s">
        <v>1436</v>
      </c>
      <c r="I1402" s="19">
        <v>5677972</v>
      </c>
      <c r="J1402" s="18" t="s">
        <v>1015</v>
      </c>
      <c r="K1402" s="19">
        <v>508.71</v>
      </c>
      <c r="L1402" s="19">
        <v>8309</v>
      </c>
      <c r="M1402" s="19">
        <v>1121</v>
      </c>
      <c r="N1402" s="20">
        <v>0.1349</v>
      </c>
      <c r="O1402" s="19">
        <v>0.45</v>
      </c>
      <c r="P1402" s="19">
        <v>61.22</v>
      </c>
      <c r="Q1402" s="19">
        <v>3</v>
      </c>
      <c r="R1402" s="19">
        <v>0</v>
      </c>
      <c r="S1402" s="19">
        <v>4</v>
      </c>
      <c r="T1402" s="19">
        <v>0</v>
      </c>
      <c r="U1402" s="19">
        <v>1</v>
      </c>
      <c r="V1402" s="19">
        <v>8</v>
      </c>
      <c r="W1402" s="19">
        <v>63.59</v>
      </c>
      <c r="X1402" s="19">
        <v>14</v>
      </c>
      <c r="Y1402" s="20">
        <v>0.0125</v>
      </c>
      <c r="Z1402" s="19">
        <v>8</v>
      </c>
      <c r="AA1402" s="19">
        <v>7</v>
      </c>
      <c r="AB1402" t="str">
        <f>VLOOKUP(E:E,笔记匹配!A:N,3,FALSE)</f>
        <v>包子熟了</v>
      </c>
      <c r="AC1402" t="str">
        <f>VLOOKUP(E:E,笔记匹配!A:N,2,FALSE)</f>
        <v>筋膜枪</v>
      </c>
      <c r="AD1402" t="str">
        <f>VLOOKUP(E:E,笔记匹配!A:N,4,FALSE)</f>
        <v>云麦筋膜枪</v>
      </c>
      <c r="AE1402" t="str">
        <f>VLOOKUP(E:E,笔记匹配!A:N,14,FALSE)</f>
        <v>云麦筋膜枪pb2</v>
      </c>
      <c r="AF1402" t="str">
        <f>VLOOKUP(E:E,笔记匹配!A:N,6,FALSE)</f>
        <v>筋膜枪测评|健身小白如何挑选筋膜枪？</v>
      </c>
    </row>
    <row r="1403" spans="1:32">
      <c r="A1403" s="18" t="s">
        <v>182</v>
      </c>
      <c r="B1403" s="18" t="s">
        <v>205</v>
      </c>
      <c r="C1403" s="19">
        <v>25485889</v>
      </c>
      <c r="D1403" s="18" t="s">
        <v>209</v>
      </c>
      <c r="E1403" s="18" t="s">
        <v>205</v>
      </c>
      <c r="F1403" s="18" t="s">
        <v>1439</v>
      </c>
      <c r="G1403" s="19">
        <v>6951868</v>
      </c>
      <c r="H1403" s="18" t="s">
        <v>1439</v>
      </c>
      <c r="I1403" s="19">
        <v>5740102</v>
      </c>
      <c r="J1403" s="18" t="s">
        <v>1015</v>
      </c>
      <c r="K1403" s="19">
        <v>0.37</v>
      </c>
      <c r="L1403" s="19">
        <v>20</v>
      </c>
      <c r="M1403" s="19">
        <v>2</v>
      </c>
      <c r="N1403" s="20">
        <v>0.1</v>
      </c>
      <c r="O1403" s="19">
        <v>0.18</v>
      </c>
      <c r="P1403" s="19">
        <v>18.5</v>
      </c>
      <c r="Q1403" s="19">
        <v>0</v>
      </c>
      <c r="R1403" s="19">
        <v>0</v>
      </c>
      <c r="S1403" s="19">
        <v>0</v>
      </c>
      <c r="T1403" s="19">
        <v>0</v>
      </c>
      <c r="U1403" s="19">
        <v>0</v>
      </c>
      <c r="V1403" s="19">
        <v>0</v>
      </c>
      <c r="W1403" s="19">
        <v>0</v>
      </c>
      <c r="X1403" s="19">
        <v>0</v>
      </c>
      <c r="Y1403" s="20">
        <v>0</v>
      </c>
      <c r="Z1403" s="19">
        <v>0</v>
      </c>
      <c r="AA1403" s="19">
        <v>0</v>
      </c>
      <c r="AB1403" t="str">
        <f>VLOOKUP(E:E,笔记匹配!A:N,3,FALSE)</f>
        <v>马可乐cora</v>
      </c>
      <c r="AC1403" t="str">
        <f>VLOOKUP(E:E,笔记匹配!A:N,2,FALSE)</f>
        <v>筋膜枪</v>
      </c>
      <c r="AD1403" t="str">
        <f>VLOOKUP(E:E,笔记匹配!A:N,4,FALSE)</f>
        <v>云麦筋膜枪PB2</v>
      </c>
      <c r="AE1403" t="str">
        <f>VLOOKUP(E:E,笔记匹配!A:N,14,FALSE)</f>
        <v>云麦筋膜枪pb2</v>
      </c>
      <c r="AF1403" t="str">
        <f>VLOOKUP(E:E,笔记匹配!A:N,6,FALSE)</f>
        <v>跳操的姐妹听我的用筋膜枪放松下肢真的有用</v>
      </c>
    </row>
    <row r="1404" spans="1:32">
      <c r="A1404" s="18" t="s">
        <v>183</v>
      </c>
      <c r="B1404" s="18" t="s">
        <v>1286</v>
      </c>
      <c r="C1404" s="19">
        <v>21600849</v>
      </c>
      <c r="D1404" s="18" t="s">
        <v>209</v>
      </c>
      <c r="E1404" s="18" t="s">
        <v>303</v>
      </c>
      <c r="F1404" s="18" t="s">
        <v>1288</v>
      </c>
      <c r="G1404" s="19">
        <v>5300358</v>
      </c>
      <c r="H1404" s="18" t="s">
        <v>1288</v>
      </c>
      <c r="I1404" s="19">
        <v>4462859</v>
      </c>
      <c r="J1404" s="18" t="s">
        <v>1015</v>
      </c>
      <c r="K1404" s="19">
        <v>0</v>
      </c>
      <c r="L1404" s="19">
        <v>0</v>
      </c>
      <c r="M1404" s="19">
        <v>0</v>
      </c>
      <c r="N1404" s="20">
        <v>0</v>
      </c>
      <c r="O1404" s="19">
        <v>0</v>
      </c>
      <c r="P1404" s="19">
        <v>0</v>
      </c>
      <c r="Q1404" s="19">
        <v>0</v>
      </c>
      <c r="R1404" s="19">
        <v>0</v>
      </c>
      <c r="S1404" s="19">
        <v>0</v>
      </c>
      <c r="T1404" s="19">
        <v>0</v>
      </c>
      <c r="U1404" s="19">
        <v>0</v>
      </c>
      <c r="V1404" s="19">
        <v>0</v>
      </c>
      <c r="W1404" s="19">
        <v>0</v>
      </c>
      <c r="X1404" s="19">
        <v>0</v>
      </c>
      <c r="Y1404" s="20">
        <v>0</v>
      </c>
      <c r="Z1404" s="19">
        <v>0</v>
      </c>
      <c r="AA1404" s="19">
        <v>0</v>
      </c>
      <c r="AB1404" t="str">
        <f>VLOOKUP(E:E,笔记匹配!A:N,3,FALSE)</f>
        <v>橘子汽水</v>
      </c>
      <c r="AC1404" t="str">
        <f>VLOOKUP(E:E,笔记匹配!A:N,2,FALSE)</f>
        <v>体脂秤</v>
      </c>
      <c r="AD1404" t="str">
        <f>VLOOKUP(E:E,笔记匹配!A:N,4,FALSE)</f>
        <v>云麦体脂秤3mini</v>
      </c>
      <c r="AE1404" t="str">
        <f>VLOOKUP(E:E,笔记匹配!A:N,14,FALSE)</f>
        <v>云麦体脂秤3mini</v>
      </c>
      <c r="AF1404" t="str">
        <f>VLOOKUP(E:E,笔记匹配!A:N,6,FALSE)</f>
        <v>请一定要相信帕梅拉虐腹，效果是真的🉑❗</v>
      </c>
    </row>
    <row r="1405" spans="1:32">
      <c r="A1405" s="18" t="s">
        <v>183</v>
      </c>
      <c r="B1405" s="18" t="s">
        <v>220</v>
      </c>
      <c r="C1405" s="19">
        <v>25105925</v>
      </c>
      <c r="D1405" s="18" t="s">
        <v>209</v>
      </c>
      <c r="E1405" s="18" t="s">
        <v>220</v>
      </c>
      <c r="F1405" s="18" t="s">
        <v>1425</v>
      </c>
      <c r="G1405" s="19">
        <v>6779533</v>
      </c>
      <c r="H1405" s="18" t="s">
        <v>1425</v>
      </c>
      <c r="I1405" s="19">
        <v>5603469</v>
      </c>
      <c r="J1405" s="18" t="s">
        <v>1015</v>
      </c>
      <c r="K1405" s="19">
        <v>1489.96</v>
      </c>
      <c r="L1405" s="19">
        <v>86259</v>
      </c>
      <c r="M1405" s="19">
        <v>3969</v>
      </c>
      <c r="N1405" s="20">
        <v>0.046</v>
      </c>
      <c r="O1405" s="19">
        <v>0.38</v>
      </c>
      <c r="P1405" s="19">
        <v>17.27</v>
      </c>
      <c r="Q1405" s="19">
        <v>243</v>
      </c>
      <c r="R1405" s="19">
        <v>1</v>
      </c>
      <c r="S1405" s="19">
        <v>84</v>
      </c>
      <c r="T1405" s="19">
        <v>0</v>
      </c>
      <c r="U1405" s="19">
        <v>5</v>
      </c>
      <c r="V1405" s="19">
        <v>333</v>
      </c>
      <c r="W1405" s="19">
        <v>4.47</v>
      </c>
      <c r="X1405" s="19">
        <v>0</v>
      </c>
      <c r="Y1405" s="20">
        <v>0</v>
      </c>
      <c r="Z1405" s="19">
        <v>16</v>
      </c>
      <c r="AA1405" s="19">
        <v>4</v>
      </c>
      <c r="AB1405" t="str">
        <f>VLOOKUP(E:E,笔记匹配!A:N,3,FALSE)</f>
        <v>一颗西兰花fa</v>
      </c>
      <c r="AC1405" t="str">
        <f>VLOOKUP(E:E,笔记匹配!A:N,2,FALSE)</f>
        <v>筋膜枪</v>
      </c>
      <c r="AD1405" t="str">
        <f>VLOOKUP(E:E,笔记匹配!A:N,4,FALSE)</f>
        <v>云麦筋膜枪PB2</v>
      </c>
      <c r="AE1405" t="str">
        <f>VLOOKUP(E:E,笔记匹配!A:N,14,FALSE)</f>
        <v>云麦筋膜枪pb2</v>
      </c>
      <c r="AF1405" t="str">
        <f>VLOOKUP(E:E,笔记匹配!A:N,6,FALSE)</f>
        <v>有没有姐妹跟我一样被肌肉腿困扰了好久！</v>
      </c>
    </row>
    <row r="1406" spans="1:32">
      <c r="A1406" s="18" t="s">
        <v>183</v>
      </c>
      <c r="B1406" s="18" t="s">
        <v>214</v>
      </c>
      <c r="C1406" s="19">
        <v>25105983</v>
      </c>
      <c r="D1406" s="18" t="s">
        <v>209</v>
      </c>
      <c r="E1406" s="18" t="s">
        <v>214</v>
      </c>
      <c r="F1406" s="18" t="s">
        <v>1426</v>
      </c>
      <c r="G1406" s="19">
        <v>6779552</v>
      </c>
      <c r="H1406" s="18" t="s">
        <v>1426</v>
      </c>
      <c r="I1406" s="19">
        <v>5603494</v>
      </c>
      <c r="J1406" s="18" t="s">
        <v>1015</v>
      </c>
      <c r="K1406" s="19">
        <v>1217.46</v>
      </c>
      <c r="L1406" s="19">
        <v>116806</v>
      </c>
      <c r="M1406" s="19">
        <v>6858</v>
      </c>
      <c r="N1406" s="20">
        <v>0.0587</v>
      </c>
      <c r="O1406" s="19">
        <v>0.18</v>
      </c>
      <c r="P1406" s="19">
        <v>10.42</v>
      </c>
      <c r="Q1406" s="19">
        <v>240</v>
      </c>
      <c r="R1406" s="19">
        <v>3</v>
      </c>
      <c r="S1406" s="19">
        <v>65</v>
      </c>
      <c r="T1406" s="19">
        <v>1</v>
      </c>
      <c r="U1406" s="19">
        <v>3</v>
      </c>
      <c r="V1406" s="19">
        <v>312</v>
      </c>
      <c r="W1406" s="19">
        <v>3.9</v>
      </c>
      <c r="X1406" s="19">
        <v>0</v>
      </c>
      <c r="Y1406" s="20">
        <v>0</v>
      </c>
      <c r="Z1406" s="19">
        <v>15</v>
      </c>
      <c r="AA1406" s="19">
        <v>18</v>
      </c>
      <c r="AB1406" t="str">
        <f>VLOOKUP(E:E,笔记匹配!A:N,3,FALSE)</f>
        <v>Zora張張</v>
      </c>
      <c r="AC1406" t="str">
        <f>VLOOKUP(E:E,笔记匹配!A:N,2,FALSE)</f>
        <v>筋膜枪</v>
      </c>
      <c r="AD1406" t="str">
        <f>VLOOKUP(E:E,笔记匹配!A:N,4,FALSE)</f>
        <v>云麦筋膜枪cc</v>
      </c>
      <c r="AE1406" t="str">
        <f>VLOOKUP(E:E,笔记匹配!A:N,14,FALSE)</f>
        <v>云麦筋膜枪ccgo</v>
      </c>
      <c r="AF1406" t="str">
        <f>VLOOKUP(E:E,笔记匹配!A:N,6,FALSE)</f>
        <v>宿舍姐妹花人手一个！这筋膜枪有点东西🧐</v>
      </c>
    </row>
    <row r="1407" spans="1:32">
      <c r="A1407" s="18" t="s">
        <v>183</v>
      </c>
      <c r="B1407" s="18" t="s">
        <v>258</v>
      </c>
      <c r="C1407" s="19">
        <v>25106098</v>
      </c>
      <c r="D1407" s="18" t="s">
        <v>209</v>
      </c>
      <c r="E1407" s="18" t="s">
        <v>258</v>
      </c>
      <c r="F1407" s="18" t="s">
        <v>1427</v>
      </c>
      <c r="G1407" s="19">
        <v>6779635</v>
      </c>
      <c r="H1407" s="18" t="s">
        <v>1427</v>
      </c>
      <c r="I1407" s="19">
        <v>5603554</v>
      </c>
      <c r="J1407" s="18" t="s">
        <v>1015</v>
      </c>
      <c r="K1407" s="19">
        <v>324.24</v>
      </c>
      <c r="L1407" s="19">
        <v>45212</v>
      </c>
      <c r="M1407" s="19">
        <v>4331</v>
      </c>
      <c r="N1407" s="20">
        <v>0.0958</v>
      </c>
      <c r="O1407" s="19">
        <v>0.07</v>
      </c>
      <c r="P1407" s="19">
        <v>7.17</v>
      </c>
      <c r="Q1407" s="19">
        <v>67</v>
      </c>
      <c r="R1407" s="19">
        <v>2</v>
      </c>
      <c r="S1407" s="19">
        <v>45</v>
      </c>
      <c r="T1407" s="19">
        <v>2</v>
      </c>
      <c r="U1407" s="19">
        <v>3</v>
      </c>
      <c r="V1407" s="19">
        <v>119</v>
      </c>
      <c r="W1407" s="19">
        <v>2.72</v>
      </c>
      <c r="X1407" s="19">
        <v>0</v>
      </c>
      <c r="Y1407" s="20">
        <v>0</v>
      </c>
      <c r="Z1407" s="19">
        <v>2</v>
      </c>
      <c r="AA1407" s="19">
        <v>2</v>
      </c>
      <c r="AB1407" t="str">
        <f>VLOOKUP(E:E,笔记匹配!A:N,3,FALSE)</f>
        <v>猪脚ivi</v>
      </c>
      <c r="AC1407" t="str">
        <f>VLOOKUP(E:E,笔记匹配!A:N,2,FALSE)</f>
        <v>跳绳</v>
      </c>
      <c r="AD1407" t="str">
        <f>VLOOKUP(E:E,笔记匹配!A:N,4,FALSE)</f>
        <v>云麦跳绳2go</v>
      </c>
      <c r="AE1407" t="str">
        <f>VLOOKUP(E:E,笔记匹配!A:N,14,FALSE)</f>
        <v>云麦跳绳2go</v>
      </c>
      <c r="AF1407" t="str">
        <f>VLOOKUP(E:E,笔记匹配!A:N,6,FALSE)</f>
        <v>跳绳全部流程‼️做好这些 腿想粗都难</v>
      </c>
    </row>
    <row r="1408" spans="1:32">
      <c r="A1408" s="18" t="s">
        <v>183</v>
      </c>
      <c r="B1408" s="18" t="s">
        <v>208</v>
      </c>
      <c r="C1408" s="19">
        <v>25178456</v>
      </c>
      <c r="D1408" s="18" t="s">
        <v>209</v>
      </c>
      <c r="E1408" s="18" t="s">
        <v>208</v>
      </c>
      <c r="F1408" s="18" t="s">
        <v>1428</v>
      </c>
      <c r="G1408" s="19">
        <v>6811834</v>
      </c>
      <c r="H1408" s="18" t="s">
        <v>1428</v>
      </c>
      <c r="I1408" s="19">
        <v>5629385</v>
      </c>
      <c r="J1408" s="18" t="s">
        <v>1015</v>
      </c>
      <c r="K1408" s="19">
        <v>685.94</v>
      </c>
      <c r="L1408" s="19">
        <v>46462</v>
      </c>
      <c r="M1408" s="19">
        <v>3067</v>
      </c>
      <c r="N1408" s="20">
        <v>0.066</v>
      </c>
      <c r="O1408" s="19">
        <v>0.22</v>
      </c>
      <c r="P1408" s="19">
        <v>14.76</v>
      </c>
      <c r="Q1408" s="19">
        <v>92</v>
      </c>
      <c r="R1408" s="19">
        <v>1</v>
      </c>
      <c r="S1408" s="19">
        <v>47</v>
      </c>
      <c r="T1408" s="19">
        <v>2</v>
      </c>
      <c r="U1408" s="19">
        <v>4</v>
      </c>
      <c r="V1408" s="19">
        <v>146</v>
      </c>
      <c r="W1408" s="19">
        <v>4.7</v>
      </c>
      <c r="X1408" s="19">
        <v>0</v>
      </c>
      <c r="Y1408" s="20">
        <v>0</v>
      </c>
      <c r="Z1408" s="19">
        <v>6</v>
      </c>
      <c r="AA1408" s="19">
        <v>1</v>
      </c>
      <c r="AB1408" t="str">
        <f>VLOOKUP(E:E,笔记匹配!A:N,3,FALSE)</f>
        <v>小羊羔崽子</v>
      </c>
      <c r="AC1408" t="str">
        <f>VLOOKUP(E:E,笔记匹配!A:N,2,FALSE)</f>
        <v>筋膜枪</v>
      </c>
      <c r="AD1408" t="str">
        <f>VLOOKUP(E:E,笔记匹配!A:N,4,FALSE)</f>
        <v>云麦筋膜枪PB2</v>
      </c>
      <c r="AE1408" t="str">
        <f>VLOOKUP(E:E,笔记匹配!A:N,14,FALSE)</f>
        <v>云麦筋膜枪pb2</v>
      </c>
      <c r="AF1408" t="str">
        <f>VLOOKUP(E:E,笔记匹配!A:N,6,FALSE)</f>
        <v>用了多年泡沫轴，才知道筋膜枪是真的香！！！</v>
      </c>
    </row>
    <row r="1409" spans="1:32">
      <c r="A1409" s="18" t="s">
        <v>183</v>
      </c>
      <c r="B1409" s="18" t="s">
        <v>385</v>
      </c>
      <c r="C1409" s="19">
        <v>25244107</v>
      </c>
      <c r="D1409" s="18" t="s">
        <v>209</v>
      </c>
      <c r="E1409" s="18" t="s">
        <v>385</v>
      </c>
      <c r="F1409" s="18" t="s">
        <v>1431</v>
      </c>
      <c r="G1409" s="19">
        <v>6841351</v>
      </c>
      <c r="H1409" s="18" t="s">
        <v>1431</v>
      </c>
      <c r="I1409" s="19">
        <v>5653063</v>
      </c>
      <c r="J1409" s="18" t="s">
        <v>1015</v>
      </c>
      <c r="K1409" s="19">
        <v>0</v>
      </c>
      <c r="L1409" s="19">
        <v>0</v>
      </c>
      <c r="M1409" s="19">
        <v>0</v>
      </c>
      <c r="N1409" s="20">
        <v>0</v>
      </c>
      <c r="O1409" s="19">
        <v>0</v>
      </c>
      <c r="P1409" s="19">
        <v>0</v>
      </c>
      <c r="Q1409" s="19">
        <v>0</v>
      </c>
      <c r="R1409" s="19">
        <v>0</v>
      </c>
      <c r="S1409" s="19">
        <v>0</v>
      </c>
      <c r="T1409" s="19">
        <v>0</v>
      </c>
      <c r="U1409" s="19">
        <v>0</v>
      </c>
      <c r="V1409" s="19">
        <v>0</v>
      </c>
      <c r="W1409" s="19">
        <v>0</v>
      </c>
      <c r="X1409" s="19">
        <v>0</v>
      </c>
      <c r="Y1409" s="20">
        <v>0</v>
      </c>
      <c r="Z1409" s="19">
        <v>0</v>
      </c>
      <c r="AA1409" s="19">
        <v>0</v>
      </c>
      <c r="AB1409" t="str">
        <f>VLOOKUP(E:E,笔记匹配!A:N,3,FALSE)</f>
        <v>一颗紫菜</v>
      </c>
      <c r="AC1409" t="str">
        <f>VLOOKUP(E:E,笔记匹配!A:N,2,FALSE)</f>
        <v>筋膜枪</v>
      </c>
      <c r="AD1409" t="str">
        <f>VLOOKUP(E:E,笔记匹配!A:N,4,FALSE)</f>
        <v>云麦筋膜枪cc</v>
      </c>
      <c r="AE1409" t="str">
        <f>VLOOKUP(E:E,笔记匹配!A:N,14,FALSE)</f>
        <v>云麦筋膜枪ccgo</v>
      </c>
      <c r="AF1409" t="str">
        <f>VLOOKUP(E:E,笔记匹配!A:N,6,FALSE)</f>
        <v>改善粗腿肌肉腿！宅家按摩神器轻松全款拿下！</v>
      </c>
    </row>
    <row r="1410" spans="1:32">
      <c r="A1410" s="18" t="s">
        <v>183</v>
      </c>
      <c r="B1410" s="18" t="s">
        <v>201</v>
      </c>
      <c r="C1410" s="19">
        <v>25314758</v>
      </c>
      <c r="D1410" s="18" t="s">
        <v>196</v>
      </c>
      <c r="E1410" s="18" t="s">
        <v>201</v>
      </c>
      <c r="F1410" s="18" t="s">
        <v>1432</v>
      </c>
      <c r="G1410" s="19">
        <v>6872965</v>
      </c>
      <c r="H1410" s="18" t="s">
        <v>1436</v>
      </c>
      <c r="I1410" s="19">
        <v>5677972</v>
      </c>
      <c r="J1410" s="18" t="s">
        <v>1015</v>
      </c>
      <c r="K1410" s="19">
        <v>373.62</v>
      </c>
      <c r="L1410" s="19">
        <v>7567</v>
      </c>
      <c r="M1410" s="19">
        <v>826</v>
      </c>
      <c r="N1410" s="20">
        <v>0.1092</v>
      </c>
      <c r="O1410" s="19">
        <v>0.45</v>
      </c>
      <c r="P1410" s="19">
        <v>49.37</v>
      </c>
      <c r="Q1410" s="19">
        <v>5</v>
      </c>
      <c r="R1410" s="19">
        <v>0</v>
      </c>
      <c r="S1410" s="19">
        <v>0</v>
      </c>
      <c r="T1410" s="19">
        <v>0</v>
      </c>
      <c r="U1410" s="19">
        <v>1</v>
      </c>
      <c r="V1410" s="19">
        <v>6</v>
      </c>
      <c r="W1410" s="19">
        <v>62.27</v>
      </c>
      <c r="X1410" s="19">
        <v>8</v>
      </c>
      <c r="Y1410" s="20">
        <v>0.0097</v>
      </c>
      <c r="Z1410" s="19">
        <v>3</v>
      </c>
      <c r="AA1410" s="19">
        <v>1</v>
      </c>
      <c r="AB1410" t="str">
        <f>VLOOKUP(E:E,笔记匹配!A:N,3,FALSE)</f>
        <v>包子熟了</v>
      </c>
      <c r="AC1410" t="str">
        <f>VLOOKUP(E:E,笔记匹配!A:N,2,FALSE)</f>
        <v>筋膜枪</v>
      </c>
      <c r="AD1410" t="str">
        <f>VLOOKUP(E:E,笔记匹配!A:N,4,FALSE)</f>
        <v>云麦筋膜枪</v>
      </c>
      <c r="AE1410" t="str">
        <f>VLOOKUP(E:E,笔记匹配!A:N,14,FALSE)</f>
        <v>云麦筋膜枪pb2</v>
      </c>
      <c r="AF1410" t="str">
        <f>VLOOKUP(E:E,笔记匹配!A:N,6,FALSE)</f>
        <v>筋膜枪测评|健身小白如何挑选筋膜枪？</v>
      </c>
    </row>
    <row r="1411" spans="1:32">
      <c r="A1411" s="18" t="s">
        <v>184</v>
      </c>
      <c r="B1411" s="18" t="s">
        <v>1264</v>
      </c>
      <c r="C1411" s="19">
        <v>21203504</v>
      </c>
      <c r="D1411" s="18" t="s">
        <v>209</v>
      </c>
      <c r="E1411" s="18" t="s">
        <v>220</v>
      </c>
      <c r="F1411" s="18" t="s">
        <v>1265</v>
      </c>
      <c r="G1411" s="19">
        <v>5116446</v>
      </c>
      <c r="H1411" s="18" t="s">
        <v>1265</v>
      </c>
      <c r="I1411" s="19">
        <v>4323752</v>
      </c>
      <c r="J1411" s="18" t="s">
        <v>1015</v>
      </c>
      <c r="K1411" s="19">
        <v>0</v>
      </c>
      <c r="L1411" s="19">
        <v>0</v>
      </c>
      <c r="M1411" s="19">
        <v>0</v>
      </c>
      <c r="N1411" s="20">
        <v>0</v>
      </c>
      <c r="O1411" s="19">
        <v>0</v>
      </c>
      <c r="P1411" s="19">
        <v>0</v>
      </c>
      <c r="Q1411" s="19">
        <v>0</v>
      </c>
      <c r="R1411" s="19">
        <v>0</v>
      </c>
      <c r="S1411" s="19">
        <v>0</v>
      </c>
      <c r="T1411" s="19">
        <v>0</v>
      </c>
      <c r="U1411" s="19">
        <v>0</v>
      </c>
      <c r="V1411" s="19">
        <v>0</v>
      </c>
      <c r="W1411" s="19">
        <v>0</v>
      </c>
      <c r="X1411" s="19">
        <v>0</v>
      </c>
      <c r="Y1411" s="20">
        <v>0</v>
      </c>
      <c r="Z1411" s="19">
        <v>0</v>
      </c>
      <c r="AA1411" s="19">
        <v>0</v>
      </c>
      <c r="AB1411" t="str">
        <f>VLOOKUP(E:E,笔记匹配!A:N,3,FALSE)</f>
        <v>一颗西兰花fa</v>
      </c>
      <c r="AC1411" t="str">
        <f>VLOOKUP(E:E,笔记匹配!A:N,2,FALSE)</f>
        <v>筋膜枪</v>
      </c>
      <c r="AD1411" t="str">
        <f>VLOOKUP(E:E,笔记匹配!A:N,4,FALSE)</f>
        <v>云麦筋膜枪PB2</v>
      </c>
      <c r="AE1411" t="str">
        <f>VLOOKUP(E:E,笔记匹配!A:N,14,FALSE)</f>
        <v>云麦筋膜枪pb2</v>
      </c>
      <c r="AF1411" t="str">
        <f>VLOOKUP(E:E,笔记匹配!A:N,6,FALSE)</f>
        <v>有没有姐妹跟我一样被肌肉腿困扰了好久！</v>
      </c>
    </row>
    <row r="1412" spans="1:32">
      <c r="A1412" s="18" t="s">
        <v>184</v>
      </c>
      <c r="B1412" s="18" t="s">
        <v>220</v>
      </c>
      <c r="C1412" s="19">
        <v>25105925</v>
      </c>
      <c r="D1412" s="18" t="s">
        <v>209</v>
      </c>
      <c r="E1412" s="18" t="s">
        <v>220</v>
      </c>
      <c r="F1412" s="18" t="s">
        <v>1425</v>
      </c>
      <c r="G1412" s="19">
        <v>6779533</v>
      </c>
      <c r="H1412" s="18" t="s">
        <v>1425</v>
      </c>
      <c r="I1412" s="19">
        <v>5603469</v>
      </c>
      <c r="J1412" s="18" t="s">
        <v>1015</v>
      </c>
      <c r="K1412" s="19">
        <v>962.63</v>
      </c>
      <c r="L1412" s="19">
        <v>49519</v>
      </c>
      <c r="M1412" s="19">
        <v>2340</v>
      </c>
      <c r="N1412" s="20">
        <v>0.0473</v>
      </c>
      <c r="O1412" s="19">
        <v>0.41</v>
      </c>
      <c r="P1412" s="19">
        <v>19.44</v>
      </c>
      <c r="Q1412" s="19">
        <v>137</v>
      </c>
      <c r="R1412" s="19">
        <v>3</v>
      </c>
      <c r="S1412" s="19">
        <v>50</v>
      </c>
      <c r="T1412" s="19">
        <v>1</v>
      </c>
      <c r="U1412" s="19">
        <v>1</v>
      </c>
      <c r="V1412" s="19">
        <v>192</v>
      </c>
      <c r="W1412" s="19">
        <v>5.01</v>
      </c>
      <c r="X1412" s="19">
        <v>0</v>
      </c>
      <c r="Y1412" s="20">
        <v>0</v>
      </c>
      <c r="Z1412" s="19">
        <v>12</v>
      </c>
      <c r="AA1412" s="19">
        <v>3</v>
      </c>
      <c r="AB1412" t="str">
        <f>VLOOKUP(E:E,笔记匹配!A:N,3,FALSE)</f>
        <v>一颗西兰花fa</v>
      </c>
      <c r="AC1412" t="str">
        <f>VLOOKUP(E:E,笔记匹配!A:N,2,FALSE)</f>
        <v>筋膜枪</v>
      </c>
      <c r="AD1412" t="str">
        <f>VLOOKUP(E:E,笔记匹配!A:N,4,FALSE)</f>
        <v>云麦筋膜枪PB2</v>
      </c>
      <c r="AE1412" t="str">
        <f>VLOOKUP(E:E,笔记匹配!A:N,14,FALSE)</f>
        <v>云麦筋膜枪pb2</v>
      </c>
      <c r="AF1412" t="str">
        <f>VLOOKUP(E:E,笔记匹配!A:N,6,FALSE)</f>
        <v>有没有姐妹跟我一样被肌肉腿困扰了好久！</v>
      </c>
    </row>
    <row r="1413" spans="1:32">
      <c r="A1413" s="18" t="s">
        <v>184</v>
      </c>
      <c r="B1413" s="18" t="s">
        <v>214</v>
      </c>
      <c r="C1413" s="19">
        <v>25105983</v>
      </c>
      <c r="D1413" s="18" t="s">
        <v>209</v>
      </c>
      <c r="E1413" s="18" t="s">
        <v>214</v>
      </c>
      <c r="F1413" s="18" t="s">
        <v>1426</v>
      </c>
      <c r="G1413" s="19">
        <v>6779552</v>
      </c>
      <c r="H1413" s="18" t="s">
        <v>1426</v>
      </c>
      <c r="I1413" s="19">
        <v>5603494</v>
      </c>
      <c r="J1413" s="18" t="s">
        <v>1015</v>
      </c>
      <c r="K1413" s="19">
        <v>0.3</v>
      </c>
      <c r="L1413" s="19">
        <v>87</v>
      </c>
      <c r="M1413" s="19">
        <v>2</v>
      </c>
      <c r="N1413" s="20">
        <v>0.023</v>
      </c>
      <c r="O1413" s="19">
        <v>0.15</v>
      </c>
      <c r="P1413" s="19">
        <v>3.45</v>
      </c>
      <c r="Q1413" s="19">
        <v>0</v>
      </c>
      <c r="R1413" s="19">
        <v>0</v>
      </c>
      <c r="S1413" s="19">
        <v>0</v>
      </c>
      <c r="T1413" s="19">
        <v>0</v>
      </c>
      <c r="U1413" s="19">
        <v>0</v>
      </c>
      <c r="V1413" s="19">
        <v>0</v>
      </c>
      <c r="W1413" s="19">
        <v>0</v>
      </c>
      <c r="X1413" s="19">
        <v>0</v>
      </c>
      <c r="Y1413" s="20">
        <v>0</v>
      </c>
      <c r="Z1413" s="19">
        <v>0</v>
      </c>
      <c r="AA1413" s="19">
        <v>0</v>
      </c>
      <c r="AB1413" t="str">
        <f>VLOOKUP(E:E,笔记匹配!A:N,3,FALSE)</f>
        <v>Zora張張</v>
      </c>
      <c r="AC1413" t="str">
        <f>VLOOKUP(E:E,笔记匹配!A:N,2,FALSE)</f>
        <v>筋膜枪</v>
      </c>
      <c r="AD1413" t="str">
        <f>VLOOKUP(E:E,笔记匹配!A:N,4,FALSE)</f>
        <v>云麦筋膜枪cc</v>
      </c>
      <c r="AE1413" t="str">
        <f>VLOOKUP(E:E,笔记匹配!A:N,14,FALSE)</f>
        <v>云麦筋膜枪ccgo</v>
      </c>
      <c r="AF1413" t="str">
        <f>VLOOKUP(E:E,笔记匹配!A:N,6,FALSE)</f>
        <v>宿舍姐妹花人手一个！这筋膜枪有点东西🧐</v>
      </c>
    </row>
    <row r="1414" spans="1:32">
      <c r="A1414" s="18" t="s">
        <v>184</v>
      </c>
      <c r="B1414" s="18" t="s">
        <v>258</v>
      </c>
      <c r="C1414" s="19">
        <v>25106098</v>
      </c>
      <c r="D1414" s="18" t="s">
        <v>209</v>
      </c>
      <c r="E1414" s="18" t="s">
        <v>258</v>
      </c>
      <c r="F1414" s="18" t="s">
        <v>1427</v>
      </c>
      <c r="G1414" s="19">
        <v>6779635</v>
      </c>
      <c r="H1414" s="18" t="s">
        <v>1427</v>
      </c>
      <c r="I1414" s="19">
        <v>5603554</v>
      </c>
      <c r="J1414" s="18" t="s">
        <v>1015</v>
      </c>
      <c r="K1414" s="19">
        <v>0</v>
      </c>
      <c r="L1414" s="19">
        <v>0</v>
      </c>
      <c r="M1414" s="19">
        <v>0</v>
      </c>
      <c r="N1414" s="20">
        <v>0</v>
      </c>
      <c r="O1414" s="19">
        <v>0</v>
      </c>
      <c r="P1414" s="19">
        <v>0</v>
      </c>
      <c r="Q1414" s="19">
        <v>0</v>
      </c>
      <c r="R1414" s="19">
        <v>0</v>
      </c>
      <c r="S1414" s="19">
        <v>0</v>
      </c>
      <c r="T1414" s="19">
        <v>0</v>
      </c>
      <c r="U1414" s="19">
        <v>0</v>
      </c>
      <c r="V1414" s="19">
        <v>0</v>
      </c>
      <c r="W1414" s="19">
        <v>0</v>
      </c>
      <c r="X1414" s="19">
        <v>0</v>
      </c>
      <c r="Y1414" s="20">
        <v>0</v>
      </c>
      <c r="Z1414" s="19">
        <v>0</v>
      </c>
      <c r="AA1414" s="19">
        <v>0</v>
      </c>
      <c r="AB1414" t="str">
        <f>VLOOKUP(E:E,笔记匹配!A:N,3,FALSE)</f>
        <v>猪脚ivi</v>
      </c>
      <c r="AC1414" t="str">
        <f>VLOOKUP(E:E,笔记匹配!A:N,2,FALSE)</f>
        <v>跳绳</v>
      </c>
      <c r="AD1414" t="str">
        <f>VLOOKUP(E:E,笔记匹配!A:N,4,FALSE)</f>
        <v>云麦跳绳2go</v>
      </c>
      <c r="AE1414" t="str">
        <f>VLOOKUP(E:E,笔记匹配!A:N,14,FALSE)</f>
        <v>云麦跳绳2go</v>
      </c>
      <c r="AF1414" t="str">
        <f>VLOOKUP(E:E,笔记匹配!A:N,6,FALSE)</f>
        <v>跳绳全部流程‼️做好这些 腿想粗都难</v>
      </c>
    </row>
    <row r="1415" spans="1:32">
      <c r="A1415" s="18" t="s">
        <v>184</v>
      </c>
      <c r="B1415" s="18" t="s">
        <v>208</v>
      </c>
      <c r="C1415" s="19">
        <v>25178456</v>
      </c>
      <c r="D1415" s="18" t="s">
        <v>209</v>
      </c>
      <c r="E1415" s="18" t="s">
        <v>208</v>
      </c>
      <c r="F1415" s="18" t="s">
        <v>1428</v>
      </c>
      <c r="G1415" s="19">
        <v>6811834</v>
      </c>
      <c r="H1415" s="18" t="s">
        <v>1428</v>
      </c>
      <c r="I1415" s="19">
        <v>5629385</v>
      </c>
      <c r="J1415" s="18" t="s">
        <v>1015</v>
      </c>
      <c r="K1415" s="19">
        <v>667.78</v>
      </c>
      <c r="L1415" s="19">
        <v>37184</v>
      </c>
      <c r="M1415" s="19">
        <v>2258</v>
      </c>
      <c r="N1415" s="20">
        <v>0.0607</v>
      </c>
      <c r="O1415" s="19">
        <v>0.3</v>
      </c>
      <c r="P1415" s="19">
        <v>17.96</v>
      </c>
      <c r="Q1415" s="19">
        <v>64</v>
      </c>
      <c r="R1415" s="19">
        <v>0</v>
      </c>
      <c r="S1415" s="19">
        <v>29</v>
      </c>
      <c r="T1415" s="19">
        <v>0</v>
      </c>
      <c r="U1415" s="19">
        <v>3</v>
      </c>
      <c r="V1415" s="19">
        <v>96</v>
      </c>
      <c r="W1415" s="19">
        <v>6.96</v>
      </c>
      <c r="X1415" s="19">
        <v>0</v>
      </c>
      <c r="Y1415" s="20">
        <v>0</v>
      </c>
      <c r="Z1415" s="19">
        <v>2</v>
      </c>
      <c r="AA1415" s="19">
        <v>0</v>
      </c>
      <c r="AB1415" t="str">
        <f>VLOOKUP(E:E,笔记匹配!A:N,3,FALSE)</f>
        <v>小羊羔崽子</v>
      </c>
      <c r="AC1415" t="str">
        <f>VLOOKUP(E:E,笔记匹配!A:N,2,FALSE)</f>
        <v>筋膜枪</v>
      </c>
      <c r="AD1415" t="str">
        <f>VLOOKUP(E:E,笔记匹配!A:N,4,FALSE)</f>
        <v>云麦筋膜枪PB2</v>
      </c>
      <c r="AE1415" t="str">
        <f>VLOOKUP(E:E,笔记匹配!A:N,14,FALSE)</f>
        <v>云麦筋膜枪pb2</v>
      </c>
      <c r="AF1415" t="str">
        <f>VLOOKUP(E:E,笔记匹配!A:N,6,FALSE)</f>
        <v>用了多年泡沫轴，才知道筋膜枪是真的香！！！</v>
      </c>
    </row>
    <row r="1416" spans="1:32">
      <c r="A1416" s="18" t="s">
        <v>184</v>
      </c>
      <c r="B1416" s="18" t="s">
        <v>201</v>
      </c>
      <c r="C1416" s="19">
        <v>25314758</v>
      </c>
      <c r="D1416" s="18" t="s">
        <v>196</v>
      </c>
      <c r="E1416" s="18" t="s">
        <v>201</v>
      </c>
      <c r="F1416" s="18" t="s">
        <v>1432</v>
      </c>
      <c r="G1416" s="19">
        <v>6872965</v>
      </c>
      <c r="H1416" s="18" t="s">
        <v>1436</v>
      </c>
      <c r="I1416" s="19">
        <v>5677972</v>
      </c>
      <c r="J1416" s="18" t="s">
        <v>1015</v>
      </c>
      <c r="K1416" s="19">
        <v>362.25</v>
      </c>
      <c r="L1416" s="19">
        <v>5350</v>
      </c>
      <c r="M1416" s="19">
        <v>846</v>
      </c>
      <c r="N1416" s="20">
        <v>0.1581</v>
      </c>
      <c r="O1416" s="19">
        <v>0.43</v>
      </c>
      <c r="P1416" s="19">
        <v>67.71</v>
      </c>
      <c r="Q1416" s="19">
        <v>1</v>
      </c>
      <c r="R1416" s="19">
        <v>0</v>
      </c>
      <c r="S1416" s="19">
        <v>-1</v>
      </c>
      <c r="T1416" s="19">
        <v>0</v>
      </c>
      <c r="U1416" s="19">
        <v>1</v>
      </c>
      <c r="V1416" s="19">
        <v>1</v>
      </c>
      <c r="W1416" s="19">
        <v>362.25</v>
      </c>
      <c r="X1416" s="19">
        <v>9</v>
      </c>
      <c r="Y1416" s="20">
        <v>0.0106</v>
      </c>
      <c r="Z1416" s="19">
        <v>0</v>
      </c>
      <c r="AA1416" s="19">
        <v>0</v>
      </c>
      <c r="AB1416" t="str">
        <f>VLOOKUP(E:E,笔记匹配!A:N,3,FALSE)</f>
        <v>包子熟了</v>
      </c>
      <c r="AC1416" t="str">
        <f>VLOOKUP(E:E,笔记匹配!A:N,2,FALSE)</f>
        <v>筋膜枪</v>
      </c>
      <c r="AD1416" t="str">
        <f>VLOOKUP(E:E,笔记匹配!A:N,4,FALSE)</f>
        <v>云麦筋膜枪</v>
      </c>
      <c r="AE1416" t="str">
        <f>VLOOKUP(E:E,笔记匹配!A:N,14,FALSE)</f>
        <v>云麦筋膜枪pb2</v>
      </c>
      <c r="AF1416" t="str">
        <f>VLOOKUP(E:E,笔记匹配!A:N,6,FALSE)</f>
        <v>筋膜枪测评|健身小白如何挑选筋膜枪？</v>
      </c>
    </row>
    <row r="1417" spans="1:32">
      <c r="A1417" s="18" t="s">
        <v>184</v>
      </c>
      <c r="B1417" s="18" t="s">
        <v>1440</v>
      </c>
      <c r="C1417" s="19">
        <v>25677301</v>
      </c>
      <c r="D1417" s="18" t="s">
        <v>196</v>
      </c>
      <c r="E1417" s="18" t="s">
        <v>201</v>
      </c>
      <c r="F1417" s="18" t="s">
        <v>1441</v>
      </c>
      <c r="G1417" s="19">
        <v>7047407</v>
      </c>
      <c r="H1417" s="18" t="s">
        <v>1441</v>
      </c>
      <c r="I1417" s="19">
        <v>5814443</v>
      </c>
      <c r="J1417" s="18" t="s">
        <v>1015</v>
      </c>
      <c r="K1417" s="19">
        <v>0.5</v>
      </c>
      <c r="L1417" s="19">
        <v>4</v>
      </c>
      <c r="M1417" s="19">
        <v>1</v>
      </c>
      <c r="N1417" s="20">
        <v>0.25</v>
      </c>
      <c r="O1417" s="19">
        <v>0.5</v>
      </c>
      <c r="P1417" s="19">
        <v>125</v>
      </c>
      <c r="Q1417" s="19">
        <v>0</v>
      </c>
      <c r="R1417" s="19">
        <v>0</v>
      </c>
      <c r="S1417" s="19">
        <v>0</v>
      </c>
      <c r="T1417" s="19">
        <v>0</v>
      </c>
      <c r="U1417" s="19">
        <v>0</v>
      </c>
      <c r="V1417" s="19">
        <v>0</v>
      </c>
      <c r="W1417" s="19">
        <v>0</v>
      </c>
      <c r="X1417" s="19">
        <v>0</v>
      </c>
      <c r="Y1417" s="20">
        <v>0</v>
      </c>
      <c r="Z1417" s="19">
        <v>0</v>
      </c>
      <c r="AA1417" s="19">
        <v>0</v>
      </c>
      <c r="AB1417" t="str">
        <f>VLOOKUP(E:E,笔记匹配!A:N,3,FALSE)</f>
        <v>包子熟了</v>
      </c>
      <c r="AC1417" t="str">
        <f>VLOOKUP(E:E,笔记匹配!A:N,2,FALSE)</f>
        <v>筋膜枪</v>
      </c>
      <c r="AD1417" t="str">
        <f>VLOOKUP(E:E,笔记匹配!A:N,4,FALSE)</f>
        <v>云麦筋膜枪</v>
      </c>
      <c r="AE1417" t="str">
        <f>VLOOKUP(E:E,笔记匹配!A:N,14,FALSE)</f>
        <v>云麦筋膜枪pb2</v>
      </c>
      <c r="AF1417" t="str">
        <f>VLOOKUP(E:E,笔记匹配!A:N,6,FALSE)</f>
        <v>筋膜枪测评|健身小白如何挑选筋膜枪？</v>
      </c>
    </row>
    <row r="1418" spans="1:32">
      <c r="A1418" s="18" t="s">
        <v>184</v>
      </c>
      <c r="B1418" s="18" t="s">
        <v>205</v>
      </c>
      <c r="C1418" s="19">
        <v>25677394</v>
      </c>
      <c r="D1418" s="18" t="s">
        <v>196</v>
      </c>
      <c r="E1418" s="18" t="s">
        <v>205</v>
      </c>
      <c r="F1418" s="18" t="s">
        <v>1441</v>
      </c>
      <c r="G1418" s="19">
        <v>7047407</v>
      </c>
      <c r="H1418" s="18" t="s">
        <v>1441</v>
      </c>
      <c r="I1418" s="19">
        <v>5814443</v>
      </c>
      <c r="J1418" s="18" t="s">
        <v>1015</v>
      </c>
      <c r="K1418" s="19">
        <v>506.5</v>
      </c>
      <c r="L1418" s="19">
        <v>19164</v>
      </c>
      <c r="M1418" s="19">
        <v>1100</v>
      </c>
      <c r="N1418" s="20">
        <v>0.0574</v>
      </c>
      <c r="O1418" s="19">
        <v>0.46</v>
      </c>
      <c r="P1418" s="19">
        <v>26.43</v>
      </c>
      <c r="Q1418" s="19">
        <v>25</v>
      </c>
      <c r="R1418" s="19">
        <v>0</v>
      </c>
      <c r="S1418" s="19">
        <v>28</v>
      </c>
      <c r="T1418" s="19">
        <v>4</v>
      </c>
      <c r="U1418" s="19">
        <v>3</v>
      </c>
      <c r="V1418" s="19">
        <v>60</v>
      </c>
      <c r="W1418" s="19">
        <v>8.44</v>
      </c>
      <c r="X1418" s="19">
        <v>0</v>
      </c>
      <c r="Y1418" s="20">
        <v>0</v>
      </c>
      <c r="Z1418" s="19">
        <v>0</v>
      </c>
      <c r="AA1418" s="19">
        <v>1</v>
      </c>
      <c r="AB1418" t="str">
        <f>VLOOKUP(E:E,笔记匹配!A:N,3,FALSE)</f>
        <v>马可乐cora</v>
      </c>
      <c r="AC1418" t="str">
        <f>VLOOKUP(E:E,笔记匹配!A:N,2,FALSE)</f>
        <v>筋膜枪</v>
      </c>
      <c r="AD1418" t="str">
        <f>VLOOKUP(E:E,笔记匹配!A:N,4,FALSE)</f>
        <v>云麦筋膜枪PB2</v>
      </c>
      <c r="AE1418" t="str">
        <f>VLOOKUP(E:E,笔记匹配!A:N,14,FALSE)</f>
        <v>云麦筋膜枪pb2</v>
      </c>
      <c r="AF1418" t="str">
        <f>VLOOKUP(E:E,笔记匹配!A:N,6,FALSE)</f>
        <v>跳操的姐妹听我的用筋膜枪放松下肢真的有用</v>
      </c>
    </row>
  </sheetData>
  <autoFilter ref="A1:AB1418">
    <extLst/>
  </autoFilter>
  <pageMargins left="0.7" right="0.7" top="0.75" bottom="0.75" header="0.3" footer="0.3"/>
  <pageSetup paperSize="9" orientation="portrait"/>
  <headerFooter/>
  <ignoredErrors>
    <ignoredError sqref="A1331:AE1332 AE1330 AC1330 A1330:AA1330 A1:AE1329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xSplit="1" ySplit="4" topLeftCell="B84" activePane="bottomRight" state="frozen"/>
      <selection/>
      <selection pane="topRight"/>
      <selection pane="bottomLeft"/>
      <selection pane="bottomRight" activeCell="K87" sqref="K87"/>
    </sheetView>
  </sheetViews>
  <sheetFormatPr defaultColWidth="9" defaultRowHeight="20" customHeight="1"/>
  <cols>
    <col min="1" max="1" width="27.8796296296296" customWidth="1"/>
    <col min="2" max="2" width="22.6296296296296" customWidth="1"/>
    <col min="3" max="3" width="10.3796296296296" customWidth="1"/>
    <col min="4" max="4" width="9.25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1" customWidth="1"/>
  </cols>
  <sheetData>
    <row r="1" customHeight="1" spans="1:21">
      <c r="A1" s="6" t="s">
        <v>188</v>
      </c>
      <c r="B1" s="6" t="s">
        <v>195</v>
      </c>
      <c r="U1"/>
    </row>
    <row r="2" customHeight="1" spans="1:21">
      <c r="A2" s="6" t="s">
        <v>191</v>
      </c>
      <c r="B2" s="6" t="s">
        <v>1442</v>
      </c>
      <c r="U2"/>
    </row>
    <row r="3" ht="12" customHeight="1" spans="21:21">
      <c r="U3"/>
    </row>
    <row r="4" customHeight="1" spans="1:21">
      <c r="A4" s="12" t="s">
        <v>1</v>
      </c>
      <c r="B4" s="6" t="s">
        <v>2</v>
      </c>
      <c r="U4"/>
    </row>
    <row r="5" customHeight="1" spans="1:21">
      <c r="A5" s="8" t="s">
        <v>15</v>
      </c>
      <c r="B5" s="6">
        <v>44509.62</v>
      </c>
      <c r="U5"/>
    </row>
    <row r="6" customHeight="1" spans="1:21">
      <c r="A6" s="8" t="s">
        <v>16</v>
      </c>
      <c r="B6" s="6">
        <v>720</v>
      </c>
      <c r="U6"/>
    </row>
    <row r="7" customHeight="1" spans="1:21">
      <c r="A7" s="8" t="s">
        <v>17</v>
      </c>
      <c r="B7" s="6">
        <v>553.74</v>
      </c>
      <c r="U7"/>
    </row>
    <row r="8" customHeight="1" spans="1:21">
      <c r="A8" s="8" t="s">
        <v>18</v>
      </c>
      <c r="B8" s="6">
        <v>274.82</v>
      </c>
      <c r="U8"/>
    </row>
    <row r="9" customHeight="1" spans="1:21">
      <c r="A9" s="8" t="s">
        <v>19</v>
      </c>
      <c r="B9" s="6">
        <v>360</v>
      </c>
      <c r="U9"/>
    </row>
    <row r="10" customHeight="1" spans="1:21">
      <c r="A10" s="8" t="s">
        <v>20</v>
      </c>
      <c r="B10" s="6">
        <v>144.86</v>
      </c>
      <c r="U10"/>
    </row>
    <row r="11" customHeight="1" spans="1:21">
      <c r="A11" s="8" t="s">
        <v>21</v>
      </c>
      <c r="B11" s="6">
        <v>366.81</v>
      </c>
      <c r="U11"/>
    </row>
    <row r="12" customHeight="1" spans="1:21">
      <c r="A12" s="8" t="s">
        <v>22</v>
      </c>
      <c r="B12" s="6">
        <v>447.5</v>
      </c>
      <c r="U12"/>
    </row>
    <row r="13" customHeight="1" spans="1:21">
      <c r="A13" s="8" t="s">
        <v>23</v>
      </c>
      <c r="B13" s="6">
        <v>1188.92</v>
      </c>
      <c r="U13"/>
    </row>
    <row r="14" customHeight="1" spans="1:21">
      <c r="A14" s="8" t="s">
        <v>24</v>
      </c>
      <c r="B14" s="6">
        <v>1183.61</v>
      </c>
      <c r="U14"/>
    </row>
    <row r="15" customHeight="1" spans="1:21">
      <c r="A15" s="8" t="s">
        <v>25</v>
      </c>
      <c r="B15" s="6">
        <v>1124.85</v>
      </c>
      <c r="U15"/>
    </row>
    <row r="16" customHeight="1" spans="1:21">
      <c r="A16" s="8" t="s">
        <v>26</v>
      </c>
      <c r="B16" s="6">
        <v>3458.17</v>
      </c>
      <c r="U16"/>
    </row>
    <row r="17" customHeight="1" spans="1:21">
      <c r="A17" s="8" t="s">
        <v>27</v>
      </c>
      <c r="B17" s="6">
        <v>4544.11</v>
      </c>
      <c r="U17"/>
    </row>
    <row r="18" customHeight="1" spans="1:21">
      <c r="A18" s="8" t="s">
        <v>28</v>
      </c>
      <c r="B18" s="6">
        <v>5006.31</v>
      </c>
      <c r="U18"/>
    </row>
    <row r="19" customHeight="1" spans="1:21">
      <c r="A19" s="8" t="s">
        <v>29</v>
      </c>
      <c r="B19" s="6">
        <v>5049.47</v>
      </c>
      <c r="U19"/>
    </row>
    <row r="20" customHeight="1" spans="1:21">
      <c r="A20" s="8" t="s">
        <v>30</v>
      </c>
      <c r="B20" s="6">
        <v>3033.23</v>
      </c>
      <c r="U20"/>
    </row>
    <row r="21" customHeight="1" spans="1:21">
      <c r="A21" s="8" t="s">
        <v>31</v>
      </c>
      <c r="B21" s="6">
        <v>9031.92</v>
      </c>
      <c r="U21"/>
    </row>
    <row r="22" customHeight="1" spans="1:21">
      <c r="A22" s="8" t="s">
        <v>32</v>
      </c>
      <c r="B22" s="6">
        <v>2674.99</v>
      </c>
      <c r="U22"/>
    </row>
    <row r="23" customHeight="1" spans="1:21">
      <c r="A23" s="8" t="s">
        <v>33</v>
      </c>
      <c r="B23" s="6">
        <v>2961.46</v>
      </c>
      <c r="U23"/>
    </row>
    <row r="24" customHeight="1" spans="1:21">
      <c r="A24" s="8" t="s">
        <v>34</v>
      </c>
      <c r="B24" s="6">
        <v>2284.45</v>
      </c>
      <c r="U24"/>
    </row>
    <row r="25" customHeight="1" spans="1:21">
      <c r="A25" s="8" t="s">
        <v>35</v>
      </c>
      <c r="B25" s="6">
        <v>1254.82</v>
      </c>
      <c r="U25"/>
    </row>
    <row r="26" customHeight="1" spans="1:21">
      <c r="A26" s="8" t="s">
        <v>36</v>
      </c>
      <c r="B26" s="6">
        <v>924.65</v>
      </c>
      <c r="U26"/>
    </row>
    <row r="27" customHeight="1" spans="1:21">
      <c r="A27" s="8" t="s">
        <v>37</v>
      </c>
      <c r="B27" s="6">
        <v>944.49</v>
      </c>
      <c r="U27"/>
    </row>
    <row r="28" customHeight="1" spans="1:21">
      <c r="A28" s="8" t="s">
        <v>38</v>
      </c>
      <c r="B28" s="6">
        <v>960.03</v>
      </c>
      <c r="U28"/>
    </row>
    <row r="29" customHeight="1" spans="1:21">
      <c r="A29" s="8" t="s">
        <v>39</v>
      </c>
      <c r="B29" s="6">
        <v>892.62</v>
      </c>
      <c r="U29"/>
    </row>
    <row r="30" customHeight="1" spans="1:21">
      <c r="A30" s="8" t="s">
        <v>40</v>
      </c>
      <c r="B30" s="6">
        <v>2776.8</v>
      </c>
      <c r="U30"/>
    </row>
    <row r="31" customHeight="1" spans="1:21">
      <c r="A31" s="8" t="s">
        <v>41</v>
      </c>
      <c r="B31" s="6">
        <v>5922.43</v>
      </c>
      <c r="U31"/>
    </row>
    <row r="32" customHeight="1" spans="1:21">
      <c r="A32" s="8" t="s">
        <v>42</v>
      </c>
      <c r="B32" s="6">
        <v>7464.65</v>
      </c>
      <c r="U32"/>
    </row>
    <row r="33" customHeight="1" spans="1:21">
      <c r="A33" s="8" t="s">
        <v>43</v>
      </c>
      <c r="B33" s="6">
        <v>6965.39</v>
      </c>
      <c r="U33"/>
    </row>
    <row r="34" customHeight="1" spans="1:21">
      <c r="A34" s="8" t="s">
        <v>44</v>
      </c>
      <c r="B34" s="6">
        <v>5623.63</v>
      </c>
      <c r="U34"/>
    </row>
    <row r="35" customHeight="1" spans="1:21">
      <c r="A35" s="8" t="s">
        <v>45</v>
      </c>
      <c r="B35" s="6">
        <v>5937.32</v>
      </c>
      <c r="U35"/>
    </row>
    <row r="36" customHeight="1" spans="1:21">
      <c r="A36" s="8" t="s">
        <v>46</v>
      </c>
      <c r="B36" s="6">
        <v>7262.83</v>
      </c>
      <c r="U36"/>
    </row>
    <row r="37" customHeight="1" spans="1:21">
      <c r="A37" s="8" t="s">
        <v>47</v>
      </c>
      <c r="B37" s="6">
        <v>62.32</v>
      </c>
      <c r="U37"/>
    </row>
    <row r="38" customHeight="1" spans="1:21">
      <c r="A38" s="8" t="s">
        <v>48</v>
      </c>
      <c r="B38" s="6">
        <v>0</v>
      </c>
      <c r="U38"/>
    </row>
    <row r="39" customHeight="1" spans="1:21">
      <c r="A39" s="8" t="s">
        <v>49</v>
      </c>
      <c r="B39" s="6">
        <v>0</v>
      </c>
      <c r="U39"/>
    </row>
    <row r="40" customHeight="1" spans="1:21">
      <c r="A40" s="8" t="s">
        <v>50</v>
      </c>
      <c r="B40" s="6">
        <v>0</v>
      </c>
      <c r="U40"/>
    </row>
    <row r="41" customHeight="1" spans="1:21">
      <c r="A41" s="8" t="s">
        <v>51</v>
      </c>
      <c r="B41" s="6">
        <v>0</v>
      </c>
      <c r="U41"/>
    </row>
    <row r="42" customHeight="1" spans="1:21">
      <c r="A42" s="8" t="s">
        <v>52</v>
      </c>
      <c r="B42" s="6">
        <v>0</v>
      </c>
      <c r="U42"/>
    </row>
    <row r="43" customHeight="1" spans="1:21">
      <c r="A43" s="8" t="s">
        <v>53</v>
      </c>
      <c r="B43" s="6">
        <v>2.95</v>
      </c>
      <c r="U43"/>
    </row>
    <row r="44" customHeight="1" spans="1:21">
      <c r="A44" s="8" t="s">
        <v>55</v>
      </c>
      <c r="B44" s="6">
        <v>0</v>
      </c>
      <c r="U44"/>
    </row>
    <row r="45" customHeight="1" spans="1:21">
      <c r="A45" s="8" t="s">
        <v>57</v>
      </c>
      <c r="B45" s="6">
        <v>0</v>
      </c>
      <c r="U45"/>
    </row>
    <row r="46" customHeight="1" spans="1:21">
      <c r="A46" s="8" t="s">
        <v>58</v>
      </c>
      <c r="B46" s="6">
        <v>0</v>
      </c>
      <c r="U46"/>
    </row>
    <row r="47" customHeight="1" spans="1:21">
      <c r="A47" s="8" t="s">
        <v>59</v>
      </c>
      <c r="B47" s="6">
        <v>0</v>
      </c>
      <c r="U47"/>
    </row>
    <row r="48" customHeight="1" spans="1:21">
      <c r="A48" s="8" t="s">
        <v>60</v>
      </c>
      <c r="B48" s="6">
        <v>0</v>
      </c>
      <c r="U48"/>
    </row>
    <row r="49" customHeight="1" spans="1:21">
      <c r="A49" s="8" t="s">
        <v>61</v>
      </c>
      <c r="B49" s="6">
        <v>0</v>
      </c>
      <c r="U49"/>
    </row>
    <row r="50" customHeight="1" spans="1:21">
      <c r="A50" s="8" t="s">
        <v>64</v>
      </c>
      <c r="B50" s="6">
        <v>117.7</v>
      </c>
      <c r="U50"/>
    </row>
    <row r="51" customHeight="1" spans="1:21">
      <c r="A51" s="8" t="s">
        <v>65</v>
      </c>
      <c r="B51" s="6">
        <v>482.54</v>
      </c>
      <c r="U51"/>
    </row>
    <row r="52" customHeight="1" spans="1:21">
      <c r="A52" s="8" t="s">
        <v>66</v>
      </c>
      <c r="B52" s="6">
        <v>73.76</v>
      </c>
      <c r="U52"/>
    </row>
    <row r="53" customHeight="1" spans="1:21">
      <c r="A53" s="8" t="s">
        <v>67</v>
      </c>
      <c r="B53" s="6">
        <v>243.74</v>
      </c>
      <c r="U53"/>
    </row>
    <row r="54" customHeight="1" spans="1:21">
      <c r="A54" s="8" t="s">
        <v>68</v>
      </c>
      <c r="B54" s="6">
        <v>327.67</v>
      </c>
      <c r="U54"/>
    </row>
    <row r="55" customHeight="1" spans="1:21">
      <c r="A55" s="8" t="s">
        <v>69</v>
      </c>
      <c r="B55" s="6">
        <v>70.71</v>
      </c>
      <c r="U55"/>
    </row>
    <row r="56" customHeight="1" spans="1:21">
      <c r="A56" s="8" t="s">
        <v>70</v>
      </c>
      <c r="B56" s="6">
        <v>0</v>
      </c>
      <c r="U56"/>
    </row>
    <row r="57" customHeight="1" spans="1:21">
      <c r="A57" s="8" t="s">
        <v>71</v>
      </c>
      <c r="B57" s="6">
        <v>0</v>
      </c>
      <c r="U57"/>
    </row>
    <row r="58" customHeight="1" spans="1:21">
      <c r="A58" s="8" t="s">
        <v>76</v>
      </c>
      <c r="B58" s="6">
        <v>357.08</v>
      </c>
      <c r="U58"/>
    </row>
    <row r="59" customHeight="1" spans="1:21">
      <c r="A59" s="8" t="s">
        <v>77</v>
      </c>
      <c r="B59" s="6">
        <v>668.89</v>
      </c>
      <c r="U59"/>
    </row>
    <row r="60" customHeight="1" spans="1:21">
      <c r="A60" s="8" t="s">
        <v>78</v>
      </c>
      <c r="B60" s="6">
        <v>530.62</v>
      </c>
      <c r="U60"/>
    </row>
    <row r="61" customHeight="1" spans="1:21">
      <c r="A61" s="8" t="s">
        <v>87</v>
      </c>
      <c r="B61" s="6">
        <v>0</v>
      </c>
      <c r="U61"/>
    </row>
    <row r="62" customHeight="1" spans="1:21">
      <c r="A62" s="8" t="s">
        <v>99</v>
      </c>
      <c r="B62" s="6">
        <v>2031.18</v>
      </c>
      <c r="U62"/>
    </row>
    <row r="63" customHeight="1" spans="1:21">
      <c r="A63" s="8" t="s">
        <v>100</v>
      </c>
      <c r="B63" s="6">
        <v>1495.98</v>
      </c>
      <c r="U63"/>
    </row>
    <row r="64" customHeight="1" spans="1:21">
      <c r="A64" s="8" t="s">
        <v>101</v>
      </c>
      <c r="B64" s="6">
        <v>1.09</v>
      </c>
      <c r="U64"/>
    </row>
    <row r="65" customHeight="1" spans="1:21">
      <c r="A65" s="8" t="s">
        <v>102</v>
      </c>
      <c r="B65" s="6">
        <v>0</v>
      </c>
      <c r="U65"/>
    </row>
    <row r="66" customHeight="1" spans="1:21">
      <c r="A66" s="8" t="s">
        <v>103</v>
      </c>
      <c r="B66" s="6">
        <v>0</v>
      </c>
      <c r="U66"/>
    </row>
    <row r="67" customHeight="1" spans="1:21">
      <c r="A67" s="8" t="s">
        <v>107</v>
      </c>
      <c r="B67" s="6">
        <v>0</v>
      </c>
      <c r="U67"/>
    </row>
    <row r="68" customHeight="1" spans="1:21">
      <c r="A68" s="8" t="s">
        <v>122</v>
      </c>
      <c r="B68" s="6">
        <v>0</v>
      </c>
      <c r="U68"/>
    </row>
    <row r="69" customHeight="1" spans="1:21">
      <c r="A69" s="8" t="s">
        <v>143</v>
      </c>
      <c r="B69" s="6">
        <v>0.56</v>
      </c>
      <c r="U69"/>
    </row>
    <row r="70" customHeight="1" spans="1:21">
      <c r="A70" s="8" t="s">
        <v>144</v>
      </c>
      <c r="B70" s="6">
        <v>520.92</v>
      </c>
      <c r="U70"/>
    </row>
    <row r="71" customHeight="1" spans="1:21">
      <c r="A71" s="8" t="s">
        <v>145</v>
      </c>
      <c r="B71" s="6">
        <v>508.8</v>
      </c>
      <c r="U71"/>
    </row>
    <row r="72" customHeight="1" spans="1:21">
      <c r="A72" s="8" t="s">
        <v>146</v>
      </c>
      <c r="B72" s="6">
        <v>0</v>
      </c>
      <c r="U72"/>
    </row>
    <row r="73" customHeight="1" spans="1:21">
      <c r="A73" s="8" t="s">
        <v>147</v>
      </c>
      <c r="B73" s="6">
        <v>231.28</v>
      </c>
      <c r="U73"/>
    </row>
    <row r="74" customHeight="1" spans="1:21">
      <c r="A74" s="8" t="s">
        <v>148</v>
      </c>
      <c r="B74" s="6">
        <v>743.11</v>
      </c>
      <c r="U74"/>
    </row>
    <row r="75" customHeight="1" spans="1:21">
      <c r="A75" s="8" t="s">
        <v>149</v>
      </c>
      <c r="B75" s="6">
        <v>575.01</v>
      </c>
      <c r="U75"/>
    </row>
    <row r="76" customHeight="1" spans="1:21">
      <c r="A76" s="8" t="s">
        <v>150</v>
      </c>
      <c r="B76" s="6">
        <v>601.05</v>
      </c>
      <c r="U76"/>
    </row>
    <row r="77" customHeight="1" spans="1:21">
      <c r="A77" s="8" t="s">
        <v>151</v>
      </c>
      <c r="B77" s="6">
        <v>0</v>
      </c>
      <c r="U77"/>
    </row>
    <row r="78" customHeight="1" spans="1:21">
      <c r="A78" s="8" t="s">
        <v>153</v>
      </c>
      <c r="B78" s="6">
        <v>0</v>
      </c>
      <c r="U78"/>
    </row>
    <row r="79" customHeight="1" spans="1:21">
      <c r="A79" s="8" t="s">
        <v>154</v>
      </c>
      <c r="B79" s="6">
        <v>490.63</v>
      </c>
      <c r="U79"/>
    </row>
    <row r="80" customHeight="1" spans="1:21">
      <c r="A80" s="8" t="s">
        <v>155</v>
      </c>
      <c r="B80" s="6">
        <v>396.07</v>
      </c>
      <c r="U80"/>
    </row>
    <row r="81" customHeight="1" spans="1:21">
      <c r="A81" s="8" t="s">
        <v>156</v>
      </c>
      <c r="B81" s="6">
        <v>210.13</v>
      </c>
      <c r="U81"/>
    </row>
    <row r="82" customHeight="1" spans="1:21">
      <c r="A82" s="8" t="s">
        <v>157</v>
      </c>
      <c r="B82" s="6">
        <v>468.29</v>
      </c>
      <c r="U82"/>
    </row>
    <row r="83" customHeight="1" spans="1:21">
      <c r="A83" s="8" t="s">
        <v>158</v>
      </c>
      <c r="B83" s="6">
        <v>491.75</v>
      </c>
      <c r="U83"/>
    </row>
    <row r="84" customHeight="1" spans="1:21">
      <c r="A84" s="8" t="s">
        <v>159</v>
      </c>
      <c r="B84" s="6">
        <v>502.21</v>
      </c>
      <c r="U84"/>
    </row>
    <row r="85" customHeight="1" spans="1:21">
      <c r="A85" s="8" t="s">
        <v>160</v>
      </c>
      <c r="B85" s="6">
        <v>127.72</v>
      </c>
      <c r="U85"/>
    </row>
    <row r="86" customHeight="1" spans="1:21">
      <c r="A86" s="8" t="s">
        <v>161</v>
      </c>
      <c r="B86" s="6">
        <v>717.31</v>
      </c>
      <c r="U86"/>
    </row>
    <row r="87" customHeight="1" spans="1:21">
      <c r="A87" s="8" t="s">
        <v>162</v>
      </c>
      <c r="B87" s="6">
        <v>306.19</v>
      </c>
      <c r="U87"/>
    </row>
    <row r="88" customHeight="1" spans="1:21">
      <c r="A88" s="8" t="s">
        <v>163</v>
      </c>
      <c r="B88" s="6">
        <v>0</v>
      </c>
      <c r="U88"/>
    </row>
    <row r="89" customHeight="1" spans="1:21">
      <c r="A89" s="8" t="s">
        <v>164</v>
      </c>
      <c r="B89" s="6">
        <v>0</v>
      </c>
      <c r="U89"/>
    </row>
    <row r="90" customHeight="1" spans="1:21">
      <c r="A90" s="8" t="s">
        <v>165</v>
      </c>
      <c r="B90" s="6">
        <v>2031.4</v>
      </c>
      <c r="U90"/>
    </row>
    <row r="91" customHeight="1" spans="1:21">
      <c r="A91" s="8" t="s">
        <v>166</v>
      </c>
      <c r="B91" s="6">
        <v>2014.03</v>
      </c>
      <c r="U91"/>
    </row>
    <row r="92" customHeight="1" spans="1:21">
      <c r="A92" s="8" t="s">
        <v>167</v>
      </c>
      <c r="B92" s="6">
        <v>1514.71</v>
      </c>
      <c r="U92"/>
    </row>
    <row r="93" customHeight="1" spans="1:21">
      <c r="A93" s="8" t="s">
        <v>168</v>
      </c>
      <c r="B93" s="6">
        <v>1547.61</v>
      </c>
      <c r="U93"/>
    </row>
    <row r="94" customHeight="1" spans="1:21">
      <c r="A94" s="8" t="s">
        <v>169</v>
      </c>
      <c r="B94" s="6">
        <v>1504.03</v>
      </c>
      <c r="U94"/>
    </row>
    <row r="95" customHeight="1" spans="1:21">
      <c r="A95" s="8" t="s">
        <v>170</v>
      </c>
      <c r="B95" s="6">
        <v>1841.41</v>
      </c>
      <c r="U95"/>
    </row>
    <row r="96" customHeight="1" spans="1:21">
      <c r="A96" s="8" t="s">
        <v>171</v>
      </c>
      <c r="B96" s="6">
        <v>2422.59</v>
      </c>
      <c r="U96"/>
    </row>
    <row r="97" customHeight="1" spans="1:21">
      <c r="A97" s="8" t="s">
        <v>172</v>
      </c>
      <c r="B97" s="6">
        <v>13.58</v>
      </c>
      <c r="U97"/>
    </row>
    <row r="98" customHeight="1" spans="1:21">
      <c r="A98" s="8" t="s">
        <v>175</v>
      </c>
      <c r="B98" s="6">
        <v>505.56</v>
      </c>
      <c r="U98"/>
    </row>
    <row r="99" customHeight="1" spans="1:21">
      <c r="A99" s="8" t="s">
        <v>176</v>
      </c>
      <c r="B99" s="6">
        <v>505.02</v>
      </c>
      <c r="U99"/>
    </row>
    <row r="100" customHeight="1" spans="1:21">
      <c r="A100" s="8" t="s">
        <v>177</v>
      </c>
      <c r="B100" s="6">
        <v>1417.42</v>
      </c>
      <c r="U100"/>
    </row>
    <row r="101" customHeight="1" spans="1:21">
      <c r="A101" s="8" t="s">
        <v>178</v>
      </c>
      <c r="B101" s="6">
        <v>1528.32</v>
      </c>
      <c r="U101"/>
    </row>
    <row r="102" customHeight="1" spans="1:21">
      <c r="A102" s="8" t="s">
        <v>179</v>
      </c>
      <c r="B102" s="6">
        <v>1841.43</v>
      </c>
      <c r="U102"/>
    </row>
    <row r="103" customHeight="1" spans="1:21">
      <c r="A103" s="8" t="s">
        <v>180</v>
      </c>
      <c r="B103" s="6">
        <v>1385.81</v>
      </c>
      <c r="U103"/>
    </row>
    <row r="104" customHeight="1" spans="1:21">
      <c r="A104" s="8" t="s">
        <v>181</v>
      </c>
      <c r="B104" s="6">
        <v>1015.26</v>
      </c>
      <c r="U104"/>
    </row>
    <row r="105" customHeight="1" spans="1:21">
      <c r="A105" s="8" t="s">
        <v>182</v>
      </c>
      <c r="B105" s="6">
        <v>1008.62</v>
      </c>
      <c r="U105"/>
    </row>
    <row r="106" customHeight="1" spans="1:21">
      <c r="A106" s="8" t="s">
        <v>183</v>
      </c>
      <c r="B106" s="6">
        <v>1217.46</v>
      </c>
      <c r="U106"/>
    </row>
    <row r="107" customHeight="1" spans="1:21">
      <c r="A107" s="8" t="s">
        <v>184</v>
      </c>
      <c r="B107" s="6">
        <v>0.3</v>
      </c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xSplit="1" ySplit="4" topLeftCell="B94" activePane="bottomRight" state="frozen"/>
      <selection/>
      <selection pane="topRight"/>
      <selection pane="bottomLeft"/>
      <selection pane="bottomRight" activeCell="B100" sqref="B100"/>
    </sheetView>
  </sheetViews>
  <sheetFormatPr defaultColWidth="9" defaultRowHeight="20" customHeight="1"/>
  <cols>
    <col min="1" max="1" width="11.1296296296296" customWidth="1"/>
    <col min="2" max="2" width="22.6296296296296" customWidth="1"/>
    <col min="3" max="3" width="10.3796296296296" customWidth="1"/>
    <col min="4" max="4" width="9.25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1" customWidth="1"/>
  </cols>
  <sheetData>
    <row r="1" customHeight="1" spans="1:21">
      <c r="A1" s="6" t="s">
        <v>188</v>
      </c>
      <c r="B1" s="6" t="s">
        <v>195</v>
      </c>
      <c r="U1"/>
    </row>
    <row r="2" customHeight="1" spans="1:21">
      <c r="A2" s="6" t="s">
        <v>191</v>
      </c>
      <c r="B2" s="6" t="s">
        <v>198</v>
      </c>
      <c r="U2"/>
    </row>
    <row r="3" ht="12" customHeight="1" spans="21:21">
      <c r="U3"/>
    </row>
    <row r="4" customHeight="1" spans="1:21">
      <c r="A4" s="12" t="s">
        <v>1</v>
      </c>
      <c r="B4" s="6" t="s">
        <v>2</v>
      </c>
      <c r="U4"/>
    </row>
    <row r="5" customHeight="1" spans="1:21">
      <c r="A5" s="8" t="s">
        <v>70</v>
      </c>
      <c r="B5" s="6">
        <v>302.25</v>
      </c>
      <c r="U5"/>
    </row>
    <row r="6" customHeight="1" spans="1:21">
      <c r="A6" s="8" t="s">
        <v>71</v>
      </c>
      <c r="B6" s="6">
        <v>604.78</v>
      </c>
      <c r="U6"/>
    </row>
    <row r="7" customHeight="1" spans="1:21">
      <c r="A7" s="8" t="s">
        <v>72</v>
      </c>
      <c r="B7" s="6">
        <v>1596.4</v>
      </c>
      <c r="U7"/>
    </row>
    <row r="8" customHeight="1" spans="1:21">
      <c r="A8" s="8" t="s">
        <v>73</v>
      </c>
      <c r="B8" s="6">
        <v>902.28</v>
      </c>
      <c r="U8"/>
    </row>
    <row r="9" customHeight="1" spans="1:21">
      <c r="A9" s="8" t="s">
        <v>74</v>
      </c>
      <c r="B9" s="6">
        <v>1284.63</v>
      </c>
      <c r="U9"/>
    </row>
    <row r="10" customHeight="1" spans="1:21">
      <c r="A10" s="8" t="s">
        <v>75</v>
      </c>
      <c r="B10" s="6">
        <v>629.99</v>
      </c>
      <c r="U10"/>
    </row>
    <row r="11" customHeight="1" spans="1:21">
      <c r="A11" s="8" t="s">
        <v>76</v>
      </c>
      <c r="B11" s="6">
        <v>243.41</v>
      </c>
      <c r="U11"/>
    </row>
    <row r="12" customHeight="1" spans="1:21">
      <c r="A12" s="8" t="s">
        <v>77</v>
      </c>
      <c r="B12" s="6">
        <v>553.98</v>
      </c>
      <c r="U12"/>
    </row>
    <row r="13" customHeight="1" spans="1:21">
      <c r="A13" s="8" t="s">
        <v>78</v>
      </c>
      <c r="B13" s="6">
        <v>302.83</v>
      </c>
      <c r="U13"/>
    </row>
    <row r="14" customHeight="1" spans="1:21">
      <c r="A14" s="8" t="s">
        <v>79</v>
      </c>
      <c r="B14" s="6">
        <v>957.22</v>
      </c>
      <c r="U14"/>
    </row>
    <row r="15" customHeight="1" spans="1:21">
      <c r="A15" s="8" t="s">
        <v>80</v>
      </c>
      <c r="B15" s="6">
        <v>1822.68</v>
      </c>
      <c r="U15"/>
    </row>
    <row r="16" customHeight="1" spans="1:21">
      <c r="A16" s="8" t="s">
        <v>81</v>
      </c>
      <c r="B16" s="6">
        <v>1800.78</v>
      </c>
      <c r="U16"/>
    </row>
    <row r="17" customHeight="1" spans="1:21">
      <c r="A17" s="8" t="s">
        <v>82</v>
      </c>
      <c r="B17" s="6">
        <v>1966.88</v>
      </c>
      <c r="U17"/>
    </row>
    <row r="18" customHeight="1" spans="1:21">
      <c r="A18" s="8" t="s">
        <v>83</v>
      </c>
      <c r="B18" s="6">
        <v>2384.34</v>
      </c>
      <c r="U18"/>
    </row>
    <row r="19" customHeight="1" spans="1:21">
      <c r="A19" s="8" t="s">
        <v>84</v>
      </c>
      <c r="B19" s="6">
        <v>2974.16</v>
      </c>
      <c r="U19"/>
    </row>
    <row r="20" customHeight="1" spans="1:21">
      <c r="A20" s="8" t="s">
        <v>85</v>
      </c>
      <c r="B20" s="6">
        <v>1836.59</v>
      </c>
      <c r="U20"/>
    </row>
    <row r="21" customHeight="1" spans="1:21">
      <c r="A21" s="8" t="s">
        <v>86</v>
      </c>
      <c r="B21" s="6">
        <v>1822.51</v>
      </c>
      <c r="U21"/>
    </row>
    <row r="22" customHeight="1" spans="1:21">
      <c r="A22" s="8" t="s">
        <v>87</v>
      </c>
      <c r="B22" s="6">
        <v>1332.13</v>
      </c>
      <c r="U22"/>
    </row>
    <row r="23" customHeight="1" spans="1:21">
      <c r="A23" s="8" t="s">
        <v>88</v>
      </c>
      <c r="B23" s="6">
        <v>726.94</v>
      </c>
      <c r="U23"/>
    </row>
    <row r="24" customHeight="1" spans="1:21">
      <c r="A24" s="8" t="s">
        <v>89</v>
      </c>
      <c r="B24" s="6">
        <v>1708.75</v>
      </c>
      <c r="U24"/>
    </row>
    <row r="25" customHeight="1" spans="1:21">
      <c r="A25" s="8" t="s">
        <v>90</v>
      </c>
      <c r="B25" s="6">
        <v>1383.53</v>
      </c>
      <c r="U25"/>
    </row>
    <row r="26" customHeight="1" spans="1:21">
      <c r="A26" s="8" t="s">
        <v>91</v>
      </c>
      <c r="B26" s="6">
        <v>2190.18</v>
      </c>
      <c r="U26"/>
    </row>
    <row r="27" customHeight="1" spans="1:21">
      <c r="A27" s="8" t="s">
        <v>92</v>
      </c>
      <c r="B27" s="6">
        <v>1583.49</v>
      </c>
      <c r="U27"/>
    </row>
    <row r="28" customHeight="1" spans="1:21">
      <c r="A28" s="8" t="s">
        <v>93</v>
      </c>
      <c r="B28" s="6">
        <v>1295.8</v>
      </c>
      <c r="U28"/>
    </row>
    <row r="29" customHeight="1" spans="1:21">
      <c r="A29" s="8" t="s">
        <v>94</v>
      </c>
      <c r="B29" s="6">
        <v>2006.64</v>
      </c>
      <c r="U29"/>
    </row>
    <row r="30" customHeight="1" spans="1:21">
      <c r="A30" s="8" t="s">
        <v>95</v>
      </c>
      <c r="B30" s="6">
        <v>1454.11</v>
      </c>
      <c r="U30"/>
    </row>
    <row r="31" customHeight="1" spans="1:21">
      <c r="A31" s="8" t="s">
        <v>96</v>
      </c>
      <c r="B31" s="6">
        <v>1318.29</v>
      </c>
      <c r="U31"/>
    </row>
    <row r="32" customHeight="1" spans="1:21">
      <c r="A32" s="8" t="s">
        <v>97</v>
      </c>
      <c r="B32" s="6">
        <v>2697.29</v>
      </c>
      <c r="U32"/>
    </row>
    <row r="33" customHeight="1" spans="1:21">
      <c r="A33" s="8" t="s">
        <v>98</v>
      </c>
      <c r="B33" s="6">
        <v>2048.78</v>
      </c>
      <c r="U33"/>
    </row>
    <row r="34" customHeight="1" spans="1:21">
      <c r="A34" s="8" t="s">
        <v>99</v>
      </c>
      <c r="B34" s="6">
        <v>2682.02</v>
      </c>
      <c r="U34"/>
    </row>
    <row r="35" customHeight="1" spans="1:21">
      <c r="A35" s="8" t="s">
        <v>100</v>
      </c>
      <c r="B35" s="6">
        <v>2667.74</v>
      </c>
      <c r="U35"/>
    </row>
    <row r="36" customHeight="1" spans="1:21">
      <c r="A36" s="8" t="s">
        <v>101</v>
      </c>
      <c r="B36" s="6">
        <v>1330.4</v>
      </c>
      <c r="U36"/>
    </row>
    <row r="37" customHeight="1" spans="1:21">
      <c r="A37" s="8" t="s">
        <v>102</v>
      </c>
      <c r="B37" s="6">
        <v>1901.25</v>
      </c>
      <c r="U37"/>
    </row>
    <row r="38" customHeight="1" spans="1:21">
      <c r="A38" s="8" t="s">
        <v>103</v>
      </c>
      <c r="B38" s="6">
        <v>1180.51</v>
      </c>
      <c r="U38"/>
    </row>
    <row r="39" customHeight="1" spans="1:21">
      <c r="A39" s="8" t="s">
        <v>104</v>
      </c>
      <c r="B39" s="6">
        <v>572.11</v>
      </c>
      <c r="U39"/>
    </row>
    <row r="40" customHeight="1" spans="1:21">
      <c r="A40" s="8" t="s">
        <v>105</v>
      </c>
      <c r="B40" s="6">
        <v>1636.84</v>
      </c>
      <c r="U40"/>
    </row>
    <row r="41" customHeight="1" spans="1:21">
      <c r="A41" s="8" t="s">
        <v>106</v>
      </c>
      <c r="B41" s="6">
        <v>2320.91</v>
      </c>
      <c r="U41"/>
    </row>
    <row r="42" customHeight="1" spans="1:21">
      <c r="A42" s="8" t="s">
        <v>107</v>
      </c>
      <c r="B42" s="6">
        <v>2469.21</v>
      </c>
      <c r="U42"/>
    </row>
    <row r="43" customHeight="1" spans="1:21">
      <c r="A43" s="8" t="s">
        <v>108</v>
      </c>
      <c r="B43" s="6">
        <v>2916.99</v>
      </c>
      <c r="U43"/>
    </row>
    <row r="44" customHeight="1" spans="1:21">
      <c r="A44" s="8" t="s">
        <v>109</v>
      </c>
      <c r="B44" s="6">
        <v>3953.11</v>
      </c>
      <c r="U44"/>
    </row>
    <row r="45" customHeight="1" spans="1:21">
      <c r="A45" s="8" t="s">
        <v>110</v>
      </c>
      <c r="B45" s="6">
        <v>2540.87</v>
      </c>
      <c r="U45"/>
    </row>
    <row r="46" customHeight="1" spans="1:21">
      <c r="A46" s="8" t="s">
        <v>111</v>
      </c>
      <c r="B46" s="6">
        <v>2520.07</v>
      </c>
      <c r="U46"/>
    </row>
    <row r="47" customHeight="1" spans="1:21">
      <c r="A47" s="8" t="s">
        <v>112</v>
      </c>
      <c r="B47" s="6">
        <v>2657.73</v>
      </c>
      <c r="U47"/>
    </row>
    <row r="48" customHeight="1" spans="1:21">
      <c r="A48" s="8" t="s">
        <v>113</v>
      </c>
      <c r="B48" s="6">
        <v>3345.5</v>
      </c>
      <c r="U48"/>
    </row>
    <row r="49" customHeight="1" spans="1:21">
      <c r="A49" s="8" t="s">
        <v>114</v>
      </c>
      <c r="B49" s="6">
        <v>2779.34</v>
      </c>
      <c r="U49"/>
    </row>
    <row r="50" customHeight="1" spans="1:21">
      <c r="A50" s="8" t="s">
        <v>115</v>
      </c>
      <c r="B50" s="6">
        <v>2198.76</v>
      </c>
      <c r="U50"/>
    </row>
    <row r="51" customHeight="1" spans="1:21">
      <c r="A51" s="8" t="s">
        <v>116</v>
      </c>
      <c r="B51" s="6">
        <v>1762.01</v>
      </c>
      <c r="U51"/>
    </row>
    <row r="52" customHeight="1" spans="1:21">
      <c r="A52" s="8" t="s">
        <v>117</v>
      </c>
      <c r="B52" s="6">
        <v>2441.59</v>
      </c>
      <c r="U52"/>
    </row>
    <row r="53" customHeight="1" spans="1:21">
      <c r="A53" s="8" t="s">
        <v>118</v>
      </c>
      <c r="B53" s="6">
        <v>4500.4</v>
      </c>
      <c r="U53"/>
    </row>
    <row r="54" customHeight="1" spans="1:21">
      <c r="A54" s="8" t="s">
        <v>119</v>
      </c>
      <c r="B54" s="6">
        <v>2825.65</v>
      </c>
      <c r="U54"/>
    </row>
    <row r="55" customHeight="1" spans="1:21">
      <c r="A55" s="8" t="s">
        <v>120</v>
      </c>
      <c r="B55" s="6">
        <v>2061.54</v>
      </c>
      <c r="U55"/>
    </row>
    <row r="56" customHeight="1" spans="1:21">
      <c r="A56" s="8" t="s">
        <v>121</v>
      </c>
      <c r="B56" s="6">
        <v>2617.78</v>
      </c>
      <c r="U56"/>
    </row>
    <row r="57" customHeight="1" spans="1:21">
      <c r="A57" s="8" t="s">
        <v>122</v>
      </c>
      <c r="B57" s="6">
        <v>2405.74</v>
      </c>
      <c r="U57"/>
    </row>
    <row r="58" customHeight="1" spans="1:21">
      <c r="A58" s="8" t="s">
        <v>123</v>
      </c>
      <c r="B58" s="6">
        <v>2462.59</v>
      </c>
      <c r="U58"/>
    </row>
    <row r="59" customHeight="1" spans="1:21">
      <c r="A59" s="8" t="s">
        <v>124</v>
      </c>
      <c r="B59" s="6">
        <v>3517.39</v>
      </c>
      <c r="U59"/>
    </row>
    <row r="60" customHeight="1" spans="1:21">
      <c r="A60" s="8" t="s">
        <v>125</v>
      </c>
      <c r="B60" s="6">
        <v>4498.95</v>
      </c>
      <c r="U60"/>
    </row>
    <row r="61" customHeight="1" spans="1:21">
      <c r="A61" s="8" t="s">
        <v>126</v>
      </c>
      <c r="B61" s="6">
        <v>2702.87</v>
      </c>
      <c r="U61"/>
    </row>
    <row r="62" customHeight="1" spans="1:21">
      <c r="A62" s="8" t="s">
        <v>127</v>
      </c>
      <c r="B62" s="6">
        <v>2837.68</v>
      </c>
      <c r="U62"/>
    </row>
    <row r="63" customHeight="1" spans="1:21">
      <c r="A63" s="8" t="s">
        <v>128</v>
      </c>
      <c r="B63" s="6">
        <v>802.96</v>
      </c>
      <c r="U63"/>
    </row>
    <row r="64" customHeight="1" spans="1:21">
      <c r="A64" s="8" t="s">
        <v>129</v>
      </c>
      <c r="B64" s="6">
        <v>610.59</v>
      </c>
      <c r="U64"/>
    </row>
    <row r="65" customHeight="1" spans="1:21">
      <c r="A65" s="8" t="s">
        <v>130</v>
      </c>
      <c r="B65" s="6">
        <v>612.24</v>
      </c>
      <c r="U65"/>
    </row>
    <row r="66" customHeight="1" spans="1:21">
      <c r="A66" s="8" t="s">
        <v>131</v>
      </c>
      <c r="B66" s="6">
        <v>615.27</v>
      </c>
      <c r="U66"/>
    </row>
    <row r="67" customHeight="1" spans="1:21">
      <c r="A67" s="8" t="s">
        <v>132</v>
      </c>
      <c r="B67" s="6">
        <v>611.37</v>
      </c>
      <c r="U67"/>
    </row>
    <row r="68" customHeight="1" spans="1:21">
      <c r="A68" s="8" t="s">
        <v>133</v>
      </c>
      <c r="B68" s="6">
        <v>607.4</v>
      </c>
      <c r="U68"/>
    </row>
    <row r="69" customHeight="1" spans="1:21">
      <c r="A69" s="8" t="s">
        <v>134</v>
      </c>
      <c r="B69" s="6">
        <v>610.88</v>
      </c>
      <c r="U69"/>
    </row>
    <row r="70" customHeight="1" spans="1:21">
      <c r="A70" s="8" t="s">
        <v>135</v>
      </c>
      <c r="B70" s="6">
        <v>609.04</v>
      </c>
      <c r="U70"/>
    </row>
    <row r="71" customHeight="1" spans="1:21">
      <c r="A71" s="8" t="s">
        <v>136</v>
      </c>
      <c r="B71" s="6">
        <v>607.67</v>
      </c>
      <c r="U71"/>
    </row>
    <row r="72" customHeight="1" spans="1:21">
      <c r="A72" s="8" t="s">
        <v>137</v>
      </c>
      <c r="B72" s="6">
        <v>511.86</v>
      </c>
      <c r="U72"/>
    </row>
    <row r="73" customHeight="1" spans="1:21">
      <c r="A73" s="8" t="s">
        <v>138</v>
      </c>
      <c r="B73" s="6">
        <v>491.69</v>
      </c>
      <c r="U73"/>
    </row>
    <row r="74" customHeight="1" spans="1:21">
      <c r="A74" s="8" t="s">
        <v>139</v>
      </c>
      <c r="B74" s="6">
        <v>9.32</v>
      </c>
      <c r="U74"/>
    </row>
    <row r="75" customHeight="1" spans="1:21">
      <c r="A75" s="8" t="s">
        <v>140</v>
      </c>
      <c r="B75" s="6">
        <v>840.4</v>
      </c>
      <c r="U75"/>
    </row>
    <row r="76" customHeight="1" spans="1:21">
      <c r="A76" s="8" t="s">
        <v>141</v>
      </c>
      <c r="B76" s="6">
        <v>411.82</v>
      </c>
      <c r="U76"/>
    </row>
    <row r="77" customHeight="1" spans="1:21">
      <c r="A77" s="8" t="s">
        <v>142</v>
      </c>
      <c r="B77" s="6">
        <v>814.84</v>
      </c>
      <c r="U77"/>
    </row>
    <row r="78" customHeight="1" spans="1:21">
      <c r="A78" s="8" t="s">
        <v>143</v>
      </c>
      <c r="B78" s="6">
        <v>1524.96</v>
      </c>
      <c r="U78"/>
    </row>
    <row r="79" customHeight="1" spans="1:21">
      <c r="A79" s="8" t="s">
        <v>144</v>
      </c>
      <c r="B79" s="6">
        <v>1504.8</v>
      </c>
      <c r="U79"/>
    </row>
    <row r="80" customHeight="1" spans="1:21">
      <c r="A80" s="8" t="s">
        <v>145</v>
      </c>
      <c r="B80" s="6">
        <v>1507.7</v>
      </c>
      <c r="U80"/>
    </row>
    <row r="81" customHeight="1" spans="1:21">
      <c r="A81" s="8" t="s">
        <v>146</v>
      </c>
      <c r="B81" s="6">
        <v>2471.93</v>
      </c>
      <c r="U81"/>
    </row>
    <row r="82" customHeight="1" spans="1:21">
      <c r="A82" s="8" t="s">
        <v>147</v>
      </c>
      <c r="B82" s="6">
        <v>362.95</v>
      </c>
      <c r="U82"/>
    </row>
    <row r="83" customHeight="1" spans="1:21">
      <c r="A83" s="8" t="s">
        <v>148</v>
      </c>
      <c r="B83" s="6">
        <v>1623.93</v>
      </c>
      <c r="U83"/>
    </row>
    <row r="84" customHeight="1" spans="1:21">
      <c r="A84" s="8" t="s">
        <v>149</v>
      </c>
      <c r="B84" s="6">
        <v>1451.56</v>
      </c>
      <c r="U84"/>
    </row>
    <row r="85" customHeight="1" spans="1:21">
      <c r="A85" s="8" t="s">
        <v>150</v>
      </c>
      <c r="B85" s="6">
        <v>1839.01</v>
      </c>
      <c r="U85"/>
    </row>
    <row r="86" customHeight="1" spans="1:21">
      <c r="A86" s="8" t="s">
        <v>151</v>
      </c>
      <c r="B86" s="6">
        <v>2546.58</v>
      </c>
      <c r="U86"/>
    </row>
    <row r="87" customHeight="1" spans="1:21">
      <c r="A87" s="8" t="s">
        <v>152</v>
      </c>
      <c r="B87" s="6">
        <v>2511.57</v>
      </c>
      <c r="U87"/>
    </row>
    <row r="88" customHeight="1" spans="1:21">
      <c r="A88" s="8" t="s">
        <v>153</v>
      </c>
      <c r="B88" s="6">
        <v>3178.15</v>
      </c>
      <c r="U88"/>
    </row>
    <row r="89" customHeight="1" spans="1:21">
      <c r="A89" s="8" t="s">
        <v>154</v>
      </c>
      <c r="B89" s="6">
        <v>2242.45</v>
      </c>
      <c r="U89"/>
    </row>
    <row r="90" customHeight="1" spans="1:21">
      <c r="A90" s="8" t="s">
        <v>155</v>
      </c>
      <c r="B90" s="6">
        <v>2291.37</v>
      </c>
      <c r="U90"/>
    </row>
    <row r="91" customHeight="1" spans="1:21">
      <c r="A91" s="8" t="s">
        <v>156</v>
      </c>
      <c r="B91" s="6">
        <v>2162.87</v>
      </c>
      <c r="U91"/>
    </row>
    <row r="92" customHeight="1" spans="1:21">
      <c r="A92" s="8" t="s">
        <v>157</v>
      </c>
      <c r="B92" s="6">
        <v>1837.71</v>
      </c>
      <c r="U92"/>
    </row>
    <row r="93" customHeight="1" spans="1:21">
      <c r="A93" s="8" t="s">
        <v>158</v>
      </c>
      <c r="B93" s="6">
        <v>667.62</v>
      </c>
      <c r="U93"/>
    </row>
    <row r="94" customHeight="1" spans="1:21">
      <c r="A94" s="8" t="s">
        <v>159</v>
      </c>
      <c r="B94" s="6">
        <v>2038.57</v>
      </c>
      <c r="U94"/>
    </row>
    <row r="95" customHeight="1" spans="1:21">
      <c r="A95" s="8" t="s">
        <v>160</v>
      </c>
      <c r="B95" s="6">
        <v>6384.42</v>
      </c>
      <c r="U95"/>
    </row>
    <row r="96" customHeight="1" spans="1:21">
      <c r="A96" s="8" t="s">
        <v>161</v>
      </c>
      <c r="B96" s="6">
        <v>3913.62</v>
      </c>
      <c r="U96"/>
    </row>
    <row r="97" customHeight="1" spans="1:21">
      <c r="A97" s="8" t="s">
        <v>162</v>
      </c>
      <c r="B97" s="6">
        <v>4777.62</v>
      </c>
      <c r="U97"/>
    </row>
    <row r="98" customHeight="1" spans="1:21">
      <c r="A98" s="8" t="s">
        <v>163</v>
      </c>
      <c r="B98" s="6">
        <v>4570.84</v>
      </c>
      <c r="U98"/>
    </row>
    <row r="99" customHeight="1" spans="1:21">
      <c r="A99" s="8" t="s">
        <v>164</v>
      </c>
      <c r="B99" s="6">
        <v>2035.56</v>
      </c>
      <c r="U99"/>
    </row>
    <row r="100" customHeight="1" spans="1:21">
      <c r="A100" s="8" t="s">
        <v>165</v>
      </c>
      <c r="B100" s="6">
        <v>1.14</v>
      </c>
      <c r="U100"/>
    </row>
    <row r="101" customHeight="1" spans="1:21">
      <c r="A101" s="8" t="s">
        <v>166</v>
      </c>
      <c r="B101" s="6">
        <v>0</v>
      </c>
      <c r="U101"/>
    </row>
    <row r="102" customHeight="1" spans="1:21">
      <c r="A102" s="8" t="s">
        <v>167</v>
      </c>
      <c r="B102" s="6">
        <v>2784.85</v>
      </c>
      <c r="U102"/>
    </row>
    <row r="103" customHeight="1" spans="1:21">
      <c r="A103" s="8" t="s">
        <v>168</v>
      </c>
      <c r="B103" s="6">
        <v>4512.39</v>
      </c>
      <c r="U103"/>
    </row>
    <row r="104" customHeight="1" spans="1:21">
      <c r="A104" s="8" t="s">
        <v>169</v>
      </c>
      <c r="B104" s="6">
        <v>4843.21</v>
      </c>
      <c r="U104"/>
    </row>
    <row r="105" customHeight="1" spans="1:21">
      <c r="A105" s="8" t="s">
        <v>170</v>
      </c>
      <c r="B105" s="6">
        <v>5484.78</v>
      </c>
      <c r="U105"/>
    </row>
    <row r="106" customHeight="1" spans="1:21">
      <c r="A106" s="8" t="s">
        <v>171</v>
      </c>
      <c r="B106" s="6">
        <v>7222.14</v>
      </c>
      <c r="U106"/>
    </row>
    <row r="107" customHeight="1" spans="1:21">
      <c r="A107" s="8" t="s">
        <v>172</v>
      </c>
      <c r="B107" s="6">
        <v>11.59</v>
      </c>
      <c r="U107"/>
    </row>
    <row r="108" customHeight="1" spans="1:21">
      <c r="A108" s="8" t="s">
        <v>173</v>
      </c>
      <c r="B108" s="6">
        <v>506.89</v>
      </c>
      <c r="U108"/>
    </row>
    <row r="109" customHeight="1" spans="1:21">
      <c r="A109" s="8" t="s">
        <v>174</v>
      </c>
      <c r="B109" s="6">
        <v>1311.03</v>
      </c>
      <c r="U109"/>
    </row>
    <row r="110" customHeight="1" spans="1:21">
      <c r="A110" s="8" t="s">
        <v>175</v>
      </c>
      <c r="B110" s="6">
        <v>504.76</v>
      </c>
      <c r="U110"/>
    </row>
    <row r="111" customHeight="1" spans="1:21">
      <c r="A111" s="8" t="s">
        <v>176</v>
      </c>
      <c r="B111" s="6">
        <v>986.12</v>
      </c>
      <c r="U111"/>
    </row>
    <row r="112" customHeight="1" spans="1:21">
      <c r="A112" s="8" t="s">
        <v>177</v>
      </c>
      <c r="B112" s="6">
        <v>2518.86</v>
      </c>
      <c r="U112"/>
    </row>
    <row r="113" customHeight="1" spans="1:21">
      <c r="A113" s="8" t="s">
        <v>178</v>
      </c>
      <c r="B113" s="6">
        <v>2477.02</v>
      </c>
      <c r="U113"/>
    </row>
    <row r="114" customHeight="1" spans="1:21">
      <c r="A114" s="8" t="s">
        <v>179</v>
      </c>
      <c r="B114" s="6">
        <v>1717.72</v>
      </c>
      <c r="U114"/>
    </row>
    <row r="115" customHeight="1" spans="1:21">
      <c r="A115" s="8" t="s">
        <v>180</v>
      </c>
      <c r="B115" s="6">
        <v>1441.02</v>
      </c>
      <c r="U115"/>
    </row>
    <row r="116" customHeight="1" spans="1:21">
      <c r="A116" s="8" t="s">
        <v>181</v>
      </c>
      <c r="B116" s="6">
        <v>1373.38</v>
      </c>
      <c r="U116"/>
    </row>
    <row r="117" customHeight="1" spans="1:21">
      <c r="A117" s="8" t="s">
        <v>182</v>
      </c>
      <c r="B117" s="6">
        <v>2015.92</v>
      </c>
      <c r="U117"/>
    </row>
    <row r="118" customHeight="1" spans="1:21">
      <c r="A118" s="8" t="s">
        <v>183</v>
      </c>
      <c r="B118" s="6">
        <v>2549.52</v>
      </c>
      <c r="U118"/>
    </row>
    <row r="119" customHeight="1" spans="1:21">
      <c r="A119" s="8" t="s">
        <v>184</v>
      </c>
      <c r="B119" s="6">
        <v>2499.66</v>
      </c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B11" sqref="B11"/>
    </sheetView>
  </sheetViews>
  <sheetFormatPr defaultColWidth="9" defaultRowHeight="20" customHeight="1"/>
  <cols>
    <col min="1" max="1" width="27.8796296296296" customWidth="1"/>
    <col min="2" max="2" width="22.6296296296296" customWidth="1"/>
    <col min="3" max="3" width="10.3796296296296" customWidth="1"/>
    <col min="4" max="4" width="9.25" customWidth="1"/>
    <col min="5" max="5" width="8.12962962962963" customWidth="1"/>
    <col min="6" max="9" width="8.62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1" customWidth="1"/>
  </cols>
  <sheetData>
    <row r="1" customHeight="1" spans="1:21">
      <c r="A1" s="6" t="s">
        <v>188</v>
      </c>
      <c r="B1" s="6" t="s">
        <v>243</v>
      </c>
      <c r="U1"/>
    </row>
    <row r="2" customHeight="1" spans="1:21">
      <c r="A2" s="6" t="s">
        <v>191</v>
      </c>
      <c r="B2" s="6" t="s">
        <v>245</v>
      </c>
      <c r="U2"/>
    </row>
    <row r="3" ht="12" customHeight="1" spans="21:21">
      <c r="U3"/>
    </row>
    <row r="4" customHeight="1" spans="1:21">
      <c r="A4" s="12" t="s">
        <v>1</v>
      </c>
      <c r="B4" s="6" t="s">
        <v>2</v>
      </c>
      <c r="U4"/>
    </row>
    <row r="5" customHeight="1" spans="1:21">
      <c r="A5" s="8" t="s">
        <v>170</v>
      </c>
      <c r="B5" s="6">
        <v>339.39</v>
      </c>
      <c r="U5"/>
    </row>
    <row r="6" customHeight="1" spans="1:21">
      <c r="A6" s="8" t="s">
        <v>171</v>
      </c>
      <c r="B6" s="6">
        <v>523.47</v>
      </c>
      <c r="U6"/>
    </row>
    <row r="7" customHeight="1" spans="1:21">
      <c r="A7" s="8" t="s">
        <v>173</v>
      </c>
      <c r="B7" s="6">
        <v>505.57</v>
      </c>
      <c r="U7"/>
    </row>
    <row r="8" customHeight="1" spans="1:21">
      <c r="A8" s="8" t="s">
        <v>174</v>
      </c>
      <c r="B8" s="6">
        <v>506.13</v>
      </c>
      <c r="U8"/>
    </row>
    <row r="9" customHeight="1" spans="1:21">
      <c r="A9" s="8" t="s">
        <v>175</v>
      </c>
      <c r="B9" s="6">
        <v>508.35</v>
      </c>
      <c r="U9"/>
    </row>
    <row r="10" customHeight="1" spans="1:21">
      <c r="A10" s="8" t="s">
        <v>176</v>
      </c>
      <c r="B10" s="6">
        <v>515.7</v>
      </c>
      <c r="U10"/>
    </row>
    <row r="11" customHeight="1" spans="1:21">
      <c r="A11" s="8" t="s">
        <v>177</v>
      </c>
      <c r="B11" s="6">
        <v>1055.85</v>
      </c>
      <c r="U11"/>
    </row>
    <row r="12" customHeight="1" spans="1:21">
      <c r="A12" s="8" t="s">
        <v>178</v>
      </c>
      <c r="B12" s="6">
        <v>1081.54</v>
      </c>
      <c r="U12"/>
    </row>
    <row r="13" customHeight="1" spans="1:21">
      <c r="A13" s="8" t="s">
        <v>179</v>
      </c>
      <c r="B13" s="6">
        <v>1053.59</v>
      </c>
      <c r="U13"/>
    </row>
    <row r="14" customHeight="1" spans="1:21">
      <c r="A14" s="8" t="s">
        <v>180</v>
      </c>
      <c r="B14" s="6">
        <v>526.45</v>
      </c>
      <c r="U14"/>
    </row>
    <row r="15" customHeight="1" spans="1:21">
      <c r="A15" s="8" t="s">
        <v>181</v>
      </c>
      <c r="B15" s="6">
        <v>316.93</v>
      </c>
      <c r="U15"/>
    </row>
    <row r="16" customHeight="1" spans="1:21">
      <c r="A16" s="8" t="s">
        <v>182</v>
      </c>
      <c r="B16" s="6">
        <v>306.27</v>
      </c>
      <c r="U16"/>
    </row>
    <row r="17" customHeight="1" spans="1:21">
      <c r="A17" s="8" t="s">
        <v>183</v>
      </c>
      <c r="B17" s="6">
        <v>324.24</v>
      </c>
      <c r="U17"/>
    </row>
    <row r="18" customHeight="1" spans="1:21">
      <c r="A18" s="8" t="s">
        <v>184</v>
      </c>
      <c r="B18" s="6">
        <v>0</v>
      </c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workbookViewId="0">
      <pane ySplit="4" topLeftCell="A5" activePane="bottomLeft" state="frozen"/>
      <selection/>
      <selection pane="bottomLeft" activeCell="J16" sqref="J16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" customWidth="1"/>
    <col min="5" max="5" width="8.12962962962963" customWidth="1"/>
    <col min="6" max="7" width="8.62962962962963" customWidth="1"/>
    <col min="8" max="8" width="5.87962962962963" customWidth="1"/>
    <col min="9" max="9" width="4.87962962962963" customWidth="1"/>
    <col min="10" max="10" width="5.62962962962963" customWidth="1"/>
    <col min="11" max="12" width="4.87962962962963" customWidth="1"/>
    <col min="13" max="13" width="6.75" customWidth="1"/>
    <col min="14" max="19" width="8.62962962962963" customWidth="1"/>
    <col min="20" max="20" width="9.12962962962963"/>
    <col min="21" max="21" width="6.87962962962963" style="1" customWidth="1"/>
  </cols>
  <sheetData>
    <row r="1" customHeight="1" spans="1:21">
      <c r="A1" s="6" t="s">
        <v>189</v>
      </c>
      <c r="B1" s="6" t="s">
        <v>209</v>
      </c>
      <c r="U1"/>
    </row>
    <row r="2" customHeight="1" spans="1:21">
      <c r="A2" s="6" t="s">
        <v>1</v>
      </c>
      <c r="B2" s="6" t="s">
        <v>1442</v>
      </c>
      <c r="U2"/>
    </row>
    <row r="3" ht="12" customHeight="1" spans="21:21">
      <c r="U3"/>
    </row>
    <row r="4" customHeight="1" spans="1:21">
      <c r="A4" s="7" t="s">
        <v>194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14" t="s">
        <v>14</v>
      </c>
      <c r="O4" s="11" t="s">
        <v>584</v>
      </c>
      <c r="U4"/>
    </row>
    <row r="5" customHeight="1" spans="1:21">
      <c r="A5" s="8" t="s">
        <v>205</v>
      </c>
      <c r="B5" s="6">
        <v>303.85</v>
      </c>
      <c r="C5" s="6">
        <v>12856</v>
      </c>
      <c r="D5" s="6">
        <v>1122</v>
      </c>
      <c r="E5" s="9">
        <v>0.0872744243932794</v>
      </c>
      <c r="F5" s="10">
        <v>0.270811051693405</v>
      </c>
      <c r="G5" s="10">
        <v>23.6348786558805</v>
      </c>
      <c r="H5" s="6">
        <v>85</v>
      </c>
      <c r="I5" s="12">
        <v>0</v>
      </c>
      <c r="J5" s="6">
        <v>92</v>
      </c>
      <c r="K5" s="6">
        <v>5</v>
      </c>
      <c r="L5" s="6">
        <v>5</v>
      </c>
      <c r="M5" s="6">
        <v>187</v>
      </c>
      <c r="N5" s="15">
        <v>1.62486631016043</v>
      </c>
      <c r="O5" s="13">
        <v>0.166666666666667</v>
      </c>
      <c r="U5"/>
    </row>
    <row r="6" customHeight="1" spans="1:21">
      <c r="A6" s="8" t="s">
        <v>201</v>
      </c>
      <c r="B6" s="6">
        <v>2141.38</v>
      </c>
      <c r="C6" s="6">
        <v>164291</v>
      </c>
      <c r="D6" s="6">
        <v>7491</v>
      </c>
      <c r="E6" s="9">
        <v>0.0455959243050441</v>
      </c>
      <c r="F6" s="10">
        <v>0.28586036577226</v>
      </c>
      <c r="G6" s="10">
        <v>13.0340675995642</v>
      </c>
      <c r="H6" s="6">
        <v>266</v>
      </c>
      <c r="I6" s="12">
        <v>4</v>
      </c>
      <c r="J6" s="6">
        <v>92</v>
      </c>
      <c r="K6" s="6">
        <v>2</v>
      </c>
      <c r="L6" s="6">
        <v>11</v>
      </c>
      <c r="M6" s="6">
        <v>375</v>
      </c>
      <c r="N6" s="15">
        <v>5.71034666666667</v>
      </c>
      <c r="O6" s="13">
        <v>0.0500600720865038</v>
      </c>
      <c r="U6"/>
    </row>
    <row r="7" customHeight="1" spans="1:21">
      <c r="A7" s="8" t="s">
        <v>579</v>
      </c>
      <c r="B7" s="6">
        <v>0</v>
      </c>
      <c r="C7" s="6">
        <v>0</v>
      </c>
      <c r="D7" s="6">
        <v>0</v>
      </c>
      <c r="E7" s="9" t="e">
        <v>#DIV/0!</v>
      </c>
      <c r="F7" s="10" t="e">
        <v>#DIV/0!</v>
      </c>
      <c r="G7" s="10" t="e">
        <v>#DIV/0!</v>
      </c>
      <c r="H7" s="6">
        <v>0</v>
      </c>
      <c r="I7" s="12">
        <v>0</v>
      </c>
      <c r="J7" s="6">
        <v>0</v>
      </c>
      <c r="K7" s="6">
        <v>0</v>
      </c>
      <c r="L7" s="6">
        <v>0</v>
      </c>
      <c r="M7" s="6">
        <v>0</v>
      </c>
      <c r="N7" s="15" t="e">
        <v>#DIV/0!</v>
      </c>
      <c r="O7" s="13" t="e">
        <v>#DIV/0!</v>
      </c>
      <c r="U7"/>
    </row>
    <row r="8" customHeight="1" spans="1:21">
      <c r="A8" s="8" t="s">
        <v>208</v>
      </c>
      <c r="B8" s="6">
        <v>3839.92</v>
      </c>
      <c r="C8" s="6">
        <v>300888</v>
      </c>
      <c r="D8" s="6">
        <v>20675</v>
      </c>
      <c r="E8" s="9">
        <v>0.0687132753715668</v>
      </c>
      <c r="F8" s="10">
        <v>0.1857276904474</v>
      </c>
      <c r="G8" s="10">
        <v>12.7619579378373</v>
      </c>
      <c r="H8" s="6">
        <v>483</v>
      </c>
      <c r="I8" s="12">
        <v>2</v>
      </c>
      <c r="J8" s="6">
        <v>282</v>
      </c>
      <c r="K8" s="6">
        <v>6</v>
      </c>
      <c r="L8" s="6">
        <v>17</v>
      </c>
      <c r="M8" s="6">
        <v>790</v>
      </c>
      <c r="N8" s="15">
        <v>4.8606582278481</v>
      </c>
      <c r="O8" s="13">
        <v>0.0382103990326481</v>
      </c>
      <c r="U8"/>
    </row>
    <row r="9" customHeight="1" spans="1:21">
      <c r="A9" s="8" t="s">
        <v>220</v>
      </c>
      <c r="B9" s="6">
        <v>9116.9</v>
      </c>
      <c r="C9" s="6">
        <v>574342</v>
      </c>
      <c r="D9" s="6">
        <v>29463</v>
      </c>
      <c r="E9" s="9">
        <v>0.0512987035598999</v>
      </c>
      <c r="F9" s="10">
        <v>0.309435563248821</v>
      </c>
      <c r="G9" s="10">
        <v>15.8736432299919</v>
      </c>
      <c r="H9" s="6">
        <v>1776</v>
      </c>
      <c r="I9" s="12">
        <v>11</v>
      </c>
      <c r="J9" s="6">
        <v>771</v>
      </c>
      <c r="K9" s="6">
        <v>5</v>
      </c>
      <c r="L9" s="6">
        <v>30</v>
      </c>
      <c r="M9" s="6">
        <v>2593</v>
      </c>
      <c r="N9" s="15">
        <v>3.5159660624759</v>
      </c>
      <c r="O9" s="13">
        <v>0.0880086888639989</v>
      </c>
      <c r="U9"/>
    </row>
    <row r="10" customHeight="1" spans="1:21">
      <c r="A10" s="8" t="s">
        <v>558</v>
      </c>
      <c r="B10" s="6">
        <v>300.41</v>
      </c>
      <c r="C10" s="6">
        <v>16762</v>
      </c>
      <c r="D10" s="6">
        <v>1047</v>
      </c>
      <c r="E10" s="9">
        <v>0.0624627132800382</v>
      </c>
      <c r="F10" s="10">
        <v>0.286924546322827</v>
      </c>
      <c r="G10" s="10">
        <v>17.9220856699678</v>
      </c>
      <c r="H10" s="6">
        <v>51</v>
      </c>
      <c r="I10" s="12">
        <v>0</v>
      </c>
      <c r="J10" s="6">
        <v>13</v>
      </c>
      <c r="K10" s="6">
        <v>0</v>
      </c>
      <c r="L10" s="6">
        <v>1</v>
      </c>
      <c r="M10" s="6">
        <v>65</v>
      </c>
      <c r="N10" s="15">
        <v>4.62169230769231</v>
      </c>
      <c r="O10" s="13">
        <v>0.0620821394460363</v>
      </c>
      <c r="U10"/>
    </row>
    <row r="11" customHeight="1" spans="1:21">
      <c r="A11" s="8" t="s">
        <v>303</v>
      </c>
      <c r="B11" s="6">
        <v>0</v>
      </c>
      <c r="C11" s="6">
        <v>0</v>
      </c>
      <c r="D11" s="6">
        <v>0</v>
      </c>
      <c r="E11" s="9" t="e">
        <v>#DIV/0!</v>
      </c>
      <c r="F11" s="10" t="e">
        <v>#DIV/0!</v>
      </c>
      <c r="G11" s="10" t="e">
        <v>#DIV/0!</v>
      </c>
      <c r="H11" s="6">
        <v>0</v>
      </c>
      <c r="I11" s="12">
        <v>0</v>
      </c>
      <c r="J11" s="6">
        <v>0</v>
      </c>
      <c r="K11" s="6">
        <v>0</v>
      </c>
      <c r="L11" s="6">
        <v>0</v>
      </c>
      <c r="M11" s="6">
        <v>0</v>
      </c>
      <c r="N11" s="15" t="e">
        <v>#DIV/0!</v>
      </c>
      <c r="O11" s="13" t="e">
        <v>#DIV/0!</v>
      </c>
      <c r="U11"/>
    </row>
    <row r="12" customHeight="1" spans="1:21">
      <c r="A12" s="8" t="s">
        <v>214</v>
      </c>
      <c r="B12" s="6">
        <v>7385.95</v>
      </c>
      <c r="C12" s="6">
        <v>716867</v>
      </c>
      <c r="D12" s="6">
        <v>43289</v>
      </c>
      <c r="E12" s="9">
        <v>0.0603863757154396</v>
      </c>
      <c r="F12" s="10">
        <v>0.170619556931322</v>
      </c>
      <c r="G12" s="10">
        <v>10.3030966692566</v>
      </c>
      <c r="H12" s="6">
        <v>1929</v>
      </c>
      <c r="I12" s="12">
        <v>16</v>
      </c>
      <c r="J12" s="6">
        <v>649</v>
      </c>
      <c r="K12" s="6">
        <v>9</v>
      </c>
      <c r="L12" s="6">
        <v>31</v>
      </c>
      <c r="M12" s="6">
        <v>2634</v>
      </c>
      <c r="N12" s="15">
        <v>2.80408124525437</v>
      </c>
      <c r="O12" s="13">
        <v>0.0608468664094805</v>
      </c>
      <c r="U12"/>
    </row>
    <row r="13" customHeight="1" spans="1:21">
      <c r="A13" s="8" t="s">
        <v>258</v>
      </c>
      <c r="B13" s="6">
        <v>4166.45</v>
      </c>
      <c r="C13" s="6">
        <v>508482</v>
      </c>
      <c r="D13" s="6">
        <v>51196</v>
      </c>
      <c r="E13" s="9">
        <v>0.100683996680315</v>
      </c>
      <c r="F13" s="10">
        <v>0.0813823345573873</v>
      </c>
      <c r="G13" s="10">
        <v>8.19389870241228</v>
      </c>
      <c r="H13" s="6">
        <v>1337</v>
      </c>
      <c r="I13" s="12">
        <v>28</v>
      </c>
      <c r="J13" s="6">
        <v>881</v>
      </c>
      <c r="K13" s="6">
        <v>29</v>
      </c>
      <c r="L13" s="6">
        <v>75</v>
      </c>
      <c r="M13" s="6">
        <v>2350</v>
      </c>
      <c r="N13" s="15">
        <v>1.77295744680851</v>
      </c>
      <c r="O13" s="13">
        <v>0.0459020235955934</v>
      </c>
      <c r="U13"/>
    </row>
    <row r="14" customHeight="1" spans="1:21">
      <c r="A14" s="8" t="s">
        <v>247</v>
      </c>
      <c r="B14" s="6">
        <v>506.22</v>
      </c>
      <c r="C14" s="6">
        <v>29856</v>
      </c>
      <c r="D14" s="6">
        <v>2055</v>
      </c>
      <c r="E14" s="9">
        <v>0.06883038585209</v>
      </c>
      <c r="F14" s="10">
        <v>0.246335766423358</v>
      </c>
      <c r="G14" s="10">
        <v>16.95538585209</v>
      </c>
      <c r="H14" s="6">
        <v>126</v>
      </c>
      <c r="I14" s="12">
        <v>0</v>
      </c>
      <c r="J14" s="6">
        <v>71</v>
      </c>
      <c r="K14" s="6">
        <v>6</v>
      </c>
      <c r="L14" s="6">
        <v>1</v>
      </c>
      <c r="M14" s="6">
        <v>204</v>
      </c>
      <c r="N14" s="15">
        <v>2.48147058823529</v>
      </c>
      <c r="O14" s="13">
        <v>0.0992700729927007</v>
      </c>
      <c r="U14"/>
    </row>
    <row r="15" customHeight="1" spans="1:21">
      <c r="A15" s="8" t="s">
        <v>432</v>
      </c>
      <c r="B15" s="6">
        <v>1819.72</v>
      </c>
      <c r="C15" s="6">
        <v>198255</v>
      </c>
      <c r="D15" s="6">
        <v>19399</v>
      </c>
      <c r="E15" s="9">
        <v>0.0978487301707397</v>
      </c>
      <c r="F15" s="10">
        <v>0.0938048353007887</v>
      </c>
      <c r="G15" s="10">
        <v>9.17868401805755</v>
      </c>
      <c r="H15" s="6">
        <v>333</v>
      </c>
      <c r="I15" s="12">
        <v>18</v>
      </c>
      <c r="J15" s="6">
        <v>130</v>
      </c>
      <c r="K15" s="6">
        <v>77</v>
      </c>
      <c r="L15" s="6">
        <v>17</v>
      </c>
      <c r="M15" s="6">
        <v>575</v>
      </c>
      <c r="N15" s="15">
        <v>3.16473043478261</v>
      </c>
      <c r="O15" s="13">
        <v>0.0296407031290273</v>
      </c>
      <c r="U15"/>
    </row>
    <row r="16" customHeight="1" spans="1:21">
      <c r="A16" s="8" t="s">
        <v>962</v>
      </c>
      <c r="B16" s="6">
        <v>505.48</v>
      </c>
      <c r="C16" s="6">
        <v>40012</v>
      </c>
      <c r="D16" s="6">
        <v>6085</v>
      </c>
      <c r="E16" s="9">
        <v>0.152079376187144</v>
      </c>
      <c r="F16" s="10">
        <v>0.0830698438783895</v>
      </c>
      <c r="G16" s="10">
        <v>12.6332100369889</v>
      </c>
      <c r="H16" s="6">
        <v>189</v>
      </c>
      <c r="I16" s="12">
        <v>6</v>
      </c>
      <c r="J16" s="6">
        <v>13</v>
      </c>
      <c r="K16" s="6">
        <v>22</v>
      </c>
      <c r="L16" s="6">
        <v>1</v>
      </c>
      <c r="M16" s="6">
        <v>231</v>
      </c>
      <c r="N16" s="15">
        <v>2.18822510822511</v>
      </c>
      <c r="O16" s="13">
        <v>0.037962202136401</v>
      </c>
      <c r="U16"/>
    </row>
    <row r="17" customHeight="1" spans="1:21">
      <c r="A17" s="8" t="s">
        <v>440</v>
      </c>
      <c r="B17" s="6">
        <v>505.56</v>
      </c>
      <c r="C17" s="6">
        <v>51875</v>
      </c>
      <c r="D17" s="6">
        <v>5612</v>
      </c>
      <c r="E17" s="9">
        <v>0.10818313253012</v>
      </c>
      <c r="F17" s="10">
        <v>0.0900855310049893</v>
      </c>
      <c r="G17" s="10">
        <v>9.74573493975904</v>
      </c>
      <c r="H17" s="6">
        <v>90</v>
      </c>
      <c r="I17" s="12">
        <v>1</v>
      </c>
      <c r="J17" s="6">
        <v>31</v>
      </c>
      <c r="K17" s="6">
        <v>5</v>
      </c>
      <c r="L17" s="6">
        <v>1</v>
      </c>
      <c r="M17" s="6">
        <v>128</v>
      </c>
      <c r="N17" s="15">
        <v>3.9496875</v>
      </c>
      <c r="O17" s="13">
        <v>0.022808267997149</v>
      </c>
      <c r="U17"/>
    </row>
    <row r="18" customHeight="1" spans="1:21">
      <c r="A18" s="8" t="s">
        <v>387</v>
      </c>
      <c r="B18" s="6">
        <v>1016.55</v>
      </c>
      <c r="C18" s="6">
        <v>115919</v>
      </c>
      <c r="D18" s="6">
        <v>11599</v>
      </c>
      <c r="E18" s="9">
        <v>0.100061249665715</v>
      </c>
      <c r="F18" s="10">
        <v>0.0876411759634451</v>
      </c>
      <c r="G18" s="10">
        <v>8.76948558907513</v>
      </c>
      <c r="H18" s="6">
        <v>182</v>
      </c>
      <c r="I18" s="12">
        <v>7</v>
      </c>
      <c r="J18" s="6">
        <v>97</v>
      </c>
      <c r="K18" s="6">
        <v>10</v>
      </c>
      <c r="L18" s="6">
        <v>2</v>
      </c>
      <c r="M18" s="6">
        <v>298</v>
      </c>
      <c r="N18" s="15">
        <v>3.41124161073826</v>
      </c>
      <c r="O18" s="13">
        <v>0.0256918699887921</v>
      </c>
      <c r="U18"/>
    </row>
    <row r="19" customHeight="1" spans="1:21">
      <c r="A19" s="8" t="s">
        <v>398</v>
      </c>
      <c r="B19" s="6">
        <v>409.4</v>
      </c>
      <c r="C19" s="6">
        <v>23058</v>
      </c>
      <c r="D19" s="6">
        <v>1799</v>
      </c>
      <c r="E19" s="9">
        <v>0.0780206435944141</v>
      </c>
      <c r="F19" s="10">
        <v>0.227570872707059</v>
      </c>
      <c r="G19" s="10">
        <v>17.7552259519473</v>
      </c>
      <c r="H19" s="6">
        <v>46</v>
      </c>
      <c r="I19" s="12">
        <v>4</v>
      </c>
      <c r="J19" s="6">
        <v>22</v>
      </c>
      <c r="K19" s="6">
        <v>1</v>
      </c>
      <c r="L19" s="6">
        <v>10</v>
      </c>
      <c r="M19" s="6">
        <v>83</v>
      </c>
      <c r="N19" s="15">
        <v>4.93253012048193</v>
      </c>
      <c r="O19" s="13">
        <v>0.0461367426347971</v>
      </c>
      <c r="U19"/>
    </row>
    <row r="20" customHeight="1" spans="1:21">
      <c r="A20" s="8" t="s">
        <v>385</v>
      </c>
      <c r="B20" s="6">
        <v>1016.81</v>
      </c>
      <c r="C20" s="6">
        <v>77106</v>
      </c>
      <c r="D20" s="6">
        <v>4108</v>
      </c>
      <c r="E20" s="9">
        <v>0.0532773065649885</v>
      </c>
      <c r="F20" s="10">
        <v>0.247519474196689</v>
      </c>
      <c r="G20" s="10">
        <v>13.1871709075818</v>
      </c>
      <c r="H20" s="6">
        <v>96</v>
      </c>
      <c r="I20" s="12">
        <v>2</v>
      </c>
      <c r="J20" s="6">
        <v>24</v>
      </c>
      <c r="K20" s="6">
        <v>1</v>
      </c>
      <c r="L20" s="6">
        <v>2</v>
      </c>
      <c r="M20" s="6">
        <v>125</v>
      </c>
      <c r="N20" s="15">
        <v>8.13448</v>
      </c>
      <c r="O20" s="13">
        <v>0.0304284323271665</v>
      </c>
      <c r="U20"/>
    </row>
    <row r="21" customHeight="1" spans="1:21">
      <c r="A21" s="8" t="s">
        <v>389</v>
      </c>
      <c r="B21" s="6">
        <v>505.92</v>
      </c>
      <c r="C21" s="6">
        <v>48437</v>
      </c>
      <c r="D21" s="6">
        <v>4757</v>
      </c>
      <c r="E21" s="9">
        <v>0.0982100460391849</v>
      </c>
      <c r="F21" s="10">
        <v>0.106352743325625</v>
      </c>
      <c r="G21" s="10">
        <v>10.4449078184033</v>
      </c>
      <c r="H21" s="6">
        <v>55</v>
      </c>
      <c r="I21" s="12">
        <v>5</v>
      </c>
      <c r="J21" s="6">
        <v>6</v>
      </c>
      <c r="K21" s="6">
        <v>2</v>
      </c>
      <c r="L21" s="6">
        <v>2</v>
      </c>
      <c r="M21" s="6">
        <v>70</v>
      </c>
      <c r="N21" s="15">
        <v>7.22742857142857</v>
      </c>
      <c r="O21" s="13">
        <v>0.0147151566113097</v>
      </c>
      <c r="U21"/>
    </row>
    <row r="22" customHeight="1" spans="1:21">
      <c r="A22" s="8" t="s">
        <v>403</v>
      </c>
      <c r="B22" s="6">
        <v>295</v>
      </c>
      <c r="C22" s="6">
        <v>17898</v>
      </c>
      <c r="D22" s="6">
        <v>726</v>
      </c>
      <c r="E22" s="9">
        <v>0.0405631914180355</v>
      </c>
      <c r="F22" s="10">
        <v>0.40633608815427</v>
      </c>
      <c r="G22" s="10">
        <v>16.4822885238574</v>
      </c>
      <c r="H22" s="6">
        <v>31</v>
      </c>
      <c r="I22" s="12">
        <v>1</v>
      </c>
      <c r="J22" s="6">
        <v>10</v>
      </c>
      <c r="K22" s="6">
        <v>0</v>
      </c>
      <c r="L22" s="6">
        <v>1</v>
      </c>
      <c r="M22" s="6">
        <v>43</v>
      </c>
      <c r="N22" s="15">
        <v>6.86046511627907</v>
      </c>
      <c r="O22" s="13">
        <v>0.0592286501377411</v>
      </c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455"/>
  <sheetViews>
    <sheetView zoomScale="115" zoomScaleNormal="115" workbookViewId="0">
      <pane ySplit="4" topLeftCell="A5" activePane="bottomLeft" state="frozen"/>
      <selection/>
      <selection pane="bottomLeft" activeCell="D7" sqref="D7"/>
    </sheetView>
  </sheetViews>
  <sheetFormatPr defaultColWidth="9" defaultRowHeight="20" customHeight="1"/>
  <cols>
    <col min="1" max="1" width="27.8796296296296" customWidth="1"/>
    <col min="2" max="2" width="15.3796296296296" customWidth="1"/>
    <col min="3" max="4" width="9.25" customWidth="1"/>
    <col min="5" max="5" width="8.12962962962963" customWidth="1"/>
    <col min="6" max="8" width="8.62962962962963" customWidth="1"/>
    <col min="9" max="9" width="4.87962962962963" customWidth="1"/>
    <col min="10" max="10" width="5.62962962962963" customWidth="1"/>
    <col min="11" max="12" width="4.87962962962963" customWidth="1"/>
    <col min="13" max="13" width="6.75" customWidth="1"/>
    <col min="14" max="14" width="8" customWidth="1"/>
    <col min="15" max="19" width="8.62962962962963" customWidth="1"/>
    <col min="20" max="20" width="9.12962962962963"/>
    <col min="21" max="21" width="6.87962962962963" style="1" customWidth="1"/>
  </cols>
  <sheetData>
    <row r="1" customHeight="1" spans="1:21">
      <c r="A1" s="6" t="s">
        <v>189</v>
      </c>
      <c r="B1" s="6" t="s">
        <v>196</v>
      </c>
      <c r="U1"/>
    </row>
    <row r="2" customHeight="1" spans="1:21">
      <c r="A2" s="6" t="s">
        <v>1</v>
      </c>
      <c r="B2" s="6" t="s">
        <v>1442</v>
      </c>
      <c r="U2"/>
    </row>
    <row r="3" ht="12" customHeight="1" spans="21:21">
      <c r="U3"/>
    </row>
    <row r="4" customHeight="1" spans="1:21">
      <c r="A4" s="7" t="s">
        <v>194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11" t="s">
        <v>584</v>
      </c>
      <c r="U4"/>
    </row>
    <row r="5" customHeight="1" spans="1:21">
      <c r="A5" s="8" t="s">
        <v>205</v>
      </c>
      <c r="B5" s="6">
        <v>506.5</v>
      </c>
      <c r="C5" s="6">
        <v>19164</v>
      </c>
      <c r="D5" s="6">
        <v>1100</v>
      </c>
      <c r="E5" s="9">
        <v>0.0573992903360468</v>
      </c>
      <c r="F5" s="10">
        <v>0.460454545454545</v>
      </c>
      <c r="G5" s="10">
        <v>26.4297641410979</v>
      </c>
      <c r="H5" s="6">
        <v>25</v>
      </c>
      <c r="I5" s="12">
        <v>0</v>
      </c>
      <c r="J5" s="6">
        <v>28</v>
      </c>
      <c r="K5" s="6">
        <v>4</v>
      </c>
      <c r="L5" s="6">
        <v>3</v>
      </c>
      <c r="M5" s="6">
        <v>60</v>
      </c>
      <c r="N5" s="13">
        <v>0.0545454545454545</v>
      </c>
      <c r="U5"/>
    </row>
    <row r="6" customHeight="1" spans="1:21">
      <c r="A6" s="8" t="s">
        <v>201</v>
      </c>
      <c r="B6" s="6">
        <v>1873.22</v>
      </c>
      <c r="C6" s="6">
        <v>36645</v>
      </c>
      <c r="D6" s="6">
        <v>3931</v>
      </c>
      <c r="E6" s="9">
        <v>0.10727247919225</v>
      </c>
      <c r="F6" s="10">
        <v>0.476525057237344</v>
      </c>
      <c r="G6" s="10">
        <v>51.1180242870787</v>
      </c>
      <c r="H6" s="6">
        <v>17</v>
      </c>
      <c r="I6" s="12">
        <v>0</v>
      </c>
      <c r="J6" s="6">
        <v>6</v>
      </c>
      <c r="K6" s="6">
        <v>0</v>
      </c>
      <c r="L6" s="6">
        <v>4</v>
      </c>
      <c r="M6" s="6">
        <v>27</v>
      </c>
      <c r="N6" s="13">
        <v>0.00686848130246757</v>
      </c>
      <c r="U6"/>
    </row>
    <row r="7" customHeight="1" spans="1:21">
      <c r="A7" s="8" t="s">
        <v>214</v>
      </c>
      <c r="B7" s="6">
        <v>812.48</v>
      </c>
      <c r="C7" s="6">
        <v>27132</v>
      </c>
      <c r="D7" s="6">
        <v>1272</v>
      </c>
      <c r="E7" s="9">
        <v>0.0468819106590004</v>
      </c>
      <c r="F7" s="10">
        <v>0.63874213836478</v>
      </c>
      <c r="G7" s="10">
        <v>29.9454518649565</v>
      </c>
      <c r="H7" s="6">
        <v>20</v>
      </c>
      <c r="I7" s="12">
        <v>2</v>
      </c>
      <c r="J7" s="6">
        <v>9</v>
      </c>
      <c r="K7" s="6">
        <v>0</v>
      </c>
      <c r="L7" s="6">
        <v>0</v>
      </c>
      <c r="M7" s="6">
        <v>31</v>
      </c>
      <c r="N7" s="13">
        <v>0.0243710691823899</v>
      </c>
      <c r="U7"/>
    </row>
    <row r="8" customHeight="1" spans="21:21">
      <c r="U8"/>
    </row>
    <row r="9" customHeight="1" spans="21:21">
      <c r="U9"/>
    </row>
    <row r="10" customHeight="1" spans="21:21">
      <c r="U10"/>
    </row>
    <row r="11" customHeight="1" spans="21:21">
      <c r="U11"/>
    </row>
    <row r="12" customHeight="1" spans="21:21">
      <c r="U12"/>
    </row>
    <row r="13" customHeight="1" spans="21:21">
      <c r="U13"/>
    </row>
    <row r="14" customHeight="1" spans="21:21">
      <c r="U14"/>
    </row>
    <row r="15" customHeight="1" spans="21:21">
      <c r="U15"/>
    </row>
    <row r="16" customHeight="1" spans="21:21">
      <c r="U16"/>
    </row>
    <row r="17" customHeight="1" spans="21:21">
      <c r="U17"/>
    </row>
    <row r="18" customHeight="1" spans="21:21">
      <c r="U18"/>
    </row>
    <row r="19" customHeight="1" spans="21:21">
      <c r="U19"/>
    </row>
    <row r="20" customHeight="1" spans="21:21">
      <c r="U20"/>
    </row>
    <row r="21" customHeight="1" spans="21:21">
      <c r="U21"/>
    </row>
    <row r="22" customHeight="1" spans="21:21">
      <c r="U22"/>
    </row>
    <row r="23" customHeight="1" spans="21:21">
      <c r="U23"/>
    </row>
    <row r="24" customHeight="1" spans="21:21">
      <c r="U24"/>
    </row>
    <row r="25" customHeight="1" spans="21:21">
      <c r="U25"/>
    </row>
    <row r="26" customHeight="1" spans="21:21">
      <c r="U26"/>
    </row>
    <row r="27" customHeight="1" spans="21:21">
      <c r="U27"/>
    </row>
    <row r="28" customHeight="1" spans="21:21">
      <c r="U28"/>
    </row>
    <row r="29" customHeight="1" spans="21:21">
      <c r="U29"/>
    </row>
    <row r="30" customHeight="1" spans="21:21">
      <c r="U30"/>
    </row>
    <row r="31" customHeight="1" spans="21:21">
      <c r="U31"/>
    </row>
    <row r="32" customHeight="1" spans="21:21">
      <c r="U32"/>
    </row>
    <row r="33" customHeight="1" spans="21:21">
      <c r="U33"/>
    </row>
    <row r="34" customHeight="1" spans="21:21">
      <c r="U34"/>
    </row>
    <row r="35" customHeight="1" spans="21:21">
      <c r="U35"/>
    </row>
    <row r="36" customHeight="1" spans="21:21">
      <c r="U36"/>
    </row>
    <row r="37" customHeight="1" spans="21:21">
      <c r="U37"/>
    </row>
    <row r="38" customHeight="1" spans="21:21">
      <c r="U38"/>
    </row>
    <row r="39" customHeight="1" spans="21:21">
      <c r="U39"/>
    </row>
    <row r="40" customHeight="1" spans="21:21">
      <c r="U40"/>
    </row>
    <row r="41" customHeight="1" spans="21:21">
      <c r="U41"/>
    </row>
    <row r="42" customHeight="1" spans="21:21">
      <c r="U42"/>
    </row>
    <row r="43" customHeight="1" spans="21:21">
      <c r="U43"/>
    </row>
    <row r="44" customHeight="1" spans="21:21">
      <c r="U44"/>
    </row>
    <row r="45" customHeight="1" spans="21:21">
      <c r="U45"/>
    </row>
    <row r="46" customHeight="1" spans="21:21">
      <c r="U46"/>
    </row>
    <row r="47" customHeight="1" spans="21:21">
      <c r="U47"/>
    </row>
    <row r="48" customHeight="1" spans="21:21">
      <c r="U48"/>
    </row>
    <row r="49" customHeight="1" spans="21:21">
      <c r="U49"/>
    </row>
    <row r="50" customHeight="1" spans="21:21">
      <c r="U50"/>
    </row>
    <row r="51" customHeight="1" spans="21:21">
      <c r="U51"/>
    </row>
    <row r="52" customHeight="1" spans="21:21">
      <c r="U52"/>
    </row>
    <row r="53" customHeight="1" spans="21:21">
      <c r="U53"/>
    </row>
    <row r="54" customHeight="1" spans="21:21">
      <c r="U54"/>
    </row>
    <row r="55" customHeight="1" spans="21:21">
      <c r="U55"/>
    </row>
    <row r="56" customHeight="1" spans="21:21">
      <c r="U56"/>
    </row>
    <row r="57" customHeight="1" spans="21:21">
      <c r="U57"/>
    </row>
    <row r="58" customHeight="1" spans="21:21">
      <c r="U58"/>
    </row>
    <row r="59" customHeight="1" spans="21:21">
      <c r="U59"/>
    </row>
    <row r="60" customHeight="1" spans="21:21">
      <c r="U60"/>
    </row>
    <row r="61" customHeight="1" spans="21:21">
      <c r="U61"/>
    </row>
    <row r="62" customHeight="1" spans="21:21">
      <c r="U62"/>
    </row>
    <row r="63" customHeight="1" spans="21:21">
      <c r="U63"/>
    </row>
    <row r="64" customHeight="1" spans="21:21">
      <c r="U64"/>
    </row>
    <row r="65" customHeight="1" spans="21:21">
      <c r="U65"/>
    </row>
    <row r="66" customHeight="1" spans="21:21">
      <c r="U66"/>
    </row>
    <row r="67" customHeight="1" spans="21:21">
      <c r="U67"/>
    </row>
    <row r="68" customHeight="1" spans="21:21">
      <c r="U68"/>
    </row>
    <row r="69" customHeight="1" spans="21:21">
      <c r="U69"/>
    </row>
    <row r="70" customHeight="1" spans="21:21">
      <c r="U70"/>
    </row>
    <row r="71" customHeight="1" spans="21:21">
      <c r="U71"/>
    </row>
    <row r="72" customHeight="1" spans="21:21">
      <c r="U72"/>
    </row>
    <row r="73" customHeight="1" spans="21:21">
      <c r="U73"/>
    </row>
    <row r="74" customHeight="1" spans="21:21">
      <c r="U74"/>
    </row>
    <row r="75" customHeight="1" spans="21:21">
      <c r="U75"/>
    </row>
    <row r="76" customHeight="1" spans="21:21">
      <c r="U76"/>
    </row>
    <row r="77" customHeight="1" spans="21:21">
      <c r="U77"/>
    </row>
    <row r="78" customHeight="1" spans="21:21">
      <c r="U78"/>
    </row>
    <row r="79" customHeight="1" spans="21:21">
      <c r="U79"/>
    </row>
    <row r="80" customHeight="1" spans="21:21">
      <c r="U80"/>
    </row>
    <row r="81" customHeight="1" spans="21:21">
      <c r="U81"/>
    </row>
    <row r="82" customHeight="1" spans="21:21">
      <c r="U82"/>
    </row>
    <row r="83" customHeight="1" spans="21:21">
      <c r="U83"/>
    </row>
    <row r="84" customHeight="1" spans="21:21">
      <c r="U84"/>
    </row>
    <row r="85" customHeight="1" spans="21:21">
      <c r="U85"/>
    </row>
    <row r="86" customHeight="1" spans="21:21">
      <c r="U86"/>
    </row>
    <row r="87" customHeight="1" spans="21:21">
      <c r="U87"/>
    </row>
    <row r="88" customHeight="1" spans="21:21">
      <c r="U88"/>
    </row>
    <row r="89" customHeight="1" spans="21:21">
      <c r="U89"/>
    </row>
    <row r="90" customHeight="1" spans="21:21">
      <c r="U90"/>
    </row>
    <row r="91" customHeight="1" spans="21:21">
      <c r="U91"/>
    </row>
    <row r="92" customHeight="1" spans="21:21">
      <c r="U92"/>
    </row>
    <row r="93" customHeight="1" spans="21:21">
      <c r="U93"/>
    </row>
    <row r="94" customHeight="1" spans="21:21">
      <c r="U94"/>
    </row>
    <row r="95" customHeight="1" spans="21:21">
      <c r="U95"/>
    </row>
    <row r="96" customHeight="1" spans="21:21">
      <c r="U96"/>
    </row>
    <row r="97" customHeight="1" spans="21:21">
      <c r="U97"/>
    </row>
    <row r="98" customHeight="1" spans="21:21">
      <c r="U98"/>
    </row>
    <row r="99" customHeight="1" spans="21:21">
      <c r="U99"/>
    </row>
    <row r="100" customHeight="1" spans="21:21">
      <c r="U100"/>
    </row>
    <row r="101" customHeight="1" spans="21:21">
      <c r="U101"/>
    </row>
    <row r="102" customHeight="1" spans="21:21">
      <c r="U102"/>
    </row>
    <row r="103" customHeight="1" spans="21:21">
      <c r="U103"/>
    </row>
    <row r="104" customHeight="1" spans="21:21">
      <c r="U104"/>
    </row>
    <row r="105" customHeight="1" spans="21:21">
      <c r="U105"/>
    </row>
    <row r="106" customHeight="1" spans="21:21">
      <c r="U106"/>
    </row>
    <row r="107" customHeight="1" spans="21:21">
      <c r="U107"/>
    </row>
    <row r="108" customHeight="1" spans="21:21">
      <c r="U108"/>
    </row>
    <row r="109" customHeight="1" spans="21:21">
      <c r="U109"/>
    </row>
    <row r="110" customHeight="1" spans="21:21">
      <c r="U110"/>
    </row>
    <row r="111" customHeight="1" spans="21:21">
      <c r="U111"/>
    </row>
    <row r="112" customHeight="1" spans="21:21">
      <c r="U112"/>
    </row>
    <row r="113" customHeight="1" spans="21:21">
      <c r="U113"/>
    </row>
    <row r="114" customHeight="1" spans="21:21">
      <c r="U114"/>
    </row>
    <row r="115" customHeight="1" spans="21:21">
      <c r="U115"/>
    </row>
    <row r="116" customHeight="1" spans="21:21">
      <c r="U116"/>
    </row>
    <row r="117" customHeight="1" spans="21:21">
      <c r="U117"/>
    </row>
    <row r="118" customHeight="1" spans="21:21">
      <c r="U118"/>
    </row>
    <row r="119" customHeight="1" spans="21:21">
      <c r="U119"/>
    </row>
    <row r="120" customHeight="1" spans="21:21">
      <c r="U120"/>
    </row>
    <row r="121" customHeight="1" spans="21:21">
      <c r="U121"/>
    </row>
    <row r="122" customHeight="1" spans="21:21">
      <c r="U122"/>
    </row>
    <row r="123" customHeight="1" spans="21:21">
      <c r="U123"/>
    </row>
    <row r="124" customHeight="1" spans="21:21">
      <c r="U124"/>
    </row>
    <row r="125" customHeight="1" spans="21:21">
      <c r="U125"/>
    </row>
    <row r="126" customHeight="1" spans="21:21">
      <c r="U126"/>
    </row>
    <row r="127" customHeight="1" spans="21:21">
      <c r="U127"/>
    </row>
    <row r="128" customHeight="1" spans="21:21">
      <c r="U128"/>
    </row>
    <row r="129" customHeight="1" spans="21:21">
      <c r="U129"/>
    </row>
    <row r="130" customHeight="1" spans="21:21">
      <c r="U130"/>
    </row>
    <row r="131" customHeight="1" spans="21:21">
      <c r="U131"/>
    </row>
    <row r="132" customHeight="1" spans="21:21">
      <c r="U132"/>
    </row>
    <row r="133" customHeight="1" spans="21:21">
      <c r="U133"/>
    </row>
    <row r="134" customHeight="1" spans="21:21">
      <c r="U134"/>
    </row>
    <row r="135" customHeight="1" spans="21:21">
      <c r="U135"/>
    </row>
    <row r="136" customHeight="1" spans="21:21">
      <c r="U136"/>
    </row>
    <row r="137" customHeight="1" spans="21:21">
      <c r="U137"/>
    </row>
    <row r="138" customHeight="1" spans="21:21">
      <c r="U138"/>
    </row>
    <row r="139" customHeight="1" spans="21:21">
      <c r="U139"/>
    </row>
    <row r="140" customHeight="1" spans="21:21">
      <c r="U140"/>
    </row>
    <row r="141" customHeight="1" spans="21:21">
      <c r="U141"/>
    </row>
    <row r="142" customHeight="1" spans="21:21">
      <c r="U142"/>
    </row>
    <row r="143" customHeight="1" spans="21:21">
      <c r="U143"/>
    </row>
    <row r="144" customHeight="1" spans="21:21">
      <c r="U144"/>
    </row>
    <row r="145" customHeight="1" spans="21:21">
      <c r="U145"/>
    </row>
    <row r="146" customHeight="1" spans="21:21">
      <c r="U146"/>
    </row>
    <row r="147" customHeight="1" spans="21:21">
      <c r="U147"/>
    </row>
    <row r="148" customHeight="1" spans="21:21">
      <c r="U148"/>
    </row>
    <row r="149" customHeight="1" spans="21:21">
      <c r="U149"/>
    </row>
    <row r="150" customHeight="1" spans="21:21">
      <c r="U150"/>
    </row>
    <row r="151" customHeight="1" spans="21:21">
      <c r="U151"/>
    </row>
    <row r="152" customHeight="1" spans="21:21">
      <c r="U152"/>
    </row>
    <row r="153" customHeight="1" spans="21:21">
      <c r="U153"/>
    </row>
    <row r="154" customHeight="1" spans="21:21">
      <c r="U154"/>
    </row>
    <row r="155" customHeight="1" spans="21:21">
      <c r="U155"/>
    </row>
    <row r="156" customHeight="1" spans="21:21">
      <c r="U156"/>
    </row>
    <row r="157" customHeight="1" spans="21:21">
      <c r="U157"/>
    </row>
    <row r="158" customHeight="1" spans="21:21">
      <c r="U158"/>
    </row>
    <row r="159" customHeight="1" spans="21:21">
      <c r="U159"/>
    </row>
    <row r="160" customHeight="1" spans="21:21">
      <c r="U160"/>
    </row>
    <row r="161" customHeight="1" spans="21:21">
      <c r="U161"/>
    </row>
    <row r="162" customHeight="1" spans="21:21">
      <c r="U162"/>
    </row>
    <row r="163" customHeight="1" spans="21:21">
      <c r="U163"/>
    </row>
    <row r="164" customHeight="1" spans="21:21">
      <c r="U164"/>
    </row>
    <row r="165" customHeight="1" spans="21:21">
      <c r="U165"/>
    </row>
    <row r="166" customHeight="1" spans="21:21">
      <c r="U166"/>
    </row>
    <row r="167" customHeight="1" spans="21:21">
      <c r="U167"/>
    </row>
    <row r="168" customHeight="1" spans="21:21">
      <c r="U168"/>
    </row>
    <row r="169" customHeight="1" spans="21:21">
      <c r="U169"/>
    </row>
    <row r="170" customHeight="1" spans="21:21">
      <c r="U170"/>
    </row>
    <row r="171" customHeight="1" spans="21:21">
      <c r="U171"/>
    </row>
    <row r="172" customHeight="1" spans="21:21">
      <c r="U172"/>
    </row>
    <row r="173" customHeight="1" spans="21:21">
      <c r="U173"/>
    </row>
    <row r="174" customHeight="1" spans="21:21">
      <c r="U174"/>
    </row>
    <row r="175" customHeight="1" spans="21:21">
      <c r="U175"/>
    </row>
    <row r="176" customHeight="1" spans="21:21">
      <c r="U176"/>
    </row>
    <row r="177" customHeight="1" spans="21:21">
      <c r="U177"/>
    </row>
    <row r="178" customHeight="1" spans="21:21">
      <c r="U178"/>
    </row>
    <row r="179" customHeight="1" spans="21:21">
      <c r="U179"/>
    </row>
    <row r="180" customHeight="1" spans="21:21">
      <c r="U180"/>
    </row>
    <row r="181" customHeight="1" spans="21:21">
      <c r="U181"/>
    </row>
    <row r="182" customHeight="1" spans="21:21">
      <c r="U182"/>
    </row>
    <row r="183" customHeight="1" spans="21:21">
      <c r="U183"/>
    </row>
    <row r="184" customHeight="1" spans="21:21">
      <c r="U184"/>
    </row>
    <row r="185" customHeight="1" spans="21:21">
      <c r="U185"/>
    </row>
    <row r="186" customHeight="1" spans="21:21">
      <c r="U186"/>
    </row>
    <row r="187" customHeight="1" spans="21:21">
      <c r="U187"/>
    </row>
    <row r="188" customHeight="1" spans="21:21">
      <c r="U188"/>
    </row>
    <row r="189" customHeight="1" spans="21:21">
      <c r="U189"/>
    </row>
    <row r="190" customHeight="1" spans="21:21">
      <c r="U190"/>
    </row>
    <row r="191" customHeight="1" spans="21:21">
      <c r="U191"/>
    </row>
    <row r="192" customHeight="1" spans="21:21">
      <c r="U192"/>
    </row>
    <row r="193" customHeight="1" spans="21:21">
      <c r="U193"/>
    </row>
    <row r="194" customHeight="1" spans="21:21">
      <c r="U194"/>
    </row>
    <row r="195" customHeight="1" spans="21:21">
      <c r="U195"/>
    </row>
    <row r="196" customHeight="1" spans="21:21">
      <c r="U196"/>
    </row>
    <row r="197" customHeight="1" spans="21:21">
      <c r="U197"/>
    </row>
    <row r="198" customHeight="1" spans="21:21">
      <c r="U198"/>
    </row>
    <row r="199" customHeight="1" spans="21:21">
      <c r="U199"/>
    </row>
    <row r="200" customHeight="1" spans="21:21">
      <c r="U200"/>
    </row>
    <row r="201" customHeight="1" spans="21:21">
      <c r="U201"/>
    </row>
    <row r="202" customHeight="1" spans="21:21">
      <c r="U202"/>
    </row>
    <row r="203" customHeight="1" spans="21:21">
      <c r="U203"/>
    </row>
    <row r="204" customHeight="1" spans="21:21">
      <c r="U204"/>
    </row>
    <row r="205" customHeight="1" spans="21:21">
      <c r="U205"/>
    </row>
    <row r="206" customHeight="1" spans="21:21">
      <c r="U206"/>
    </row>
    <row r="207" customHeight="1" spans="21:21">
      <c r="U207"/>
    </row>
    <row r="208" customHeight="1" spans="21:21">
      <c r="U208"/>
    </row>
    <row r="209" customHeight="1" spans="21:21">
      <c r="U209"/>
    </row>
    <row r="210" customHeight="1" spans="21:21">
      <c r="U210"/>
    </row>
    <row r="211" customHeight="1" spans="21:21">
      <c r="U211"/>
    </row>
    <row r="212" customHeight="1" spans="21:21">
      <c r="U212"/>
    </row>
    <row r="213" customHeight="1" spans="21:21">
      <c r="U213"/>
    </row>
    <row r="214" customHeight="1" spans="21:21">
      <c r="U214"/>
    </row>
    <row r="215" customHeight="1" spans="21:21">
      <c r="U215"/>
    </row>
    <row r="216" customHeight="1" spans="21:21">
      <c r="U216"/>
    </row>
    <row r="217" customHeight="1" spans="21:21">
      <c r="U217"/>
    </row>
    <row r="218" customHeight="1" spans="21:21">
      <c r="U218"/>
    </row>
    <row r="219" customHeight="1" spans="21:21">
      <c r="U219"/>
    </row>
    <row r="220" customHeight="1" spans="21:21">
      <c r="U220"/>
    </row>
    <row r="221" customHeight="1" spans="21:21">
      <c r="U221"/>
    </row>
    <row r="222" customHeight="1" spans="21:21">
      <c r="U222"/>
    </row>
    <row r="223" customHeight="1" spans="21:21">
      <c r="U223"/>
    </row>
    <row r="224" customHeight="1" spans="21:21">
      <c r="U224"/>
    </row>
    <row r="225" customHeight="1" spans="21:21">
      <c r="U225"/>
    </row>
    <row r="226" customHeight="1" spans="21:21">
      <c r="U226"/>
    </row>
    <row r="227" customHeight="1" spans="21:21">
      <c r="U227"/>
    </row>
    <row r="228" customHeight="1" spans="21:21">
      <c r="U228"/>
    </row>
    <row r="229" customHeight="1" spans="21:21">
      <c r="U229"/>
    </row>
    <row r="230" customHeight="1" spans="21:21">
      <c r="U230"/>
    </row>
    <row r="231" customHeight="1" spans="21:21">
      <c r="U231"/>
    </row>
    <row r="232" customHeight="1" spans="21:21">
      <c r="U232"/>
    </row>
    <row r="233" customHeight="1" spans="21:21">
      <c r="U233"/>
    </row>
    <row r="234" customHeight="1" spans="21:21">
      <c r="U234"/>
    </row>
    <row r="235" customHeight="1" spans="21:21">
      <c r="U235"/>
    </row>
    <row r="236" customHeight="1" spans="21:21">
      <c r="U236"/>
    </row>
    <row r="237" customHeight="1" spans="21:21">
      <c r="U237"/>
    </row>
    <row r="238" customHeight="1" spans="21:21">
      <c r="U238"/>
    </row>
    <row r="239" customHeight="1" spans="21:21">
      <c r="U239"/>
    </row>
    <row r="240" customHeight="1" spans="21:21">
      <c r="U240"/>
    </row>
    <row r="241" customHeight="1" spans="21:21">
      <c r="U241"/>
    </row>
    <row r="242" customHeight="1" spans="21:21">
      <c r="U242"/>
    </row>
    <row r="243" customHeight="1" spans="21:21">
      <c r="U243"/>
    </row>
    <row r="244" customHeight="1" spans="21:21">
      <c r="U244"/>
    </row>
    <row r="245" customHeight="1" spans="21:21">
      <c r="U245"/>
    </row>
    <row r="246" customHeight="1" spans="21:21">
      <c r="U246"/>
    </row>
    <row r="247" customHeight="1" spans="21:21">
      <c r="U247"/>
    </row>
    <row r="248" customHeight="1" spans="21:21">
      <c r="U248"/>
    </row>
    <row r="249" customHeight="1" spans="21:21">
      <c r="U249"/>
    </row>
    <row r="250" customHeight="1" spans="21:21">
      <c r="U250"/>
    </row>
    <row r="251" customHeight="1" spans="21:21">
      <c r="U251"/>
    </row>
    <row r="252" customHeight="1" spans="21:21">
      <c r="U252"/>
    </row>
    <row r="253" customHeight="1" spans="21:21">
      <c r="U253"/>
    </row>
    <row r="254" customHeight="1" spans="21:21">
      <c r="U254"/>
    </row>
    <row r="255" customHeight="1" spans="21:21">
      <c r="U255"/>
    </row>
    <row r="256" customHeight="1" spans="21:21">
      <c r="U256"/>
    </row>
    <row r="257" customHeight="1" spans="21:21">
      <c r="U257"/>
    </row>
    <row r="258" customHeight="1" spans="21:21">
      <c r="U258"/>
    </row>
    <row r="259" customHeight="1" spans="21:21">
      <c r="U259"/>
    </row>
    <row r="260" customHeight="1" spans="21:21">
      <c r="U260"/>
    </row>
    <row r="261" customHeight="1" spans="21:21">
      <c r="U261"/>
    </row>
    <row r="262" customHeight="1" spans="21:21">
      <c r="U262"/>
    </row>
    <row r="263" customHeight="1" spans="21:21">
      <c r="U263"/>
    </row>
    <row r="264" customHeight="1" spans="21:21">
      <c r="U264"/>
    </row>
    <row r="265" customHeight="1" spans="21:21">
      <c r="U265"/>
    </row>
    <row r="266" customHeight="1" spans="21:21">
      <c r="U266"/>
    </row>
    <row r="267" customHeight="1" spans="21:21">
      <c r="U267"/>
    </row>
    <row r="268" customHeight="1" spans="21:21">
      <c r="U268"/>
    </row>
    <row r="269" customHeight="1" spans="21:21">
      <c r="U269"/>
    </row>
    <row r="270" customHeight="1" spans="21:21">
      <c r="U270"/>
    </row>
    <row r="271" customHeight="1" spans="21:21">
      <c r="U271"/>
    </row>
    <row r="272" customHeight="1" spans="21:21">
      <c r="U272"/>
    </row>
    <row r="273" customHeight="1" spans="21:21">
      <c r="U273"/>
    </row>
    <row r="274" customHeight="1" spans="21:21">
      <c r="U274"/>
    </row>
    <row r="275" customHeight="1" spans="21:21">
      <c r="U275"/>
    </row>
    <row r="276" customHeight="1" spans="21:21">
      <c r="U276"/>
    </row>
    <row r="277" customHeight="1" spans="21:21">
      <c r="U277"/>
    </row>
    <row r="278" customHeight="1" spans="21:21">
      <c r="U278"/>
    </row>
    <row r="279" customHeight="1" spans="21:21">
      <c r="U279"/>
    </row>
    <row r="280" customHeight="1" spans="21:21">
      <c r="U280"/>
    </row>
    <row r="281" customHeight="1" spans="21:21">
      <c r="U281"/>
    </row>
    <row r="282" customHeight="1" spans="21:21">
      <c r="U282"/>
    </row>
    <row r="283" customHeight="1" spans="21:21">
      <c r="U283"/>
    </row>
    <row r="284" customHeight="1" spans="21:21">
      <c r="U284"/>
    </row>
    <row r="285" customHeight="1" spans="21:21">
      <c r="U285"/>
    </row>
    <row r="286" customHeight="1" spans="21:21">
      <c r="U286"/>
    </row>
    <row r="287" customHeight="1" spans="21:21">
      <c r="U287"/>
    </row>
    <row r="288" customHeight="1" spans="21:21">
      <c r="U288"/>
    </row>
    <row r="289" customHeight="1" spans="21:21">
      <c r="U289"/>
    </row>
    <row r="290" customHeight="1" spans="21:21">
      <c r="U290"/>
    </row>
    <row r="291" customHeight="1" spans="21:21">
      <c r="U291"/>
    </row>
    <row r="292" customHeight="1" spans="21:21">
      <c r="U292"/>
    </row>
    <row r="293" customHeight="1" spans="21:21">
      <c r="U293"/>
    </row>
    <row r="294" customHeight="1" spans="21:21">
      <c r="U294"/>
    </row>
    <row r="295" customHeight="1" spans="21:21">
      <c r="U295"/>
    </row>
    <row r="296" customHeight="1" spans="21:21">
      <c r="U296"/>
    </row>
    <row r="297" customHeight="1" spans="21:21">
      <c r="U297"/>
    </row>
    <row r="298" customHeight="1" spans="21:21">
      <c r="U298"/>
    </row>
    <row r="299" customHeight="1" spans="21:21">
      <c r="U299"/>
    </row>
    <row r="300" customHeight="1" spans="21:21">
      <c r="U300"/>
    </row>
    <row r="301" customHeight="1" spans="21:21">
      <c r="U301"/>
    </row>
    <row r="302" customHeight="1" spans="21:21">
      <c r="U302"/>
    </row>
    <row r="303" customHeight="1" spans="21:21">
      <c r="U303"/>
    </row>
    <row r="304" customHeight="1" spans="21:21">
      <c r="U304"/>
    </row>
    <row r="305" customHeight="1" spans="21:21">
      <c r="U305"/>
    </row>
    <row r="306" customHeight="1" spans="21:21">
      <c r="U306"/>
    </row>
    <row r="307" customHeight="1" spans="21:21">
      <c r="U307"/>
    </row>
    <row r="308" customHeight="1" spans="21:21">
      <c r="U308"/>
    </row>
    <row r="309" customHeight="1" spans="21:21">
      <c r="U309"/>
    </row>
    <row r="310" customHeight="1" spans="21:21">
      <c r="U310"/>
    </row>
    <row r="311" customHeight="1" spans="21:21">
      <c r="U311"/>
    </row>
    <row r="312" customHeight="1" spans="21:21">
      <c r="U312"/>
    </row>
    <row r="313" customHeight="1" spans="21:21">
      <c r="U313"/>
    </row>
    <row r="314" customHeight="1" spans="21:21">
      <c r="U314"/>
    </row>
    <row r="315" customHeight="1" spans="21:21">
      <c r="U315"/>
    </row>
    <row r="316" customHeight="1" spans="21:21">
      <c r="U316"/>
    </row>
    <row r="317" customHeight="1" spans="21:21">
      <c r="U317"/>
    </row>
    <row r="318" customHeight="1" spans="21:21">
      <c r="U318"/>
    </row>
    <row r="319" customHeight="1" spans="21:21">
      <c r="U319"/>
    </row>
    <row r="320" customHeight="1" spans="21:21">
      <c r="U320"/>
    </row>
    <row r="321" customHeight="1" spans="21:21">
      <c r="U321"/>
    </row>
    <row r="322" customHeight="1" spans="21:21">
      <c r="U322"/>
    </row>
    <row r="323" customHeight="1" spans="21:21">
      <c r="U323"/>
    </row>
    <row r="324" customHeight="1" spans="21:21">
      <c r="U324"/>
    </row>
    <row r="325" customHeight="1" spans="21:21">
      <c r="U325"/>
    </row>
    <row r="326" customHeight="1" spans="21:21">
      <c r="U326"/>
    </row>
    <row r="327" customHeight="1" spans="21:21">
      <c r="U327"/>
    </row>
    <row r="328" customHeight="1" spans="21:21">
      <c r="U328"/>
    </row>
    <row r="329" customHeight="1" spans="21:21">
      <c r="U329"/>
    </row>
    <row r="330" customHeight="1" spans="21:21">
      <c r="U330"/>
    </row>
    <row r="331" customHeight="1" spans="21:21">
      <c r="U331"/>
    </row>
    <row r="332" customHeight="1" spans="21:21">
      <c r="U332"/>
    </row>
    <row r="333" customHeight="1" spans="21:21">
      <c r="U333"/>
    </row>
    <row r="334" customHeight="1" spans="21:21">
      <c r="U334"/>
    </row>
    <row r="335" customHeight="1" spans="21:21">
      <c r="U335"/>
    </row>
    <row r="336" customHeight="1" spans="21:21">
      <c r="U336"/>
    </row>
    <row r="337" customHeight="1" spans="21:21">
      <c r="U337"/>
    </row>
    <row r="338" customHeight="1" spans="21:21">
      <c r="U338"/>
    </row>
    <row r="339" customHeight="1" spans="21:21">
      <c r="U339"/>
    </row>
    <row r="340" customHeight="1" spans="21:21">
      <c r="U340"/>
    </row>
    <row r="341" customHeight="1" spans="21:21">
      <c r="U341"/>
    </row>
    <row r="342" customHeight="1" spans="21:21">
      <c r="U342"/>
    </row>
    <row r="343" customHeight="1" spans="21:21">
      <c r="U343"/>
    </row>
    <row r="344" customHeight="1" spans="21:21">
      <c r="U344"/>
    </row>
    <row r="345" customHeight="1" spans="21:21">
      <c r="U345"/>
    </row>
    <row r="346" customHeight="1" spans="21:21">
      <c r="U346"/>
    </row>
    <row r="347" customHeight="1" spans="21:21">
      <c r="U347"/>
    </row>
    <row r="348" customHeight="1" spans="21:21">
      <c r="U348"/>
    </row>
    <row r="349" customHeight="1" spans="21:21">
      <c r="U349"/>
    </row>
    <row r="350" customHeight="1" spans="21:21">
      <c r="U350"/>
    </row>
    <row r="351" customHeight="1" spans="21:21">
      <c r="U351"/>
    </row>
    <row r="352" customHeight="1" spans="21:21">
      <c r="U352"/>
    </row>
    <row r="353" customHeight="1" spans="21:21">
      <c r="U353"/>
    </row>
    <row r="354" customHeight="1" spans="21:21">
      <c r="U354"/>
    </row>
    <row r="355" customHeight="1" spans="21:21">
      <c r="U355"/>
    </row>
    <row r="356" customHeight="1" spans="21:21">
      <c r="U356"/>
    </row>
    <row r="357" customHeight="1" spans="21:21">
      <c r="U357"/>
    </row>
    <row r="358" customHeight="1" spans="21:21">
      <c r="U358"/>
    </row>
    <row r="359" customHeight="1" spans="21:21">
      <c r="U359"/>
    </row>
    <row r="360" customHeight="1" spans="21:21">
      <c r="U360"/>
    </row>
    <row r="361" customHeight="1" spans="21:21">
      <c r="U361"/>
    </row>
    <row r="362" customHeight="1" spans="21:21">
      <c r="U362"/>
    </row>
    <row r="363" customHeight="1" spans="21:21">
      <c r="U363"/>
    </row>
    <row r="364" customHeight="1" spans="21:21">
      <c r="U364"/>
    </row>
    <row r="365" customHeight="1" spans="21:21">
      <c r="U365"/>
    </row>
    <row r="366" customHeight="1" spans="21:21">
      <c r="U366"/>
    </row>
    <row r="367" customHeight="1" spans="21:21">
      <c r="U367"/>
    </row>
    <row r="368" customHeight="1" spans="21:21">
      <c r="U368"/>
    </row>
    <row r="369" customHeight="1" spans="21:21">
      <c r="U369"/>
    </row>
    <row r="370" customHeight="1" spans="21:21">
      <c r="U370"/>
    </row>
    <row r="371" customHeight="1" spans="21:21">
      <c r="U371"/>
    </row>
    <row r="372" customHeight="1" spans="21:21">
      <c r="U372"/>
    </row>
    <row r="373" customHeight="1" spans="21:21">
      <c r="U373"/>
    </row>
    <row r="374" customHeight="1" spans="21:21">
      <c r="U374"/>
    </row>
    <row r="375" customHeight="1" spans="21:21">
      <c r="U375"/>
    </row>
    <row r="376" customHeight="1" spans="21:21">
      <c r="U376"/>
    </row>
    <row r="377" customHeight="1" spans="21:21">
      <c r="U377"/>
    </row>
    <row r="378" customHeight="1" spans="21:21">
      <c r="U378"/>
    </row>
    <row r="379" customHeight="1" spans="21:21">
      <c r="U379"/>
    </row>
    <row r="380" customHeight="1" spans="21:21">
      <c r="U380"/>
    </row>
    <row r="381" customHeight="1" spans="21:21">
      <c r="U381"/>
    </row>
    <row r="382" customHeight="1" spans="21:21">
      <c r="U382"/>
    </row>
    <row r="383" customHeight="1" spans="21:21">
      <c r="U383"/>
    </row>
    <row r="384" customHeight="1" spans="21:21">
      <c r="U384"/>
    </row>
    <row r="385" customHeight="1" spans="21:21">
      <c r="U385"/>
    </row>
    <row r="386" customHeight="1" spans="21:21">
      <c r="U386"/>
    </row>
    <row r="387" customHeight="1" spans="21:21">
      <c r="U387"/>
    </row>
    <row r="388" customHeight="1" spans="21:21">
      <c r="U388"/>
    </row>
    <row r="389" customHeight="1" spans="21:21">
      <c r="U389"/>
    </row>
    <row r="390" customHeight="1" spans="21:21">
      <c r="U390"/>
    </row>
    <row r="391" customHeight="1" spans="21:21">
      <c r="U391"/>
    </row>
    <row r="392" customHeight="1" spans="21:21">
      <c r="U392"/>
    </row>
    <row r="393" customHeight="1" spans="21:21">
      <c r="U393"/>
    </row>
    <row r="394" customHeight="1" spans="21:21">
      <c r="U394"/>
    </row>
    <row r="395" customHeight="1" spans="21:21">
      <c r="U395"/>
    </row>
    <row r="396" customHeight="1" spans="21:21">
      <c r="U396"/>
    </row>
    <row r="397" customHeight="1" spans="21:21">
      <c r="U397"/>
    </row>
    <row r="398" customHeight="1" spans="21:21">
      <c r="U398"/>
    </row>
    <row r="399" customHeight="1" spans="21:21">
      <c r="U399"/>
    </row>
    <row r="400" customHeight="1" spans="21:21">
      <c r="U400"/>
    </row>
    <row r="401" customHeight="1" spans="21:21">
      <c r="U401"/>
    </row>
    <row r="402" customHeight="1" spans="21:21">
      <c r="U402"/>
    </row>
    <row r="403" customHeight="1" spans="21:21">
      <c r="U403"/>
    </row>
    <row r="404" customHeight="1" spans="21:21">
      <c r="U404"/>
    </row>
    <row r="405" customHeight="1" spans="21:21">
      <c r="U405"/>
    </row>
    <row r="406" customHeight="1" spans="21:21">
      <c r="U406"/>
    </row>
    <row r="407" customHeight="1" spans="21:21">
      <c r="U407"/>
    </row>
    <row r="408" customHeight="1" spans="21:21">
      <c r="U408"/>
    </row>
    <row r="409" customHeight="1" spans="21:21">
      <c r="U409"/>
    </row>
    <row r="410" customHeight="1" spans="21:21">
      <c r="U410"/>
    </row>
    <row r="411" customHeight="1" spans="21:21">
      <c r="U411"/>
    </row>
    <row r="412" customHeight="1" spans="21:21">
      <c r="U412"/>
    </row>
    <row r="413" customHeight="1" spans="21:21">
      <c r="U413"/>
    </row>
    <row r="414" customHeight="1" spans="21:21">
      <c r="U414"/>
    </row>
    <row r="415" customHeight="1" spans="21:21">
      <c r="U415"/>
    </row>
    <row r="416" customHeight="1" spans="21:21">
      <c r="U416"/>
    </row>
    <row r="417" customHeight="1" spans="21:21">
      <c r="U417"/>
    </row>
    <row r="418" customHeight="1" spans="21:21">
      <c r="U418"/>
    </row>
    <row r="419" customHeight="1" spans="21:21">
      <c r="U419"/>
    </row>
    <row r="420" customHeight="1" spans="21:21">
      <c r="U420"/>
    </row>
    <row r="421" customHeight="1" spans="21:21">
      <c r="U421"/>
    </row>
    <row r="422" customHeight="1" spans="21:21">
      <c r="U422"/>
    </row>
    <row r="423" customHeight="1" spans="21:21">
      <c r="U423"/>
    </row>
    <row r="424" customHeight="1" spans="21:21">
      <c r="U424"/>
    </row>
    <row r="425" customHeight="1" spans="21:21">
      <c r="U425"/>
    </row>
    <row r="426" customHeight="1" spans="21:21">
      <c r="U426"/>
    </row>
    <row r="427" customHeight="1" spans="21:21">
      <c r="U427"/>
    </row>
    <row r="428" customHeight="1" spans="21:21">
      <c r="U428"/>
    </row>
    <row r="429" customHeight="1" spans="21:21">
      <c r="U429"/>
    </row>
    <row r="430" customHeight="1" spans="21:21">
      <c r="U430"/>
    </row>
    <row r="431" customHeight="1" spans="21:21">
      <c r="U431"/>
    </row>
    <row r="432" customHeight="1" spans="21:21">
      <c r="U432"/>
    </row>
    <row r="433" customHeight="1" spans="21:21">
      <c r="U433"/>
    </row>
    <row r="434" customHeight="1" spans="21:21">
      <c r="U434"/>
    </row>
    <row r="435" customHeight="1" spans="21:21">
      <c r="U435"/>
    </row>
    <row r="436" customHeight="1" spans="21:21">
      <c r="U436"/>
    </row>
    <row r="437" customHeight="1" spans="21:21">
      <c r="U437"/>
    </row>
    <row r="438" customHeight="1" spans="21:21">
      <c r="U438"/>
    </row>
    <row r="439" customHeight="1" spans="21:21">
      <c r="U439"/>
    </row>
    <row r="440" customHeight="1" spans="21:21">
      <c r="U440"/>
    </row>
    <row r="441" customHeight="1" spans="21:21">
      <c r="U441"/>
    </row>
    <row r="442" customHeight="1" spans="21:21">
      <c r="U442"/>
    </row>
    <row r="443" customHeight="1" spans="21:21">
      <c r="U443"/>
    </row>
    <row r="444" customHeight="1" spans="21:21">
      <c r="U444"/>
    </row>
    <row r="445" customHeight="1" spans="21:21">
      <c r="U445"/>
    </row>
    <row r="446" customHeight="1" spans="21:21">
      <c r="U446"/>
    </row>
    <row r="447" customHeight="1" spans="21:21">
      <c r="U447"/>
    </row>
    <row r="448" customHeight="1" spans="21:21">
      <c r="U448"/>
    </row>
    <row r="449" customHeight="1" spans="21:21">
      <c r="U449"/>
    </row>
    <row r="450" customHeight="1" spans="21:21">
      <c r="U450"/>
    </row>
    <row r="451" customHeight="1" spans="21:21">
      <c r="U451"/>
    </row>
    <row r="452" customHeight="1" spans="21:21">
      <c r="U452"/>
    </row>
    <row r="453" customHeight="1" spans="21:21">
      <c r="U453"/>
    </row>
    <row r="454" customHeight="1" spans="21:21">
      <c r="U454"/>
    </row>
    <row r="455" customHeight="1" spans="21:21">
      <c r="U455"/>
    </row>
    <row r="456" customHeight="1" spans="21:21">
      <c r="U456"/>
    </row>
    <row r="457" customHeight="1" spans="21:21">
      <c r="U457"/>
    </row>
    <row r="458" customHeight="1" spans="21:21">
      <c r="U458"/>
    </row>
    <row r="459" customHeight="1" spans="21:21">
      <c r="U459"/>
    </row>
    <row r="460" customHeight="1" spans="21:21">
      <c r="U460"/>
    </row>
    <row r="461" customHeight="1" spans="21:21">
      <c r="U461"/>
    </row>
    <row r="462" customHeight="1" spans="21:21">
      <c r="U462"/>
    </row>
    <row r="463" customHeight="1" spans="21:21">
      <c r="U463"/>
    </row>
    <row r="464" customHeight="1" spans="21:21">
      <c r="U464"/>
    </row>
    <row r="465" customHeight="1" spans="21:21">
      <c r="U465"/>
    </row>
    <row r="466" customHeight="1" spans="21:21">
      <c r="U466"/>
    </row>
    <row r="467" customHeight="1" spans="21:21">
      <c r="U467"/>
    </row>
    <row r="468" customHeight="1" spans="21:21">
      <c r="U468"/>
    </row>
    <row r="469" customHeight="1" spans="21:21">
      <c r="U469"/>
    </row>
    <row r="470" customHeight="1" spans="21:21">
      <c r="U470"/>
    </row>
    <row r="471" customHeight="1" spans="21:21">
      <c r="U471"/>
    </row>
    <row r="472" customHeight="1" spans="21:21">
      <c r="U472"/>
    </row>
    <row r="473" customHeight="1" spans="21:21">
      <c r="U473"/>
    </row>
    <row r="474" customHeight="1" spans="21:21">
      <c r="U474"/>
    </row>
    <row r="475" customHeight="1" spans="21:21">
      <c r="U475"/>
    </row>
    <row r="476" customHeight="1" spans="21:21">
      <c r="U476"/>
    </row>
    <row r="477" customHeight="1" spans="21:21">
      <c r="U477"/>
    </row>
    <row r="478" customHeight="1" spans="21:21">
      <c r="U478"/>
    </row>
    <row r="479" customHeight="1" spans="21:21">
      <c r="U479"/>
    </row>
    <row r="480" customHeight="1" spans="21:21">
      <c r="U480"/>
    </row>
    <row r="481" customHeight="1" spans="21:21">
      <c r="U481"/>
    </row>
    <row r="482" customHeight="1" spans="21:21">
      <c r="U482"/>
    </row>
    <row r="483" customHeight="1" spans="21:21">
      <c r="U483"/>
    </row>
    <row r="484" customHeight="1" spans="21:21">
      <c r="U484"/>
    </row>
    <row r="485" customHeight="1" spans="21:21">
      <c r="U485"/>
    </row>
    <row r="486" customHeight="1" spans="21:21">
      <c r="U486"/>
    </row>
    <row r="487" customHeight="1" spans="21:21">
      <c r="U487"/>
    </row>
    <row r="488" customHeight="1" spans="21:21">
      <c r="U488"/>
    </row>
    <row r="489" customHeight="1" spans="21:21">
      <c r="U489"/>
    </row>
    <row r="490" customHeight="1" spans="21:21">
      <c r="U490"/>
    </row>
    <row r="491" customHeight="1" spans="21:21">
      <c r="U491"/>
    </row>
    <row r="492" customHeight="1" spans="21:21">
      <c r="U492"/>
    </row>
    <row r="493" customHeight="1" spans="21:21">
      <c r="U493"/>
    </row>
    <row r="494" customHeight="1" spans="21:21">
      <c r="U494"/>
    </row>
    <row r="495" customHeight="1" spans="21:21">
      <c r="U495"/>
    </row>
    <row r="496" customHeight="1" spans="21:21">
      <c r="U496"/>
    </row>
    <row r="497" customHeight="1" spans="21:21">
      <c r="U497"/>
    </row>
    <row r="498" customHeight="1" spans="21:21">
      <c r="U498"/>
    </row>
    <row r="499" customHeight="1" spans="21:21">
      <c r="U499"/>
    </row>
    <row r="500" customHeight="1" spans="21:21">
      <c r="U500"/>
    </row>
    <row r="501" customHeight="1" spans="21:21">
      <c r="U501"/>
    </row>
    <row r="502" customHeight="1" spans="21:21">
      <c r="U502"/>
    </row>
    <row r="503" customHeight="1" spans="21:21">
      <c r="U503"/>
    </row>
    <row r="504" customHeight="1" spans="21:21">
      <c r="U504"/>
    </row>
    <row r="505" customHeight="1" spans="21:21">
      <c r="U505"/>
    </row>
    <row r="506" customHeight="1" spans="21:21">
      <c r="U506"/>
    </row>
    <row r="507" customHeight="1" spans="21:21">
      <c r="U507"/>
    </row>
    <row r="508" customHeight="1" spans="21:21">
      <c r="U508"/>
    </row>
    <row r="509" customHeight="1" spans="21:21">
      <c r="U509"/>
    </row>
    <row r="510" customHeight="1" spans="21:21">
      <c r="U510"/>
    </row>
    <row r="511" customHeight="1" spans="21:21">
      <c r="U511"/>
    </row>
    <row r="512" customHeight="1" spans="21:21">
      <c r="U512"/>
    </row>
    <row r="513" customHeight="1" spans="21:21">
      <c r="U513"/>
    </row>
    <row r="514" customHeight="1" spans="21:21">
      <c r="U514"/>
    </row>
    <row r="515" customHeight="1" spans="21:21">
      <c r="U515"/>
    </row>
    <row r="516" customHeight="1" spans="21:21">
      <c r="U516"/>
    </row>
    <row r="517" customHeight="1" spans="21:21">
      <c r="U517"/>
    </row>
    <row r="518" customHeight="1" spans="21:21">
      <c r="U518"/>
    </row>
    <row r="519" customHeight="1" spans="21:21">
      <c r="U519"/>
    </row>
    <row r="520" customHeight="1" spans="21:21">
      <c r="U520"/>
    </row>
    <row r="521" customHeight="1" spans="21:21">
      <c r="U521"/>
    </row>
    <row r="522" customHeight="1" spans="21:21">
      <c r="U522"/>
    </row>
    <row r="523" customHeight="1" spans="21:21">
      <c r="U523"/>
    </row>
    <row r="524" customHeight="1" spans="21:21">
      <c r="U524"/>
    </row>
    <row r="525" customHeight="1" spans="21:21">
      <c r="U525"/>
    </row>
    <row r="526" customHeight="1" spans="21:21">
      <c r="U526"/>
    </row>
    <row r="527" customHeight="1" spans="21:21">
      <c r="U527"/>
    </row>
    <row r="528" customHeight="1" spans="21:21">
      <c r="U528"/>
    </row>
    <row r="529" customHeight="1" spans="21:21">
      <c r="U529"/>
    </row>
    <row r="530" customHeight="1" spans="21:21">
      <c r="U530"/>
    </row>
    <row r="531" customHeight="1" spans="21:21">
      <c r="U531"/>
    </row>
    <row r="532" customHeight="1" spans="21:21">
      <c r="U532"/>
    </row>
    <row r="533" customHeight="1" spans="21:21">
      <c r="U533"/>
    </row>
    <row r="534" customHeight="1" spans="21:21">
      <c r="U534"/>
    </row>
    <row r="535" customHeight="1" spans="21:21">
      <c r="U535"/>
    </row>
    <row r="536" customHeight="1" spans="21:21">
      <c r="U536"/>
    </row>
    <row r="537" customHeight="1" spans="21:21">
      <c r="U537"/>
    </row>
    <row r="538" customHeight="1" spans="21:21">
      <c r="U538"/>
    </row>
    <row r="539" customHeight="1" spans="21:21">
      <c r="U539"/>
    </row>
    <row r="540" customHeight="1" spans="21:21">
      <c r="U540"/>
    </row>
    <row r="541" customHeight="1" spans="21:21">
      <c r="U541"/>
    </row>
    <row r="542" customHeight="1" spans="21:21">
      <c r="U542"/>
    </row>
    <row r="543" customHeight="1" spans="21:21">
      <c r="U543"/>
    </row>
    <row r="544" customHeight="1" spans="21:21">
      <c r="U544"/>
    </row>
    <row r="545" customHeight="1" spans="21:21">
      <c r="U545"/>
    </row>
    <row r="546" customHeight="1" spans="21:21">
      <c r="U546"/>
    </row>
    <row r="547" customHeight="1" spans="21:21">
      <c r="U547"/>
    </row>
    <row r="548" customHeight="1" spans="21:21">
      <c r="U548"/>
    </row>
    <row r="549" customHeight="1" spans="21:21">
      <c r="U549"/>
    </row>
    <row r="550" customHeight="1" spans="21:21">
      <c r="U550"/>
    </row>
    <row r="551" customHeight="1" spans="21:21">
      <c r="U551"/>
    </row>
    <row r="552" customHeight="1" spans="21:21">
      <c r="U552"/>
    </row>
    <row r="553" customHeight="1" spans="21:21">
      <c r="U553"/>
    </row>
    <row r="554" customHeight="1" spans="21:21">
      <c r="U554"/>
    </row>
    <row r="555" customHeight="1" spans="21:21">
      <c r="U555"/>
    </row>
    <row r="556" customHeight="1" spans="21:21">
      <c r="U556"/>
    </row>
    <row r="557" customHeight="1" spans="21:21">
      <c r="U557"/>
    </row>
    <row r="558" customHeight="1" spans="21:21">
      <c r="U558"/>
    </row>
    <row r="559" customHeight="1" spans="21:21">
      <c r="U559"/>
    </row>
    <row r="560" customHeight="1" spans="21:21">
      <c r="U560"/>
    </row>
    <row r="561" customHeight="1" spans="21:21">
      <c r="U561"/>
    </row>
    <row r="562" customHeight="1" spans="21:21">
      <c r="U562"/>
    </row>
    <row r="563" customHeight="1" spans="21:21">
      <c r="U563"/>
    </row>
    <row r="564" customHeight="1" spans="21:21">
      <c r="U564"/>
    </row>
    <row r="565" customHeight="1" spans="21:21">
      <c r="U565"/>
    </row>
    <row r="566" customHeight="1" spans="21:21">
      <c r="U566"/>
    </row>
    <row r="567" customHeight="1" spans="21:21">
      <c r="U567"/>
    </row>
    <row r="568" customHeight="1" spans="21:21">
      <c r="U568"/>
    </row>
    <row r="569" customHeight="1" spans="21:21">
      <c r="U569"/>
    </row>
    <row r="570" customHeight="1" spans="21:21">
      <c r="U570"/>
    </row>
    <row r="571" customHeight="1" spans="21:21">
      <c r="U571"/>
    </row>
    <row r="572" customHeight="1" spans="21:21">
      <c r="U572"/>
    </row>
    <row r="573" customHeight="1" spans="21:21">
      <c r="U573"/>
    </row>
    <row r="574" customHeight="1" spans="21:21">
      <c r="U574"/>
    </row>
    <row r="575" customHeight="1" spans="21:21">
      <c r="U575"/>
    </row>
    <row r="576" customHeight="1" spans="21:21">
      <c r="U576"/>
    </row>
    <row r="577" customHeight="1" spans="21:21">
      <c r="U577"/>
    </row>
    <row r="578" customHeight="1" spans="21:21">
      <c r="U578"/>
    </row>
    <row r="579" customHeight="1" spans="21:21">
      <c r="U579"/>
    </row>
    <row r="580" customHeight="1" spans="21:21">
      <c r="U580"/>
    </row>
    <row r="581" customHeight="1" spans="21:21">
      <c r="U581"/>
    </row>
    <row r="582" customHeight="1" spans="21:21">
      <c r="U582"/>
    </row>
    <row r="583" customHeight="1" spans="21:21">
      <c r="U583"/>
    </row>
    <row r="584" customHeight="1" spans="21:21">
      <c r="U584"/>
    </row>
    <row r="585" customHeight="1" spans="21:21">
      <c r="U585"/>
    </row>
    <row r="586" customHeight="1" spans="21:21">
      <c r="U586"/>
    </row>
    <row r="587" customHeight="1" spans="21:21">
      <c r="U587"/>
    </row>
    <row r="588" customHeight="1" spans="21:21">
      <c r="U588"/>
    </row>
    <row r="589" customHeight="1" spans="21:21">
      <c r="U589"/>
    </row>
    <row r="590" customHeight="1" spans="21:21">
      <c r="U590"/>
    </row>
    <row r="591" customHeight="1" spans="21:21">
      <c r="U591"/>
    </row>
    <row r="592" customHeight="1" spans="21:21">
      <c r="U592"/>
    </row>
    <row r="593" customHeight="1" spans="21:21">
      <c r="U593"/>
    </row>
    <row r="594" customHeight="1" spans="21:21">
      <c r="U594"/>
    </row>
    <row r="595" customHeight="1" spans="21:21">
      <c r="U595"/>
    </row>
    <row r="596" customHeight="1" spans="21:21">
      <c r="U596"/>
    </row>
    <row r="597" customHeight="1" spans="21:21">
      <c r="U597"/>
    </row>
    <row r="598" customHeight="1" spans="21:21">
      <c r="U598"/>
    </row>
    <row r="599" customHeight="1" spans="21:21">
      <c r="U599"/>
    </row>
    <row r="600" customHeight="1" spans="21:21">
      <c r="U600"/>
    </row>
    <row r="601" customHeight="1" spans="21:21">
      <c r="U601"/>
    </row>
    <row r="602" customHeight="1" spans="21:21">
      <c r="U602"/>
    </row>
    <row r="603" customHeight="1" spans="21:21">
      <c r="U603"/>
    </row>
    <row r="604" customHeight="1" spans="21:21">
      <c r="U604"/>
    </row>
    <row r="605" customHeight="1" spans="21:21">
      <c r="U605"/>
    </row>
    <row r="606" customHeight="1" spans="21:21">
      <c r="U606"/>
    </row>
    <row r="607" customHeight="1" spans="21:21">
      <c r="U607"/>
    </row>
    <row r="608" customHeight="1" spans="21:21">
      <c r="U608"/>
    </row>
    <row r="609" customHeight="1" spans="21:21">
      <c r="U609"/>
    </row>
    <row r="610" customHeight="1" spans="21:21">
      <c r="U610"/>
    </row>
    <row r="611" customHeight="1" spans="21:21">
      <c r="U611"/>
    </row>
    <row r="612" customHeight="1" spans="21:21">
      <c r="U612"/>
    </row>
    <row r="613" customHeight="1" spans="21:21">
      <c r="U613"/>
    </row>
    <row r="614" customHeight="1" spans="21:21">
      <c r="U614"/>
    </row>
    <row r="615" customHeight="1" spans="21:21">
      <c r="U615"/>
    </row>
    <row r="616" customHeight="1" spans="21:21">
      <c r="U616"/>
    </row>
    <row r="617" customHeight="1" spans="21:21">
      <c r="U617"/>
    </row>
    <row r="618" customHeight="1" spans="21:21">
      <c r="U618"/>
    </row>
    <row r="619" customHeight="1" spans="21:21">
      <c r="U619"/>
    </row>
    <row r="620" customHeight="1" spans="21:21">
      <c r="U620"/>
    </row>
    <row r="621" customHeight="1" spans="21:21">
      <c r="U621"/>
    </row>
    <row r="622" customHeight="1" spans="21:21">
      <c r="U622"/>
    </row>
    <row r="623" customHeight="1" spans="21:21">
      <c r="U623"/>
    </row>
    <row r="624" customHeight="1" spans="21:21">
      <c r="U624"/>
    </row>
    <row r="625" customHeight="1" spans="21:21">
      <c r="U625"/>
    </row>
    <row r="626" customHeight="1" spans="21:21">
      <c r="U626"/>
    </row>
    <row r="627" customHeight="1" spans="21:21">
      <c r="U627"/>
    </row>
    <row r="628" customHeight="1" spans="21:21">
      <c r="U628"/>
    </row>
    <row r="629" customHeight="1" spans="21:21">
      <c r="U629"/>
    </row>
    <row r="630" customHeight="1" spans="21:21">
      <c r="U630"/>
    </row>
    <row r="631" customHeight="1" spans="21:21">
      <c r="U631"/>
    </row>
    <row r="632" customHeight="1" spans="21:21">
      <c r="U632"/>
    </row>
    <row r="633" customHeight="1" spans="21:21">
      <c r="U633"/>
    </row>
    <row r="634" customHeight="1" spans="21:21">
      <c r="U634"/>
    </row>
    <row r="635" customHeight="1" spans="21:21">
      <c r="U635"/>
    </row>
    <row r="636" customHeight="1" spans="21:21">
      <c r="U636"/>
    </row>
    <row r="637" customHeight="1" spans="21:21">
      <c r="U637"/>
    </row>
    <row r="638" customHeight="1" spans="21:21">
      <c r="U638"/>
    </row>
    <row r="639" customHeight="1" spans="21:21">
      <c r="U639"/>
    </row>
    <row r="640" customHeight="1" spans="21:21">
      <c r="U640"/>
    </row>
    <row r="641" customHeight="1" spans="21:21">
      <c r="U641"/>
    </row>
    <row r="642" customHeight="1" spans="21:21">
      <c r="U642"/>
    </row>
    <row r="643" customHeight="1" spans="21:21">
      <c r="U643"/>
    </row>
    <row r="644" customHeight="1" spans="21:21">
      <c r="U644"/>
    </row>
    <row r="645" customHeight="1" spans="21:21">
      <c r="U645"/>
    </row>
    <row r="646" customHeight="1" spans="21:21">
      <c r="U646"/>
    </row>
    <row r="647" customHeight="1" spans="21:21">
      <c r="U647"/>
    </row>
    <row r="648" customHeight="1" spans="21:21">
      <c r="U648"/>
    </row>
    <row r="649" customHeight="1" spans="21:21">
      <c r="U649"/>
    </row>
    <row r="650" customHeight="1" spans="21:21">
      <c r="U650"/>
    </row>
    <row r="651" customHeight="1" spans="21:21">
      <c r="U651"/>
    </row>
    <row r="652" customHeight="1" spans="21:21">
      <c r="U652"/>
    </row>
    <row r="653" customHeight="1" spans="21:21">
      <c r="U653"/>
    </row>
    <row r="654" customHeight="1" spans="21:21">
      <c r="U654"/>
    </row>
    <row r="655" customHeight="1" spans="21:21">
      <c r="U655"/>
    </row>
    <row r="656" customHeight="1" spans="21:21">
      <c r="U656"/>
    </row>
    <row r="657" customHeight="1" spans="21:21">
      <c r="U657"/>
    </row>
    <row r="658" customHeight="1" spans="21:21">
      <c r="U658"/>
    </row>
    <row r="659" customHeight="1" spans="21:21">
      <c r="U659"/>
    </row>
    <row r="660" customHeight="1" spans="21:21">
      <c r="U660"/>
    </row>
    <row r="661" customHeight="1" spans="21:21">
      <c r="U661"/>
    </row>
    <row r="662" customHeight="1" spans="21:21">
      <c r="U662"/>
    </row>
    <row r="663" customHeight="1" spans="21:21">
      <c r="U663"/>
    </row>
    <row r="664" customHeight="1" spans="21:21">
      <c r="U664"/>
    </row>
    <row r="665" customHeight="1" spans="21:21">
      <c r="U665"/>
    </row>
    <row r="666" customHeight="1" spans="21:21">
      <c r="U666"/>
    </row>
    <row r="667" customHeight="1" spans="21:21">
      <c r="U667"/>
    </row>
    <row r="668" customHeight="1" spans="21:21">
      <c r="U668"/>
    </row>
    <row r="669" customHeight="1" spans="21:21">
      <c r="U669"/>
    </row>
    <row r="670" customHeight="1" spans="21:21">
      <c r="U670"/>
    </row>
    <row r="671" customHeight="1" spans="21:21">
      <c r="U671"/>
    </row>
    <row r="672" customHeight="1" spans="21:21">
      <c r="U672"/>
    </row>
    <row r="673" customHeight="1" spans="21:21">
      <c r="U673"/>
    </row>
    <row r="674" customHeight="1" spans="21:21">
      <c r="U674"/>
    </row>
    <row r="675" customHeight="1" spans="21:21">
      <c r="U675"/>
    </row>
    <row r="676" customHeight="1" spans="21:21">
      <c r="U676"/>
    </row>
    <row r="677" customHeight="1" spans="21:21">
      <c r="U677"/>
    </row>
    <row r="678" customHeight="1" spans="21:21">
      <c r="U678"/>
    </row>
    <row r="679" customHeight="1" spans="21:21">
      <c r="U679"/>
    </row>
    <row r="680" customHeight="1" spans="21:21">
      <c r="U680"/>
    </row>
    <row r="681" customHeight="1" spans="21:21">
      <c r="U681"/>
    </row>
    <row r="682" customHeight="1" spans="21:21">
      <c r="U682"/>
    </row>
    <row r="683" customHeight="1" spans="21:21">
      <c r="U683"/>
    </row>
    <row r="684" customHeight="1" spans="21:21">
      <c r="U684"/>
    </row>
    <row r="685" customHeight="1" spans="21:21">
      <c r="U685"/>
    </row>
    <row r="686" customHeight="1" spans="21:21">
      <c r="U686"/>
    </row>
    <row r="687" customHeight="1" spans="21:21">
      <c r="U687"/>
    </row>
    <row r="688" customHeight="1" spans="21:21">
      <c r="U688"/>
    </row>
    <row r="689" customHeight="1" spans="21:21">
      <c r="U689"/>
    </row>
    <row r="690" customHeight="1" spans="21:21">
      <c r="U690"/>
    </row>
    <row r="691" customHeight="1" spans="21:21">
      <c r="U691"/>
    </row>
    <row r="692" customHeight="1" spans="21:21">
      <c r="U692"/>
    </row>
    <row r="693" customHeight="1" spans="21:21">
      <c r="U693"/>
    </row>
    <row r="694" customHeight="1" spans="21:21">
      <c r="U694"/>
    </row>
    <row r="695" customHeight="1" spans="21:21">
      <c r="U695"/>
    </row>
    <row r="696" customHeight="1" spans="21:21">
      <c r="U696"/>
    </row>
    <row r="697" customHeight="1" spans="21:21">
      <c r="U697"/>
    </row>
    <row r="698" customHeight="1" spans="21:21">
      <c r="U698"/>
    </row>
    <row r="699" customHeight="1" spans="21:21">
      <c r="U699"/>
    </row>
    <row r="700" customHeight="1" spans="21:21">
      <c r="U700"/>
    </row>
    <row r="701" customHeight="1" spans="21:21">
      <c r="U701"/>
    </row>
    <row r="702" customHeight="1" spans="21:21">
      <c r="U702"/>
    </row>
    <row r="703" customHeight="1" spans="21:21">
      <c r="U703"/>
    </row>
    <row r="704" customHeight="1" spans="21:21">
      <c r="U704"/>
    </row>
    <row r="705" customHeight="1" spans="21:21">
      <c r="U705"/>
    </row>
    <row r="706" customHeight="1" spans="21:21">
      <c r="U706"/>
    </row>
    <row r="707" customHeight="1" spans="21:21">
      <c r="U707"/>
    </row>
    <row r="708" customHeight="1" spans="21:21">
      <c r="U708"/>
    </row>
    <row r="709" customHeight="1" spans="21:21">
      <c r="U709"/>
    </row>
    <row r="710" customHeight="1" spans="21:21">
      <c r="U710"/>
    </row>
    <row r="711" customHeight="1" spans="21:21">
      <c r="U711"/>
    </row>
    <row r="712" customHeight="1" spans="21:21">
      <c r="U712"/>
    </row>
    <row r="713" customHeight="1" spans="21:21">
      <c r="U713"/>
    </row>
    <row r="714" customHeight="1" spans="21:21">
      <c r="U714"/>
    </row>
    <row r="715" customHeight="1" spans="21:21">
      <c r="U715"/>
    </row>
    <row r="716" customHeight="1" spans="21:21">
      <c r="U716"/>
    </row>
    <row r="717" customHeight="1" spans="21:21">
      <c r="U717"/>
    </row>
    <row r="718" customHeight="1" spans="21:21">
      <c r="U718"/>
    </row>
    <row r="719" customHeight="1" spans="21:21">
      <c r="U719"/>
    </row>
    <row r="720" customHeight="1" spans="21:21">
      <c r="U720"/>
    </row>
    <row r="721" customHeight="1" spans="21:21">
      <c r="U721"/>
    </row>
    <row r="722" customHeight="1" spans="21:21">
      <c r="U722"/>
    </row>
    <row r="723" customHeight="1" spans="21:21">
      <c r="U723"/>
    </row>
    <row r="724" customHeight="1" spans="21:21">
      <c r="U724"/>
    </row>
    <row r="725" customHeight="1" spans="21:21">
      <c r="U725"/>
    </row>
    <row r="726" customHeight="1" spans="21:21">
      <c r="U726"/>
    </row>
    <row r="727" customHeight="1" spans="21:21">
      <c r="U727"/>
    </row>
    <row r="728" customHeight="1" spans="21:21">
      <c r="U728"/>
    </row>
    <row r="729" customHeight="1" spans="21:21">
      <c r="U729"/>
    </row>
    <row r="730" customHeight="1" spans="21:21">
      <c r="U730"/>
    </row>
    <row r="731" customHeight="1" spans="21:21">
      <c r="U731"/>
    </row>
    <row r="732" customHeight="1" spans="21:21">
      <c r="U732"/>
    </row>
    <row r="733" customHeight="1" spans="21:21">
      <c r="U733"/>
    </row>
    <row r="734" customHeight="1" spans="21:21">
      <c r="U734"/>
    </row>
    <row r="735" customHeight="1" spans="21:21">
      <c r="U735"/>
    </row>
    <row r="736" customHeight="1" spans="21:21">
      <c r="U736"/>
    </row>
    <row r="737" customHeight="1" spans="21:21">
      <c r="U737"/>
    </row>
    <row r="738" customHeight="1" spans="21:21">
      <c r="U738"/>
    </row>
    <row r="739" customHeight="1" spans="21:21">
      <c r="U739"/>
    </row>
    <row r="740" customHeight="1" spans="21:21">
      <c r="U740"/>
    </row>
    <row r="741" customHeight="1" spans="21:21">
      <c r="U741"/>
    </row>
    <row r="742" customHeight="1" spans="21:21">
      <c r="U742"/>
    </row>
    <row r="743" customHeight="1" spans="21:21">
      <c r="U743"/>
    </row>
    <row r="744" customHeight="1" spans="21:21">
      <c r="U744"/>
    </row>
    <row r="745" customHeight="1" spans="21:21">
      <c r="U745"/>
    </row>
    <row r="746" customHeight="1" spans="21:21">
      <c r="U746"/>
    </row>
    <row r="747" customHeight="1" spans="21:21">
      <c r="U747"/>
    </row>
    <row r="748" customHeight="1" spans="21:21">
      <c r="U748"/>
    </row>
    <row r="749" customHeight="1" spans="21:21">
      <c r="U749"/>
    </row>
    <row r="750" customHeight="1" spans="21:21">
      <c r="U750"/>
    </row>
    <row r="751" customHeight="1" spans="21:21">
      <c r="U751"/>
    </row>
    <row r="752" customHeight="1" spans="21:21">
      <c r="U752"/>
    </row>
    <row r="753" customHeight="1" spans="21:21">
      <c r="U753"/>
    </row>
    <row r="754" customHeight="1" spans="21:21">
      <c r="U754"/>
    </row>
    <row r="755" customHeight="1" spans="21:21">
      <c r="U755"/>
    </row>
    <row r="756" customHeight="1" spans="21:21">
      <c r="U756"/>
    </row>
    <row r="757" customHeight="1" spans="21:21">
      <c r="U757"/>
    </row>
    <row r="758" customHeight="1" spans="21:21">
      <c r="U758"/>
    </row>
    <row r="759" customHeight="1" spans="21:21">
      <c r="U759"/>
    </row>
    <row r="760" customHeight="1" spans="21:21">
      <c r="U760"/>
    </row>
    <row r="761" customHeight="1" spans="21:21">
      <c r="U761"/>
    </row>
    <row r="762" customHeight="1" spans="21:21">
      <c r="U762"/>
    </row>
    <row r="763" customHeight="1" spans="21:21">
      <c r="U763"/>
    </row>
    <row r="764" customHeight="1" spans="21:21">
      <c r="U764"/>
    </row>
    <row r="765" customHeight="1" spans="21:21">
      <c r="U765"/>
    </row>
    <row r="766" customHeight="1" spans="21:21">
      <c r="U766"/>
    </row>
    <row r="767" customHeight="1" spans="21:21">
      <c r="U767"/>
    </row>
    <row r="768" customHeight="1" spans="21:21">
      <c r="U768"/>
    </row>
    <row r="769" customHeight="1" spans="21:21">
      <c r="U769"/>
    </row>
    <row r="770" customHeight="1" spans="21:21">
      <c r="U770"/>
    </row>
    <row r="771" customHeight="1" spans="21:21">
      <c r="U771"/>
    </row>
    <row r="772" customHeight="1" spans="21:21">
      <c r="U772"/>
    </row>
    <row r="773" customHeight="1" spans="21:21">
      <c r="U773"/>
    </row>
    <row r="774" customHeight="1" spans="21:21">
      <c r="U774"/>
    </row>
    <row r="775" customHeight="1" spans="21:21">
      <c r="U775"/>
    </row>
    <row r="776" customHeight="1" spans="21:21">
      <c r="U776"/>
    </row>
    <row r="777" customHeight="1" spans="21:21">
      <c r="U777"/>
    </row>
    <row r="778" customHeight="1" spans="21:21">
      <c r="U778"/>
    </row>
    <row r="779" customHeight="1" spans="21:21">
      <c r="U779"/>
    </row>
    <row r="780" customHeight="1" spans="21:21">
      <c r="U780"/>
    </row>
    <row r="781" customHeight="1" spans="21:21">
      <c r="U781"/>
    </row>
    <row r="782" customHeight="1" spans="21:21">
      <c r="U782"/>
    </row>
    <row r="783" customHeight="1" spans="21:21">
      <c r="U783"/>
    </row>
    <row r="784" customHeight="1" spans="21:21">
      <c r="U784"/>
    </row>
    <row r="785" customHeight="1" spans="21:21">
      <c r="U785"/>
    </row>
    <row r="786" customHeight="1" spans="21:21">
      <c r="U786"/>
    </row>
    <row r="787" customHeight="1" spans="21:21">
      <c r="U787"/>
    </row>
    <row r="788" customHeight="1" spans="21:21">
      <c r="U788"/>
    </row>
    <row r="789" customHeight="1" spans="21:21">
      <c r="U789"/>
    </row>
    <row r="790" customHeight="1" spans="21:21">
      <c r="U790"/>
    </row>
    <row r="791" customHeight="1" spans="21:21">
      <c r="U791"/>
    </row>
    <row r="792" customHeight="1" spans="21:21">
      <c r="U792"/>
    </row>
    <row r="793" customHeight="1" spans="21:21">
      <c r="U793"/>
    </row>
    <row r="794" customHeight="1" spans="21:21">
      <c r="U794"/>
    </row>
    <row r="795" customHeight="1" spans="21:21">
      <c r="U795"/>
    </row>
    <row r="796" customHeight="1" spans="21:21">
      <c r="U796"/>
    </row>
    <row r="797" customHeight="1" spans="21:21">
      <c r="U797"/>
    </row>
    <row r="798" customHeight="1" spans="21:21">
      <c r="U798"/>
    </row>
    <row r="799" customHeight="1" spans="21:21">
      <c r="U799"/>
    </row>
    <row r="800" customHeight="1" spans="21:21">
      <c r="U800"/>
    </row>
    <row r="801" customHeight="1" spans="21:21">
      <c r="U801"/>
    </row>
    <row r="802" customHeight="1" spans="21:21">
      <c r="U802"/>
    </row>
    <row r="803" customHeight="1" spans="21:21">
      <c r="U803"/>
    </row>
    <row r="804" customHeight="1" spans="21:21">
      <c r="U804"/>
    </row>
    <row r="805" customHeight="1" spans="21:21">
      <c r="U805"/>
    </row>
    <row r="806" customHeight="1" spans="21:21">
      <c r="U806"/>
    </row>
    <row r="807" customHeight="1" spans="21:21">
      <c r="U807"/>
    </row>
    <row r="808" customHeight="1" spans="21:21">
      <c r="U808"/>
    </row>
    <row r="809" customHeight="1" spans="21:21">
      <c r="U809"/>
    </row>
    <row r="810" customHeight="1" spans="21:21">
      <c r="U810"/>
    </row>
    <row r="811" customHeight="1" spans="21:21">
      <c r="U811"/>
    </row>
    <row r="812" customHeight="1" spans="21:21">
      <c r="U812"/>
    </row>
    <row r="813" customHeight="1" spans="21:21">
      <c r="U813"/>
    </row>
    <row r="814" customHeight="1" spans="21:21">
      <c r="U814"/>
    </row>
    <row r="815" customHeight="1" spans="21:21">
      <c r="U815"/>
    </row>
    <row r="816" customHeight="1" spans="21:21">
      <c r="U816"/>
    </row>
    <row r="817" customHeight="1" spans="21:21">
      <c r="U817"/>
    </row>
    <row r="818" customHeight="1" spans="21:21">
      <c r="U818"/>
    </row>
    <row r="819" customHeight="1" spans="21:21">
      <c r="U819"/>
    </row>
    <row r="820" customHeight="1" spans="21:21">
      <c r="U820"/>
    </row>
    <row r="821" customHeight="1" spans="21:21">
      <c r="U821"/>
    </row>
    <row r="822" customHeight="1" spans="21:21">
      <c r="U822"/>
    </row>
    <row r="823" customHeight="1" spans="21:21">
      <c r="U823"/>
    </row>
    <row r="824" customHeight="1" spans="21:21">
      <c r="U824"/>
    </row>
    <row r="825" customHeight="1" spans="21:21">
      <c r="U825"/>
    </row>
    <row r="826" customHeight="1" spans="21:21">
      <c r="U826"/>
    </row>
    <row r="827" customHeight="1" spans="21:21">
      <c r="U827"/>
    </row>
    <row r="828" customHeight="1" spans="21:21">
      <c r="U828"/>
    </row>
    <row r="829" customHeight="1" spans="21:21">
      <c r="U829"/>
    </row>
    <row r="830" customHeight="1" spans="21:21">
      <c r="U830"/>
    </row>
    <row r="831" customHeight="1" spans="21:21">
      <c r="U831"/>
    </row>
    <row r="832" customHeight="1" spans="21:21">
      <c r="U832"/>
    </row>
    <row r="833" customHeight="1" spans="21:21">
      <c r="U833"/>
    </row>
    <row r="834" customHeight="1" spans="21:21">
      <c r="U834"/>
    </row>
    <row r="835" customHeight="1" spans="21:21">
      <c r="U835"/>
    </row>
    <row r="836" customHeight="1" spans="21:21">
      <c r="U836"/>
    </row>
    <row r="837" customHeight="1" spans="21:21">
      <c r="U837"/>
    </row>
    <row r="838" customHeight="1" spans="21:21">
      <c r="U838"/>
    </row>
    <row r="839" customHeight="1" spans="21:21">
      <c r="U839"/>
    </row>
    <row r="840" customHeight="1" spans="21:21">
      <c r="U840"/>
    </row>
    <row r="841" customHeight="1" spans="21:21">
      <c r="U841"/>
    </row>
    <row r="842" customHeight="1" spans="21:21">
      <c r="U842"/>
    </row>
    <row r="843" customHeight="1" spans="21:21">
      <c r="U843"/>
    </row>
    <row r="844" customHeight="1" spans="21:21">
      <c r="U844"/>
    </row>
    <row r="845" customHeight="1" spans="21:21">
      <c r="U845"/>
    </row>
    <row r="846" customHeight="1" spans="21:21">
      <c r="U846"/>
    </row>
    <row r="847" customHeight="1" spans="21:21">
      <c r="U847"/>
    </row>
    <row r="848" customHeight="1" spans="21:21">
      <c r="U848"/>
    </row>
    <row r="849" customHeight="1" spans="21:21">
      <c r="U849"/>
    </row>
    <row r="850" customHeight="1" spans="21:21">
      <c r="U850"/>
    </row>
    <row r="851" customHeight="1" spans="21:21">
      <c r="U851"/>
    </row>
    <row r="852" customHeight="1" spans="21:21">
      <c r="U852"/>
    </row>
    <row r="853" customHeight="1" spans="21:21">
      <c r="U853"/>
    </row>
    <row r="854" customHeight="1" spans="21:21">
      <c r="U854"/>
    </row>
    <row r="855" customHeight="1" spans="21:21">
      <c r="U855"/>
    </row>
    <row r="856" customHeight="1" spans="21:21">
      <c r="U856"/>
    </row>
    <row r="857" customHeight="1" spans="21:21">
      <c r="U857"/>
    </row>
    <row r="858" customHeight="1" spans="21:21">
      <c r="U858"/>
    </row>
    <row r="859" customHeight="1" spans="21:21">
      <c r="U859"/>
    </row>
    <row r="860" customHeight="1" spans="21:21">
      <c r="U860"/>
    </row>
    <row r="861" customHeight="1" spans="21:21">
      <c r="U861"/>
    </row>
    <row r="862" customHeight="1" spans="21:21">
      <c r="U862"/>
    </row>
    <row r="863" customHeight="1" spans="21:21">
      <c r="U863"/>
    </row>
    <row r="864" customHeight="1" spans="21:21">
      <c r="U864"/>
    </row>
    <row r="865" customHeight="1" spans="21:21">
      <c r="U865"/>
    </row>
    <row r="866" customHeight="1" spans="21:21">
      <c r="U866"/>
    </row>
    <row r="867" customHeight="1" spans="21:21">
      <c r="U867"/>
    </row>
    <row r="868" customHeight="1" spans="21:21">
      <c r="U868"/>
    </row>
    <row r="869" customHeight="1" spans="21:21">
      <c r="U869"/>
    </row>
    <row r="870" customHeight="1" spans="21:21">
      <c r="U870"/>
    </row>
    <row r="871" customHeight="1" spans="21:21">
      <c r="U871"/>
    </row>
    <row r="872" customHeight="1" spans="21:21">
      <c r="U872"/>
    </row>
    <row r="873" customHeight="1" spans="21:21">
      <c r="U873"/>
    </row>
    <row r="874" customHeight="1" spans="21:21">
      <c r="U874"/>
    </row>
    <row r="875" customHeight="1" spans="21:21">
      <c r="U875"/>
    </row>
    <row r="876" customHeight="1" spans="21:21">
      <c r="U876"/>
    </row>
    <row r="877" customHeight="1" spans="21:21">
      <c r="U877"/>
    </row>
    <row r="878" customHeight="1" spans="21:21">
      <c r="U878"/>
    </row>
    <row r="879" customHeight="1" spans="21:21">
      <c r="U879"/>
    </row>
    <row r="880" customHeight="1" spans="21:21">
      <c r="U880"/>
    </row>
    <row r="881" customHeight="1" spans="21:21">
      <c r="U881"/>
    </row>
    <row r="882" customHeight="1" spans="21:21">
      <c r="U882"/>
    </row>
    <row r="883" customHeight="1" spans="21:21">
      <c r="U883"/>
    </row>
    <row r="884" customHeight="1" spans="21:21">
      <c r="U884"/>
    </row>
    <row r="885" customHeight="1" spans="21:21">
      <c r="U885"/>
    </row>
    <row r="886" customHeight="1" spans="21:21">
      <c r="U886"/>
    </row>
    <row r="887" customHeight="1" spans="21:21">
      <c r="U887"/>
    </row>
    <row r="888" customHeight="1" spans="21:21">
      <c r="U888"/>
    </row>
    <row r="889" customHeight="1" spans="21:21">
      <c r="U889"/>
    </row>
    <row r="890" customHeight="1" spans="21:21">
      <c r="U890"/>
    </row>
    <row r="891" customHeight="1" spans="21:21">
      <c r="U891"/>
    </row>
    <row r="892" customHeight="1" spans="21:21">
      <c r="U892"/>
    </row>
    <row r="893" customHeight="1" spans="21:21">
      <c r="U893"/>
    </row>
    <row r="894" customHeight="1" spans="21:21">
      <c r="U894"/>
    </row>
    <row r="895" customHeight="1" spans="21:21">
      <c r="U895"/>
    </row>
    <row r="896" customHeight="1" spans="21:21">
      <c r="U896"/>
    </row>
    <row r="897" customHeight="1" spans="21:21">
      <c r="U897"/>
    </row>
    <row r="898" customHeight="1" spans="21:21">
      <c r="U898"/>
    </row>
    <row r="899" customHeight="1" spans="21:21">
      <c r="U899"/>
    </row>
    <row r="900" customHeight="1" spans="21:21">
      <c r="U900"/>
    </row>
    <row r="901" customHeight="1" spans="21:21">
      <c r="U901"/>
    </row>
    <row r="902" customHeight="1" spans="21:21">
      <c r="U902"/>
    </row>
    <row r="903" customHeight="1" spans="21:21">
      <c r="U903"/>
    </row>
    <row r="904" customHeight="1" spans="21:21">
      <c r="U904"/>
    </row>
    <row r="905" customHeight="1" spans="21:21">
      <c r="U905"/>
    </row>
    <row r="906" customHeight="1" spans="21:21">
      <c r="U906"/>
    </row>
    <row r="907" customHeight="1" spans="21:21">
      <c r="U907"/>
    </row>
    <row r="908" customHeight="1" spans="21:21">
      <c r="U908"/>
    </row>
    <row r="909" customHeight="1" spans="21:21">
      <c r="U909"/>
    </row>
    <row r="910" customHeight="1" spans="21:21">
      <c r="U910"/>
    </row>
    <row r="911" customHeight="1" spans="21:21">
      <c r="U911"/>
    </row>
    <row r="912" customHeight="1" spans="21:21">
      <c r="U912"/>
    </row>
    <row r="913" customHeight="1" spans="21:21">
      <c r="U913"/>
    </row>
    <row r="914" customHeight="1" spans="21:21">
      <c r="U914"/>
    </row>
    <row r="915" customHeight="1" spans="21:21">
      <c r="U915"/>
    </row>
    <row r="916" customHeight="1" spans="21:21">
      <c r="U916"/>
    </row>
    <row r="917" customHeight="1" spans="21:21">
      <c r="U917"/>
    </row>
    <row r="918" customHeight="1" spans="21:21">
      <c r="U918"/>
    </row>
    <row r="919" customHeight="1" spans="21:21">
      <c r="U919"/>
    </row>
    <row r="920" customHeight="1" spans="21:21">
      <c r="U920"/>
    </row>
    <row r="921" customHeight="1" spans="21:21">
      <c r="U921"/>
    </row>
    <row r="922" customHeight="1" spans="21:21">
      <c r="U922"/>
    </row>
    <row r="923" customHeight="1" spans="21:21">
      <c r="U923"/>
    </row>
    <row r="924" customHeight="1" spans="21:21">
      <c r="U924"/>
    </row>
    <row r="925" customHeight="1" spans="21:21">
      <c r="U925"/>
    </row>
    <row r="926" customHeight="1" spans="21:21">
      <c r="U926"/>
    </row>
    <row r="927" customHeight="1" spans="21:21">
      <c r="U927"/>
    </row>
    <row r="928" customHeight="1" spans="21:21">
      <c r="U928"/>
    </row>
    <row r="929" customHeight="1" spans="21:21">
      <c r="U929"/>
    </row>
    <row r="930" customHeight="1" spans="21:21">
      <c r="U930"/>
    </row>
    <row r="931" customHeight="1" spans="21:21">
      <c r="U931"/>
    </row>
    <row r="932" customHeight="1" spans="21:21">
      <c r="U932"/>
    </row>
    <row r="933" customHeight="1" spans="21:21">
      <c r="U933"/>
    </row>
    <row r="934" customHeight="1" spans="21:21">
      <c r="U934"/>
    </row>
    <row r="935" customHeight="1" spans="21:21">
      <c r="U935"/>
    </row>
    <row r="936" customHeight="1" spans="21:21">
      <c r="U936"/>
    </row>
    <row r="937" customHeight="1" spans="21:21">
      <c r="U937"/>
    </row>
    <row r="938" customHeight="1" spans="21:21">
      <c r="U938"/>
    </row>
    <row r="939" customHeight="1" spans="21:21">
      <c r="U939"/>
    </row>
    <row r="940" customHeight="1" spans="21:21">
      <c r="U940"/>
    </row>
    <row r="941" customHeight="1" spans="21:21">
      <c r="U941"/>
    </row>
    <row r="942" customHeight="1" spans="21:21">
      <c r="U942"/>
    </row>
    <row r="943" customHeight="1" spans="21:21">
      <c r="U943"/>
    </row>
    <row r="944" customHeight="1" spans="21:21">
      <c r="U944"/>
    </row>
    <row r="945" customHeight="1" spans="21:21">
      <c r="U945"/>
    </row>
    <row r="946" customHeight="1" spans="21:21">
      <c r="U946"/>
    </row>
    <row r="947" customHeight="1" spans="21:21">
      <c r="U947"/>
    </row>
    <row r="948" customHeight="1" spans="21:21">
      <c r="U948"/>
    </row>
    <row r="949" customHeight="1" spans="21:21">
      <c r="U949"/>
    </row>
    <row r="950" customHeight="1" spans="21:21">
      <c r="U950"/>
    </row>
    <row r="951" customHeight="1" spans="21:21">
      <c r="U951"/>
    </row>
    <row r="952" customHeight="1" spans="21:21">
      <c r="U952"/>
    </row>
    <row r="953" customHeight="1" spans="21:21">
      <c r="U953"/>
    </row>
    <row r="954" customHeight="1" spans="21:21">
      <c r="U954"/>
    </row>
    <row r="955" customHeight="1" spans="21:21">
      <c r="U955"/>
    </row>
    <row r="956" customHeight="1" spans="21:21">
      <c r="U956"/>
    </row>
    <row r="957" customHeight="1" spans="21:21">
      <c r="U957"/>
    </row>
    <row r="958" customHeight="1" spans="21:21">
      <c r="U958"/>
    </row>
    <row r="959" customHeight="1" spans="21:21">
      <c r="U959"/>
    </row>
    <row r="960" customHeight="1" spans="21:21">
      <c r="U960"/>
    </row>
    <row r="961" customHeight="1" spans="21:21">
      <c r="U961"/>
    </row>
    <row r="962" customHeight="1" spans="21:21">
      <c r="U962"/>
    </row>
    <row r="963" customHeight="1" spans="21:21">
      <c r="U963"/>
    </row>
    <row r="964" customHeight="1" spans="21:21">
      <c r="U964"/>
    </row>
    <row r="965" customHeight="1" spans="21:21">
      <c r="U965"/>
    </row>
    <row r="966" customHeight="1" spans="21:21">
      <c r="U966"/>
    </row>
    <row r="967" customHeight="1" spans="21:21">
      <c r="U967"/>
    </row>
    <row r="968" customHeight="1" spans="21:21">
      <c r="U968"/>
    </row>
    <row r="969" customHeight="1" spans="21:21">
      <c r="U969"/>
    </row>
    <row r="970" customHeight="1" spans="21:21">
      <c r="U970"/>
    </row>
    <row r="971" customHeight="1" spans="21:21">
      <c r="U971"/>
    </row>
    <row r="972" customHeight="1" spans="21:21">
      <c r="U972"/>
    </row>
    <row r="973" customHeight="1" spans="21:21">
      <c r="U973"/>
    </row>
    <row r="974" customHeight="1" spans="21:21">
      <c r="U974"/>
    </row>
    <row r="975" customHeight="1" spans="21:21">
      <c r="U975"/>
    </row>
    <row r="976" customHeight="1" spans="21:21">
      <c r="U976"/>
    </row>
    <row r="977" customHeight="1" spans="21:21">
      <c r="U977"/>
    </row>
    <row r="978" customHeight="1" spans="21:21">
      <c r="U978"/>
    </row>
    <row r="979" customHeight="1" spans="21:21">
      <c r="U979"/>
    </row>
    <row r="980" customHeight="1" spans="21:21">
      <c r="U980"/>
    </row>
    <row r="981" customHeight="1" spans="21:21">
      <c r="U981"/>
    </row>
    <row r="982" customHeight="1" spans="21:21">
      <c r="U982"/>
    </row>
    <row r="983" customHeight="1" spans="21:21">
      <c r="U983"/>
    </row>
    <row r="984" customHeight="1" spans="21:21">
      <c r="U984"/>
    </row>
    <row r="985" customHeight="1" spans="21:21">
      <c r="U985"/>
    </row>
    <row r="986" customHeight="1" spans="21:21">
      <c r="U986"/>
    </row>
    <row r="987" customHeight="1" spans="21:21">
      <c r="U987"/>
    </row>
    <row r="988" customHeight="1" spans="21:21">
      <c r="U988"/>
    </row>
    <row r="989" customHeight="1" spans="21:21">
      <c r="U989"/>
    </row>
    <row r="990" customHeight="1" spans="21:21">
      <c r="U990"/>
    </row>
    <row r="991" customHeight="1" spans="21:21">
      <c r="U991"/>
    </row>
    <row r="992" customHeight="1" spans="21:21">
      <c r="U992"/>
    </row>
    <row r="993" customHeight="1" spans="21:21">
      <c r="U993"/>
    </row>
    <row r="994" customHeight="1" spans="21:21">
      <c r="U994"/>
    </row>
    <row r="995" customHeight="1" spans="21:21">
      <c r="U995"/>
    </row>
    <row r="996" customHeight="1" spans="21:21">
      <c r="U996"/>
    </row>
    <row r="997" customHeight="1" spans="21:21">
      <c r="U997"/>
    </row>
    <row r="998" customHeight="1" spans="21:21">
      <c r="U998"/>
    </row>
    <row r="999" customHeight="1" spans="21:21">
      <c r="U999"/>
    </row>
    <row r="1000" customHeight="1" spans="21:21">
      <c r="U1000"/>
    </row>
    <row r="1001" customHeight="1" spans="21:21">
      <c r="U1001"/>
    </row>
    <row r="1002" customHeight="1" spans="21:21">
      <c r="U1002"/>
    </row>
    <row r="1003" customHeight="1" spans="21:21">
      <c r="U1003"/>
    </row>
    <row r="1004" customHeight="1" spans="21:21">
      <c r="U1004"/>
    </row>
    <row r="1005" customHeight="1" spans="21:21">
      <c r="U1005"/>
    </row>
    <row r="1006" customHeight="1" spans="21:21">
      <c r="U1006"/>
    </row>
    <row r="1007" customHeight="1" spans="21:21">
      <c r="U1007"/>
    </row>
    <row r="1008" customHeight="1" spans="21:21">
      <c r="U1008"/>
    </row>
    <row r="1009" customHeight="1" spans="21:21">
      <c r="U1009"/>
    </row>
    <row r="1010" customHeight="1" spans="21:21">
      <c r="U1010"/>
    </row>
    <row r="1011" customHeight="1" spans="21:21">
      <c r="U1011"/>
    </row>
    <row r="1012" customHeight="1" spans="21:21">
      <c r="U1012"/>
    </row>
    <row r="1013" customHeight="1" spans="21:21">
      <c r="U1013"/>
    </row>
    <row r="1014" customHeight="1" spans="21:21">
      <c r="U1014"/>
    </row>
    <row r="1015" customHeight="1" spans="21:21">
      <c r="U1015"/>
    </row>
    <row r="1016" customHeight="1" spans="21:21">
      <c r="U1016"/>
    </row>
    <row r="1017" customHeight="1" spans="21:21">
      <c r="U1017"/>
    </row>
    <row r="1018" customHeight="1" spans="21:21">
      <c r="U1018"/>
    </row>
    <row r="1019" customHeight="1" spans="21:21">
      <c r="U1019"/>
    </row>
    <row r="1020" customHeight="1" spans="21:21">
      <c r="U1020"/>
    </row>
    <row r="1021" customHeight="1" spans="21:21">
      <c r="U1021"/>
    </row>
    <row r="1022" customHeight="1" spans="21:21">
      <c r="U1022"/>
    </row>
    <row r="1023" customHeight="1" spans="21:21">
      <c r="U1023"/>
    </row>
    <row r="1024" customHeight="1" spans="21:21">
      <c r="U1024"/>
    </row>
    <row r="1025" customHeight="1" spans="21:21">
      <c r="U1025"/>
    </row>
    <row r="1026" customHeight="1" spans="21:21">
      <c r="U1026"/>
    </row>
    <row r="1027" customHeight="1" spans="21:21">
      <c r="U1027"/>
    </row>
    <row r="1028" customHeight="1" spans="21:21">
      <c r="U1028"/>
    </row>
    <row r="1029" customHeight="1" spans="21:21">
      <c r="U1029"/>
    </row>
    <row r="1030" customHeight="1" spans="21:21">
      <c r="U1030"/>
    </row>
    <row r="1031" customHeight="1" spans="21:21">
      <c r="U1031"/>
    </row>
    <row r="1032" customHeight="1" spans="21:21">
      <c r="U1032"/>
    </row>
    <row r="1033" customHeight="1" spans="21:21">
      <c r="U1033"/>
    </row>
    <row r="1034" customHeight="1" spans="21:21">
      <c r="U1034"/>
    </row>
    <row r="1035" customHeight="1" spans="21:21">
      <c r="U1035"/>
    </row>
    <row r="1036" customHeight="1" spans="21:21">
      <c r="U1036"/>
    </row>
    <row r="1037" customHeight="1" spans="21:21">
      <c r="U1037"/>
    </row>
    <row r="1038" customHeight="1" spans="21:21">
      <c r="U1038"/>
    </row>
    <row r="1039" customHeight="1" spans="21:21">
      <c r="U1039"/>
    </row>
    <row r="1040" customHeight="1" spans="21:21">
      <c r="U1040"/>
    </row>
    <row r="1041" customHeight="1" spans="21:21">
      <c r="U1041"/>
    </row>
    <row r="1042" customHeight="1" spans="21:21">
      <c r="U1042"/>
    </row>
    <row r="1043" customHeight="1" spans="21:21">
      <c r="U1043"/>
    </row>
    <row r="1044" customHeight="1" spans="21:21">
      <c r="U1044"/>
    </row>
    <row r="1045" customHeight="1" spans="21:21">
      <c r="U1045"/>
    </row>
    <row r="1046" customHeight="1" spans="21:21">
      <c r="U1046"/>
    </row>
    <row r="1047" customHeight="1" spans="21:21">
      <c r="U1047"/>
    </row>
    <row r="1048" customHeight="1" spans="21:21">
      <c r="U1048"/>
    </row>
    <row r="1049" customHeight="1" spans="21:21">
      <c r="U1049"/>
    </row>
    <row r="1050" customHeight="1" spans="21:21">
      <c r="U1050"/>
    </row>
    <row r="1051" customHeight="1" spans="21:21">
      <c r="U1051"/>
    </row>
    <row r="1052" customHeight="1" spans="21:21">
      <c r="U1052"/>
    </row>
    <row r="1053" customHeight="1" spans="21:21">
      <c r="U1053"/>
    </row>
    <row r="1054" customHeight="1" spans="21:21">
      <c r="U1054"/>
    </row>
    <row r="1055" customHeight="1" spans="21:21">
      <c r="U1055"/>
    </row>
    <row r="1056" customHeight="1" spans="21:21">
      <c r="U1056"/>
    </row>
    <row r="1057" customHeight="1" spans="21:21">
      <c r="U1057"/>
    </row>
    <row r="1058" customHeight="1" spans="21:21">
      <c r="U1058"/>
    </row>
    <row r="1059" customHeight="1" spans="21:21">
      <c r="U1059"/>
    </row>
    <row r="1060" customHeight="1" spans="21:21">
      <c r="U1060"/>
    </row>
    <row r="1061" customHeight="1" spans="21:21">
      <c r="U1061"/>
    </row>
    <row r="1062" customHeight="1" spans="21:21">
      <c r="U1062"/>
    </row>
    <row r="1063" customHeight="1" spans="21:21">
      <c r="U1063"/>
    </row>
    <row r="1064" customHeight="1" spans="21:21">
      <c r="U1064"/>
    </row>
    <row r="1065" customHeight="1" spans="21:21">
      <c r="U1065"/>
    </row>
    <row r="1066" customHeight="1" spans="21:21">
      <c r="U1066"/>
    </row>
    <row r="1067" customHeight="1" spans="21:21">
      <c r="U1067"/>
    </row>
    <row r="1068" customHeight="1" spans="21:21">
      <c r="U1068"/>
    </row>
    <row r="1069" customHeight="1" spans="21:21">
      <c r="U1069"/>
    </row>
    <row r="1070" customHeight="1" spans="21:21">
      <c r="U1070"/>
    </row>
    <row r="1071" customHeight="1" spans="21:21">
      <c r="U1071"/>
    </row>
    <row r="1072" customHeight="1" spans="21:21">
      <c r="U1072"/>
    </row>
    <row r="1073" customHeight="1" spans="21:21">
      <c r="U1073"/>
    </row>
    <row r="1074" customHeight="1" spans="21:21">
      <c r="U1074"/>
    </row>
    <row r="1075" customHeight="1" spans="21:21">
      <c r="U1075"/>
    </row>
    <row r="1076" customHeight="1" spans="21:21">
      <c r="U1076"/>
    </row>
    <row r="1077" customHeight="1" spans="21:21">
      <c r="U1077"/>
    </row>
    <row r="1078" customHeight="1" spans="21:21">
      <c r="U1078"/>
    </row>
    <row r="1079" customHeight="1" spans="21:21">
      <c r="U1079"/>
    </row>
    <row r="1080" customHeight="1" spans="21:21">
      <c r="U1080"/>
    </row>
    <row r="1081" customHeight="1" spans="21:21">
      <c r="U1081"/>
    </row>
    <row r="1082" customHeight="1" spans="21:21">
      <c r="U1082"/>
    </row>
    <row r="1083" customHeight="1" spans="21:21">
      <c r="U1083"/>
    </row>
    <row r="1084" customHeight="1" spans="21:21">
      <c r="U1084"/>
    </row>
    <row r="1085" customHeight="1" spans="21:21">
      <c r="U1085"/>
    </row>
    <row r="1086" customHeight="1" spans="21:21">
      <c r="U1086"/>
    </row>
    <row r="1087" customHeight="1" spans="21:21">
      <c r="U1087"/>
    </row>
    <row r="1088" customHeight="1" spans="21:21">
      <c r="U1088"/>
    </row>
    <row r="1089" customHeight="1" spans="21:21">
      <c r="U1089"/>
    </row>
    <row r="1090" customHeight="1" spans="21:21">
      <c r="U1090"/>
    </row>
    <row r="1091" customHeight="1" spans="21:21">
      <c r="U1091"/>
    </row>
    <row r="1092" customHeight="1" spans="21:21">
      <c r="U1092"/>
    </row>
    <row r="1093" customHeight="1" spans="21:21">
      <c r="U1093"/>
    </row>
    <row r="1094" customHeight="1" spans="21:21">
      <c r="U1094"/>
    </row>
    <row r="1095" customHeight="1" spans="21:21">
      <c r="U1095"/>
    </row>
    <row r="1096" customHeight="1" spans="21:21">
      <c r="U1096"/>
    </row>
    <row r="1097" customHeight="1" spans="21:21">
      <c r="U1097"/>
    </row>
    <row r="1098" customHeight="1" spans="21:21">
      <c r="U1098"/>
    </row>
    <row r="1099" customHeight="1" spans="21:21">
      <c r="U1099"/>
    </row>
    <row r="1100" customHeight="1" spans="21:21">
      <c r="U1100"/>
    </row>
    <row r="1101" customHeight="1" spans="21:21">
      <c r="U1101"/>
    </row>
    <row r="1102" customHeight="1" spans="21:21">
      <c r="U1102"/>
    </row>
    <row r="1103" customHeight="1" spans="21:21">
      <c r="U1103"/>
    </row>
    <row r="1104" customHeight="1" spans="21:21">
      <c r="U1104"/>
    </row>
    <row r="1105" customHeight="1" spans="21:21">
      <c r="U1105"/>
    </row>
    <row r="1106" customHeight="1" spans="21:21">
      <c r="U1106"/>
    </row>
    <row r="1107" customHeight="1" spans="21:21">
      <c r="U1107"/>
    </row>
    <row r="1108" customHeight="1" spans="21:21">
      <c r="U1108"/>
    </row>
    <row r="1109" customHeight="1" spans="21:21">
      <c r="U1109"/>
    </row>
    <row r="1110" customHeight="1" spans="21:21">
      <c r="U1110"/>
    </row>
    <row r="1111" customHeight="1" spans="21:21">
      <c r="U1111"/>
    </row>
    <row r="1112" customHeight="1" spans="21:21">
      <c r="U1112"/>
    </row>
    <row r="1113" customHeight="1" spans="21:21">
      <c r="U1113"/>
    </row>
    <row r="1114" customHeight="1" spans="21:21">
      <c r="U1114"/>
    </row>
    <row r="1115" customHeight="1" spans="21:21">
      <c r="U1115"/>
    </row>
    <row r="1116" customHeight="1" spans="21:21">
      <c r="U1116"/>
    </row>
    <row r="1117" customHeight="1" spans="21:21">
      <c r="U1117"/>
    </row>
    <row r="1118" customHeight="1" spans="21:21">
      <c r="U1118"/>
    </row>
    <row r="1119" customHeight="1" spans="21:21">
      <c r="U1119"/>
    </row>
    <row r="1120" customHeight="1" spans="21:21">
      <c r="U1120"/>
    </row>
    <row r="1121" customHeight="1" spans="21:21">
      <c r="U1121"/>
    </row>
    <row r="1122" customHeight="1" spans="21:21">
      <c r="U1122"/>
    </row>
    <row r="1123" customHeight="1" spans="21:21">
      <c r="U1123"/>
    </row>
    <row r="1124" customHeight="1" spans="21:21">
      <c r="U1124"/>
    </row>
    <row r="1125" customHeight="1" spans="21:21">
      <c r="U1125"/>
    </row>
    <row r="1126" customHeight="1" spans="21:21">
      <c r="U1126"/>
    </row>
    <row r="1127" customHeight="1" spans="21:21">
      <c r="U1127"/>
    </row>
    <row r="1128" customHeight="1" spans="21:21">
      <c r="U1128"/>
    </row>
    <row r="1129" customHeight="1" spans="21:21">
      <c r="U1129"/>
    </row>
    <row r="1130" customHeight="1" spans="21:21">
      <c r="U1130"/>
    </row>
    <row r="1131" customHeight="1" spans="21:21">
      <c r="U1131"/>
    </row>
    <row r="1132" customHeight="1" spans="21:21">
      <c r="U1132"/>
    </row>
    <row r="1133" customHeight="1" spans="21:21">
      <c r="U1133"/>
    </row>
    <row r="1134" customHeight="1" spans="21:21">
      <c r="U1134"/>
    </row>
    <row r="1135" customHeight="1" spans="21:21">
      <c r="U1135"/>
    </row>
    <row r="1136" customHeight="1" spans="21:21">
      <c r="U1136"/>
    </row>
    <row r="1137" customHeight="1" spans="21:21">
      <c r="U1137"/>
    </row>
    <row r="1138" customHeight="1" spans="21:21">
      <c r="U1138"/>
    </row>
    <row r="1139" customHeight="1" spans="21:21">
      <c r="U1139"/>
    </row>
    <row r="1140" customHeight="1" spans="21:21">
      <c r="U1140"/>
    </row>
    <row r="1141" customHeight="1" spans="21:21">
      <c r="U1141"/>
    </row>
    <row r="1142" customHeight="1" spans="21:21">
      <c r="U1142"/>
    </row>
    <row r="1143" customHeight="1" spans="21:21">
      <c r="U1143"/>
    </row>
    <row r="1144" customHeight="1" spans="21:21">
      <c r="U1144"/>
    </row>
    <row r="1145" customHeight="1" spans="21:21">
      <c r="U1145"/>
    </row>
    <row r="1146" customHeight="1" spans="21:21">
      <c r="U1146"/>
    </row>
    <row r="1147" customHeight="1" spans="21:21">
      <c r="U1147"/>
    </row>
    <row r="1148" customHeight="1" spans="21:21">
      <c r="U1148"/>
    </row>
    <row r="1149" customHeight="1" spans="21:21">
      <c r="U1149"/>
    </row>
    <row r="1150" customHeight="1" spans="21:21">
      <c r="U1150"/>
    </row>
    <row r="1151" customHeight="1" spans="21:21">
      <c r="U1151"/>
    </row>
    <row r="1152" customHeight="1" spans="21:21">
      <c r="U1152"/>
    </row>
    <row r="1153" customHeight="1" spans="21:21">
      <c r="U1153"/>
    </row>
    <row r="1154" customHeight="1" spans="21:21">
      <c r="U1154"/>
    </row>
    <row r="1155" customHeight="1" spans="21:21">
      <c r="U1155"/>
    </row>
    <row r="1156" customHeight="1" spans="21:21">
      <c r="U1156"/>
    </row>
    <row r="1157" customHeight="1" spans="21:21">
      <c r="U1157"/>
    </row>
    <row r="1158" customHeight="1" spans="21:21">
      <c r="U1158"/>
    </row>
    <row r="1159" customHeight="1" spans="21:21">
      <c r="U1159"/>
    </row>
    <row r="1160" customHeight="1" spans="21:21">
      <c r="U1160"/>
    </row>
    <row r="1161" customHeight="1" spans="21:21">
      <c r="U1161"/>
    </row>
    <row r="1162" customHeight="1" spans="21:21">
      <c r="U1162"/>
    </row>
    <row r="1163" customHeight="1" spans="21:21">
      <c r="U1163"/>
    </row>
    <row r="1164" customHeight="1" spans="21:21">
      <c r="U1164"/>
    </row>
    <row r="1165" customHeight="1" spans="21:21">
      <c r="U1165"/>
    </row>
    <row r="1166" customHeight="1" spans="21:21">
      <c r="U1166"/>
    </row>
    <row r="1167" customHeight="1" spans="21:21">
      <c r="U1167"/>
    </row>
    <row r="1168" customHeight="1" spans="21:21">
      <c r="U1168"/>
    </row>
    <row r="1169" customHeight="1" spans="21:21">
      <c r="U1169"/>
    </row>
    <row r="1170" customHeight="1" spans="21:21">
      <c r="U1170"/>
    </row>
    <row r="1171" customHeight="1" spans="21:21">
      <c r="U1171"/>
    </row>
    <row r="1172" customHeight="1" spans="21:21">
      <c r="U1172"/>
    </row>
    <row r="1173" customHeight="1" spans="21:21">
      <c r="U1173"/>
    </row>
    <row r="1174" customHeight="1" spans="21:21">
      <c r="U1174"/>
    </row>
    <row r="1175" customHeight="1" spans="21:21">
      <c r="U1175"/>
    </row>
    <row r="1176" customHeight="1" spans="21:21">
      <c r="U1176"/>
    </row>
    <row r="1177" customHeight="1" spans="21:21">
      <c r="U1177"/>
    </row>
    <row r="1178" customHeight="1" spans="21:21">
      <c r="U1178"/>
    </row>
    <row r="1179" customHeight="1" spans="21:21">
      <c r="U1179"/>
    </row>
    <row r="1180" customHeight="1" spans="21:21">
      <c r="U1180"/>
    </row>
    <row r="1181" customHeight="1" spans="21:21">
      <c r="U1181"/>
    </row>
    <row r="1182" customHeight="1" spans="21:21">
      <c r="U1182"/>
    </row>
    <row r="1183" customHeight="1" spans="21:21">
      <c r="U1183"/>
    </row>
    <row r="1184" customHeight="1" spans="21:21">
      <c r="U1184"/>
    </row>
    <row r="1185" customHeight="1" spans="21:21">
      <c r="U1185"/>
    </row>
    <row r="1186" customHeight="1" spans="21:21">
      <c r="U1186"/>
    </row>
    <row r="1187" customHeight="1" spans="21:21">
      <c r="U1187"/>
    </row>
    <row r="1188" customHeight="1" spans="21:21">
      <c r="U1188"/>
    </row>
    <row r="1189" customHeight="1" spans="21:21">
      <c r="U1189"/>
    </row>
    <row r="1190" customHeight="1" spans="21:21">
      <c r="U1190"/>
    </row>
    <row r="1191" customHeight="1" spans="21:21">
      <c r="U1191"/>
    </row>
    <row r="1192" customHeight="1" spans="21:21">
      <c r="U1192"/>
    </row>
    <row r="1193" customHeight="1" spans="21:21">
      <c r="U1193"/>
    </row>
    <row r="1194" customHeight="1" spans="21:21">
      <c r="U1194"/>
    </row>
    <row r="1195" customHeight="1" spans="21:21">
      <c r="U1195"/>
    </row>
    <row r="1196" customHeight="1" spans="21:21">
      <c r="U1196"/>
    </row>
    <row r="1197" customHeight="1" spans="21:21">
      <c r="U1197"/>
    </row>
    <row r="1198" customHeight="1" spans="21:21">
      <c r="U1198"/>
    </row>
    <row r="1199" customHeight="1" spans="21:21">
      <c r="U1199"/>
    </row>
    <row r="1200" customHeight="1" spans="21:21">
      <c r="U1200"/>
    </row>
    <row r="1201" customHeight="1" spans="21:21">
      <c r="U1201"/>
    </row>
    <row r="1202" customHeight="1" spans="21:21">
      <c r="U1202"/>
    </row>
    <row r="1203" customHeight="1" spans="21:21">
      <c r="U1203"/>
    </row>
    <row r="1204" customHeight="1" spans="21:21">
      <c r="U1204"/>
    </row>
    <row r="1205" customHeight="1" spans="21:21">
      <c r="U1205"/>
    </row>
    <row r="1206" customHeight="1" spans="21:21">
      <c r="U1206"/>
    </row>
    <row r="1207" customHeight="1" spans="21:21">
      <c r="U1207"/>
    </row>
    <row r="1208" customHeight="1" spans="21:21">
      <c r="U1208"/>
    </row>
    <row r="1209" customHeight="1" spans="21:21">
      <c r="U1209"/>
    </row>
    <row r="1210" customHeight="1" spans="21:21">
      <c r="U1210"/>
    </row>
    <row r="1211" customHeight="1" spans="21:21">
      <c r="U1211"/>
    </row>
    <row r="1212" customHeight="1" spans="21:21">
      <c r="U1212"/>
    </row>
    <row r="1213" customHeight="1" spans="21:21">
      <c r="U1213"/>
    </row>
    <row r="1214" customHeight="1" spans="21:21">
      <c r="U1214"/>
    </row>
    <row r="1215" customHeight="1" spans="21:21">
      <c r="U1215"/>
    </row>
    <row r="1216" customHeight="1" spans="21:21">
      <c r="U1216"/>
    </row>
    <row r="1217" customHeight="1" spans="21:21">
      <c r="U1217"/>
    </row>
    <row r="1218" customHeight="1" spans="21:21">
      <c r="U1218"/>
    </row>
    <row r="1219" customHeight="1" spans="21:21">
      <c r="U1219"/>
    </row>
    <row r="1220" customHeight="1" spans="21:21">
      <c r="U1220"/>
    </row>
    <row r="1221" customHeight="1" spans="21:21">
      <c r="U1221"/>
    </row>
    <row r="1222" customHeight="1" spans="21:21">
      <c r="U1222"/>
    </row>
    <row r="1223" customHeight="1" spans="21:21">
      <c r="U1223"/>
    </row>
    <row r="1224" customHeight="1" spans="21:21">
      <c r="U1224"/>
    </row>
    <row r="1225" customHeight="1" spans="21:21">
      <c r="U1225"/>
    </row>
    <row r="1226" customHeight="1" spans="21:21">
      <c r="U1226"/>
    </row>
    <row r="1227" customHeight="1" spans="21:21">
      <c r="U1227"/>
    </row>
    <row r="1228" customHeight="1" spans="21:21">
      <c r="U1228"/>
    </row>
    <row r="1229" customHeight="1" spans="21:21">
      <c r="U1229"/>
    </row>
    <row r="1230" customHeight="1" spans="21:21">
      <c r="U1230"/>
    </row>
    <row r="1231" customHeight="1" spans="21:21">
      <c r="U1231"/>
    </row>
    <row r="1232" customHeight="1" spans="21:21">
      <c r="U1232"/>
    </row>
    <row r="1233" customHeight="1" spans="21:21">
      <c r="U1233"/>
    </row>
    <row r="1234" customHeight="1" spans="21:21">
      <c r="U1234"/>
    </row>
    <row r="1235" customHeight="1" spans="21:21">
      <c r="U1235"/>
    </row>
    <row r="1236" customHeight="1" spans="21:21">
      <c r="U1236"/>
    </row>
    <row r="1237" customHeight="1" spans="21:21">
      <c r="U1237"/>
    </row>
    <row r="1238" customHeight="1" spans="21:21">
      <c r="U1238"/>
    </row>
    <row r="1239" customHeight="1" spans="21:21">
      <c r="U1239"/>
    </row>
    <row r="1240" customHeight="1" spans="21:21">
      <c r="U1240"/>
    </row>
    <row r="1241" customHeight="1" spans="21:21">
      <c r="U1241"/>
    </row>
    <row r="1242" customHeight="1" spans="21:21">
      <c r="U1242"/>
    </row>
    <row r="1243" customHeight="1" spans="21:21">
      <c r="U1243"/>
    </row>
    <row r="1244" customHeight="1" spans="21:21">
      <c r="U1244"/>
    </row>
    <row r="1245" customHeight="1" spans="21:21">
      <c r="U1245"/>
    </row>
    <row r="1246" customHeight="1" spans="21:21">
      <c r="U1246"/>
    </row>
    <row r="1247" customHeight="1" spans="21:21">
      <c r="U1247"/>
    </row>
    <row r="1248" customHeight="1" spans="21:21">
      <c r="U1248"/>
    </row>
    <row r="1249" customHeight="1" spans="21:21">
      <c r="U1249"/>
    </row>
    <row r="1250" customHeight="1" spans="21:21">
      <c r="U1250"/>
    </row>
    <row r="1251" customHeight="1" spans="21:21">
      <c r="U1251"/>
    </row>
    <row r="1252" customHeight="1" spans="21:21">
      <c r="U1252"/>
    </row>
    <row r="1253" customHeight="1" spans="21:21">
      <c r="U1253"/>
    </row>
    <row r="1254" customHeight="1" spans="21:21">
      <c r="U1254"/>
    </row>
    <row r="1255" customHeight="1" spans="21:21">
      <c r="U1255"/>
    </row>
    <row r="1256" customHeight="1" spans="21:21">
      <c r="U1256"/>
    </row>
    <row r="1257" customHeight="1" spans="21:21">
      <c r="U1257"/>
    </row>
    <row r="1258" customHeight="1" spans="21:21">
      <c r="U1258"/>
    </row>
    <row r="1259" customHeight="1" spans="21:21">
      <c r="U1259"/>
    </row>
    <row r="1260" customHeight="1" spans="21:21">
      <c r="U1260"/>
    </row>
    <row r="1261" customHeight="1" spans="21:21">
      <c r="U1261"/>
    </row>
    <row r="1262" customHeight="1" spans="21:21">
      <c r="U1262"/>
    </row>
    <row r="1263" customHeight="1" spans="21:21">
      <c r="U1263"/>
    </row>
    <row r="1264" customHeight="1" spans="21:21">
      <c r="U1264"/>
    </row>
    <row r="1265" customHeight="1" spans="21:21">
      <c r="U1265"/>
    </row>
    <row r="1266" customHeight="1" spans="21:21">
      <c r="U1266"/>
    </row>
    <row r="1267" customHeight="1" spans="21:21">
      <c r="U1267"/>
    </row>
    <row r="1268" customHeight="1" spans="21:21">
      <c r="U1268"/>
    </row>
    <row r="1269" customHeight="1" spans="21:21">
      <c r="U1269"/>
    </row>
    <row r="1270" customHeight="1" spans="21:21">
      <c r="U1270"/>
    </row>
    <row r="1271" customHeight="1" spans="21:21">
      <c r="U1271"/>
    </row>
    <row r="1272" customHeight="1" spans="21:21">
      <c r="U1272"/>
    </row>
    <row r="1273" customHeight="1" spans="21:21">
      <c r="U1273"/>
    </row>
    <row r="1274" customHeight="1" spans="21:21">
      <c r="U1274"/>
    </row>
    <row r="1275" customHeight="1" spans="21:21">
      <c r="U1275"/>
    </row>
    <row r="1276" customHeight="1" spans="21:21">
      <c r="U1276"/>
    </row>
    <row r="1277" customHeight="1" spans="21:21">
      <c r="U1277"/>
    </row>
    <row r="1278" customHeight="1" spans="21:21">
      <c r="U1278"/>
    </row>
    <row r="1279" customHeight="1" spans="21:21">
      <c r="U1279"/>
    </row>
    <row r="1280" customHeight="1" spans="21:21">
      <c r="U1280"/>
    </row>
    <row r="1281" customHeight="1" spans="21:21">
      <c r="U1281"/>
    </row>
    <row r="1282" customHeight="1" spans="21:21">
      <c r="U1282"/>
    </row>
    <row r="1283" customHeight="1" spans="21:21">
      <c r="U1283"/>
    </row>
    <row r="1284" customHeight="1" spans="21:21">
      <c r="U1284"/>
    </row>
    <row r="1285" customHeight="1" spans="21:21">
      <c r="U1285"/>
    </row>
    <row r="1286" customHeight="1" spans="21:21">
      <c r="U1286"/>
    </row>
    <row r="1287" customHeight="1" spans="21:21">
      <c r="U1287"/>
    </row>
    <row r="1288" customHeight="1" spans="21:21">
      <c r="U1288"/>
    </row>
    <row r="1289" customHeight="1" spans="21:21">
      <c r="U1289"/>
    </row>
    <row r="1290" customHeight="1" spans="21:21">
      <c r="U1290"/>
    </row>
    <row r="1291" customHeight="1" spans="21:21">
      <c r="U1291"/>
    </row>
    <row r="1292" customHeight="1" spans="21:21">
      <c r="U1292"/>
    </row>
    <row r="1293" customHeight="1" spans="21:21">
      <c r="U1293"/>
    </row>
    <row r="1294" customHeight="1" spans="21:21">
      <c r="U1294"/>
    </row>
    <row r="1295" customHeight="1" spans="21:21">
      <c r="U1295"/>
    </row>
    <row r="1296" customHeight="1" spans="21:21">
      <c r="U1296"/>
    </row>
    <row r="1297" customHeight="1" spans="21:21">
      <c r="U1297"/>
    </row>
    <row r="1298" customHeight="1" spans="21:21">
      <c r="U1298"/>
    </row>
    <row r="1299" customHeight="1" spans="21:21">
      <c r="U1299"/>
    </row>
    <row r="1300" customHeight="1" spans="21:21">
      <c r="U1300"/>
    </row>
    <row r="1301" customHeight="1" spans="21:21">
      <c r="U1301"/>
    </row>
    <row r="1302" customHeight="1" spans="21:21">
      <c r="U1302"/>
    </row>
    <row r="1303" customHeight="1" spans="21:21">
      <c r="U1303"/>
    </row>
    <row r="1304" customHeight="1" spans="21:21">
      <c r="U1304"/>
    </row>
    <row r="1305" customHeight="1" spans="21:21">
      <c r="U1305"/>
    </row>
    <row r="1306" customHeight="1" spans="21:21">
      <c r="U1306"/>
    </row>
    <row r="1307" customHeight="1" spans="21:21">
      <c r="U1307"/>
    </row>
    <row r="1308" customHeight="1" spans="21:21">
      <c r="U1308"/>
    </row>
    <row r="1309" customHeight="1" spans="21:21">
      <c r="U1309"/>
    </row>
    <row r="1310" customHeight="1" spans="21:21">
      <c r="U1310"/>
    </row>
    <row r="1311" customHeight="1" spans="21:21">
      <c r="U1311"/>
    </row>
    <row r="1312" customHeight="1" spans="21:21">
      <c r="U1312"/>
    </row>
    <row r="1313" customHeight="1" spans="21:21">
      <c r="U1313"/>
    </row>
    <row r="1314" customHeight="1" spans="21:21">
      <c r="U1314"/>
    </row>
    <row r="1315" customHeight="1" spans="21:21">
      <c r="U1315"/>
    </row>
    <row r="1316" customHeight="1" spans="21:21">
      <c r="U1316"/>
    </row>
    <row r="1317" customHeight="1" spans="21:21">
      <c r="U1317"/>
    </row>
    <row r="1318" customHeight="1" spans="21:21">
      <c r="U1318"/>
    </row>
    <row r="1319" customHeight="1" spans="21:21">
      <c r="U1319"/>
    </row>
    <row r="1320" customHeight="1" spans="21:21">
      <c r="U1320"/>
    </row>
    <row r="1321" customHeight="1" spans="21:21">
      <c r="U1321"/>
    </row>
    <row r="1322" customHeight="1" spans="21:21">
      <c r="U1322"/>
    </row>
    <row r="1323" customHeight="1" spans="21:21">
      <c r="U1323"/>
    </row>
    <row r="1324" customHeight="1" spans="21:21">
      <c r="U1324"/>
    </row>
    <row r="1325" customHeight="1" spans="21:21">
      <c r="U1325"/>
    </row>
    <row r="1326" customHeight="1" spans="21:21">
      <c r="U1326"/>
    </row>
    <row r="1327" customHeight="1" spans="21:21">
      <c r="U1327"/>
    </row>
    <row r="1328" customHeight="1" spans="21:21">
      <c r="U1328"/>
    </row>
    <row r="1329" customHeight="1" spans="21:21">
      <c r="U1329"/>
    </row>
    <row r="1330" customHeight="1" spans="21:21">
      <c r="U1330"/>
    </row>
    <row r="1331" customHeight="1" spans="21:21">
      <c r="U1331"/>
    </row>
    <row r="1332" customHeight="1" spans="21:21">
      <c r="U1332"/>
    </row>
    <row r="1333" customHeight="1" spans="21:21">
      <c r="U1333"/>
    </row>
    <row r="1334" customHeight="1" spans="21:21">
      <c r="U1334"/>
    </row>
    <row r="1335" customHeight="1" spans="21:21">
      <c r="U1335"/>
    </row>
    <row r="1336" customHeight="1" spans="21:21">
      <c r="U1336"/>
    </row>
    <row r="1337" customHeight="1" spans="21:21">
      <c r="U1337"/>
    </row>
    <row r="1338" customHeight="1" spans="21:21">
      <c r="U1338"/>
    </row>
    <row r="1339" customHeight="1" spans="21:21">
      <c r="U1339"/>
    </row>
    <row r="1340" customHeight="1" spans="21:21">
      <c r="U1340"/>
    </row>
    <row r="1341" customHeight="1" spans="21:21">
      <c r="U1341"/>
    </row>
    <row r="1342" customHeight="1" spans="21:21">
      <c r="U1342"/>
    </row>
    <row r="1343" customHeight="1" spans="21:21">
      <c r="U1343"/>
    </row>
    <row r="1344" customHeight="1" spans="21:21">
      <c r="U1344"/>
    </row>
    <row r="1345" customHeight="1" spans="21:21">
      <c r="U1345"/>
    </row>
    <row r="1346" customHeight="1" spans="21:21">
      <c r="U1346"/>
    </row>
    <row r="1347" customHeight="1" spans="21:21">
      <c r="U1347"/>
    </row>
    <row r="1348" customHeight="1" spans="21:21">
      <c r="U1348"/>
    </row>
    <row r="1349" customHeight="1" spans="21:21">
      <c r="U1349"/>
    </row>
    <row r="1350" customHeight="1" spans="21:21">
      <c r="U1350"/>
    </row>
    <row r="1351" customHeight="1" spans="21:21">
      <c r="U1351"/>
    </row>
    <row r="1352" customHeight="1" spans="21:21">
      <c r="U1352"/>
    </row>
    <row r="1353" customHeight="1" spans="21:21">
      <c r="U1353"/>
    </row>
    <row r="1354" customHeight="1" spans="21:21">
      <c r="U1354"/>
    </row>
    <row r="1355" customHeight="1" spans="21:21">
      <c r="U1355"/>
    </row>
    <row r="1356" customHeight="1" spans="21:21">
      <c r="U1356"/>
    </row>
    <row r="1357" customHeight="1" spans="21:21">
      <c r="U1357"/>
    </row>
    <row r="1358" customHeight="1" spans="21:21">
      <c r="U1358"/>
    </row>
    <row r="1359" customHeight="1" spans="21:21">
      <c r="U1359"/>
    </row>
    <row r="1360" customHeight="1" spans="21:21">
      <c r="U1360"/>
    </row>
    <row r="1361" customHeight="1" spans="21:21">
      <c r="U1361"/>
    </row>
    <row r="1362" customHeight="1" spans="21:21">
      <c r="U1362"/>
    </row>
    <row r="1363" customHeight="1" spans="21:21">
      <c r="U1363"/>
    </row>
    <row r="1364" customHeight="1" spans="21:21">
      <c r="U1364"/>
    </row>
    <row r="1365" customHeight="1" spans="21:21">
      <c r="U1365"/>
    </row>
    <row r="1366" customHeight="1" spans="21:21">
      <c r="U1366"/>
    </row>
    <row r="1367" customHeight="1" spans="21:21">
      <c r="U1367"/>
    </row>
    <row r="1368" customHeight="1" spans="21:21">
      <c r="U1368"/>
    </row>
    <row r="1369" customHeight="1" spans="21:21">
      <c r="U1369"/>
    </row>
    <row r="1370" customHeight="1" spans="21:21">
      <c r="U1370"/>
    </row>
    <row r="1371" customHeight="1" spans="21:21">
      <c r="U1371"/>
    </row>
    <row r="1372" customHeight="1" spans="21:21">
      <c r="U1372"/>
    </row>
    <row r="1373" customHeight="1" spans="21:21">
      <c r="U1373"/>
    </row>
    <row r="1374" customHeight="1" spans="21:21">
      <c r="U1374"/>
    </row>
    <row r="1375" customHeight="1" spans="21:21">
      <c r="U1375"/>
    </row>
    <row r="1376" customHeight="1" spans="21:21">
      <c r="U1376"/>
    </row>
    <row r="1377" customHeight="1" spans="21:21">
      <c r="U1377"/>
    </row>
    <row r="1378" customHeight="1" spans="21:21">
      <c r="U1378"/>
    </row>
    <row r="1379" customHeight="1" spans="21:21">
      <c r="U1379"/>
    </row>
    <row r="1380" customHeight="1" spans="21:21">
      <c r="U1380"/>
    </row>
    <row r="1381" customHeight="1" spans="21:21">
      <c r="U1381"/>
    </row>
    <row r="1382" customHeight="1" spans="21:21">
      <c r="U1382"/>
    </row>
    <row r="1383" customHeight="1" spans="21:21">
      <c r="U1383"/>
    </row>
    <row r="1384" customHeight="1" spans="21:21">
      <c r="U1384"/>
    </row>
    <row r="1385" customHeight="1" spans="21:21">
      <c r="U1385"/>
    </row>
    <row r="1386" customHeight="1" spans="21:21">
      <c r="U1386"/>
    </row>
    <row r="1387" customHeight="1" spans="21:21">
      <c r="U1387"/>
    </row>
    <row r="1388" customHeight="1" spans="21:21">
      <c r="U1388"/>
    </row>
    <row r="1389" customHeight="1" spans="21:21">
      <c r="U1389"/>
    </row>
    <row r="1390" customHeight="1" spans="21:21">
      <c r="U1390"/>
    </row>
    <row r="1391" customHeight="1" spans="21:21">
      <c r="U1391"/>
    </row>
    <row r="1392" customHeight="1" spans="21:21">
      <c r="U1392"/>
    </row>
    <row r="1393" customHeight="1" spans="21:21">
      <c r="U1393"/>
    </row>
    <row r="1394" customHeight="1" spans="21:21">
      <c r="U1394"/>
    </row>
    <row r="1395" customHeight="1" spans="21:21">
      <c r="U1395"/>
    </row>
    <row r="1396" customHeight="1" spans="21:21">
      <c r="U1396"/>
    </row>
    <row r="1397" customHeight="1" spans="21:21">
      <c r="U1397"/>
    </row>
    <row r="1398" customHeight="1" spans="21:21">
      <c r="U1398"/>
    </row>
    <row r="1399" customHeight="1" spans="21:21">
      <c r="U1399"/>
    </row>
    <row r="1400" customHeight="1" spans="21:21">
      <c r="U1400"/>
    </row>
    <row r="1401" customHeight="1" spans="21:21">
      <c r="U1401"/>
    </row>
    <row r="1402" customHeight="1" spans="21:21">
      <c r="U1402"/>
    </row>
    <row r="1403" customHeight="1" spans="21:21">
      <c r="U1403"/>
    </row>
    <row r="1404" customHeight="1" spans="21:21">
      <c r="U1404"/>
    </row>
    <row r="1405" customHeight="1" spans="21:21">
      <c r="U1405"/>
    </row>
    <row r="1406" customHeight="1" spans="21:21">
      <c r="U1406"/>
    </row>
    <row r="1407" customHeight="1" spans="21:21">
      <c r="U1407"/>
    </row>
    <row r="1408" customHeight="1" spans="21:21">
      <c r="U1408"/>
    </row>
    <row r="1409" customHeight="1" spans="21:21">
      <c r="U1409"/>
    </row>
    <row r="1410" customHeight="1" spans="21:21">
      <c r="U1410"/>
    </row>
    <row r="1411" customHeight="1" spans="21:21">
      <c r="U1411"/>
    </row>
    <row r="1412" customHeight="1" spans="21:21">
      <c r="U1412"/>
    </row>
    <row r="1413" customHeight="1" spans="21:21">
      <c r="U1413"/>
    </row>
    <row r="1414" customHeight="1" spans="21:21">
      <c r="U1414"/>
    </row>
    <row r="1415" customHeight="1" spans="21:21">
      <c r="U1415"/>
    </row>
    <row r="1416" customHeight="1" spans="21:21">
      <c r="U1416"/>
    </row>
    <row r="1417" customHeight="1" spans="21:21">
      <c r="U1417"/>
    </row>
    <row r="1418" customHeight="1" spans="21:21">
      <c r="U1418"/>
    </row>
    <row r="1419" customHeight="1" spans="21:21">
      <c r="U1419"/>
    </row>
    <row r="1420" customHeight="1" spans="21:21">
      <c r="U1420"/>
    </row>
    <row r="1421" customHeight="1" spans="21:21">
      <c r="U1421"/>
    </row>
    <row r="1422" customHeight="1" spans="21:21">
      <c r="U1422"/>
    </row>
    <row r="1423" customHeight="1" spans="21:21">
      <c r="U1423"/>
    </row>
    <row r="1424" customHeight="1" spans="21:21">
      <c r="U1424"/>
    </row>
    <row r="1425" customHeight="1" spans="21:21">
      <c r="U1425"/>
    </row>
    <row r="1426" customHeight="1" spans="21:21">
      <c r="U1426"/>
    </row>
    <row r="1427" customHeight="1" spans="21:21">
      <c r="U1427"/>
    </row>
    <row r="1428" customHeight="1" spans="21:21">
      <c r="U1428"/>
    </row>
    <row r="1429" customHeight="1" spans="21:21">
      <c r="U1429"/>
    </row>
    <row r="1430" customHeight="1" spans="21:21">
      <c r="U1430"/>
    </row>
    <row r="1431" customHeight="1" spans="21:21">
      <c r="U1431"/>
    </row>
    <row r="1432" customHeight="1" spans="21:21">
      <c r="U1432"/>
    </row>
    <row r="1433" customHeight="1" spans="21:21">
      <c r="U1433"/>
    </row>
    <row r="1434" customHeight="1" spans="21:21">
      <c r="U1434"/>
    </row>
    <row r="1435" customHeight="1" spans="21:21">
      <c r="U1435"/>
    </row>
    <row r="1436" customHeight="1" spans="21:21">
      <c r="U1436"/>
    </row>
    <row r="1437" customHeight="1" spans="21:21">
      <c r="U1437"/>
    </row>
    <row r="1438" customHeight="1" spans="21:21">
      <c r="U1438"/>
    </row>
    <row r="1439" customHeight="1" spans="21:21">
      <c r="U1439"/>
    </row>
    <row r="1440" customHeight="1" spans="21:21">
      <c r="U1440"/>
    </row>
    <row r="1441" customHeight="1" spans="21:21">
      <c r="U1441"/>
    </row>
    <row r="1442" customHeight="1" spans="21:21">
      <c r="U1442"/>
    </row>
    <row r="1443" customHeight="1" spans="21:21">
      <c r="U1443"/>
    </row>
    <row r="1444" customHeight="1" spans="21:21">
      <c r="U1444"/>
    </row>
    <row r="1445" customHeight="1" spans="21:21">
      <c r="U1445"/>
    </row>
    <row r="1446" customHeight="1" spans="21:21">
      <c r="U1446"/>
    </row>
    <row r="1447" customHeight="1" spans="21:21">
      <c r="U1447"/>
    </row>
    <row r="1448" customHeight="1" spans="21:21">
      <c r="U1448"/>
    </row>
    <row r="1449" customHeight="1" spans="21:21">
      <c r="U1449"/>
    </row>
    <row r="1450" customHeight="1" spans="21:21">
      <c r="U1450"/>
    </row>
    <row r="1451" customHeight="1" spans="21:21">
      <c r="U1451"/>
    </row>
    <row r="1452" customHeight="1" spans="21:21">
      <c r="U1452"/>
    </row>
    <row r="1453" customHeight="1" spans="21:21">
      <c r="U1453"/>
    </row>
    <row r="1454" customHeight="1" spans="21:21">
      <c r="U1454"/>
    </row>
    <row r="1455" customHeight="1" spans="21:21">
      <c r="U1455"/>
    </row>
    <row r="1456" customHeight="1" spans="21:21">
      <c r="U1456"/>
    </row>
    <row r="1457" customHeight="1" spans="21:21">
      <c r="U1457"/>
    </row>
    <row r="1458" customHeight="1" spans="21:21">
      <c r="U1458"/>
    </row>
    <row r="1459" customHeight="1" spans="21:21">
      <c r="U1459"/>
    </row>
    <row r="1460" customHeight="1" spans="21:21">
      <c r="U1460"/>
    </row>
    <row r="1461" customHeight="1" spans="21:21">
      <c r="U1461"/>
    </row>
    <row r="1462" customHeight="1" spans="21:21">
      <c r="U1462"/>
    </row>
    <row r="1463" customHeight="1" spans="21:21">
      <c r="U1463"/>
    </row>
    <row r="1464" customHeight="1" spans="21:21">
      <c r="U1464"/>
    </row>
    <row r="1465" customHeight="1" spans="21:21">
      <c r="U1465"/>
    </row>
    <row r="1466" customHeight="1" spans="21:21">
      <c r="U1466"/>
    </row>
    <row r="1467" customHeight="1" spans="21:21">
      <c r="U1467"/>
    </row>
    <row r="1468" customHeight="1" spans="21:21">
      <c r="U1468"/>
    </row>
    <row r="1469" customHeight="1" spans="21:21">
      <c r="U1469"/>
    </row>
    <row r="1470" customHeight="1" spans="21:21">
      <c r="U1470"/>
    </row>
    <row r="1471" customHeight="1" spans="21:21">
      <c r="U1471"/>
    </row>
    <row r="1472" customHeight="1" spans="21:21">
      <c r="U1472"/>
    </row>
    <row r="1473" customHeight="1" spans="21:21">
      <c r="U1473"/>
    </row>
    <row r="1474" customHeight="1" spans="21:21">
      <c r="U1474"/>
    </row>
    <row r="1475" customHeight="1" spans="21:21">
      <c r="U1475"/>
    </row>
    <row r="1476" customHeight="1" spans="21:21">
      <c r="U1476"/>
    </row>
    <row r="1477" customHeight="1" spans="21:21">
      <c r="U1477"/>
    </row>
    <row r="1478" customHeight="1" spans="21:21">
      <c r="U1478"/>
    </row>
    <row r="1479" customHeight="1" spans="21:21">
      <c r="U1479"/>
    </row>
    <row r="1480" customHeight="1" spans="21:21">
      <c r="U1480"/>
    </row>
    <row r="1481" customHeight="1" spans="21:21">
      <c r="U1481"/>
    </row>
    <row r="1482" customHeight="1" spans="21:21">
      <c r="U1482"/>
    </row>
    <row r="1483" customHeight="1" spans="21:21">
      <c r="U1483"/>
    </row>
    <row r="1484" customHeight="1" spans="21:21">
      <c r="U1484"/>
    </row>
    <row r="1485" customHeight="1" spans="21:21">
      <c r="U1485"/>
    </row>
    <row r="1486" customHeight="1" spans="21:21">
      <c r="U1486"/>
    </row>
    <row r="1487" customHeight="1" spans="21:21">
      <c r="U1487"/>
    </row>
    <row r="1488" customHeight="1" spans="21:21">
      <c r="U1488"/>
    </row>
    <row r="1489" customHeight="1" spans="21:21">
      <c r="U1489"/>
    </row>
    <row r="1490" customHeight="1" spans="21:21">
      <c r="U1490"/>
    </row>
    <row r="1491" customHeight="1" spans="21:21">
      <c r="U1491"/>
    </row>
    <row r="1492" customHeight="1" spans="21:21">
      <c r="U1492"/>
    </row>
    <row r="1493" customHeight="1" spans="21:21">
      <c r="U1493"/>
    </row>
    <row r="1494" customHeight="1" spans="21:21">
      <c r="U1494"/>
    </row>
    <row r="1495" customHeight="1" spans="21:21">
      <c r="U1495"/>
    </row>
    <row r="1496" customHeight="1" spans="21:21">
      <c r="U1496"/>
    </row>
    <row r="1497" customHeight="1" spans="21:21">
      <c r="U1497"/>
    </row>
    <row r="1498" customHeight="1" spans="21:21">
      <c r="U1498"/>
    </row>
    <row r="1499" customHeight="1" spans="21:21">
      <c r="U1499"/>
    </row>
    <row r="1500" customHeight="1" spans="21:21">
      <c r="U1500"/>
    </row>
    <row r="1501" customHeight="1" spans="21:21">
      <c r="U1501"/>
    </row>
    <row r="1502" customHeight="1" spans="21:21">
      <c r="U1502"/>
    </row>
    <row r="1503" customHeight="1" spans="21:21">
      <c r="U1503"/>
    </row>
    <row r="1504" customHeight="1" spans="21:21">
      <c r="U1504"/>
    </row>
    <row r="1505" customHeight="1" spans="21:21">
      <c r="U1505"/>
    </row>
    <row r="1506" customHeight="1" spans="21:21">
      <c r="U1506"/>
    </row>
    <row r="1507" customHeight="1" spans="21:21">
      <c r="U1507"/>
    </row>
    <row r="1508" customHeight="1" spans="21:21">
      <c r="U1508"/>
    </row>
    <row r="1509" customHeight="1" spans="21:21">
      <c r="U1509"/>
    </row>
    <row r="1510" customHeight="1" spans="21:21">
      <c r="U1510"/>
    </row>
    <row r="1511" customHeight="1" spans="21:21">
      <c r="U1511"/>
    </row>
    <row r="1512" customHeight="1" spans="21:21">
      <c r="U1512"/>
    </row>
    <row r="1513" customHeight="1" spans="21:21">
      <c r="U1513"/>
    </row>
    <row r="1514" customHeight="1" spans="21:21">
      <c r="U1514"/>
    </row>
    <row r="1515" customHeight="1" spans="21:21">
      <c r="U1515"/>
    </row>
    <row r="1516" customHeight="1" spans="21:21">
      <c r="U1516"/>
    </row>
    <row r="1517" customHeight="1" spans="21:21">
      <c r="U1517"/>
    </row>
    <row r="1518" customHeight="1" spans="21:21">
      <c r="U1518"/>
    </row>
    <row r="1519" customHeight="1" spans="21:21">
      <c r="U1519"/>
    </row>
    <row r="1520" customHeight="1" spans="21:21">
      <c r="U1520"/>
    </row>
    <row r="1521" customHeight="1" spans="21:21">
      <c r="U1521"/>
    </row>
    <row r="1522" customHeight="1" spans="21:21">
      <c r="U1522"/>
    </row>
    <row r="1523" customHeight="1" spans="21:21">
      <c r="U1523"/>
    </row>
    <row r="1524" customHeight="1" spans="21:21">
      <c r="U1524"/>
    </row>
    <row r="1525" customHeight="1" spans="21:21">
      <c r="U1525"/>
    </row>
    <row r="1526" customHeight="1" spans="21:21">
      <c r="U1526"/>
    </row>
    <row r="1527" customHeight="1" spans="21:21">
      <c r="U1527"/>
    </row>
    <row r="1528" customHeight="1" spans="21:21">
      <c r="U1528"/>
    </row>
    <row r="1529" customHeight="1" spans="21:21">
      <c r="U1529"/>
    </row>
    <row r="1530" customHeight="1" spans="21:21">
      <c r="U1530"/>
    </row>
    <row r="1531" customHeight="1" spans="21:21">
      <c r="U1531"/>
    </row>
    <row r="1532" customHeight="1" spans="21:21">
      <c r="U1532"/>
    </row>
    <row r="1533" customHeight="1" spans="21:21">
      <c r="U1533"/>
    </row>
    <row r="1534" customHeight="1" spans="21:21">
      <c r="U1534"/>
    </row>
    <row r="1535" customHeight="1" spans="21:21">
      <c r="U1535"/>
    </row>
    <row r="1536" customHeight="1" spans="21:21">
      <c r="U1536"/>
    </row>
    <row r="1537" customHeight="1" spans="21:21">
      <c r="U1537"/>
    </row>
    <row r="1538" customHeight="1" spans="21:21">
      <c r="U1538"/>
    </row>
    <row r="1539" customHeight="1" spans="21:21">
      <c r="U1539"/>
    </row>
    <row r="1540" customHeight="1" spans="21:21">
      <c r="U1540"/>
    </row>
    <row r="1541" customHeight="1" spans="21:21">
      <c r="U1541"/>
    </row>
    <row r="1542" customHeight="1" spans="21:21">
      <c r="U1542"/>
    </row>
    <row r="1543" customHeight="1" spans="21:21">
      <c r="U1543"/>
    </row>
    <row r="1544" customHeight="1" spans="21:21">
      <c r="U1544"/>
    </row>
    <row r="1545" customHeight="1" spans="21:21">
      <c r="U1545"/>
    </row>
    <row r="1546" customHeight="1" spans="21:21">
      <c r="U1546"/>
    </row>
    <row r="1547" customHeight="1" spans="21:21">
      <c r="U1547"/>
    </row>
    <row r="1548" customHeight="1" spans="21:21">
      <c r="U1548"/>
    </row>
    <row r="1549" customHeight="1" spans="21:21">
      <c r="U1549"/>
    </row>
    <row r="1550" customHeight="1" spans="21:21">
      <c r="U1550"/>
    </row>
    <row r="1551" customHeight="1" spans="21:21">
      <c r="U1551"/>
    </row>
    <row r="1552" customHeight="1" spans="21:21">
      <c r="U1552"/>
    </row>
    <row r="1553" customHeight="1" spans="21:21">
      <c r="U1553"/>
    </row>
    <row r="1554" customHeight="1" spans="21:21">
      <c r="U1554"/>
    </row>
    <row r="1555" customHeight="1" spans="21:21">
      <c r="U1555"/>
    </row>
    <row r="1556" customHeight="1" spans="21:21">
      <c r="U1556"/>
    </row>
    <row r="1557" customHeight="1" spans="21:21">
      <c r="U1557"/>
    </row>
    <row r="1558" customHeight="1" spans="21:21">
      <c r="U1558"/>
    </row>
    <row r="1559" customHeight="1" spans="21:21">
      <c r="U1559"/>
    </row>
    <row r="1560" customHeight="1" spans="21:21">
      <c r="U1560"/>
    </row>
    <row r="1561" customHeight="1" spans="21:21">
      <c r="U1561"/>
    </row>
    <row r="1562" customHeight="1" spans="21:21">
      <c r="U1562"/>
    </row>
    <row r="1563" customHeight="1" spans="21:21">
      <c r="U1563"/>
    </row>
    <row r="1564" customHeight="1" spans="21:21">
      <c r="U1564"/>
    </row>
    <row r="1565" customHeight="1" spans="21:21">
      <c r="U1565"/>
    </row>
    <row r="1566" customHeight="1" spans="21:21">
      <c r="U1566"/>
    </row>
    <row r="1567" customHeight="1" spans="21:21">
      <c r="U1567"/>
    </row>
    <row r="1568" customHeight="1" spans="21:21">
      <c r="U1568"/>
    </row>
    <row r="1569" customHeight="1" spans="21:21">
      <c r="U1569"/>
    </row>
    <row r="1570" customHeight="1" spans="21:21">
      <c r="U1570"/>
    </row>
    <row r="1571" customHeight="1" spans="21:21">
      <c r="U1571"/>
    </row>
    <row r="1572" customHeight="1" spans="21:21">
      <c r="U1572"/>
    </row>
    <row r="1573" customHeight="1" spans="21:21">
      <c r="U1573"/>
    </row>
    <row r="1574" customHeight="1" spans="21:21">
      <c r="U1574"/>
    </row>
    <row r="1575" customHeight="1" spans="21:21">
      <c r="U1575"/>
    </row>
    <row r="1576" customHeight="1" spans="21:21">
      <c r="U1576"/>
    </row>
    <row r="1577" customHeight="1" spans="21:21">
      <c r="U1577"/>
    </row>
    <row r="1578" customHeight="1" spans="21:21">
      <c r="U1578"/>
    </row>
    <row r="1579" customHeight="1" spans="21:21">
      <c r="U1579"/>
    </row>
    <row r="1580" customHeight="1" spans="21:21">
      <c r="U1580"/>
    </row>
    <row r="1581" customHeight="1" spans="21:21">
      <c r="U1581"/>
    </row>
    <row r="1582" customHeight="1" spans="21:21">
      <c r="U1582"/>
    </row>
    <row r="1583" customHeight="1" spans="21:21">
      <c r="U1583"/>
    </row>
    <row r="1584" customHeight="1" spans="21:21">
      <c r="U1584"/>
    </row>
    <row r="1585" customHeight="1" spans="21:21">
      <c r="U1585"/>
    </row>
    <row r="1586" customHeight="1" spans="21:21">
      <c r="U1586"/>
    </row>
    <row r="1587" customHeight="1" spans="21:21">
      <c r="U1587"/>
    </row>
    <row r="1588" customHeight="1" spans="21:21">
      <c r="U1588"/>
    </row>
    <row r="1589" customHeight="1" spans="21:21">
      <c r="U1589"/>
    </row>
    <row r="1590" customHeight="1" spans="21:21">
      <c r="U1590"/>
    </row>
    <row r="1591" customHeight="1" spans="21:21">
      <c r="U1591"/>
    </row>
    <row r="1592" customHeight="1" spans="21:21">
      <c r="U1592"/>
    </row>
    <row r="1593" customHeight="1" spans="21:21">
      <c r="U1593"/>
    </row>
    <row r="1594" customHeight="1" spans="21:21">
      <c r="U1594"/>
    </row>
    <row r="1595" customHeight="1" spans="21:21">
      <c r="U1595"/>
    </row>
    <row r="1596" customHeight="1" spans="21:21">
      <c r="U1596"/>
    </row>
    <row r="1597" customHeight="1" spans="21:21">
      <c r="U1597"/>
    </row>
    <row r="1598" customHeight="1" spans="21:21">
      <c r="U1598"/>
    </row>
    <row r="1599" customHeight="1" spans="21:21">
      <c r="U1599"/>
    </row>
    <row r="1600" customHeight="1" spans="21:21">
      <c r="U1600"/>
    </row>
    <row r="1601" customHeight="1" spans="21:21">
      <c r="U1601"/>
    </row>
    <row r="1602" customHeight="1" spans="21:21">
      <c r="U1602"/>
    </row>
    <row r="1603" customHeight="1" spans="21:21">
      <c r="U1603"/>
    </row>
    <row r="1604" customHeight="1" spans="21:21">
      <c r="U1604"/>
    </row>
    <row r="1605" customHeight="1" spans="21:21">
      <c r="U1605"/>
    </row>
    <row r="1606" customHeight="1" spans="21:21">
      <c r="U1606"/>
    </row>
    <row r="1607" customHeight="1" spans="21:21">
      <c r="U1607"/>
    </row>
    <row r="1608" customHeight="1" spans="21:21">
      <c r="U1608"/>
    </row>
    <row r="1609" customHeight="1" spans="21:21">
      <c r="U1609"/>
    </row>
    <row r="1610" customHeight="1" spans="21:21">
      <c r="U1610"/>
    </row>
    <row r="1611" customHeight="1" spans="21:21">
      <c r="U1611"/>
    </row>
    <row r="1612" customHeight="1" spans="21:21">
      <c r="U1612"/>
    </row>
    <row r="1613" customHeight="1" spans="21:21">
      <c r="U1613"/>
    </row>
    <row r="1614" customHeight="1" spans="21:21">
      <c r="U1614"/>
    </row>
    <row r="1615" customHeight="1" spans="21:21">
      <c r="U1615"/>
    </row>
    <row r="1616" customHeight="1" spans="21:21">
      <c r="U1616"/>
    </row>
    <row r="1617" customHeight="1" spans="21:21">
      <c r="U1617"/>
    </row>
    <row r="1618" customHeight="1" spans="21:21">
      <c r="U1618"/>
    </row>
    <row r="1619" customHeight="1" spans="21:21">
      <c r="U1619"/>
    </row>
    <row r="1620" customHeight="1" spans="21:21">
      <c r="U1620"/>
    </row>
    <row r="1621" customHeight="1" spans="21:21">
      <c r="U1621"/>
    </row>
    <row r="1622" customHeight="1" spans="21:21">
      <c r="U1622"/>
    </row>
    <row r="1623" customHeight="1" spans="21:21">
      <c r="U1623"/>
    </row>
    <row r="1624" customHeight="1" spans="21:21">
      <c r="U1624"/>
    </row>
    <row r="1625" customHeight="1" spans="21:21">
      <c r="U1625"/>
    </row>
    <row r="1626" customHeight="1" spans="21:21">
      <c r="U1626"/>
    </row>
    <row r="1627" customHeight="1" spans="21:21">
      <c r="U1627"/>
    </row>
    <row r="1628" customHeight="1" spans="21:21">
      <c r="U1628"/>
    </row>
    <row r="1629" customHeight="1" spans="21:21">
      <c r="U1629"/>
    </row>
    <row r="1630" customHeight="1" spans="21:21">
      <c r="U1630"/>
    </row>
    <row r="1631" customHeight="1" spans="21:21">
      <c r="U1631"/>
    </row>
    <row r="1632" customHeight="1" spans="21:21">
      <c r="U1632"/>
    </row>
    <row r="1633" customHeight="1" spans="21:21">
      <c r="U1633"/>
    </row>
    <row r="1634" customHeight="1" spans="21:21">
      <c r="U1634"/>
    </row>
    <row r="1635" customHeight="1" spans="21:21">
      <c r="U1635"/>
    </row>
    <row r="1636" customHeight="1" spans="21:21">
      <c r="U1636"/>
    </row>
    <row r="1637" customHeight="1" spans="21:21">
      <c r="U1637"/>
    </row>
    <row r="1638" customHeight="1" spans="21:21">
      <c r="U1638"/>
    </row>
    <row r="1639" customHeight="1" spans="21:21">
      <c r="U1639"/>
    </row>
    <row r="1640" customHeight="1" spans="21:21">
      <c r="U1640"/>
    </row>
    <row r="1641" customHeight="1" spans="21:21">
      <c r="U1641"/>
    </row>
    <row r="1642" customHeight="1" spans="21:21">
      <c r="U1642"/>
    </row>
    <row r="1643" customHeight="1" spans="21:21">
      <c r="U1643"/>
    </row>
    <row r="1644" customHeight="1" spans="21:21">
      <c r="U1644"/>
    </row>
    <row r="1645" customHeight="1" spans="21:21">
      <c r="U1645"/>
    </row>
    <row r="1646" customHeight="1" spans="21:21">
      <c r="U1646"/>
    </row>
    <row r="1647" customHeight="1" spans="21:21">
      <c r="U1647"/>
    </row>
    <row r="1648" customHeight="1" spans="21:21">
      <c r="U1648"/>
    </row>
    <row r="1649" customHeight="1" spans="21:21">
      <c r="U1649"/>
    </row>
    <row r="1650" customHeight="1" spans="21:21">
      <c r="U1650"/>
    </row>
    <row r="1651" customHeight="1" spans="21:21">
      <c r="U1651"/>
    </row>
    <row r="1652" customHeight="1" spans="21:21">
      <c r="U1652"/>
    </row>
    <row r="1653" customHeight="1" spans="21:21">
      <c r="U1653"/>
    </row>
    <row r="1654" customHeight="1" spans="21:21">
      <c r="U1654"/>
    </row>
    <row r="1655" customHeight="1" spans="21:21">
      <c r="U1655"/>
    </row>
    <row r="1656" customHeight="1" spans="21:21">
      <c r="U1656"/>
    </row>
    <row r="1657" customHeight="1" spans="21:21">
      <c r="U1657"/>
    </row>
    <row r="1658" customHeight="1" spans="21:21">
      <c r="U1658"/>
    </row>
    <row r="1659" customHeight="1" spans="21:21">
      <c r="U1659"/>
    </row>
    <row r="1660" customHeight="1" spans="21:21">
      <c r="U1660"/>
    </row>
    <row r="1661" customHeight="1" spans="21:21">
      <c r="U1661"/>
    </row>
    <row r="1662" customHeight="1" spans="21:21">
      <c r="U1662"/>
    </row>
    <row r="1663" customHeight="1" spans="21:21">
      <c r="U1663"/>
    </row>
    <row r="1664" customHeight="1" spans="21:21">
      <c r="U1664"/>
    </row>
    <row r="1665" customHeight="1" spans="21:21">
      <c r="U1665"/>
    </row>
    <row r="1666" customHeight="1" spans="21:21">
      <c r="U1666"/>
    </row>
    <row r="1667" customHeight="1" spans="21:21">
      <c r="U1667"/>
    </row>
    <row r="1668" customHeight="1" spans="21:21">
      <c r="U1668"/>
    </row>
    <row r="1669" customHeight="1" spans="21:21">
      <c r="U1669"/>
    </row>
    <row r="1670" customHeight="1" spans="21:21">
      <c r="U1670"/>
    </row>
    <row r="1671" customHeight="1" spans="21:21">
      <c r="U1671"/>
    </row>
    <row r="1672" customHeight="1" spans="21:21">
      <c r="U1672"/>
    </row>
    <row r="1673" customHeight="1" spans="21:21">
      <c r="U1673"/>
    </row>
    <row r="1674" customHeight="1" spans="21:21">
      <c r="U1674"/>
    </row>
    <row r="1675" customHeight="1" spans="21:21">
      <c r="U1675"/>
    </row>
    <row r="1676" customHeight="1" spans="21:21">
      <c r="U1676"/>
    </row>
    <row r="1677" customHeight="1" spans="21:21">
      <c r="U1677"/>
    </row>
    <row r="1678" customHeight="1" spans="21:21">
      <c r="U1678"/>
    </row>
    <row r="1679" customHeight="1" spans="21:21">
      <c r="U1679"/>
    </row>
    <row r="1680" customHeight="1" spans="21:21">
      <c r="U1680"/>
    </row>
    <row r="1681" customHeight="1" spans="21:21">
      <c r="U1681"/>
    </row>
    <row r="1682" customHeight="1" spans="21:21">
      <c r="U1682"/>
    </row>
    <row r="1683" customHeight="1" spans="21:21">
      <c r="U1683"/>
    </row>
    <row r="1684" customHeight="1" spans="21:21">
      <c r="U1684"/>
    </row>
    <row r="1685" customHeight="1" spans="21:21">
      <c r="U1685"/>
    </row>
    <row r="1686" customHeight="1" spans="21:21">
      <c r="U1686"/>
    </row>
    <row r="1687" customHeight="1" spans="21:21">
      <c r="U1687"/>
    </row>
    <row r="1688" customHeight="1" spans="21:21">
      <c r="U1688"/>
    </row>
    <row r="1689" customHeight="1" spans="21:21">
      <c r="U1689"/>
    </row>
    <row r="1690" customHeight="1" spans="21:21">
      <c r="U1690"/>
    </row>
    <row r="1691" customHeight="1" spans="21:21">
      <c r="U1691"/>
    </row>
    <row r="1692" customHeight="1" spans="21:21">
      <c r="U1692"/>
    </row>
    <row r="1693" customHeight="1" spans="21:21">
      <c r="U1693"/>
    </row>
    <row r="1694" customHeight="1" spans="21:21">
      <c r="U1694"/>
    </row>
    <row r="1695" customHeight="1" spans="21:21">
      <c r="U1695"/>
    </row>
    <row r="1696" customHeight="1" spans="21:21">
      <c r="U1696"/>
    </row>
    <row r="1697" customHeight="1" spans="21:21">
      <c r="U1697"/>
    </row>
    <row r="1698" customHeight="1" spans="21:21">
      <c r="U1698"/>
    </row>
    <row r="1699" customHeight="1" spans="21:21">
      <c r="U1699"/>
    </row>
    <row r="1700" customHeight="1" spans="21:21">
      <c r="U1700"/>
    </row>
    <row r="1701" customHeight="1" spans="21:21">
      <c r="U1701"/>
    </row>
    <row r="1702" customHeight="1" spans="21:21">
      <c r="U1702"/>
    </row>
    <row r="1703" customHeight="1" spans="21:21">
      <c r="U1703"/>
    </row>
    <row r="1704" customHeight="1" spans="21:21">
      <c r="U1704"/>
    </row>
    <row r="1705" customHeight="1" spans="21:21">
      <c r="U1705"/>
    </row>
    <row r="1706" customHeight="1" spans="21:21">
      <c r="U1706"/>
    </row>
    <row r="1707" customHeight="1" spans="21:21">
      <c r="U1707"/>
    </row>
    <row r="1708" customHeight="1" spans="21:21">
      <c r="U1708"/>
    </row>
    <row r="1709" customHeight="1" spans="21:21">
      <c r="U1709"/>
    </row>
    <row r="1710" customHeight="1" spans="21:21">
      <c r="U1710"/>
    </row>
    <row r="1711" customHeight="1" spans="21:21">
      <c r="U1711"/>
    </row>
    <row r="1712" customHeight="1" spans="21:21">
      <c r="U1712"/>
    </row>
    <row r="1713" customHeight="1" spans="21:21">
      <c r="U1713"/>
    </row>
    <row r="1714" customHeight="1" spans="21:21">
      <c r="U1714"/>
    </row>
    <row r="1715" customHeight="1" spans="21:21">
      <c r="U1715"/>
    </row>
    <row r="1716" customHeight="1" spans="21:21">
      <c r="U1716"/>
    </row>
    <row r="1717" customHeight="1" spans="21:21">
      <c r="U1717"/>
    </row>
    <row r="1718" customHeight="1" spans="21:21">
      <c r="U1718"/>
    </row>
    <row r="1719" customHeight="1" spans="21:21">
      <c r="U1719"/>
    </row>
    <row r="1720" customHeight="1" spans="21:21">
      <c r="U1720"/>
    </row>
    <row r="1721" customHeight="1" spans="21:21">
      <c r="U1721"/>
    </row>
    <row r="1722" customHeight="1" spans="21:21">
      <c r="U1722"/>
    </row>
    <row r="1723" customHeight="1" spans="21:21">
      <c r="U1723"/>
    </row>
    <row r="1724" customHeight="1" spans="21:21">
      <c r="U1724"/>
    </row>
    <row r="1725" customHeight="1" spans="21:21">
      <c r="U1725"/>
    </row>
    <row r="1726" customHeight="1" spans="21:21">
      <c r="U1726"/>
    </row>
    <row r="1727" customHeight="1" spans="21:21">
      <c r="U1727"/>
    </row>
    <row r="1728" customHeight="1" spans="21:21">
      <c r="U1728"/>
    </row>
    <row r="1729" customHeight="1" spans="21:21">
      <c r="U1729"/>
    </row>
    <row r="1730" customHeight="1" spans="21:21">
      <c r="U1730"/>
    </row>
    <row r="1731" customHeight="1" spans="21:21">
      <c r="U1731"/>
    </row>
    <row r="1732" customHeight="1" spans="21:21">
      <c r="U1732"/>
    </row>
    <row r="1733" customHeight="1" spans="21:21">
      <c r="U1733"/>
    </row>
    <row r="1734" customHeight="1" spans="21:21">
      <c r="U1734"/>
    </row>
    <row r="1735" customHeight="1" spans="21:21">
      <c r="U1735"/>
    </row>
    <row r="1736" customHeight="1" spans="21:21">
      <c r="U1736"/>
    </row>
    <row r="1737" customHeight="1" spans="21:21">
      <c r="U1737"/>
    </row>
    <row r="1738" customHeight="1" spans="21:21">
      <c r="U1738"/>
    </row>
    <row r="1739" customHeight="1" spans="21:21">
      <c r="U1739"/>
    </row>
    <row r="1740" customHeight="1" spans="21:21">
      <c r="U1740"/>
    </row>
    <row r="1741" customHeight="1" spans="21:21">
      <c r="U1741"/>
    </row>
    <row r="1742" customHeight="1" spans="21:21">
      <c r="U1742"/>
    </row>
    <row r="1743" customHeight="1" spans="21:21">
      <c r="U1743"/>
    </row>
    <row r="1744" customHeight="1" spans="21:21">
      <c r="U1744"/>
    </row>
    <row r="1745" customHeight="1" spans="21:21">
      <c r="U1745"/>
    </row>
    <row r="1746" customHeight="1" spans="21:21">
      <c r="U1746"/>
    </row>
    <row r="1747" customHeight="1" spans="21:21">
      <c r="U1747"/>
    </row>
    <row r="1748" customHeight="1" spans="21:21">
      <c r="U1748"/>
    </row>
    <row r="1749" customHeight="1" spans="21:21">
      <c r="U1749"/>
    </row>
    <row r="1750" customHeight="1" spans="21:21">
      <c r="U1750"/>
    </row>
    <row r="1751" customHeight="1" spans="21:21">
      <c r="U1751"/>
    </row>
    <row r="1752" customHeight="1" spans="21:21">
      <c r="U1752"/>
    </row>
    <row r="1753" customHeight="1" spans="21:21">
      <c r="U1753"/>
    </row>
    <row r="1754" customHeight="1" spans="21:21">
      <c r="U1754"/>
    </row>
    <row r="1755" customHeight="1" spans="21:21">
      <c r="U1755"/>
    </row>
    <row r="1756" customHeight="1" spans="21:21">
      <c r="U1756"/>
    </row>
    <row r="1757" customHeight="1" spans="21:21">
      <c r="U1757"/>
    </row>
    <row r="1758" customHeight="1" spans="21:21">
      <c r="U1758"/>
    </row>
    <row r="1759" customHeight="1" spans="21:21">
      <c r="U1759"/>
    </row>
    <row r="1760" customHeight="1" spans="21:21">
      <c r="U1760"/>
    </row>
    <row r="1761" customHeight="1" spans="21:21">
      <c r="U1761"/>
    </row>
    <row r="1762" customHeight="1" spans="21:21">
      <c r="U1762"/>
    </row>
    <row r="1763" customHeight="1" spans="21:21">
      <c r="U1763"/>
    </row>
    <row r="1764" customHeight="1" spans="21:21">
      <c r="U1764"/>
    </row>
    <row r="1765" customHeight="1" spans="21:21">
      <c r="U1765"/>
    </row>
    <row r="1766" customHeight="1" spans="21:21">
      <c r="U1766"/>
    </row>
    <row r="1767" customHeight="1" spans="21:21">
      <c r="U1767"/>
    </row>
    <row r="1768" customHeight="1" spans="21:21">
      <c r="U1768"/>
    </row>
    <row r="1769" customHeight="1" spans="21:21">
      <c r="U1769"/>
    </row>
    <row r="1770" customHeight="1" spans="21:21">
      <c r="U1770"/>
    </row>
    <row r="1771" customHeight="1" spans="21:21">
      <c r="U1771"/>
    </row>
    <row r="1772" customHeight="1" spans="21:21">
      <c r="U1772"/>
    </row>
    <row r="1773" customHeight="1" spans="21:21">
      <c r="U1773"/>
    </row>
    <row r="1774" customHeight="1" spans="21:21">
      <c r="U1774"/>
    </row>
    <row r="1775" customHeight="1" spans="21:21">
      <c r="U1775"/>
    </row>
    <row r="1776" customHeight="1" spans="21:21">
      <c r="U1776"/>
    </row>
    <row r="1777" customHeight="1" spans="21:21">
      <c r="U1777"/>
    </row>
    <row r="1778" customHeight="1" spans="21:21">
      <c r="U1778"/>
    </row>
    <row r="1779" customHeight="1" spans="21:21">
      <c r="U1779"/>
    </row>
    <row r="1780" customHeight="1" spans="21:21">
      <c r="U1780"/>
    </row>
    <row r="1781" customHeight="1" spans="21:21">
      <c r="U1781"/>
    </row>
    <row r="1782" customHeight="1" spans="21:21">
      <c r="U1782"/>
    </row>
    <row r="1783" customHeight="1" spans="21:21">
      <c r="U1783"/>
    </row>
    <row r="1784" customHeight="1" spans="21:21">
      <c r="U1784"/>
    </row>
    <row r="1785" customHeight="1" spans="21:21">
      <c r="U1785"/>
    </row>
    <row r="1786" customHeight="1" spans="21:21">
      <c r="U1786"/>
    </row>
    <row r="1787" customHeight="1" spans="21:21">
      <c r="U1787"/>
    </row>
    <row r="1788" customHeight="1" spans="21:21">
      <c r="U1788"/>
    </row>
    <row r="1789" customHeight="1" spans="21:21">
      <c r="U1789"/>
    </row>
    <row r="1790" customHeight="1" spans="21:21">
      <c r="U1790"/>
    </row>
    <row r="1791" customHeight="1" spans="21:21">
      <c r="U1791"/>
    </row>
    <row r="1792" customHeight="1" spans="21:21">
      <c r="U1792"/>
    </row>
    <row r="1793" customHeight="1" spans="21:21">
      <c r="U1793"/>
    </row>
    <row r="1794" customHeight="1" spans="21:21">
      <c r="U1794"/>
    </row>
    <row r="1795" customHeight="1" spans="21:21">
      <c r="U1795"/>
    </row>
    <row r="1796" customHeight="1" spans="21:21">
      <c r="U1796"/>
    </row>
    <row r="1797" customHeight="1" spans="21:21">
      <c r="U1797"/>
    </row>
    <row r="1798" customHeight="1" spans="21:21">
      <c r="U1798"/>
    </row>
    <row r="1799" customHeight="1" spans="21:21">
      <c r="U1799"/>
    </row>
    <row r="1800" customHeight="1" spans="21:21">
      <c r="U1800"/>
    </row>
    <row r="1801" customHeight="1" spans="21:21">
      <c r="U1801"/>
    </row>
    <row r="1802" customHeight="1" spans="21:21">
      <c r="U1802"/>
    </row>
    <row r="1803" customHeight="1" spans="21:21">
      <c r="U1803"/>
    </row>
    <row r="1804" customHeight="1" spans="21:21">
      <c r="U1804"/>
    </row>
    <row r="1805" customHeight="1" spans="21:21">
      <c r="U1805"/>
    </row>
    <row r="1806" customHeight="1" spans="21:21">
      <c r="U1806"/>
    </row>
    <row r="1807" customHeight="1" spans="21:21">
      <c r="U1807"/>
    </row>
    <row r="1808" customHeight="1" spans="21:21">
      <c r="U1808"/>
    </row>
    <row r="1809" customHeight="1" spans="21:21">
      <c r="U1809"/>
    </row>
    <row r="1810" customHeight="1" spans="21:21">
      <c r="U1810"/>
    </row>
    <row r="1811" customHeight="1" spans="21:21">
      <c r="U1811"/>
    </row>
    <row r="1812" customHeight="1" spans="21:21">
      <c r="U1812"/>
    </row>
    <row r="1813" customHeight="1" spans="21:21">
      <c r="U1813"/>
    </row>
    <row r="1814" customHeight="1" spans="21:21">
      <c r="U1814"/>
    </row>
    <row r="1815" customHeight="1" spans="21:21">
      <c r="U1815"/>
    </row>
    <row r="1816" customHeight="1" spans="21:21">
      <c r="U1816"/>
    </row>
    <row r="1817" customHeight="1" spans="21:21">
      <c r="U1817"/>
    </row>
    <row r="1818" customHeight="1" spans="21:21">
      <c r="U1818"/>
    </row>
    <row r="1819" customHeight="1" spans="21:21">
      <c r="U1819"/>
    </row>
    <row r="1820" customHeight="1" spans="21:21">
      <c r="U1820"/>
    </row>
    <row r="1821" customHeight="1" spans="21:21">
      <c r="U1821"/>
    </row>
    <row r="1822" customHeight="1" spans="21:21">
      <c r="U1822"/>
    </row>
    <row r="1823" customHeight="1" spans="21:21">
      <c r="U1823"/>
    </row>
    <row r="1824" customHeight="1" spans="21:21">
      <c r="U1824"/>
    </row>
    <row r="1825" customHeight="1" spans="21:21">
      <c r="U1825"/>
    </row>
    <row r="1826" customHeight="1" spans="21:21">
      <c r="U1826"/>
    </row>
    <row r="1827" customHeight="1" spans="21:21">
      <c r="U1827"/>
    </row>
    <row r="1828" customHeight="1" spans="21:21">
      <c r="U1828"/>
    </row>
    <row r="1829" customHeight="1" spans="21:21">
      <c r="U1829"/>
    </row>
    <row r="1830" customHeight="1" spans="21:21">
      <c r="U1830"/>
    </row>
    <row r="1831" customHeight="1" spans="21:21">
      <c r="U1831"/>
    </row>
    <row r="1832" customHeight="1" spans="21:21">
      <c r="U1832"/>
    </row>
    <row r="1833" customHeight="1" spans="21:21">
      <c r="U1833"/>
    </row>
    <row r="1834" customHeight="1" spans="21:21">
      <c r="U1834"/>
    </row>
    <row r="1835" customHeight="1" spans="21:21">
      <c r="U1835"/>
    </row>
    <row r="1836" customHeight="1" spans="21:21">
      <c r="U1836"/>
    </row>
    <row r="1837" customHeight="1" spans="21:21">
      <c r="U1837"/>
    </row>
    <row r="1838" customHeight="1" spans="21:21">
      <c r="U1838"/>
    </row>
    <row r="1839" customHeight="1" spans="21:21">
      <c r="U1839"/>
    </row>
    <row r="1840" customHeight="1" spans="21:21">
      <c r="U1840"/>
    </row>
    <row r="1841" customHeight="1" spans="21:21">
      <c r="U1841"/>
    </row>
    <row r="1842" customHeight="1" spans="21:21">
      <c r="U1842"/>
    </row>
    <row r="1843" customHeight="1" spans="21:21">
      <c r="U1843"/>
    </row>
    <row r="1844" customHeight="1" spans="21:21">
      <c r="U1844"/>
    </row>
    <row r="1845" customHeight="1" spans="21:21">
      <c r="U1845"/>
    </row>
    <row r="1846" customHeight="1" spans="21:21">
      <c r="U1846"/>
    </row>
    <row r="1847" customHeight="1" spans="21:21">
      <c r="U1847"/>
    </row>
    <row r="1848" customHeight="1" spans="21:21">
      <c r="U1848"/>
    </row>
    <row r="1849" customHeight="1" spans="21:21">
      <c r="U1849"/>
    </row>
    <row r="1850" customHeight="1" spans="21:21">
      <c r="U1850"/>
    </row>
    <row r="1851" customHeight="1" spans="21:21">
      <c r="U1851"/>
    </row>
    <row r="1852" customHeight="1" spans="21:21">
      <c r="U1852"/>
    </row>
    <row r="1853" customHeight="1" spans="21:21">
      <c r="U1853"/>
    </row>
    <row r="1854" customHeight="1" spans="21:21">
      <c r="U1854"/>
    </row>
    <row r="1855" customHeight="1" spans="21:21">
      <c r="U1855"/>
    </row>
    <row r="1856" customHeight="1" spans="21:21">
      <c r="U1856"/>
    </row>
    <row r="1857" customHeight="1" spans="21:21">
      <c r="U1857"/>
    </row>
    <row r="1858" customHeight="1" spans="21:21">
      <c r="U1858"/>
    </row>
    <row r="1859" customHeight="1" spans="21:21">
      <c r="U1859"/>
    </row>
    <row r="1860" customHeight="1" spans="21:21">
      <c r="U1860"/>
    </row>
    <row r="1861" customHeight="1" spans="21:21">
      <c r="U1861"/>
    </row>
    <row r="1862" customHeight="1" spans="21:21">
      <c r="U1862"/>
    </row>
    <row r="1863" customHeight="1" spans="21:21">
      <c r="U1863"/>
    </row>
    <row r="1864" customHeight="1" spans="21:21">
      <c r="U1864"/>
    </row>
    <row r="1865" customHeight="1" spans="21:21">
      <c r="U1865"/>
    </row>
    <row r="1866" customHeight="1" spans="21:21">
      <c r="U1866"/>
    </row>
    <row r="1867" customHeight="1" spans="21:21">
      <c r="U1867"/>
    </row>
    <row r="1868" customHeight="1" spans="21:21">
      <c r="U1868"/>
    </row>
    <row r="1869" customHeight="1" spans="21:21">
      <c r="U1869"/>
    </row>
    <row r="1870" customHeight="1" spans="21:21">
      <c r="U1870"/>
    </row>
    <row r="1871" customHeight="1" spans="21:21">
      <c r="U1871"/>
    </row>
    <row r="1872" customHeight="1" spans="21:21">
      <c r="U1872"/>
    </row>
    <row r="1873" customHeight="1" spans="21:21">
      <c r="U1873"/>
    </row>
    <row r="1874" customHeight="1" spans="21:21">
      <c r="U1874"/>
    </row>
    <row r="1875" customHeight="1" spans="21:21">
      <c r="U1875"/>
    </row>
    <row r="1876" customHeight="1" spans="21:21">
      <c r="U1876"/>
    </row>
    <row r="1877" customHeight="1" spans="21:21">
      <c r="U1877"/>
    </row>
    <row r="1878" customHeight="1" spans="21:21">
      <c r="U1878"/>
    </row>
    <row r="1879" customHeight="1" spans="21:21">
      <c r="U1879"/>
    </row>
    <row r="1880" customHeight="1" spans="21:21">
      <c r="U1880"/>
    </row>
    <row r="1881" customHeight="1" spans="21:21">
      <c r="U1881"/>
    </row>
    <row r="1882" customHeight="1" spans="21:21">
      <c r="U1882"/>
    </row>
    <row r="1883" customHeight="1" spans="21:21">
      <c r="U1883"/>
    </row>
    <row r="1884" customHeight="1" spans="21:21">
      <c r="U1884"/>
    </row>
    <row r="1885" customHeight="1" spans="21:21">
      <c r="U1885"/>
    </row>
    <row r="1886" customHeight="1" spans="21:21">
      <c r="U1886"/>
    </row>
    <row r="1887" customHeight="1" spans="21:21">
      <c r="U1887"/>
    </row>
    <row r="1888" customHeight="1" spans="21:21">
      <c r="U1888"/>
    </row>
    <row r="1889" customHeight="1" spans="21:21">
      <c r="U1889"/>
    </row>
    <row r="1890" customHeight="1" spans="21:21">
      <c r="U1890"/>
    </row>
    <row r="1891" customHeight="1" spans="21:21">
      <c r="U1891"/>
    </row>
    <row r="1892" customHeight="1" spans="21:21">
      <c r="U1892"/>
    </row>
    <row r="1893" customHeight="1" spans="21:21">
      <c r="U1893"/>
    </row>
    <row r="1894" customHeight="1" spans="21:21">
      <c r="U1894"/>
    </row>
    <row r="1895" customHeight="1" spans="21:21">
      <c r="U1895"/>
    </row>
    <row r="1896" customHeight="1" spans="21:21">
      <c r="U1896"/>
    </row>
    <row r="1897" customHeight="1" spans="21:21">
      <c r="U1897"/>
    </row>
    <row r="1898" customHeight="1" spans="21:21">
      <c r="U1898"/>
    </row>
    <row r="1899" customHeight="1" spans="21:21">
      <c r="U1899"/>
    </row>
    <row r="1900" customHeight="1" spans="21:21">
      <c r="U1900"/>
    </row>
    <row r="1901" customHeight="1" spans="21:21">
      <c r="U1901"/>
    </row>
    <row r="1902" customHeight="1" spans="21:21">
      <c r="U1902"/>
    </row>
    <row r="1903" customHeight="1" spans="21:21">
      <c r="U1903"/>
    </row>
    <row r="1904" customHeight="1" spans="21:21">
      <c r="U1904"/>
    </row>
    <row r="1905" customHeight="1" spans="21:21">
      <c r="U1905"/>
    </row>
    <row r="1906" customHeight="1" spans="21:21">
      <c r="U1906"/>
    </row>
    <row r="1907" customHeight="1" spans="21:21">
      <c r="U1907"/>
    </row>
    <row r="1908" customHeight="1" spans="21:21">
      <c r="U1908"/>
    </row>
    <row r="1909" customHeight="1" spans="21:21">
      <c r="U1909"/>
    </row>
    <row r="1910" customHeight="1" spans="21:21">
      <c r="U1910"/>
    </row>
    <row r="1911" customHeight="1" spans="21:21">
      <c r="U1911"/>
    </row>
    <row r="1912" customHeight="1" spans="21:21">
      <c r="U1912"/>
    </row>
    <row r="1913" customHeight="1" spans="21:21">
      <c r="U1913"/>
    </row>
    <row r="1914" customHeight="1" spans="21:21">
      <c r="U1914"/>
    </row>
    <row r="1915" customHeight="1" spans="21:21">
      <c r="U1915"/>
    </row>
    <row r="1916" customHeight="1" spans="21:21">
      <c r="U1916"/>
    </row>
    <row r="1917" customHeight="1" spans="21:21">
      <c r="U1917"/>
    </row>
    <row r="1918" customHeight="1" spans="21:21">
      <c r="U1918"/>
    </row>
    <row r="1919" customHeight="1" spans="21:21">
      <c r="U1919"/>
    </row>
    <row r="1920" customHeight="1" spans="21:21">
      <c r="U1920"/>
    </row>
    <row r="1921" customHeight="1" spans="21:21">
      <c r="U1921"/>
    </row>
    <row r="1922" customHeight="1" spans="21:21">
      <c r="U1922"/>
    </row>
    <row r="1923" customHeight="1" spans="21:21">
      <c r="U1923"/>
    </row>
    <row r="1924" customHeight="1" spans="21:21">
      <c r="U1924"/>
    </row>
    <row r="1925" customHeight="1" spans="21:21">
      <c r="U1925"/>
    </row>
    <row r="1926" customHeight="1" spans="21:21">
      <c r="U1926"/>
    </row>
    <row r="1927" customHeight="1" spans="21:21">
      <c r="U1927"/>
    </row>
    <row r="1928" customHeight="1" spans="21:21">
      <c r="U1928"/>
    </row>
    <row r="1929" customHeight="1" spans="21:21">
      <c r="U1929"/>
    </row>
    <row r="1930" customHeight="1" spans="21:21">
      <c r="U1930"/>
    </row>
    <row r="1931" customHeight="1" spans="21:21">
      <c r="U1931"/>
    </row>
    <row r="1932" customHeight="1" spans="21:21">
      <c r="U1932"/>
    </row>
    <row r="1933" customHeight="1" spans="21:21">
      <c r="U1933"/>
    </row>
    <row r="1934" customHeight="1" spans="21:21">
      <c r="U1934"/>
    </row>
    <row r="1935" customHeight="1" spans="21:21">
      <c r="U1935"/>
    </row>
    <row r="1936" customHeight="1" spans="21:21">
      <c r="U1936"/>
    </row>
    <row r="1937" customHeight="1" spans="21:21">
      <c r="U1937"/>
    </row>
    <row r="1938" customHeight="1" spans="21:21">
      <c r="U1938"/>
    </row>
    <row r="1939" customHeight="1" spans="21:21">
      <c r="U1939"/>
    </row>
    <row r="1940" customHeight="1" spans="21:21">
      <c r="U1940"/>
    </row>
    <row r="1941" customHeight="1" spans="21:21">
      <c r="U1941"/>
    </row>
    <row r="1942" customHeight="1" spans="21:21">
      <c r="U1942"/>
    </row>
    <row r="1943" customHeight="1" spans="21:21">
      <c r="U1943"/>
    </row>
    <row r="1944" customHeight="1" spans="21:21">
      <c r="U1944"/>
    </row>
    <row r="1945" customHeight="1" spans="21:21">
      <c r="U1945"/>
    </row>
    <row r="1946" customHeight="1" spans="21:21">
      <c r="U1946"/>
    </row>
    <row r="1947" customHeight="1" spans="21:21">
      <c r="U1947"/>
    </row>
    <row r="1948" customHeight="1" spans="21:21">
      <c r="U1948"/>
    </row>
    <row r="1949" customHeight="1" spans="21:21">
      <c r="U1949"/>
    </row>
    <row r="1950" customHeight="1" spans="21:21">
      <c r="U1950"/>
    </row>
    <row r="1951" customHeight="1" spans="21:21">
      <c r="U1951"/>
    </row>
    <row r="1952" customHeight="1" spans="21:21">
      <c r="U1952"/>
    </row>
    <row r="1953" customHeight="1" spans="21:21">
      <c r="U1953"/>
    </row>
    <row r="1954" customHeight="1" spans="21:21">
      <c r="U1954"/>
    </row>
    <row r="1955" customHeight="1" spans="21:21">
      <c r="U1955"/>
    </row>
    <row r="1956" customHeight="1" spans="21:21">
      <c r="U1956"/>
    </row>
    <row r="1957" customHeight="1" spans="21:21">
      <c r="U1957"/>
    </row>
    <row r="1958" customHeight="1" spans="21:21">
      <c r="U1958"/>
    </row>
    <row r="1959" customHeight="1" spans="21:21">
      <c r="U1959"/>
    </row>
    <row r="1960" customHeight="1" spans="21:21">
      <c r="U1960"/>
    </row>
    <row r="1961" customHeight="1" spans="21:21">
      <c r="U1961"/>
    </row>
    <row r="1962" customHeight="1" spans="21:21">
      <c r="U1962"/>
    </row>
    <row r="1963" customHeight="1" spans="21:21">
      <c r="U1963"/>
    </row>
    <row r="1964" customHeight="1" spans="21:21">
      <c r="U1964"/>
    </row>
    <row r="1965" customHeight="1" spans="21:21">
      <c r="U1965"/>
    </row>
    <row r="1966" customHeight="1" spans="21:21">
      <c r="U1966"/>
    </row>
    <row r="1967" customHeight="1" spans="21:21">
      <c r="U1967"/>
    </row>
    <row r="1968" customHeight="1" spans="21:21">
      <c r="U1968"/>
    </row>
    <row r="1969" customHeight="1" spans="21:21">
      <c r="U1969"/>
    </row>
    <row r="1970" customHeight="1" spans="21:21">
      <c r="U1970"/>
    </row>
    <row r="1971" customHeight="1" spans="21:21">
      <c r="U1971"/>
    </row>
    <row r="1972" customHeight="1" spans="21:21">
      <c r="U1972"/>
    </row>
    <row r="1973" customHeight="1" spans="21:21">
      <c r="U1973"/>
    </row>
    <row r="1974" customHeight="1" spans="21:21">
      <c r="U1974"/>
    </row>
    <row r="1975" customHeight="1" spans="21:21">
      <c r="U1975"/>
    </row>
    <row r="1976" customHeight="1" spans="21:21">
      <c r="U1976"/>
    </row>
    <row r="1977" customHeight="1" spans="21:21">
      <c r="U1977"/>
    </row>
    <row r="1978" customHeight="1" spans="21:21">
      <c r="U1978"/>
    </row>
    <row r="1979" customHeight="1" spans="21:21">
      <c r="U1979"/>
    </row>
    <row r="1980" customHeight="1" spans="21:21">
      <c r="U1980"/>
    </row>
    <row r="1981" customHeight="1" spans="21:21">
      <c r="U1981"/>
    </row>
    <row r="1982" customHeight="1" spans="21:21">
      <c r="U1982"/>
    </row>
    <row r="1983" customHeight="1" spans="21:21">
      <c r="U1983"/>
    </row>
    <row r="1984" customHeight="1" spans="21:21">
      <c r="U1984"/>
    </row>
    <row r="1985" customHeight="1" spans="21:21">
      <c r="U1985"/>
    </row>
    <row r="1986" customHeight="1" spans="21:21">
      <c r="U1986"/>
    </row>
    <row r="1987" customHeight="1" spans="21:21">
      <c r="U1987"/>
    </row>
    <row r="1988" customHeight="1" spans="21:21">
      <c r="U1988"/>
    </row>
    <row r="1989" customHeight="1" spans="21:21">
      <c r="U1989"/>
    </row>
    <row r="1990" customHeight="1" spans="21:21">
      <c r="U1990"/>
    </row>
    <row r="1991" customHeight="1" spans="21:21">
      <c r="U1991"/>
    </row>
    <row r="1992" customHeight="1" spans="21:21">
      <c r="U1992"/>
    </row>
    <row r="1993" customHeight="1" spans="21:21">
      <c r="U1993"/>
    </row>
    <row r="1994" customHeight="1" spans="21:21">
      <c r="U1994"/>
    </row>
    <row r="1995" customHeight="1" spans="21:21">
      <c r="U1995"/>
    </row>
    <row r="1996" customHeight="1" spans="21:21">
      <c r="U1996"/>
    </row>
    <row r="1997" customHeight="1" spans="21:21">
      <c r="U1997"/>
    </row>
    <row r="1998" customHeight="1" spans="21:21">
      <c r="U1998"/>
    </row>
    <row r="1999" customHeight="1" spans="21:21">
      <c r="U1999"/>
    </row>
    <row r="2000" customHeight="1" spans="21:21">
      <c r="U2000"/>
    </row>
    <row r="2001" customHeight="1" spans="21:21">
      <c r="U2001"/>
    </row>
    <row r="2002" customHeight="1" spans="21:21">
      <c r="U2002"/>
    </row>
    <row r="2003" customHeight="1" spans="21:21">
      <c r="U2003"/>
    </row>
    <row r="2004" customHeight="1" spans="21:21">
      <c r="U2004"/>
    </row>
    <row r="2005" customHeight="1" spans="21:21">
      <c r="U2005"/>
    </row>
    <row r="2006" customHeight="1" spans="21:21">
      <c r="U2006"/>
    </row>
    <row r="2007" customHeight="1" spans="21:21">
      <c r="U2007"/>
    </row>
    <row r="2008" customHeight="1" spans="21:21">
      <c r="U2008"/>
    </row>
    <row r="2009" customHeight="1" spans="21:21">
      <c r="U2009"/>
    </row>
    <row r="2010" customHeight="1" spans="21:21">
      <c r="U2010"/>
    </row>
    <row r="2011" customHeight="1" spans="21:21">
      <c r="U2011"/>
    </row>
    <row r="2012" customHeight="1" spans="21:21">
      <c r="U2012"/>
    </row>
    <row r="2013" customHeight="1" spans="21:21">
      <c r="U2013"/>
    </row>
    <row r="2014" customHeight="1" spans="21:21">
      <c r="U2014"/>
    </row>
    <row r="2015" customHeight="1" spans="21:21">
      <c r="U2015"/>
    </row>
    <row r="2016" customHeight="1" spans="21:21">
      <c r="U2016"/>
    </row>
    <row r="2017" customHeight="1" spans="21:21">
      <c r="U2017"/>
    </row>
    <row r="2018" customHeight="1" spans="21:21">
      <c r="U2018"/>
    </row>
    <row r="2019" customHeight="1" spans="21:21">
      <c r="U2019"/>
    </row>
    <row r="2020" customHeight="1" spans="21:21">
      <c r="U2020"/>
    </row>
    <row r="2021" customHeight="1" spans="21:21">
      <c r="U2021"/>
    </row>
    <row r="2022" customHeight="1" spans="21:21">
      <c r="U2022"/>
    </row>
    <row r="2023" customHeight="1" spans="21:21">
      <c r="U2023"/>
    </row>
    <row r="2024" customHeight="1" spans="21:21">
      <c r="U2024"/>
    </row>
    <row r="2025" customHeight="1" spans="21:21">
      <c r="U2025"/>
    </row>
    <row r="2026" customHeight="1" spans="21:21">
      <c r="U2026"/>
    </row>
    <row r="2027" customHeight="1" spans="21:21">
      <c r="U2027"/>
    </row>
    <row r="2028" customHeight="1" spans="21:21">
      <c r="U2028"/>
    </row>
    <row r="2029" customHeight="1" spans="21:21">
      <c r="U2029"/>
    </row>
    <row r="2030" customHeight="1" spans="21:21">
      <c r="U2030"/>
    </row>
    <row r="2031" customHeight="1" spans="21:21">
      <c r="U2031"/>
    </row>
    <row r="2032" customHeight="1" spans="21:21">
      <c r="U2032"/>
    </row>
    <row r="2033" customHeight="1" spans="21:21">
      <c r="U2033"/>
    </row>
    <row r="2034" customHeight="1" spans="21:21">
      <c r="U2034"/>
    </row>
    <row r="2035" customHeight="1" spans="21:21">
      <c r="U2035"/>
    </row>
    <row r="2036" customHeight="1" spans="21:21">
      <c r="U2036"/>
    </row>
    <row r="2037" customHeight="1" spans="21:21">
      <c r="U2037"/>
    </row>
    <row r="2038" customHeight="1" spans="21:21">
      <c r="U2038"/>
    </row>
    <row r="2039" customHeight="1" spans="21:21">
      <c r="U2039"/>
    </row>
    <row r="2040" customHeight="1" spans="21:21">
      <c r="U2040"/>
    </row>
    <row r="2041" customHeight="1" spans="21:21">
      <c r="U2041"/>
    </row>
    <row r="2042" customHeight="1" spans="21:21">
      <c r="U2042"/>
    </row>
    <row r="2043" customHeight="1" spans="21:21">
      <c r="U2043"/>
    </row>
    <row r="2044" customHeight="1" spans="21:21">
      <c r="U2044"/>
    </row>
    <row r="2045" customHeight="1" spans="21:21">
      <c r="U2045"/>
    </row>
    <row r="2046" customHeight="1" spans="21:21">
      <c r="U2046"/>
    </row>
    <row r="2047" customHeight="1" spans="21:21">
      <c r="U2047"/>
    </row>
    <row r="2048" customHeight="1" spans="21:21">
      <c r="U2048"/>
    </row>
    <row r="2049" customHeight="1" spans="21:21">
      <c r="U2049"/>
    </row>
    <row r="2050" customHeight="1" spans="21:21">
      <c r="U2050"/>
    </row>
    <row r="2051" customHeight="1" spans="21:21">
      <c r="U2051"/>
    </row>
    <row r="2052" customHeight="1" spans="21:21">
      <c r="U2052"/>
    </row>
    <row r="2053" customHeight="1" spans="21:21">
      <c r="U2053"/>
    </row>
    <row r="2054" customHeight="1" spans="21:21">
      <c r="U2054"/>
    </row>
    <row r="2055" customHeight="1" spans="21:21">
      <c r="U2055"/>
    </row>
    <row r="2056" customHeight="1" spans="21:21">
      <c r="U2056"/>
    </row>
    <row r="2057" customHeight="1" spans="21:21">
      <c r="U2057"/>
    </row>
    <row r="2058" customHeight="1" spans="21:21">
      <c r="U2058"/>
    </row>
    <row r="2059" customHeight="1" spans="21:21">
      <c r="U2059"/>
    </row>
    <row r="2060" customHeight="1" spans="21:21">
      <c r="U2060"/>
    </row>
    <row r="2061" customHeight="1" spans="21:21">
      <c r="U2061"/>
    </row>
    <row r="2062" customHeight="1" spans="21:21">
      <c r="U2062"/>
    </row>
    <row r="2063" customHeight="1" spans="21:21">
      <c r="U2063"/>
    </row>
    <row r="2064" customHeight="1" spans="21:21">
      <c r="U2064"/>
    </row>
    <row r="2065" customHeight="1" spans="21:21">
      <c r="U2065"/>
    </row>
    <row r="2066" customHeight="1" spans="21:21">
      <c r="U2066"/>
    </row>
    <row r="2067" customHeight="1" spans="21:21">
      <c r="U2067"/>
    </row>
    <row r="2068" customHeight="1" spans="21:21">
      <c r="U2068"/>
    </row>
    <row r="2069" customHeight="1" spans="21:21">
      <c r="U2069"/>
    </row>
    <row r="2070" customHeight="1" spans="21:21">
      <c r="U2070"/>
    </row>
    <row r="2071" customHeight="1" spans="21:21">
      <c r="U2071"/>
    </row>
    <row r="2072" customHeight="1" spans="21:21">
      <c r="U2072"/>
    </row>
    <row r="2073" customHeight="1" spans="21:21">
      <c r="U2073"/>
    </row>
    <row r="2074" customHeight="1" spans="21:21">
      <c r="U2074"/>
    </row>
    <row r="2075" customHeight="1" spans="21:21">
      <c r="U2075"/>
    </row>
    <row r="2076" customHeight="1" spans="21:21">
      <c r="U2076"/>
    </row>
    <row r="2077" customHeight="1" spans="21:21">
      <c r="U2077"/>
    </row>
    <row r="2078" customHeight="1" spans="21:21">
      <c r="U2078"/>
    </row>
    <row r="2079" customHeight="1" spans="21:21">
      <c r="U2079"/>
    </row>
    <row r="2080" customHeight="1" spans="21:21">
      <c r="U2080"/>
    </row>
    <row r="2081" customHeight="1" spans="21:21">
      <c r="U2081"/>
    </row>
    <row r="2082" customHeight="1" spans="21:21">
      <c r="U2082"/>
    </row>
    <row r="2083" customHeight="1" spans="21:21">
      <c r="U2083"/>
    </row>
    <row r="2084" customHeight="1" spans="21:21">
      <c r="U2084"/>
    </row>
    <row r="2085" customHeight="1" spans="21:21">
      <c r="U2085"/>
    </row>
    <row r="2086" customHeight="1" spans="21:21">
      <c r="U2086"/>
    </row>
    <row r="2087" customHeight="1" spans="21:21">
      <c r="U2087"/>
    </row>
    <row r="2088" customHeight="1" spans="21:21">
      <c r="U2088"/>
    </row>
    <row r="2089" customHeight="1" spans="21:21">
      <c r="U2089"/>
    </row>
    <row r="2090" customHeight="1" spans="21:21">
      <c r="U2090"/>
    </row>
    <row r="2091" customHeight="1" spans="21:21">
      <c r="U2091"/>
    </row>
    <row r="2092" customHeight="1" spans="21:21">
      <c r="U2092"/>
    </row>
    <row r="2093" customHeight="1" spans="21:21">
      <c r="U2093"/>
    </row>
    <row r="2094" customHeight="1" spans="21:21">
      <c r="U2094"/>
    </row>
    <row r="2095" customHeight="1" spans="21:21">
      <c r="U2095"/>
    </row>
    <row r="2096" customHeight="1" spans="21:21">
      <c r="U2096"/>
    </row>
    <row r="2097" customHeight="1" spans="21:21">
      <c r="U2097"/>
    </row>
    <row r="2098" customHeight="1" spans="21:21">
      <c r="U2098"/>
    </row>
    <row r="2099" customHeight="1" spans="21:21">
      <c r="U2099"/>
    </row>
    <row r="2100" customHeight="1" spans="21:21">
      <c r="U2100"/>
    </row>
    <row r="2101" customHeight="1" spans="21:21">
      <c r="U2101"/>
    </row>
    <row r="2102" customHeight="1" spans="21:21">
      <c r="U2102"/>
    </row>
    <row r="2103" customHeight="1" spans="21:21">
      <c r="U2103"/>
    </row>
    <row r="2104" customHeight="1" spans="21:21">
      <c r="U2104"/>
    </row>
    <row r="2105" customHeight="1" spans="21:21">
      <c r="U2105"/>
    </row>
    <row r="2106" customHeight="1" spans="21:21">
      <c r="U2106"/>
    </row>
    <row r="2107" customHeight="1" spans="21:21">
      <c r="U2107"/>
    </row>
    <row r="2108" customHeight="1" spans="21:21">
      <c r="U2108"/>
    </row>
    <row r="2109" customHeight="1" spans="21:21">
      <c r="U2109"/>
    </row>
    <row r="2110" customHeight="1" spans="21:21">
      <c r="U2110"/>
    </row>
    <row r="2111" customHeight="1" spans="21:21">
      <c r="U2111"/>
    </row>
    <row r="2112" customHeight="1" spans="21:21">
      <c r="U2112"/>
    </row>
    <row r="2113" customHeight="1" spans="21:21">
      <c r="U2113"/>
    </row>
    <row r="2114" customHeight="1" spans="21:21">
      <c r="U2114"/>
    </row>
    <row r="2115" customHeight="1" spans="21:21">
      <c r="U2115"/>
    </row>
    <row r="2116" customHeight="1" spans="21:21">
      <c r="U2116"/>
    </row>
    <row r="2117" customHeight="1" spans="21:21">
      <c r="U2117"/>
    </row>
    <row r="2118" customHeight="1" spans="21:21">
      <c r="U2118"/>
    </row>
    <row r="2119" customHeight="1" spans="21:21">
      <c r="U2119"/>
    </row>
    <row r="2120" customHeight="1" spans="21:21">
      <c r="U2120"/>
    </row>
    <row r="2121" customHeight="1" spans="21:21">
      <c r="U2121"/>
    </row>
    <row r="2122" customHeight="1" spans="21:21">
      <c r="U2122"/>
    </row>
    <row r="2123" customHeight="1" spans="21:21">
      <c r="U2123"/>
    </row>
    <row r="2124" customHeight="1" spans="21:21">
      <c r="U2124"/>
    </row>
    <row r="2125" customHeight="1" spans="21:21">
      <c r="U2125"/>
    </row>
    <row r="2126" customHeight="1" spans="21:21">
      <c r="U2126"/>
    </row>
    <row r="2127" customHeight="1" spans="21:21">
      <c r="U2127"/>
    </row>
    <row r="2128" customHeight="1" spans="21:21">
      <c r="U2128"/>
    </row>
    <row r="2129" customHeight="1" spans="21:21">
      <c r="U2129"/>
    </row>
    <row r="2130" customHeight="1" spans="21:21">
      <c r="U2130"/>
    </row>
    <row r="2131" customHeight="1" spans="21:21">
      <c r="U2131"/>
    </row>
    <row r="2132" customHeight="1" spans="21:21">
      <c r="U2132"/>
    </row>
    <row r="2133" customHeight="1" spans="21:21">
      <c r="U2133"/>
    </row>
    <row r="2134" customHeight="1" spans="21:21">
      <c r="U2134"/>
    </row>
    <row r="2135" customHeight="1" spans="21:21">
      <c r="U2135"/>
    </row>
    <row r="2136" customHeight="1" spans="21:21">
      <c r="U2136"/>
    </row>
    <row r="2137" customHeight="1" spans="21:21">
      <c r="U2137"/>
    </row>
    <row r="2138" customHeight="1" spans="21:21">
      <c r="U2138"/>
    </row>
    <row r="2139" customHeight="1" spans="21:21">
      <c r="U2139"/>
    </row>
    <row r="2140" customHeight="1" spans="21:21">
      <c r="U2140"/>
    </row>
    <row r="2141" customHeight="1" spans="21:21">
      <c r="U2141"/>
    </row>
    <row r="2142" customHeight="1" spans="21:21">
      <c r="U2142"/>
    </row>
    <row r="2143" customHeight="1" spans="21:21">
      <c r="U2143"/>
    </row>
    <row r="2144" customHeight="1" spans="21:21">
      <c r="U2144"/>
    </row>
    <row r="2145" customHeight="1" spans="21:21">
      <c r="U2145"/>
    </row>
    <row r="2146" customHeight="1" spans="21:21">
      <c r="U2146"/>
    </row>
    <row r="2147" customHeight="1" spans="21:21">
      <c r="U2147"/>
    </row>
    <row r="2148" customHeight="1" spans="21:21">
      <c r="U2148"/>
    </row>
    <row r="2149" customHeight="1" spans="21:21">
      <c r="U2149"/>
    </row>
    <row r="2150" customHeight="1" spans="21:21">
      <c r="U2150"/>
    </row>
    <row r="2151" customHeight="1" spans="21:21">
      <c r="U2151"/>
    </row>
    <row r="2152" customHeight="1" spans="21:21">
      <c r="U2152"/>
    </row>
    <row r="2153" customHeight="1" spans="21:21">
      <c r="U2153"/>
    </row>
    <row r="2154" customHeight="1" spans="21:21">
      <c r="U2154"/>
    </row>
    <row r="2155" customHeight="1" spans="21:21">
      <c r="U2155"/>
    </row>
    <row r="2156" customHeight="1" spans="21:21">
      <c r="U2156"/>
    </row>
    <row r="2157" customHeight="1" spans="21:21">
      <c r="U2157"/>
    </row>
    <row r="2158" customHeight="1" spans="21:21">
      <c r="U2158"/>
    </row>
    <row r="2159" customHeight="1" spans="21:21">
      <c r="U2159"/>
    </row>
    <row r="2160" customHeight="1" spans="21:21">
      <c r="U2160"/>
    </row>
    <row r="2161" customHeight="1" spans="21:21">
      <c r="U2161"/>
    </row>
    <row r="2162" customHeight="1" spans="21:21">
      <c r="U2162"/>
    </row>
    <row r="2163" customHeight="1" spans="21:21">
      <c r="U2163"/>
    </row>
    <row r="2164" customHeight="1" spans="21:21">
      <c r="U2164"/>
    </row>
    <row r="2165" customHeight="1" spans="21:21">
      <c r="U2165"/>
    </row>
    <row r="2166" customHeight="1" spans="21:21">
      <c r="U2166"/>
    </row>
    <row r="2167" customHeight="1" spans="21:21">
      <c r="U2167"/>
    </row>
    <row r="2168" customHeight="1" spans="21:21">
      <c r="U2168"/>
    </row>
    <row r="2169" customHeight="1" spans="21:21">
      <c r="U2169"/>
    </row>
    <row r="2170" customHeight="1" spans="21:21">
      <c r="U2170"/>
    </row>
    <row r="2171" customHeight="1" spans="21:21">
      <c r="U2171"/>
    </row>
    <row r="2172" customHeight="1" spans="21:21">
      <c r="U2172"/>
    </row>
    <row r="2173" customHeight="1" spans="21:21">
      <c r="U2173"/>
    </row>
    <row r="2174" customHeight="1" spans="21:21">
      <c r="U2174"/>
    </row>
    <row r="2175" customHeight="1" spans="21:21">
      <c r="U2175"/>
    </row>
    <row r="2176" customHeight="1" spans="21:21">
      <c r="U2176"/>
    </row>
    <row r="2177" customHeight="1" spans="21:21">
      <c r="U2177"/>
    </row>
    <row r="2178" customHeight="1" spans="21:21">
      <c r="U2178"/>
    </row>
    <row r="2179" customHeight="1" spans="21:21">
      <c r="U2179"/>
    </row>
    <row r="2180" customHeight="1" spans="21:21">
      <c r="U2180"/>
    </row>
    <row r="2181" customHeight="1" spans="21:21">
      <c r="U2181"/>
    </row>
    <row r="2182" customHeight="1" spans="21:21">
      <c r="U2182"/>
    </row>
    <row r="2183" customHeight="1" spans="21:21">
      <c r="U2183"/>
    </row>
    <row r="2184" customHeight="1" spans="21:21">
      <c r="U2184"/>
    </row>
    <row r="2185" customHeight="1" spans="21:21">
      <c r="U2185"/>
    </row>
    <row r="2186" customHeight="1" spans="21:21">
      <c r="U2186"/>
    </row>
    <row r="2187" customHeight="1" spans="21:21">
      <c r="U2187"/>
    </row>
    <row r="2188" customHeight="1" spans="21:21">
      <c r="U2188"/>
    </row>
    <row r="2189" customHeight="1" spans="21:21">
      <c r="U2189"/>
    </row>
    <row r="2190" customHeight="1" spans="21:21">
      <c r="U2190"/>
    </row>
    <row r="2191" customHeight="1" spans="21:21">
      <c r="U2191"/>
    </row>
    <row r="2192" customHeight="1" spans="21:21">
      <c r="U2192"/>
    </row>
    <row r="2193" customHeight="1" spans="21:21">
      <c r="U2193"/>
    </row>
    <row r="2194" customHeight="1" spans="21:21">
      <c r="U2194"/>
    </row>
    <row r="2195" customHeight="1" spans="21:21">
      <c r="U2195"/>
    </row>
    <row r="2196" customHeight="1" spans="21:21">
      <c r="U2196"/>
    </row>
    <row r="2197" customHeight="1" spans="21:21">
      <c r="U2197"/>
    </row>
    <row r="2198" customHeight="1" spans="21:21">
      <c r="U2198"/>
    </row>
    <row r="2199" customHeight="1" spans="21:21">
      <c r="U2199"/>
    </row>
    <row r="2200" customHeight="1" spans="21:21">
      <c r="U2200"/>
    </row>
    <row r="2201" customHeight="1" spans="21:21">
      <c r="U2201"/>
    </row>
    <row r="2202" customHeight="1" spans="21:21">
      <c r="U2202"/>
    </row>
    <row r="2203" customHeight="1" spans="21:21">
      <c r="U2203"/>
    </row>
    <row r="2204" customHeight="1" spans="21:21">
      <c r="U2204"/>
    </row>
    <row r="2205" customHeight="1" spans="21:21">
      <c r="U2205"/>
    </row>
    <row r="2206" customHeight="1" spans="21:21">
      <c r="U2206"/>
    </row>
    <row r="2207" customHeight="1" spans="21:21">
      <c r="U2207"/>
    </row>
    <row r="2208" customHeight="1" spans="21:21">
      <c r="U2208"/>
    </row>
    <row r="2209" customHeight="1" spans="21:21">
      <c r="U2209"/>
    </row>
    <row r="2210" customHeight="1" spans="21:21">
      <c r="U2210"/>
    </row>
    <row r="2211" customHeight="1" spans="21:21">
      <c r="U2211"/>
    </row>
    <row r="2212" customHeight="1" spans="21:21">
      <c r="U2212"/>
    </row>
    <row r="2213" customHeight="1" spans="21:21">
      <c r="U2213"/>
    </row>
    <row r="2214" customHeight="1" spans="21:21">
      <c r="U2214"/>
    </row>
    <row r="2215" customHeight="1" spans="21:21">
      <c r="U2215"/>
    </row>
    <row r="2216" customHeight="1" spans="21:21">
      <c r="U2216"/>
    </row>
    <row r="2217" customHeight="1" spans="21:21">
      <c r="U2217"/>
    </row>
    <row r="2218" customHeight="1" spans="21:21">
      <c r="U2218"/>
    </row>
    <row r="2219" customHeight="1" spans="21:21">
      <c r="U2219"/>
    </row>
    <row r="2220" customHeight="1" spans="21:21">
      <c r="U2220"/>
    </row>
    <row r="2221" customHeight="1" spans="21:21">
      <c r="U2221"/>
    </row>
    <row r="2222" customHeight="1" spans="21:21">
      <c r="U2222"/>
    </row>
    <row r="2223" customHeight="1" spans="21:21">
      <c r="U2223"/>
    </row>
    <row r="2224" customHeight="1" spans="21:21">
      <c r="U2224"/>
    </row>
    <row r="2225" customHeight="1" spans="21:21">
      <c r="U2225"/>
    </row>
    <row r="2226" customHeight="1" spans="21:21">
      <c r="U2226"/>
    </row>
    <row r="2227" customHeight="1" spans="21:21">
      <c r="U2227"/>
    </row>
    <row r="2228" customHeight="1" spans="21:21">
      <c r="U2228"/>
    </row>
    <row r="2229" customHeight="1" spans="21:21">
      <c r="U2229"/>
    </row>
    <row r="2230" customHeight="1" spans="21:21">
      <c r="U2230"/>
    </row>
    <row r="2231" customHeight="1" spans="21:21">
      <c r="U2231"/>
    </row>
    <row r="2232" customHeight="1" spans="21:21">
      <c r="U2232"/>
    </row>
    <row r="2233" customHeight="1" spans="21:21">
      <c r="U2233"/>
    </row>
    <row r="2234" customHeight="1" spans="21:21">
      <c r="U2234"/>
    </row>
    <row r="2235" customHeight="1" spans="21:21">
      <c r="U2235"/>
    </row>
    <row r="2236" customHeight="1" spans="21:21">
      <c r="U2236"/>
    </row>
    <row r="2237" customHeight="1" spans="21:21">
      <c r="U2237"/>
    </row>
    <row r="2238" customHeight="1" spans="21:21">
      <c r="U2238"/>
    </row>
    <row r="2239" customHeight="1" spans="21:21">
      <c r="U2239"/>
    </row>
    <row r="2240" customHeight="1" spans="21:21">
      <c r="U2240"/>
    </row>
    <row r="2241" customHeight="1" spans="21:21">
      <c r="U2241"/>
    </row>
    <row r="2242" customHeight="1" spans="21:21">
      <c r="U2242"/>
    </row>
    <row r="2243" customHeight="1" spans="21:21">
      <c r="U2243"/>
    </row>
    <row r="2244" customHeight="1" spans="21:21">
      <c r="U2244"/>
    </row>
    <row r="2245" customHeight="1" spans="21:21">
      <c r="U2245"/>
    </row>
    <row r="2246" customHeight="1" spans="21:21">
      <c r="U2246"/>
    </row>
    <row r="2247" customHeight="1" spans="21:21">
      <c r="U2247"/>
    </row>
    <row r="2248" customHeight="1" spans="21:21">
      <c r="U2248"/>
    </row>
    <row r="2249" customHeight="1" spans="21:21">
      <c r="U2249"/>
    </row>
    <row r="2250" customHeight="1" spans="21:21">
      <c r="U2250"/>
    </row>
    <row r="2251" customHeight="1" spans="21:21">
      <c r="U2251"/>
    </row>
    <row r="2252" customHeight="1" spans="21:21">
      <c r="U2252"/>
    </row>
    <row r="2253" customHeight="1" spans="21:21">
      <c r="U2253"/>
    </row>
    <row r="2254" customHeight="1" spans="21:21">
      <c r="U2254"/>
    </row>
    <row r="2255" customHeight="1" spans="21:21">
      <c r="U2255"/>
    </row>
    <row r="2256" customHeight="1" spans="21:21">
      <c r="U2256"/>
    </row>
    <row r="2257" customHeight="1" spans="21:21">
      <c r="U2257"/>
    </row>
    <row r="2258" customHeight="1" spans="21:21">
      <c r="U2258"/>
    </row>
    <row r="2259" customHeight="1" spans="21:21">
      <c r="U2259"/>
    </row>
    <row r="2260" customHeight="1" spans="21:21">
      <c r="U2260"/>
    </row>
    <row r="2261" customHeight="1" spans="21:21">
      <c r="U2261"/>
    </row>
    <row r="2262" customHeight="1" spans="21:21">
      <c r="U2262"/>
    </row>
    <row r="2263" customHeight="1" spans="21:21">
      <c r="U2263"/>
    </row>
    <row r="2264" customHeight="1" spans="21:21">
      <c r="U2264"/>
    </row>
    <row r="2265" customHeight="1" spans="21:21">
      <c r="U2265"/>
    </row>
    <row r="2266" customHeight="1" spans="21:21">
      <c r="U2266"/>
    </row>
    <row r="2267" customHeight="1" spans="21:21">
      <c r="U2267"/>
    </row>
    <row r="2268" customHeight="1" spans="21:21">
      <c r="U2268"/>
    </row>
    <row r="2269" customHeight="1" spans="21:21">
      <c r="U2269"/>
    </row>
    <row r="2270" customHeight="1" spans="21:21">
      <c r="U2270"/>
    </row>
    <row r="2271" customHeight="1" spans="21:21">
      <c r="U2271"/>
    </row>
    <row r="2272" customHeight="1" spans="21:21">
      <c r="U2272"/>
    </row>
    <row r="2273" customHeight="1" spans="21:21">
      <c r="U2273"/>
    </row>
    <row r="2274" customHeight="1" spans="21:21">
      <c r="U2274"/>
    </row>
    <row r="2275" customHeight="1" spans="21:21">
      <c r="U2275"/>
    </row>
    <row r="2276" customHeight="1" spans="21:21">
      <c r="U2276"/>
    </row>
    <row r="2277" customHeight="1" spans="21:21">
      <c r="U2277"/>
    </row>
    <row r="2278" customHeight="1" spans="21:21">
      <c r="U2278"/>
    </row>
    <row r="2279" customHeight="1" spans="21:21">
      <c r="U2279"/>
    </row>
    <row r="2280" customHeight="1" spans="21:21">
      <c r="U2280"/>
    </row>
    <row r="2281" customHeight="1" spans="21:21">
      <c r="U2281"/>
    </row>
    <row r="2282" customHeight="1" spans="21:21">
      <c r="U2282"/>
    </row>
    <row r="2283" customHeight="1" spans="21:21">
      <c r="U2283"/>
    </row>
    <row r="2284" customHeight="1" spans="21:21">
      <c r="U2284"/>
    </row>
    <row r="2285" customHeight="1" spans="21:21">
      <c r="U2285"/>
    </row>
    <row r="2286" customHeight="1" spans="21:21">
      <c r="U2286"/>
    </row>
    <row r="2287" customHeight="1" spans="21:21">
      <c r="U2287"/>
    </row>
    <row r="2288" customHeight="1" spans="21:21">
      <c r="U2288"/>
    </row>
    <row r="2289" customHeight="1" spans="21:21">
      <c r="U2289"/>
    </row>
    <row r="2290" customHeight="1" spans="21:21">
      <c r="U2290"/>
    </row>
    <row r="2291" customHeight="1" spans="21:21">
      <c r="U2291"/>
    </row>
    <row r="2292" customHeight="1" spans="21:21">
      <c r="U2292"/>
    </row>
    <row r="2293" customHeight="1" spans="21:21">
      <c r="U2293"/>
    </row>
    <row r="2294" customHeight="1" spans="21:21">
      <c r="U2294"/>
    </row>
    <row r="2295" customHeight="1" spans="21:21">
      <c r="U2295"/>
    </row>
    <row r="2296" customHeight="1" spans="21:21">
      <c r="U2296"/>
    </row>
    <row r="2297" customHeight="1" spans="21:21">
      <c r="U2297"/>
    </row>
    <row r="2298" customHeight="1" spans="21:21">
      <c r="U2298"/>
    </row>
    <row r="2299" customHeight="1" spans="21:21">
      <c r="U2299"/>
    </row>
    <row r="2300" customHeight="1" spans="21:21">
      <c r="U2300"/>
    </row>
    <row r="2301" customHeight="1" spans="21:21">
      <c r="U2301"/>
    </row>
    <row r="2302" customHeight="1" spans="21:21">
      <c r="U2302"/>
    </row>
    <row r="2303" customHeight="1" spans="21:21">
      <c r="U2303"/>
    </row>
    <row r="2304" customHeight="1" spans="21:21">
      <c r="U2304"/>
    </row>
    <row r="2305" customHeight="1" spans="21:21">
      <c r="U2305"/>
    </row>
    <row r="2306" customHeight="1" spans="21:21">
      <c r="U2306"/>
    </row>
    <row r="2307" customHeight="1" spans="21:21">
      <c r="U2307"/>
    </row>
    <row r="2308" customHeight="1" spans="21:21">
      <c r="U2308"/>
    </row>
    <row r="2309" customHeight="1" spans="21:21">
      <c r="U2309"/>
    </row>
    <row r="2310" customHeight="1" spans="21:21">
      <c r="U2310"/>
    </row>
    <row r="2311" customHeight="1" spans="21:21">
      <c r="U2311"/>
    </row>
    <row r="2312" customHeight="1" spans="21:21">
      <c r="U2312"/>
    </row>
    <row r="2313" customHeight="1" spans="21:21">
      <c r="U2313"/>
    </row>
    <row r="2314" customHeight="1" spans="21:21">
      <c r="U2314"/>
    </row>
    <row r="2315" customHeight="1" spans="21:21">
      <c r="U2315"/>
    </row>
    <row r="2316" customHeight="1" spans="21:21">
      <c r="U2316"/>
    </row>
    <row r="2317" customHeight="1" spans="21:21">
      <c r="U2317"/>
    </row>
    <row r="2318" customHeight="1" spans="21:21">
      <c r="U2318"/>
    </row>
    <row r="2319" customHeight="1" spans="21:21">
      <c r="U2319"/>
    </row>
    <row r="2320" customHeight="1" spans="21:21">
      <c r="U2320"/>
    </row>
    <row r="2321" customHeight="1" spans="21:21">
      <c r="U2321"/>
    </row>
    <row r="2322" customHeight="1" spans="21:21">
      <c r="U2322"/>
    </row>
    <row r="2323" customHeight="1" spans="21:21">
      <c r="U2323"/>
    </row>
    <row r="2324" customHeight="1" spans="21:21">
      <c r="U2324"/>
    </row>
    <row r="2325" customHeight="1" spans="21:21">
      <c r="U2325"/>
    </row>
    <row r="2326" customHeight="1" spans="21:21">
      <c r="U2326"/>
    </row>
    <row r="2327" customHeight="1" spans="21:21">
      <c r="U2327"/>
    </row>
    <row r="2328" customHeight="1" spans="21:21">
      <c r="U2328"/>
    </row>
    <row r="2329" customHeight="1" spans="21:21">
      <c r="U2329"/>
    </row>
    <row r="2330" customHeight="1" spans="21:21">
      <c r="U2330"/>
    </row>
    <row r="2331" customHeight="1" spans="21:21">
      <c r="U2331"/>
    </row>
    <row r="2332" customHeight="1" spans="21:21">
      <c r="U2332"/>
    </row>
    <row r="2333" customHeight="1" spans="21:21">
      <c r="U2333"/>
    </row>
    <row r="2334" customHeight="1" spans="21:21">
      <c r="U2334"/>
    </row>
    <row r="2335" customHeight="1" spans="21:21">
      <c r="U2335"/>
    </row>
    <row r="2336" customHeight="1" spans="21:21">
      <c r="U2336"/>
    </row>
    <row r="2337" customHeight="1" spans="21:21">
      <c r="U2337"/>
    </row>
    <row r="2338" customHeight="1" spans="21:21">
      <c r="U2338"/>
    </row>
    <row r="2339" customHeight="1" spans="21:21">
      <c r="U2339"/>
    </row>
    <row r="2340" customHeight="1" spans="21:21">
      <c r="U2340"/>
    </row>
    <row r="2341" customHeight="1" spans="21:21">
      <c r="U2341"/>
    </row>
    <row r="2342" customHeight="1" spans="21:21">
      <c r="U2342"/>
    </row>
    <row r="2343" customHeight="1" spans="21:21">
      <c r="U2343"/>
    </row>
    <row r="2344" customHeight="1" spans="21:21">
      <c r="U2344"/>
    </row>
    <row r="2345" customHeight="1" spans="21:21">
      <c r="U2345"/>
    </row>
    <row r="2346" customHeight="1" spans="21:21">
      <c r="U2346"/>
    </row>
    <row r="2347" customHeight="1" spans="21:21">
      <c r="U2347"/>
    </row>
    <row r="2348" customHeight="1" spans="21:21">
      <c r="U2348"/>
    </row>
    <row r="2349" customHeight="1" spans="21:21">
      <c r="U2349"/>
    </row>
    <row r="2350" customHeight="1" spans="21:21">
      <c r="U2350"/>
    </row>
    <row r="2351" customHeight="1" spans="21:21">
      <c r="U2351"/>
    </row>
    <row r="2352" customHeight="1" spans="21:21">
      <c r="U2352"/>
    </row>
    <row r="2353" customHeight="1" spans="21:21">
      <c r="U2353"/>
    </row>
    <row r="2354" customHeight="1" spans="21:21">
      <c r="U2354"/>
    </row>
    <row r="2355" customHeight="1" spans="21:21">
      <c r="U2355"/>
    </row>
    <row r="2356" customHeight="1" spans="21:21">
      <c r="U2356"/>
    </row>
    <row r="2357" customHeight="1" spans="21:21">
      <c r="U2357"/>
    </row>
    <row r="2358" customHeight="1" spans="21:21">
      <c r="U2358"/>
    </row>
    <row r="2359" customHeight="1" spans="21:21">
      <c r="U2359"/>
    </row>
    <row r="2360" customHeight="1" spans="21:21">
      <c r="U2360"/>
    </row>
    <row r="2361" customHeight="1" spans="21:21">
      <c r="U2361"/>
    </row>
    <row r="2362" customHeight="1" spans="21:21">
      <c r="U2362"/>
    </row>
    <row r="2363" customHeight="1" spans="21:21">
      <c r="U2363"/>
    </row>
    <row r="2364" customHeight="1" spans="21:21">
      <c r="U2364"/>
    </row>
    <row r="2365" customHeight="1" spans="21:21">
      <c r="U2365"/>
    </row>
    <row r="2366" customHeight="1" spans="21:21">
      <c r="U2366"/>
    </row>
    <row r="2367" customHeight="1" spans="21:21">
      <c r="U2367"/>
    </row>
    <row r="2368" customHeight="1" spans="21:21">
      <c r="U2368"/>
    </row>
    <row r="2369" customHeight="1" spans="21:21">
      <c r="U2369"/>
    </row>
    <row r="2370" customHeight="1" spans="21:21">
      <c r="U2370"/>
    </row>
    <row r="2371" customHeight="1" spans="21:21">
      <c r="U2371"/>
    </row>
    <row r="2372" customHeight="1" spans="21:21">
      <c r="U2372"/>
    </row>
    <row r="2373" customHeight="1" spans="21:21">
      <c r="U2373"/>
    </row>
    <row r="2374" customHeight="1" spans="21:21">
      <c r="U2374"/>
    </row>
    <row r="2375" customHeight="1" spans="21:21">
      <c r="U2375"/>
    </row>
    <row r="2376" customHeight="1" spans="21:21">
      <c r="U2376"/>
    </row>
    <row r="2377" customHeight="1" spans="21:21">
      <c r="U2377"/>
    </row>
    <row r="2378" customHeight="1" spans="21:21">
      <c r="U2378"/>
    </row>
    <row r="2379" customHeight="1" spans="21:21">
      <c r="U2379"/>
    </row>
    <row r="2380" customHeight="1" spans="21:21">
      <c r="U2380"/>
    </row>
    <row r="2381" customHeight="1" spans="21:21">
      <c r="U2381"/>
    </row>
    <row r="2382" customHeight="1" spans="21:21">
      <c r="U2382"/>
    </row>
    <row r="2383" customHeight="1" spans="21:21">
      <c r="U2383"/>
    </row>
    <row r="2384" customHeight="1" spans="21:21">
      <c r="U2384"/>
    </row>
    <row r="2385" customHeight="1" spans="21:21">
      <c r="U2385"/>
    </row>
    <row r="2386" customHeight="1" spans="21:21">
      <c r="U2386"/>
    </row>
    <row r="2387" customHeight="1" spans="21:21">
      <c r="U2387"/>
    </row>
    <row r="2388" customHeight="1" spans="21:21">
      <c r="U2388"/>
    </row>
    <row r="2389" customHeight="1" spans="21:21">
      <c r="U2389"/>
    </row>
    <row r="2390" customHeight="1" spans="21:21">
      <c r="U2390"/>
    </row>
    <row r="2391" customHeight="1" spans="21:21">
      <c r="U2391"/>
    </row>
    <row r="2392" customHeight="1" spans="21:21">
      <c r="U2392"/>
    </row>
    <row r="2393" customHeight="1" spans="21:21">
      <c r="U2393"/>
    </row>
    <row r="2394" customHeight="1" spans="21:21">
      <c r="U2394"/>
    </row>
    <row r="2395" customHeight="1" spans="21:21">
      <c r="U2395"/>
    </row>
    <row r="2396" customHeight="1" spans="21:21">
      <c r="U2396"/>
    </row>
    <row r="2397" customHeight="1" spans="21:21">
      <c r="U2397"/>
    </row>
    <row r="2398" customHeight="1" spans="21:21">
      <c r="U2398"/>
    </row>
    <row r="2399" customHeight="1" spans="21:21">
      <c r="U2399"/>
    </row>
    <row r="2400" customHeight="1" spans="21:21">
      <c r="U2400"/>
    </row>
    <row r="2401" customHeight="1" spans="21:21">
      <c r="U2401"/>
    </row>
    <row r="2402" customHeight="1" spans="21:21">
      <c r="U2402"/>
    </row>
    <row r="2403" customHeight="1" spans="21:21">
      <c r="U2403"/>
    </row>
    <row r="2404" customHeight="1" spans="21:21">
      <c r="U2404"/>
    </row>
    <row r="2405" customHeight="1" spans="21:21">
      <c r="U2405"/>
    </row>
    <row r="2406" customHeight="1" spans="21:21">
      <c r="U2406"/>
    </row>
    <row r="2407" customHeight="1" spans="21:21">
      <c r="U2407"/>
    </row>
    <row r="2408" customHeight="1" spans="21:21">
      <c r="U2408"/>
    </row>
    <row r="2409" customHeight="1" spans="21:21">
      <c r="U2409"/>
    </row>
    <row r="2410" customHeight="1" spans="21:21">
      <c r="U2410"/>
    </row>
    <row r="2411" customHeight="1" spans="21:21">
      <c r="U2411"/>
    </row>
    <row r="2412" customHeight="1" spans="21:21">
      <c r="U2412"/>
    </row>
    <row r="2413" customHeight="1" spans="21:21">
      <c r="U2413"/>
    </row>
    <row r="2414" customHeight="1" spans="21:21">
      <c r="U2414"/>
    </row>
    <row r="2415" customHeight="1" spans="21:21">
      <c r="U2415"/>
    </row>
    <row r="2416" customHeight="1" spans="21:21">
      <c r="U2416"/>
    </row>
    <row r="2417" customHeight="1" spans="21:21">
      <c r="U2417"/>
    </row>
    <row r="2418" customHeight="1" spans="21:21">
      <c r="U2418"/>
    </row>
    <row r="2419" customHeight="1" spans="21:21">
      <c r="U2419"/>
    </row>
    <row r="2420" customHeight="1" spans="21:21">
      <c r="U2420"/>
    </row>
    <row r="2421" customHeight="1" spans="21:21">
      <c r="U2421"/>
    </row>
    <row r="2422" customHeight="1" spans="21:21">
      <c r="U2422"/>
    </row>
    <row r="2423" customHeight="1" spans="21:21">
      <c r="U2423"/>
    </row>
    <row r="2424" customHeight="1" spans="21:21">
      <c r="U2424"/>
    </row>
    <row r="2425" customHeight="1" spans="21:21">
      <c r="U2425"/>
    </row>
    <row r="2426" customHeight="1" spans="21:21">
      <c r="U2426"/>
    </row>
    <row r="2427" customHeight="1" spans="21:21">
      <c r="U2427"/>
    </row>
    <row r="2428" customHeight="1" spans="21:21">
      <c r="U2428"/>
    </row>
    <row r="2429" customHeight="1" spans="21:21">
      <c r="U2429"/>
    </row>
    <row r="2430" customHeight="1" spans="21:21">
      <c r="U2430"/>
    </row>
    <row r="2431" customHeight="1" spans="21:21">
      <c r="U2431"/>
    </row>
    <row r="2432" customHeight="1" spans="21:21">
      <c r="U2432"/>
    </row>
    <row r="2433" customHeight="1" spans="21:21">
      <c r="U2433"/>
    </row>
    <row r="2434" customHeight="1" spans="21:21">
      <c r="U2434"/>
    </row>
    <row r="2435" customHeight="1" spans="21:21">
      <c r="U2435"/>
    </row>
    <row r="2436" customHeight="1" spans="21:21">
      <c r="U2436"/>
    </row>
    <row r="2437" customHeight="1" spans="21:21">
      <c r="U2437"/>
    </row>
    <row r="2438" customHeight="1" spans="21:21">
      <c r="U2438"/>
    </row>
    <row r="2439" customHeight="1" spans="21:21">
      <c r="U2439"/>
    </row>
    <row r="2440" customHeight="1" spans="21:21">
      <c r="U2440"/>
    </row>
    <row r="2441" customHeight="1" spans="21:21">
      <c r="U2441"/>
    </row>
    <row r="2442" customHeight="1" spans="21:21">
      <c r="U2442"/>
    </row>
    <row r="2443" customHeight="1" spans="21:21">
      <c r="U2443"/>
    </row>
    <row r="2444" customHeight="1" spans="21:21">
      <c r="U2444"/>
    </row>
    <row r="2445" customHeight="1" spans="21:21">
      <c r="U2445"/>
    </row>
    <row r="2446" customHeight="1" spans="21:21">
      <c r="U2446"/>
    </row>
    <row r="2447" customHeight="1" spans="21:21">
      <c r="U2447"/>
    </row>
    <row r="2448" customHeight="1" spans="21:21">
      <c r="U2448"/>
    </row>
    <row r="2449" customHeight="1" spans="21:21">
      <c r="U2449"/>
    </row>
    <row r="2450" customHeight="1" spans="21:21">
      <c r="U2450"/>
    </row>
    <row r="2451" customHeight="1" spans="21:21">
      <c r="U2451"/>
    </row>
    <row r="2452" customHeight="1" spans="21:21">
      <c r="U2452"/>
    </row>
    <row r="2453" customHeight="1" spans="21:21">
      <c r="U2453"/>
    </row>
    <row r="2454" customHeight="1" spans="21:21">
      <c r="U2454"/>
    </row>
    <row r="2455" customHeight="1" spans="21:21">
      <c r="U2455"/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"/>
  <sheetViews>
    <sheetView workbookViewId="0">
      <pane ySplit="1" topLeftCell="A4" activePane="bottomLeft" state="frozen"/>
      <selection/>
      <selection pane="bottomLeft" activeCell="L12" sqref="L12"/>
    </sheetView>
  </sheetViews>
  <sheetFormatPr defaultColWidth="9" defaultRowHeight="20" customHeight="1" outlineLevelCol="5"/>
  <cols>
    <col min="1" max="1" width="21.5" customWidth="1"/>
    <col min="2" max="2" width="30.8796296296296" customWidth="1"/>
    <col min="3" max="3" width="7.62962962962963" customWidth="1"/>
    <col min="4" max="4" width="13.75" customWidth="1"/>
    <col min="7" max="7" width="9" style="1"/>
  </cols>
  <sheetData>
    <row r="1" customHeight="1" spans="1:6">
      <c r="A1" s="2" t="s">
        <v>1</v>
      </c>
      <c r="B1" s="2" t="s">
        <v>194</v>
      </c>
      <c r="C1" s="2" t="s">
        <v>188</v>
      </c>
      <c r="D1" s="2" t="s">
        <v>190</v>
      </c>
      <c r="E1" s="2" t="s">
        <v>376</v>
      </c>
      <c r="F1" s="2" t="s">
        <v>377</v>
      </c>
    </row>
    <row r="2" customHeight="1" spans="1:6">
      <c r="A2" s="3" t="s">
        <v>1443</v>
      </c>
      <c r="B2" s="4" t="s">
        <v>312</v>
      </c>
      <c r="C2" s="4" t="str">
        <f>VLOOKUP(B:B,笔记匹配!A:N,2,FALSE)</f>
        <v>筋膜枪</v>
      </c>
      <c r="D2" s="4" t="str">
        <f>VLOOKUP(B:B,笔记匹配!A:N,3,FALSE)</f>
        <v>郝有金</v>
      </c>
      <c r="E2" s="5">
        <v>0.0246153846153846</v>
      </c>
      <c r="F2" s="3"/>
    </row>
    <row r="3" customHeight="1" spans="1:6">
      <c r="A3" s="3" t="s">
        <v>1443</v>
      </c>
      <c r="B3" s="3" t="s">
        <v>296</v>
      </c>
      <c r="C3" s="4" t="str">
        <f>VLOOKUP(B:B,笔记匹配!A:N,2,FALSE)</f>
        <v>筋膜枪</v>
      </c>
      <c r="D3" s="4" t="str">
        <f>VLOOKUP(B:B,笔记匹配!A:N,3,FALSE)</f>
        <v>元气芥末酱</v>
      </c>
      <c r="E3" s="5">
        <v>0.0221324842742874</v>
      </c>
      <c r="F3" s="3"/>
    </row>
    <row r="4" customHeight="1" spans="1:6">
      <c r="A4" s="3" t="s">
        <v>1443</v>
      </c>
      <c r="B4" s="3" t="s">
        <v>476</v>
      </c>
      <c r="C4" s="4" t="str">
        <f>VLOOKUP(B:B,笔记匹配!A:N,2,FALSE)</f>
        <v>筋膜枪</v>
      </c>
      <c r="D4" s="4" t="str">
        <f>VLOOKUP(B:B,笔记匹配!A:N,3,FALSE)</f>
        <v>雪碧要加冰-</v>
      </c>
      <c r="E4" s="5">
        <v>0.0178571428571428</v>
      </c>
      <c r="F4" s="3"/>
    </row>
    <row r="5" customHeight="1" spans="1:6">
      <c r="A5" s="3" t="s">
        <v>1443</v>
      </c>
      <c r="B5" s="3" t="s">
        <v>581</v>
      </c>
      <c r="C5" s="4" t="str">
        <f>VLOOKUP(B:B,笔记匹配!A:N,2,FALSE)</f>
        <v>筋膜枪</v>
      </c>
      <c r="D5" s="4" t="str">
        <f>VLOOKUP(B:B,笔记匹配!A:N,3,FALSE)</f>
        <v>木子棋Kiki</v>
      </c>
      <c r="E5" s="5">
        <v>0.015370284117373</v>
      </c>
      <c r="F5" s="3"/>
    </row>
    <row r="6" customHeight="1" spans="1:6">
      <c r="A6" s="3" t="s">
        <v>1443</v>
      </c>
      <c r="B6" s="4" t="s">
        <v>220</v>
      </c>
      <c r="C6" s="4" t="str">
        <f>VLOOKUP(B:B,笔记匹配!A:N,2,FALSE)</f>
        <v>筋膜枪</v>
      </c>
      <c r="D6" s="4" t="str">
        <f>VLOOKUP(B:B,笔记匹配!A:N,3,FALSE)</f>
        <v>一颗西兰花fa</v>
      </c>
      <c r="E6" s="5">
        <v>0.0106673960612691</v>
      </c>
      <c r="F6" s="3"/>
    </row>
    <row r="7" customHeight="1" spans="1:6">
      <c r="A7" s="3" t="s">
        <v>1443</v>
      </c>
      <c r="B7" s="3" t="s">
        <v>201</v>
      </c>
      <c r="C7" s="4" t="str">
        <f>VLOOKUP(B:B,笔记匹配!A:N,2,FALSE)</f>
        <v>筋膜枪</v>
      </c>
      <c r="D7" s="4" t="str">
        <f>VLOOKUP(B:B,笔记匹配!A:N,3,FALSE)</f>
        <v>包子熟了</v>
      </c>
      <c r="E7" s="5">
        <v>0.00787594168868016</v>
      </c>
      <c r="F7" s="3"/>
    </row>
    <row r="8" customHeight="1" spans="1:6">
      <c r="A8" s="3" t="s">
        <v>1443</v>
      </c>
      <c r="B8" s="3" t="s">
        <v>223</v>
      </c>
      <c r="C8" s="4" t="str">
        <f>VLOOKUP(B:B,笔记匹配!A:N,2,FALSE)</f>
        <v>筋膜枪</v>
      </c>
      <c r="D8" s="4" t="str">
        <f>VLOOKUP(B:B,笔记匹配!A:N,3,FALSE)</f>
        <v>樱丸小桃子</v>
      </c>
      <c r="E8" s="5">
        <v>0.00570613409415121</v>
      </c>
      <c r="F8" s="3"/>
    </row>
    <row r="9" customHeight="1" spans="1:6">
      <c r="A9" s="3" t="s">
        <v>1443</v>
      </c>
      <c r="B9" s="3" t="s">
        <v>452</v>
      </c>
      <c r="C9" s="4" t="str">
        <f>VLOOKUP(B:B,笔记匹配!A:N,2,FALSE)</f>
        <v>筋膜枪</v>
      </c>
      <c r="D9" s="4" t="str">
        <f>VLOOKUP(B:B,笔记匹配!A:N,3,FALSE)</f>
        <v>Bruce小厮</v>
      </c>
      <c r="E9" s="5">
        <v>0.00547045951859956</v>
      </c>
      <c r="F9" s="3"/>
    </row>
    <row r="10" customHeight="1" spans="1:6">
      <c r="A10" s="3" t="s">
        <v>1443</v>
      </c>
      <c r="B10" s="3" t="s">
        <v>277</v>
      </c>
      <c r="C10" s="4" t="str">
        <f>VLOOKUP(B:B,笔记匹配!A:N,2,FALSE)</f>
        <v>筋膜枪</v>
      </c>
      <c r="D10" s="4" t="str">
        <f>VLOOKUP(B:B,笔记匹配!A:N,3,FALSE)</f>
        <v>一颗小糖果w</v>
      </c>
      <c r="E10" s="5">
        <v>0.00506756756756756</v>
      </c>
      <c r="F10" s="3"/>
    </row>
    <row r="11" customHeight="1" spans="1:6">
      <c r="A11" s="3" t="s">
        <v>1443</v>
      </c>
      <c r="B11" s="3" t="s">
        <v>558</v>
      </c>
      <c r="C11" s="4" t="str">
        <f>VLOOKUP(B:B,笔记匹配!A:N,2,FALSE)</f>
        <v>筋膜枪</v>
      </c>
      <c r="D11" s="4" t="str">
        <f>VLOOKUP(B:B,笔记匹配!A:N,3,FALSE)</f>
        <v>臃肿大白鹅</v>
      </c>
      <c r="E11" s="5">
        <v>0.0038860103626943</v>
      </c>
      <c r="F11" s="3"/>
    </row>
    <row r="12" customHeight="1" spans="1:6">
      <c r="A12" s="3" t="s">
        <v>1443</v>
      </c>
      <c r="B12" s="3" t="s">
        <v>317</v>
      </c>
      <c r="C12" s="4" t="str">
        <f>VLOOKUP(B:B,笔记匹配!A:N,2,FALSE)</f>
        <v>筋膜枪</v>
      </c>
      <c r="D12" s="4" t="str">
        <f>VLOOKUP(B:B,笔记匹配!A:N,3,FALSE)</f>
        <v>小乔您了</v>
      </c>
      <c r="E12" s="5">
        <v>0.00372803124445233</v>
      </c>
      <c r="F12" s="3"/>
    </row>
    <row r="13" customHeight="1" spans="1:6">
      <c r="A13" s="3" t="s">
        <v>1443</v>
      </c>
      <c r="B13" s="3" t="s">
        <v>561</v>
      </c>
      <c r="C13" s="4" t="str">
        <f>VLOOKUP(B:B,笔记匹配!A:N,2,FALSE)</f>
        <v>筋膜枪</v>
      </c>
      <c r="D13" s="4" t="str">
        <f>VLOOKUP(B:B,笔记匹配!A:N,3,FALSE)</f>
        <v>小小柯尔鸭</v>
      </c>
      <c r="E13" s="5">
        <v>0.00361010830324909</v>
      </c>
      <c r="F13" s="3"/>
    </row>
    <row r="14" customHeight="1" spans="1:6">
      <c r="A14" s="3" t="s">
        <v>1443</v>
      </c>
      <c r="B14" s="3" t="s">
        <v>488</v>
      </c>
      <c r="C14" s="4" t="str">
        <f>VLOOKUP(B:B,笔记匹配!A:N,2,FALSE)</f>
        <v>筋膜枪</v>
      </c>
      <c r="D14" s="4" t="str">
        <f>VLOOKUP(B:B,笔记匹配!A:N,3,FALSE)</f>
        <v>板野友美iii</v>
      </c>
      <c r="E14" s="5">
        <v>0.00251889168765743</v>
      </c>
      <c r="F14" s="3"/>
    </row>
    <row r="15" customHeight="1" spans="1:6">
      <c r="A15" s="3" t="s">
        <v>1443</v>
      </c>
      <c r="B15" s="3" t="s">
        <v>559</v>
      </c>
      <c r="C15" s="4" t="str">
        <f>VLOOKUP(B:B,笔记匹配!A:N,2,FALSE)</f>
        <v>筋膜枪</v>
      </c>
      <c r="D15" s="4" t="str">
        <f>VLOOKUP(B:B,笔记匹配!A:N,3,FALSE)</f>
        <v>高凯元</v>
      </c>
      <c r="E15" s="5">
        <v>0.00214362272240085</v>
      </c>
      <c r="F15" s="3"/>
    </row>
    <row r="16" customHeight="1" spans="1:6">
      <c r="A16" s="3" t="s">
        <v>1443</v>
      </c>
      <c r="B16" s="3" t="s">
        <v>556</v>
      </c>
      <c r="C16" s="4" t="str">
        <f>VLOOKUP(B:B,笔记匹配!A:N,2,FALSE)</f>
        <v>筋膜枪</v>
      </c>
      <c r="D16" s="4" t="str">
        <f>VLOOKUP(B:B,笔记匹配!A:N,3,FALSE)</f>
        <v>芋泥团团茶</v>
      </c>
      <c r="E16" s="5">
        <v>0.00203252032520325</v>
      </c>
      <c r="F16" s="3"/>
    </row>
    <row r="17" customHeight="1" spans="1:6">
      <c r="A17" s="3" t="s">
        <v>1443</v>
      </c>
      <c r="B17" s="3" t="s">
        <v>214</v>
      </c>
      <c r="C17" s="4" t="str">
        <f>VLOOKUP(B:B,笔记匹配!A:N,2,FALSE)</f>
        <v>筋膜枪</v>
      </c>
      <c r="D17" s="4" t="str">
        <f>VLOOKUP(B:B,笔记匹配!A:N,3,FALSE)</f>
        <v>Zora張張</v>
      </c>
      <c r="E17" s="5">
        <v>0.00150715900527505</v>
      </c>
      <c r="F17" s="3"/>
    </row>
    <row r="18" customHeight="1" spans="1:6">
      <c r="A18" s="3" t="s">
        <v>1443</v>
      </c>
      <c r="B18" s="3" t="s">
        <v>555</v>
      </c>
      <c r="C18" s="4" t="str">
        <f>VLOOKUP(B:B,笔记匹配!A:N,2,FALSE)</f>
        <v>筋膜枪</v>
      </c>
      <c r="D18" s="4" t="str">
        <f>VLOOKUP(B:B,笔记匹配!A:N,3,FALSE)</f>
        <v>蜜桃少女宁小美</v>
      </c>
      <c r="E18" s="5">
        <v>0.0014367816091954</v>
      </c>
      <c r="F18" s="3"/>
    </row>
    <row r="19" customHeight="1" spans="1:6">
      <c r="A19" s="3" t="s">
        <v>1443</v>
      </c>
      <c r="B19" s="3" t="s">
        <v>568</v>
      </c>
      <c r="C19" s="4" t="str">
        <f>VLOOKUP(B:B,笔记匹配!A:N,2,FALSE)</f>
        <v>筋膜枪</v>
      </c>
      <c r="D19" s="4" t="str">
        <f>VLOOKUP(B:B,笔记匹配!A:N,3,FALSE)</f>
        <v>小刘爱游泳</v>
      </c>
      <c r="E19" s="5">
        <v>0.00119617224880382</v>
      </c>
      <c r="F19" s="3"/>
    </row>
    <row r="20" customHeight="1" spans="1:6">
      <c r="A20" s="3" t="s">
        <v>1443</v>
      </c>
      <c r="B20" s="3" t="s">
        <v>570</v>
      </c>
      <c r="C20" s="4" t="str">
        <f>VLOOKUP(B:B,笔记匹配!A:N,2,FALSE)</f>
        <v>筋膜枪</v>
      </c>
      <c r="D20" s="4" t="str">
        <f>VLOOKUP(B:B,笔记匹配!A:N,3,FALSE)</f>
        <v>国产收音机X</v>
      </c>
      <c r="E20" s="5">
        <v>0.000871991628880362</v>
      </c>
      <c r="F20" s="3"/>
    </row>
    <row r="21" customHeight="1" spans="1:6">
      <c r="A21" s="3" t="s">
        <v>1443</v>
      </c>
      <c r="B21" s="3" t="s">
        <v>577</v>
      </c>
      <c r="C21" s="4" t="str">
        <f>VLOOKUP(B:B,笔记匹配!A:N,2,FALSE)</f>
        <v>筋膜枪</v>
      </c>
      <c r="D21" s="4" t="str">
        <f>VLOOKUP(B:B,笔记匹配!A:N,3,FALSE)</f>
        <v>阿三啊</v>
      </c>
      <c r="E21" s="5">
        <v>0.000723589001447178</v>
      </c>
      <c r="F21" s="3"/>
    </row>
    <row r="22" customHeight="1" spans="1:6">
      <c r="A22" s="3" t="s">
        <v>1443</v>
      </c>
      <c r="B22" s="3" t="s">
        <v>573</v>
      </c>
      <c r="C22" s="4" t="str">
        <f>VLOOKUP(B:B,笔记匹配!A:N,2,FALSE)</f>
        <v>筋膜枪</v>
      </c>
      <c r="D22" s="4" t="str">
        <f>VLOOKUP(B:B,笔记匹配!A:N,3,FALSE)</f>
        <v>JJJJackson</v>
      </c>
      <c r="E22" s="5">
        <v>0.000485790624240952</v>
      </c>
      <c r="F22" s="3"/>
    </row>
    <row r="23" customHeight="1" spans="1:6">
      <c r="A23" s="3" t="s">
        <v>1443</v>
      </c>
      <c r="B23" s="4" t="s">
        <v>554</v>
      </c>
      <c r="C23" s="4" t="str">
        <f>VLOOKUP(B:B,笔记匹配!A:N,2,FALSE)</f>
        <v>筋膜枪</v>
      </c>
      <c r="D23" s="4" t="str">
        <f>VLOOKUP(B:B,笔记匹配!A:N,3,FALSE)</f>
        <v>咦同学</v>
      </c>
      <c r="E23" s="5">
        <v>0.000374064837905236</v>
      </c>
      <c r="F23" s="3"/>
    </row>
    <row r="24" customHeight="1" spans="1:6">
      <c r="A24" s="3" t="s">
        <v>1443</v>
      </c>
      <c r="B24" s="4" t="s">
        <v>274</v>
      </c>
      <c r="C24" s="4" t="str">
        <f>VLOOKUP(B:B,笔记匹配!A:N,2,FALSE)</f>
        <v>筋膜枪</v>
      </c>
      <c r="D24" s="4" t="str">
        <f>VLOOKUP(B:B,笔记匹配!A:N,3,FALSE)</f>
        <v>西米是个小可爱</v>
      </c>
      <c r="E24" s="5">
        <v>0.000361061835763959</v>
      </c>
      <c r="F24" s="3"/>
    </row>
    <row r="25" customHeight="1" spans="1:6">
      <c r="A25" s="3" t="s">
        <v>1443</v>
      </c>
      <c r="B25" s="3" t="s">
        <v>575</v>
      </c>
      <c r="C25" s="4" t="str">
        <f>VLOOKUP(B:B,笔记匹配!A:N,2,FALSE)</f>
        <v>筋膜枪</v>
      </c>
      <c r="D25" s="4" t="str">
        <f>VLOOKUP(B:B,笔记匹配!A:N,3,FALSE)</f>
        <v>跑酷莫承烽</v>
      </c>
      <c r="E25" s="5">
        <v>0.000298418382572366</v>
      </c>
      <c r="F25" s="3"/>
    </row>
    <row r="26" customHeight="1" spans="1:6">
      <c r="A26" s="3" t="s">
        <v>1443</v>
      </c>
      <c r="B26" s="4" t="s">
        <v>292</v>
      </c>
      <c r="C26" s="4" t="str">
        <f>VLOOKUP(B:B,笔记匹配!A:N,2,FALSE)</f>
        <v>筋膜枪</v>
      </c>
      <c r="D26" s="4" t="str">
        <f>VLOOKUP(B:B,笔记匹配!A:N,3,FALSE)</f>
        <v>形体矫正小李</v>
      </c>
      <c r="E26" s="5">
        <v>0.000179539660310962</v>
      </c>
      <c r="F26" s="3"/>
    </row>
    <row r="27" customHeight="1" spans="1:6">
      <c r="A27" s="3" t="s">
        <v>1443</v>
      </c>
      <c r="B27" s="3" t="s">
        <v>565</v>
      </c>
      <c r="C27" s="4" t="str">
        <f>VLOOKUP(B:B,笔记匹配!A:N,2,FALSE)</f>
        <v>筋膜枪</v>
      </c>
      <c r="D27" s="4" t="str">
        <f>VLOOKUP(B:B,笔记匹配!A:N,3,FALSE)</f>
        <v>林然Tolyn</v>
      </c>
      <c r="E27" s="5">
        <v>0.000144029958231312</v>
      </c>
      <c r="F27" s="3"/>
    </row>
    <row r="28" customHeight="1" spans="1:6">
      <c r="A28" s="3" t="s">
        <v>1443</v>
      </c>
      <c r="B28" s="4" t="s">
        <v>400</v>
      </c>
      <c r="C28" s="4" t="str">
        <f>VLOOKUP(B:B,笔记匹配!A:N,2,FALSE)</f>
        <v>筋膜枪</v>
      </c>
      <c r="D28" s="4" t="str">
        <f>VLOOKUP(B:B,笔记匹配!A:N,3,FALSE)</f>
        <v>小雪教瑜伽</v>
      </c>
      <c r="E28" s="5">
        <v>0.000131978355549689</v>
      </c>
      <c r="F28" s="3"/>
    </row>
    <row r="29" customHeight="1" spans="1:6">
      <c r="A29" s="3" t="s">
        <v>1443</v>
      </c>
      <c r="B29" s="3" t="s">
        <v>579</v>
      </c>
      <c r="C29" s="4" t="str">
        <f>VLOOKUP(B:B,笔记匹配!A:N,2,FALSE)</f>
        <v>筋膜枪</v>
      </c>
      <c r="D29" s="4" t="str">
        <f>VLOOKUP(B:B,笔记匹配!A:N,3,FALSE)</f>
        <v>Lucas雨田</v>
      </c>
      <c r="E29" s="5">
        <v>2.90115756186718e-5</v>
      </c>
      <c r="F29" s="3"/>
    </row>
    <row r="30" customHeight="1" spans="1:6">
      <c r="A30" s="3" t="s">
        <v>1443</v>
      </c>
      <c r="B30" s="4" t="s">
        <v>208</v>
      </c>
      <c r="C30" s="4" t="str">
        <f>VLOOKUP(B:B,笔记匹配!A:N,2,FALSE)</f>
        <v>筋膜枪</v>
      </c>
      <c r="D30" s="4" t="str">
        <f>VLOOKUP(B:B,笔记匹配!A:N,3,FALSE)</f>
        <v>小羊羔崽子</v>
      </c>
      <c r="E30" s="5">
        <v>0</v>
      </c>
      <c r="F30" s="3"/>
    </row>
    <row r="31" customHeight="1" spans="1:6">
      <c r="A31" s="3" t="s">
        <v>1443</v>
      </c>
      <c r="B31" s="3" t="s">
        <v>271</v>
      </c>
      <c r="C31" s="4" t="str">
        <f>VLOOKUP(B:B,笔记匹配!A:N,2,FALSE)</f>
        <v>筋膜枪</v>
      </c>
      <c r="D31" s="4" t="str">
        <f>VLOOKUP(B:B,笔记匹配!A:N,3,FALSE)</f>
        <v>爱健身的陈淼淼</v>
      </c>
      <c r="E31" s="5">
        <v>0</v>
      </c>
      <c r="F31" s="3"/>
    </row>
    <row r="32" customHeight="1" spans="1:6">
      <c r="A32" s="3" t="s">
        <v>1443</v>
      </c>
      <c r="B32" s="3" t="s">
        <v>228</v>
      </c>
      <c r="C32" s="4" t="str">
        <f>VLOOKUP(B:B,笔记匹配!A:N,2,FALSE)</f>
        <v>筋膜枪</v>
      </c>
      <c r="D32" s="4" t="str">
        <f>VLOOKUP(B:B,笔记匹配!A:N,3,FALSE)</f>
        <v>语宸要做插画师</v>
      </c>
      <c r="E32" s="5">
        <v>0</v>
      </c>
      <c r="F32" s="3"/>
    </row>
    <row r="33" customHeight="1" spans="1:6">
      <c r="A33" s="3" t="s">
        <v>1443</v>
      </c>
      <c r="B33" s="3" t="s">
        <v>252</v>
      </c>
      <c r="C33" s="4" t="str">
        <f>VLOOKUP(B:B,笔记匹配!A:N,2,FALSE)</f>
        <v>筋膜枪</v>
      </c>
      <c r="D33" s="4" t="str">
        <f>VLOOKUP(B:B,笔记匹配!A:N,3,FALSE)</f>
        <v>脆鱼日记</v>
      </c>
      <c r="E33" s="5">
        <v>0</v>
      </c>
      <c r="F33" s="3"/>
    </row>
    <row r="34" customHeight="1" spans="1:6">
      <c r="A34" s="3" t="s">
        <v>1443</v>
      </c>
      <c r="B34" s="3" t="s">
        <v>300</v>
      </c>
      <c r="C34" s="4" t="str">
        <f>VLOOKUP(B:B,笔记匹配!A:N,2,FALSE)</f>
        <v>筋膜枪</v>
      </c>
      <c r="D34" s="4" t="str">
        <f>VLOOKUP(B:B,笔记匹配!A:N,3,FALSE)</f>
        <v>朱俊畅</v>
      </c>
      <c r="E34" s="5">
        <v>0</v>
      </c>
      <c r="F34" s="3"/>
    </row>
    <row r="35" customHeight="1" spans="1:6">
      <c r="A35" s="3" t="s">
        <v>1443</v>
      </c>
      <c r="B35" s="3" t="s">
        <v>543</v>
      </c>
      <c r="C35" s="4" t="str">
        <f>VLOOKUP(B:B,笔记匹配!A:N,2,FALSE)</f>
        <v>筋膜枪</v>
      </c>
      <c r="D35" s="4" t="str">
        <f>VLOOKUP(B:B,笔记匹配!A:N,3,FALSE)</f>
        <v>健康营养师格格</v>
      </c>
      <c r="E35" s="5">
        <v>0</v>
      </c>
      <c r="F35" s="3"/>
    </row>
    <row r="36" customHeight="1" spans="1:6">
      <c r="A36" s="3" t="s">
        <v>1443</v>
      </c>
      <c r="B36" s="3" t="s">
        <v>462</v>
      </c>
      <c r="C36" s="4" t="str">
        <f>VLOOKUP(B:B,笔记匹配!A:N,2,FALSE)</f>
        <v>筋膜枪</v>
      </c>
      <c r="D36" s="4" t="str">
        <f>VLOOKUP(B:B,笔记匹配!A:N,3,FALSE)</f>
        <v>爱梨</v>
      </c>
      <c r="E36" s="5">
        <v>0</v>
      </c>
      <c r="F36" s="3"/>
    </row>
    <row r="37" customHeight="1" spans="1:6">
      <c r="A37" s="3" t="s">
        <v>1443</v>
      </c>
      <c r="B37" s="3" t="s">
        <v>284</v>
      </c>
      <c r="C37" s="4" t="str">
        <f>VLOOKUP(B:B,笔记匹配!A:N,2,FALSE)</f>
        <v>筋膜枪</v>
      </c>
      <c r="D37" s="4" t="str">
        <f>VLOOKUP(B:B,笔记匹配!A:N,3,FALSE)</f>
        <v>周周也是倩倩</v>
      </c>
      <c r="E37" s="5">
        <v>0</v>
      </c>
      <c r="F37" s="3"/>
    </row>
    <row r="38" customHeight="1" spans="1:6">
      <c r="A38" s="3" t="s">
        <v>1443</v>
      </c>
      <c r="B38" s="3" t="s">
        <v>264</v>
      </c>
      <c r="C38" s="4" t="str">
        <f>VLOOKUP(B:B,笔记匹配!A:N,2,FALSE)</f>
        <v>筋膜枪</v>
      </c>
      <c r="D38" s="4" t="str">
        <f>VLOOKUP(B:B,笔记匹配!A:N,3,FALSE)</f>
        <v>BD方丈</v>
      </c>
      <c r="E38" s="5">
        <v>0</v>
      </c>
      <c r="F38" s="3"/>
    </row>
    <row r="39" customHeight="1" spans="1:6">
      <c r="A39" s="3" t="s">
        <v>1443</v>
      </c>
      <c r="B39" s="3" t="s">
        <v>382</v>
      </c>
      <c r="C39" s="4" t="str">
        <f>VLOOKUP(B:B,笔记匹配!A:N,2,FALSE)</f>
        <v>筋膜枪</v>
      </c>
      <c r="D39" s="4" t="str">
        <f>VLOOKUP(B:B,笔记匹配!A:N,3,FALSE)</f>
        <v>玩长板的慧慧</v>
      </c>
      <c r="E39" s="5">
        <v>0</v>
      </c>
      <c r="F39" s="3"/>
    </row>
    <row r="40" customHeight="1" spans="1:6">
      <c r="A40" s="3" t="s">
        <v>1443</v>
      </c>
      <c r="B40" s="3" t="s">
        <v>552</v>
      </c>
      <c r="C40" s="4" t="str">
        <f>VLOOKUP(B:B,笔记匹配!A:N,2,FALSE)</f>
        <v>筋膜枪</v>
      </c>
      <c r="D40" s="4" t="str">
        <f>VLOOKUP(B:B,笔记匹配!A:N,3,FALSE)</f>
        <v>thePans.</v>
      </c>
      <c r="E40" s="5">
        <v>0</v>
      </c>
      <c r="F40" s="3"/>
    </row>
    <row r="41" customHeight="1" spans="1:6">
      <c r="A41" s="3" t="s">
        <v>1443</v>
      </c>
      <c r="B41" s="3" t="s">
        <v>234</v>
      </c>
      <c r="C41" s="4" t="str">
        <f>VLOOKUP(B:B,笔记匹配!A:N,2,FALSE)</f>
        <v>体脂秤</v>
      </c>
      <c r="D41" s="4" t="str">
        <f>VLOOKUP(B:B,笔记匹配!A:N,3,FALSE)</f>
        <v>pp</v>
      </c>
      <c r="E41" s="5">
        <v>0.0043</v>
      </c>
      <c r="F41" s="3"/>
    </row>
    <row r="42" customHeight="1" spans="1:6">
      <c r="A42" s="3" t="s">
        <v>1443</v>
      </c>
      <c r="B42" s="3" t="s">
        <v>280</v>
      </c>
      <c r="C42" s="4" t="str">
        <f>VLOOKUP(B:B,笔记匹配!A:N,2,FALSE)</f>
        <v>体脂秤</v>
      </c>
      <c r="D42" s="4" t="str">
        <f>VLOOKUP(B:B,笔记匹配!A:N,3,FALSE)</f>
        <v>来一杯毛豆</v>
      </c>
      <c r="E42" s="5">
        <v>0.0029</v>
      </c>
      <c r="F42" s="3"/>
    </row>
    <row r="43" customHeight="1" spans="1:6">
      <c r="A43" s="3" t="s">
        <v>1443</v>
      </c>
      <c r="B43" s="3" t="s">
        <v>241</v>
      </c>
      <c r="C43" s="4" t="str">
        <f>VLOOKUP(B:B,笔记匹配!A:N,2,FALSE)</f>
        <v>体脂秤</v>
      </c>
      <c r="D43" s="4" t="str">
        <f>VLOOKUP(B:B,笔记匹配!A:N,3,FALSE)</f>
        <v>秦亲亲</v>
      </c>
      <c r="E43" s="5">
        <v>0.0027</v>
      </c>
      <c r="F43" s="3"/>
    </row>
    <row r="44" customHeight="1" spans="1:6">
      <c r="A44" s="3" t="s">
        <v>1443</v>
      </c>
      <c r="B44" s="3" t="s">
        <v>255</v>
      </c>
      <c r="C44" s="4" t="str">
        <f>VLOOKUP(B:B,笔记匹配!A:N,2,FALSE)</f>
        <v>体脂秤</v>
      </c>
      <c r="D44" s="4" t="str">
        <f>VLOOKUP(B:B,笔记匹配!A:N,3,FALSE)</f>
        <v>趁早早呀</v>
      </c>
      <c r="E44" s="5">
        <v>0.0016</v>
      </c>
      <c r="F44" s="3"/>
    </row>
    <row r="45" customHeight="1" spans="1:6">
      <c r="A45" s="3" t="s">
        <v>1443</v>
      </c>
      <c r="B45" s="3" t="s">
        <v>434</v>
      </c>
      <c r="C45" s="4" t="str">
        <f>VLOOKUP(B:B,笔记匹配!A:N,2,FALSE)</f>
        <v>体脂秤</v>
      </c>
      <c r="D45" s="4" t="str">
        <f>VLOOKUP(B:B,笔记匹配!A:N,3,FALSE)</f>
        <v>诸葛亮晶晶</v>
      </c>
      <c r="E45" s="5">
        <v>0.0008</v>
      </c>
      <c r="F45" s="3"/>
    </row>
    <row r="46" customHeight="1" spans="1:6">
      <c r="A46" s="3" t="s">
        <v>1443</v>
      </c>
      <c r="B46" s="3" t="s">
        <v>307</v>
      </c>
      <c r="C46" s="4" t="str">
        <f>VLOOKUP(B:B,笔记匹配!A:N,2,FALSE)</f>
        <v>体脂秤</v>
      </c>
      <c r="D46" s="4" t="str">
        <f>VLOOKUP(B:B,笔记匹配!A:N,3,FALSE)</f>
        <v>小甜心</v>
      </c>
      <c r="E46" s="5">
        <v>0.0007</v>
      </c>
      <c r="F46" s="3"/>
    </row>
    <row r="47" customHeight="1" spans="1:6">
      <c r="A47" s="3" t="s">
        <v>1443</v>
      </c>
      <c r="B47" s="3" t="s">
        <v>238</v>
      </c>
      <c r="C47" s="4" t="str">
        <f>VLOOKUP(B:B,笔记匹配!A:N,2,FALSE)</f>
        <v>体脂秤</v>
      </c>
      <c r="D47" s="4" t="str">
        <f>VLOOKUP(B:B,笔记匹配!A:N,3,FALSE)</f>
        <v>小岛大瑀</v>
      </c>
      <c r="E47" s="5">
        <v>0.0006</v>
      </c>
      <c r="F47" s="3"/>
    </row>
    <row r="48" customHeight="1" spans="1:6">
      <c r="A48" s="3" t="s">
        <v>1443</v>
      </c>
      <c r="B48" s="3" t="s">
        <v>303</v>
      </c>
      <c r="C48" s="4" t="str">
        <f>VLOOKUP(B:B,笔记匹配!A:N,2,FALSE)</f>
        <v>体脂秤</v>
      </c>
      <c r="D48" s="4" t="str">
        <f>VLOOKUP(B:B,笔记匹配!A:N,3,FALSE)</f>
        <v>橘子汽水</v>
      </c>
      <c r="E48" s="5">
        <v>0.0002</v>
      </c>
      <c r="F48" s="3"/>
    </row>
    <row r="49" customHeight="1" spans="1:6">
      <c r="A49" s="3" t="s">
        <v>1443</v>
      </c>
      <c r="B49" s="3" t="s">
        <v>439</v>
      </c>
      <c r="C49" s="4" t="str">
        <f>VLOOKUP(B:B,笔记匹配!A:N,2,FALSE)</f>
        <v>体脂秤</v>
      </c>
      <c r="D49" s="4" t="str">
        <f>VLOOKUP(B:B,笔记匹配!A:N,3,FALSE)</f>
        <v>索菲亚的冻龄秘密</v>
      </c>
      <c r="E49" s="5">
        <v>0.0002</v>
      </c>
      <c r="F49" s="3"/>
    </row>
    <row r="50" customHeight="1" spans="1:6">
      <c r="A50" s="3" t="s">
        <v>1443</v>
      </c>
      <c r="B50" s="3" t="s">
        <v>267</v>
      </c>
      <c r="C50" s="4" t="str">
        <f>VLOOKUP(B:B,笔记匹配!A:N,2,FALSE)</f>
        <v>体脂秤</v>
      </c>
      <c r="D50" s="4" t="str">
        <f>VLOOKUP(B:B,笔记匹配!A:N,3,FALSE)</f>
        <v>晚一子</v>
      </c>
      <c r="E50" s="5">
        <v>0.0002</v>
      </c>
      <c r="F50" s="3"/>
    </row>
  </sheetData>
  <autoFilter ref="A1:F50">
    <sortState ref="A1:F50">
      <sortCondition ref="E1" descending="1"/>
    </sortState>
    <extLst/>
  </autoFilter>
  <conditionalFormatting sqref="B2:C2 D2:D40 C3:C40">
    <cfRule type="duplicateValues" dxfId="572" priority="7"/>
  </conditionalFormatting>
  <conditionalFormatting sqref="D41:D42 C41:C42">
    <cfRule type="duplicateValues" dxfId="572" priority="5"/>
  </conditionalFormatting>
  <conditionalFormatting sqref="D43:D44 C43:C44">
    <cfRule type="duplicateValues" dxfId="572" priority="4"/>
  </conditionalFormatting>
  <conditionalFormatting sqref="D45:D46 C45:C46">
    <cfRule type="duplicateValues" dxfId="572" priority="3"/>
  </conditionalFormatting>
  <conditionalFormatting sqref="D47:D48 C47:C48">
    <cfRule type="duplicateValues" dxfId="572" priority="2"/>
  </conditionalFormatting>
  <conditionalFormatting sqref="D49:D50 C49:C50">
    <cfRule type="duplicateValues" dxfId="572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总消费</vt:lpstr>
      <vt:lpstr>笔记日报</vt:lpstr>
      <vt:lpstr>投放进度</vt:lpstr>
      <vt:lpstr>笔记数据看板</vt:lpstr>
      <vt:lpstr>笔记数据自定义</vt:lpstr>
      <vt:lpstr>笔记匹配</vt:lpstr>
      <vt:lpstr>日报数据源</vt:lpstr>
      <vt:lpstr>筋膜枪cc进度数据源</vt:lpstr>
      <vt:lpstr>筋膜枪pb2进度数据源</vt:lpstr>
      <vt:lpstr>跳绳2go进度数据源</vt:lpstr>
      <vt:lpstr>信息流数据源</vt:lpstr>
      <vt:lpstr>搜索数据源</vt:lpstr>
      <vt:lpstr>回搜数据源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12131</cp:lastModifiedBy>
  <dcterms:created xsi:type="dcterms:W3CDTF">2022-10-26T13:10:00Z</dcterms:created>
  <dcterms:modified xsi:type="dcterms:W3CDTF">2022-12-19T07:06:00Z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7CD55E2AC1454B9FB97D5AE17BAEBDEC</vt:lpwstr>
  </property>
  <property fmtid="{D5CDD505-2E9C-101B-9397-08002B2CF9AE}" pid="3" name="KSOProductBuildVer">
    <vt:lpwstr>2052-11.1.0.12980</vt:lpwstr>
  </property>
</Properties>
</file>