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Данные с компьютера - Протокол " sheetId="2" r:id="rId5"/>
    <sheet name="Данные с компьютера - Протокол1" sheetId="3" r:id="rId6"/>
    <sheet name="Данные с компьютера - Протокол2" sheetId="4" r:id="rId7"/>
    <sheet name="Данные с компьютера - Протокол3" sheetId="5" r:id="rId8"/>
    <sheet name="Данные с компьютера - Tаблица 1" sheetId="6" r:id="rId9"/>
    <sheet name="Данные с компьютера - Tаблица 3" sheetId="7" r:id="rId10"/>
    <sheet name="Данные с компьютера - Параметры" sheetId="8" r:id="rId11"/>
    <sheet name="Данные с компьютера - Параметр1" sheetId="9" r:id="rId12"/>
    <sheet name="Данные с компьютера - Tаблица 2" sheetId="10" r:id="rId13"/>
    <sheet name="Данные с компьютера - Коэффицие" sheetId="11" r:id="rId14"/>
    <sheet name="Данные с компьютера - Tаблица 4" sheetId="12" r:id="rId15"/>
    <sheet name="Данные с компьютера - Drawings" sheetId="13" r:id="rId16"/>
    <sheet name="Рассчеты - Tаблица 1" sheetId="14" r:id="rId17"/>
    <sheet name="Рассчеты - Коэффициент диффузии" sheetId="15" r:id="rId18"/>
    <sheet name="Рассчеты - D(1_P)" sheetId="16" r:id="rId19"/>
    <sheet name="Рассчеты - Drawings" sheetId="17" r:id="rId20"/>
  </sheets>
</workbook>
</file>

<file path=xl/sharedStrings.xml><?xml version="1.0" encoding="utf-8"?>
<sst xmlns="http://schemas.openxmlformats.org/spreadsheetml/2006/main" uniqueCount="59">
  <si>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</si>
  <si>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</si>
  <si>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</si>
  <si>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</si>
  <si>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Данные с компьютера</t>
  </si>
  <si>
    <t>Протокол измерений. Давление 60 торр</t>
  </si>
  <si>
    <t xml:space="preserve">Данные с компьютера - Протокол </t>
  </si>
  <si>
    <t>Время</t>
  </si>
  <si>
    <t>Значение</t>
  </si>
  <si>
    <t>Логарифм</t>
  </si>
  <si>
    <t>Протокол измерений. Давление 80 торр</t>
  </si>
  <si>
    <t>Данные с компьютера - Протокол1</t>
  </si>
  <si>
    <t>Протокол измерений. Давление 120 торр</t>
  </si>
  <si>
    <t>Данные с компьютера - Протокол2</t>
  </si>
  <si>
    <t>Протокол измерений. Давление 160 торр</t>
  </si>
  <si>
    <t>Данные с компьютера - Протокол3</t>
  </si>
  <si>
    <t>Tаблица 1</t>
  </si>
  <si>
    <t>Данные с компьютера - Tаблица 1</t>
  </si>
  <si>
    <t>Давление (торр)</t>
  </si>
  <si>
    <t>Коэф. диффузии (см^2/с)</t>
  </si>
  <si>
    <t>Погрешность</t>
  </si>
  <si>
    <t>1/Давление (1/атм)</t>
  </si>
  <si>
    <t>Наклон</t>
  </si>
  <si>
    <t>Коэффициент диффузии</t>
  </si>
  <si>
    <t>Tаблица 3</t>
  </si>
  <si>
    <t>Данные с компьютера - Tаблица 3</t>
  </si>
  <si>
    <t>Параметры установки</t>
  </si>
  <si>
    <t>Данные с компьютера - Параметры</t>
  </si>
  <si>
    <t>P</t>
  </si>
  <si>
    <t>98,5 кПа</t>
  </si>
  <si>
    <t>V2</t>
  </si>
  <si>
    <t>(800+-5)см^3</t>
  </si>
  <si>
    <t>V1</t>
  </si>
  <si>
    <t>L/S</t>
  </si>
  <si>
    <t>(11,0+-1)1/см</t>
  </si>
  <si>
    <t>Параметры установки в ходе работы (дел)</t>
  </si>
  <si>
    <t>Данные с компьютера - Параметр1</t>
  </si>
  <si>
    <t>P рабочее</t>
  </si>
  <si>
    <t>P гелия</t>
  </si>
  <si>
    <t>P воздуха</t>
  </si>
  <si>
    <t>Tаблица 2</t>
  </si>
  <si>
    <t>Данные с компьютера - Tаблица 2</t>
  </si>
  <si>
    <t>1/P</t>
  </si>
  <si>
    <t>D</t>
  </si>
  <si>
    <t>j\</t>
  </si>
  <si>
    <t>o-</t>
  </si>
  <si>
    <t>Данные с компьютера - Коэффицие</t>
  </si>
  <si>
    <t>Погрешность (%)</t>
  </si>
  <si>
    <t>Tаблица 4</t>
  </si>
  <si>
    <t>Данные с компьютера - Tаблица 4</t>
  </si>
  <si>
    <t>“All Drawings from the Sheet”</t>
  </si>
  <si>
    <t>Данные с компьютера - Drawings</t>
  </si>
  <si>
    <t>Рассчеты</t>
  </si>
  <si>
    <t>Рассчеты - Tаблица 1</t>
  </si>
  <si>
    <t>Рассчеты - Коэффициент диффузии</t>
  </si>
  <si>
    <t>Давление (Па)</t>
  </si>
  <si>
    <t>D(1/P)</t>
  </si>
  <si>
    <t>Рассчеты - D(1_P)</t>
  </si>
  <si>
    <t>Рассчеты - Drawings</t>
  </si>
</sst>
</file>

<file path=xl/styles.xml><?xml version="1.0" encoding="utf-8"?>
<styleSheet xmlns="http://schemas.openxmlformats.org/spreadsheetml/2006/main">
  <numFmts count="2">
    <numFmt numFmtId="0" formatCode="General"/>
    <numFmt numFmtId="59" formatCode="0.000"/>
  </numFmts>
  <fonts count="11">
    <font>
      <sz val="10"/>
      <color indexed="8"/>
      <name val="Times New Roman"/>
    </font>
    <font>
      <sz val="12"/>
      <color indexed="8"/>
      <name val="Times New Roman"/>
    </font>
    <font>
      <sz val="14"/>
      <color indexed="8"/>
      <name val="Times New Roman"/>
    </font>
    <font>
      <sz val="12"/>
      <color indexed="8"/>
      <name val="Helvetica"/>
    </font>
    <font>
      <u val="single"/>
      <sz val="12"/>
      <color indexed="11"/>
      <name val="Times New Roman"/>
    </font>
    <font>
      <b val="1"/>
      <sz val="10"/>
      <color indexed="8"/>
      <name val="Times New Roman"/>
    </font>
    <font>
      <shadow val="1"/>
      <sz val="12"/>
      <color indexed="17"/>
      <name val="Helvetica"/>
    </font>
    <font>
      <sz val="10"/>
      <color indexed="8"/>
      <name val="Helvetica"/>
    </font>
    <font>
      <shadow val="1"/>
      <sz val="12"/>
      <color indexed="8"/>
      <name val="Helvetica"/>
    </font>
    <font>
      <sz val="11"/>
      <color indexed="8"/>
      <name val="Helvetica"/>
    </font>
    <font>
      <sz val="11"/>
      <color indexed="8"/>
      <name val="Times New Roman"/>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0" fontId="5" fillId="4" borderId="1" applyNumberFormat="0" applyFont="1" applyFill="1" applyBorder="1" applyAlignment="1" applyProtection="0">
      <alignment vertical="top" wrapText="1"/>
    </xf>
    <xf numFmtId="0"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0" fontId="0" borderId="2" applyNumberFormat="1" applyFont="1" applyFill="0" applyBorder="1" applyAlignment="1" applyProtection="0">
      <alignment horizontal="center" vertical="center" wrapText="1"/>
    </xf>
    <xf numFmtId="0" fontId="0" borderId="3"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2" fontId="0" borderId="3" applyNumberFormat="1" applyFont="1" applyFill="0" applyBorder="1" applyAlignment="1" applyProtection="0">
      <alignment vertical="top" wrapText="1"/>
    </xf>
    <xf numFmtId="0" fontId="0" fillId="5" borderId="3" applyNumberFormat="1" applyFont="1" applyFill="1" applyBorder="1" applyAlignment="1" applyProtection="0">
      <alignment vertical="top" wrapText="1"/>
    </xf>
    <xf numFmtId="0" fontId="0" fillId="5" borderId="3" applyNumberFormat="0" applyFont="1" applyFill="1" applyBorder="1" applyAlignment="1" applyProtection="0">
      <alignment vertical="top" wrapText="1"/>
    </xf>
    <xf numFmtId="59" fontId="0" fillId="5" borderId="3" applyNumberFormat="1" applyFont="1" applyFill="1" applyBorder="1" applyAlignment="1" applyProtection="0">
      <alignment vertical="top" wrapText="1"/>
    </xf>
    <xf numFmtId="0" fontId="0" fillId="5" borderId="3" applyNumberFormat="1" applyFont="1" applyFill="1" applyBorder="1" applyAlignment="1" applyProtection="0">
      <alignment horizontal="center" vertical="center" wrapText="1"/>
    </xf>
    <xf numFmtId="0" fontId="0" fillId="5" borderId="3"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2" fontId="0" fillId="5" borderId="3"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6" borderId="4" applyNumberFormat="1" applyFont="1" applyFill="1" applyBorder="1" applyAlignment="1" applyProtection="0">
      <alignment vertical="top" wrapText="1"/>
    </xf>
    <xf numFmtId="49" fontId="0" borderId="5" applyNumberFormat="1" applyFont="1" applyFill="0" applyBorder="1" applyAlignment="1" applyProtection="0">
      <alignment vertical="top" wrapText="1"/>
    </xf>
    <xf numFmtId="49" fontId="5" fillId="6" borderId="6"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fillId="4" borderId="1"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fillId="6" borderId="4" applyNumberFormat="1" applyFont="1" applyFill="1" applyBorder="1" applyAlignment="1" applyProtection="0">
      <alignment vertical="top" wrapText="1"/>
    </xf>
    <xf numFmtId="0" fontId="5" fillId="6"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0" borderId="3" applyNumberFormat="1" applyFont="1" applyFill="0" applyBorder="1" applyAlignment="1" applyProtection="0">
      <alignment horizontal="justify"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e2b700"/>
      <rgbColor rgb="ffdbdbdb"/>
      <rgbColor rgb="fffefefe"/>
      <rgbColor rgb="ffb8b8b8"/>
      <rgbColor rgb="ff51a7f9"/>
      <rgbColor rgb="ff6fbf40"/>
      <rgbColor rgb="ff53abff"/>
      <rgbColor rgb="ff8df252"/>
      <rgbColor rgb="fffbe02b"/>
      <rgbColor rgb="ffffe42b"/>
      <rgbColor rgb="ffef9419"/>
      <rgbColor rgb="ffff9e1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Давление 60 торр</a:t>
            </a:r>
          </a:p>
        </c:rich>
      </c:tx>
      <c:layout>
        <c:manualLayout>
          <c:xMode val="edge"/>
          <c:yMode val="edge"/>
          <c:x val="0.376585"/>
          <c:y val="0"/>
          <c:w val="0.24683"/>
          <c:h val="0.0902778"/>
        </c:manualLayout>
      </c:layout>
      <c:overlay val="1"/>
      <c:spPr>
        <a:noFill/>
        <a:effectLst/>
      </c:spPr>
    </c:title>
    <c:autoTitleDeleted val="1"/>
    <c:plotArea>
      <c:layout>
        <c:manualLayout>
          <c:layoutTarget val="inner"/>
          <c:xMode val="edge"/>
          <c:yMode val="edge"/>
          <c:x val="0.0955966"/>
          <c:y val="0.0902778"/>
          <c:w val="0.86604"/>
          <c:h val="0.843403"/>
        </c:manualLayout>
      </c:layout>
      <c:scatterChart>
        <c:scatterStyle val="lineMarker"/>
        <c:varyColors val="0"/>
        <c:ser>
          <c:idx val="0"/>
          <c:order val="0"/>
          <c:tx>
            <c:strRef>
              <c:f>'Данные с компьютера - Протокол '!$C$2</c:f>
              <c:strCache>
                <c:ptCount val="1"/>
                <c:pt idx="0">
                  <c:v>Логарифм</c:v>
                </c:pt>
              </c:strCache>
            </c:strRef>
          </c:tx>
          <c:spPr>
            <a:solidFill>
              <a:schemeClr val="accent1">
                <a:hueOff val="-53954"/>
                <a:satOff val="-4348"/>
                <a:lumOff val="-11375"/>
              </a:schemeClr>
            </a:solidFill>
            <a:ln w="12700" cap="flat">
              <a:noFill/>
              <a:prstDash val="solid"/>
              <a:miter lim="400000"/>
            </a:ln>
            <a:effectLst/>
          </c:spPr>
          <c:marker>
            <c:symbol val="circle"/>
            <c:size val="8"/>
            <c:spPr>
              <a:solidFill>
                <a:schemeClr val="accent1">
                  <a:hueOff val="-53954"/>
                  <a:satOff val="-4348"/>
                  <a:lumOff val="-11375"/>
                </a:schemeClr>
              </a:solidFill>
              <a:ln w="25400" cap="flat">
                <a:solidFill>
                  <a:schemeClr val="accent1">
                    <a:hueOff val="-53954"/>
                    <a:satOff val="-4348"/>
                    <a:lumOff val="-11375"/>
                  </a:schemeClr>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'Данные с компьютера - Протокол '!$A$3:$A$26</c:f>
              <c:numCache>
                <c:ptCount val="24"/>
                <c:pt idx="0">
                  <c:v>0.000000</c:v>
                </c:pt>
                <c:pt idx="1">
                  <c:v>20.670000</c:v>
                </c:pt>
                <c:pt idx="2">
                  <c:v>41.350000</c:v>
                </c:pt>
                <c:pt idx="3">
                  <c:v>62.020000</c:v>
                </c:pt>
                <c:pt idx="4">
                  <c:v>82.700000</c:v>
                </c:pt>
                <c:pt idx="5">
                  <c:v>103.370000</c:v>
                </c:pt>
                <c:pt idx="6">
                  <c:v>124.040000</c:v>
                </c:pt>
                <c:pt idx="7">
                  <c:v>144.720000</c:v>
                </c:pt>
                <c:pt idx="8">
                  <c:v>165.390000</c:v>
                </c:pt>
                <c:pt idx="9">
                  <c:v>186.070000</c:v>
                </c:pt>
                <c:pt idx="10">
                  <c:v>206.740000</c:v>
                </c:pt>
                <c:pt idx="11">
                  <c:v>227.410000</c:v>
                </c:pt>
                <c:pt idx="12">
                  <c:v>248.090000</c:v>
                </c:pt>
                <c:pt idx="13">
                  <c:v>268.760000</c:v>
                </c:pt>
                <c:pt idx="14">
                  <c:v>289.430000</c:v>
                </c:pt>
                <c:pt idx="15">
                  <c:v>310.110000</c:v>
                </c:pt>
                <c:pt idx="16">
                  <c:v>330.780000</c:v>
                </c:pt>
                <c:pt idx="17">
                  <c:v>351.460000</c:v>
                </c:pt>
                <c:pt idx="18">
                  <c:v>372.130000</c:v>
                </c:pt>
                <c:pt idx="19">
                  <c:v>392.800000</c:v>
                </c:pt>
                <c:pt idx="20">
                  <c:v>413.480000</c:v>
                </c:pt>
                <c:pt idx="21">
                  <c:v>434.150000</c:v>
                </c:pt>
                <c:pt idx="22">
                  <c:v>454.830000</c:v>
                </c:pt>
                <c:pt idx="23">
                  <c:v>475.500000</c:v>
                </c:pt>
              </c:numCache>
            </c:numRef>
          </c:xVal>
          <c:yVal>
            <c:numRef>
              <c:f>'Данные с компьютера - Протокол '!$C$3:$C$26</c:f>
              <c:numCache>
                <c:ptCount val="24"/>
                <c:pt idx="0">
                  <c:v>0.000000</c:v>
                </c:pt>
                <c:pt idx="1">
                  <c:v>-0.031066</c:v>
                </c:pt>
                <c:pt idx="2">
                  <c:v>-0.060625</c:v>
                </c:pt>
                <c:pt idx="3">
                  <c:v>-0.091513</c:v>
                </c:pt>
                <c:pt idx="4">
                  <c:v>-0.121171</c:v>
                </c:pt>
                <c:pt idx="5">
                  <c:v>-0.161366</c:v>
                </c:pt>
                <c:pt idx="6">
                  <c:v>-0.192728</c:v>
                </c:pt>
                <c:pt idx="7">
                  <c:v>-0.218254</c:v>
                </c:pt>
                <c:pt idx="8">
                  <c:v>-0.249467</c:v>
                </c:pt>
                <c:pt idx="9">
                  <c:v>-0.278573</c:v>
                </c:pt>
                <c:pt idx="10">
                  <c:v>-0.310155</c:v>
                </c:pt>
                <c:pt idx="11">
                  <c:v>-0.340559</c:v>
                </c:pt>
                <c:pt idx="12">
                  <c:v>-0.370780</c:v>
                </c:pt>
                <c:pt idx="13">
                  <c:v>-0.399600</c:v>
                </c:pt>
                <c:pt idx="14">
                  <c:v>-0.429276</c:v>
                </c:pt>
                <c:pt idx="15">
                  <c:v>-0.466090</c:v>
                </c:pt>
                <c:pt idx="16">
                  <c:v>-0.494618</c:v>
                </c:pt>
                <c:pt idx="17">
                  <c:v>-0.523984</c:v>
                </c:pt>
                <c:pt idx="18">
                  <c:v>-0.551511</c:v>
                </c:pt>
                <c:pt idx="19">
                  <c:v>-0.578419</c:v>
                </c:pt>
                <c:pt idx="20">
                  <c:v>-0.611838</c:v>
                </c:pt>
                <c:pt idx="21">
                  <c:v>-0.635989</c:v>
                </c:pt>
                <c:pt idx="22">
                  <c:v>-0.667594</c:v>
                </c:pt>
                <c:pt idx="23">
                  <c:v>-0.697076</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15.62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2"/>
        <c:minorUnit val="0.02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Давление 80 торр</a:t>
            </a:r>
          </a:p>
        </c:rich>
      </c:tx>
      <c:layout>
        <c:manualLayout>
          <c:xMode val="edge"/>
          <c:yMode val="edge"/>
          <c:x val="0.376585"/>
          <c:y val="0"/>
          <c:w val="0.24683"/>
          <c:h val="0.0902778"/>
        </c:manualLayout>
      </c:layout>
      <c:overlay val="1"/>
      <c:spPr>
        <a:noFill/>
        <a:effectLst/>
      </c:spPr>
    </c:title>
    <c:autoTitleDeleted val="1"/>
    <c:plotArea>
      <c:layout>
        <c:manualLayout>
          <c:layoutTarget val="inner"/>
          <c:xMode val="edge"/>
          <c:yMode val="edge"/>
          <c:x val="0.0955966"/>
          <c:y val="0.0902778"/>
          <c:w val="0.86604"/>
          <c:h val="0.843403"/>
        </c:manualLayout>
      </c:layout>
      <c:scatterChart>
        <c:scatterStyle val="lineMarker"/>
        <c:varyColors val="0"/>
        <c:ser>
          <c:idx val="0"/>
          <c:order val="0"/>
          <c:tx>
            <c:strRef>
              <c:f>'Данные с компьютера - Протокол1'!$C$2</c:f>
              <c:strCache>
                <c:ptCount val="1"/>
                <c:pt idx="0">
                  <c:v>Логарифм</c:v>
                </c:pt>
              </c:strCache>
            </c:strRef>
          </c:tx>
          <c:spPr>
            <a:solidFill>
              <a:schemeClr val="accent1"/>
            </a:solidFill>
            <a:ln w="12700" cap="flat">
              <a:noFill/>
              <a:prstDash val="solid"/>
              <a:miter lim="400000"/>
            </a:ln>
            <a:effectLst/>
          </c:spPr>
          <c:marker>
            <c:symbol val="circle"/>
            <c:size val="8"/>
            <c:spPr>
              <a:solidFill>
                <a:schemeClr val="accent1"/>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'Данные с компьютера - Протокол1'!$A$3:$A$26</c:f>
              <c:numCache>
                <c:ptCount val="24"/>
                <c:pt idx="0">
                  <c:v>0.000000</c:v>
                </c:pt>
                <c:pt idx="1">
                  <c:v>27.330000</c:v>
                </c:pt>
                <c:pt idx="2">
                  <c:v>54.650000</c:v>
                </c:pt>
                <c:pt idx="3">
                  <c:v>81.980000</c:v>
                </c:pt>
                <c:pt idx="4">
                  <c:v>109.300000</c:v>
                </c:pt>
                <c:pt idx="5">
                  <c:v>136.630000</c:v>
                </c:pt>
                <c:pt idx="6">
                  <c:v>163.960000</c:v>
                </c:pt>
                <c:pt idx="7">
                  <c:v>191.280000</c:v>
                </c:pt>
                <c:pt idx="8">
                  <c:v>218.610000</c:v>
                </c:pt>
                <c:pt idx="9">
                  <c:v>245.930000</c:v>
                </c:pt>
                <c:pt idx="10">
                  <c:v>273.260000</c:v>
                </c:pt>
                <c:pt idx="11">
                  <c:v>300.590000</c:v>
                </c:pt>
                <c:pt idx="12">
                  <c:v>327.910000</c:v>
                </c:pt>
                <c:pt idx="13">
                  <c:v>355.240000</c:v>
                </c:pt>
                <c:pt idx="14">
                  <c:v>382.570000</c:v>
                </c:pt>
                <c:pt idx="15">
                  <c:v>409.890000</c:v>
                </c:pt>
                <c:pt idx="16">
                  <c:v>437.220000</c:v>
                </c:pt>
                <c:pt idx="17">
                  <c:v>464.540000</c:v>
                </c:pt>
                <c:pt idx="18">
                  <c:v>491.870000</c:v>
                </c:pt>
                <c:pt idx="19">
                  <c:v>519.200000</c:v>
                </c:pt>
                <c:pt idx="20">
                  <c:v>546.520000</c:v>
                </c:pt>
                <c:pt idx="21">
                  <c:v>573.850000</c:v>
                </c:pt>
                <c:pt idx="22">
                  <c:v>601.170000</c:v>
                </c:pt>
                <c:pt idx="23">
                  <c:v>628.500000</c:v>
                </c:pt>
              </c:numCache>
            </c:numRef>
          </c:xVal>
          <c:yVal>
            <c:numRef>
              <c:f>'Данные с компьютера - Протокол1'!$C$3:$C$26</c:f>
              <c:numCache>
                <c:ptCount val="24"/>
                <c:pt idx="0">
                  <c:v>0.000000</c:v>
                </c:pt>
                <c:pt idx="1">
                  <c:v>-0.028642</c:v>
                </c:pt>
                <c:pt idx="2">
                  <c:v>-0.060625</c:v>
                </c:pt>
                <c:pt idx="3">
                  <c:v>-0.090225</c:v>
                </c:pt>
                <c:pt idx="4">
                  <c:v>-0.120729</c:v>
                </c:pt>
                <c:pt idx="5">
                  <c:v>-0.157227</c:v>
                </c:pt>
                <c:pt idx="6">
                  <c:v>-0.186093</c:v>
                </c:pt>
                <c:pt idx="7">
                  <c:v>-0.218254</c:v>
                </c:pt>
                <c:pt idx="8">
                  <c:v>-0.247959</c:v>
                </c:pt>
                <c:pt idx="9">
                  <c:v>-0.278573</c:v>
                </c:pt>
                <c:pt idx="10">
                  <c:v>-0.310155</c:v>
                </c:pt>
                <c:pt idx="11">
                  <c:v>-0.342767</c:v>
                </c:pt>
                <c:pt idx="12">
                  <c:v>-0.374194</c:v>
                </c:pt>
                <c:pt idx="13">
                  <c:v>-0.404289</c:v>
                </c:pt>
                <c:pt idx="14">
                  <c:v>-0.429276</c:v>
                </c:pt>
                <c:pt idx="15">
                  <c:v>-0.461724</c:v>
                </c:pt>
                <c:pt idx="16">
                  <c:v>-0.491408</c:v>
                </c:pt>
                <c:pt idx="17">
                  <c:v>-0.517383</c:v>
                </c:pt>
                <c:pt idx="18">
                  <c:v>-0.550151</c:v>
                </c:pt>
                <c:pt idx="19">
                  <c:v>-0.578419</c:v>
                </c:pt>
                <c:pt idx="20">
                  <c:v>-0.606790</c:v>
                </c:pt>
                <c:pt idx="21">
                  <c:v>-0.635989</c:v>
                </c:pt>
                <c:pt idx="22">
                  <c:v>-0.666066</c:v>
                </c:pt>
                <c:pt idx="23">
                  <c:v>-0.689233</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75"/>
        <c:minorUnit val="21.87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175"/>
        <c:minorUnit val="0.021875"/>
      </c:valAx>
      <c:spPr>
        <a:noFill/>
        <a:ln w="12700" cap="flat">
          <a:noFill/>
          <a:miter lim="400000"/>
        </a:ln>
        <a:effectLst/>
      </c:spPr>
    </c:plotArea>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Давление 120 торр</a:t>
            </a:r>
          </a:p>
        </c:rich>
      </c:tx>
      <c:layout>
        <c:manualLayout>
          <c:xMode val="edge"/>
          <c:yMode val="edge"/>
          <c:x val="0.368479"/>
          <c:y val="0"/>
          <c:w val="0.263042"/>
          <c:h val="0.0902778"/>
        </c:manualLayout>
      </c:layout>
      <c:overlay val="1"/>
      <c:spPr>
        <a:noFill/>
        <a:effectLst/>
      </c:spPr>
    </c:title>
    <c:autoTitleDeleted val="1"/>
    <c:plotArea>
      <c:layout>
        <c:manualLayout>
          <c:layoutTarget val="inner"/>
          <c:xMode val="edge"/>
          <c:yMode val="edge"/>
          <c:x val="0.0955966"/>
          <c:y val="0.0902778"/>
          <c:w val="0.86604"/>
          <c:h val="0.843403"/>
        </c:manualLayout>
      </c:layout>
      <c:scatterChart>
        <c:scatterStyle val="lineMarker"/>
        <c:varyColors val="0"/>
        <c:ser>
          <c:idx val="0"/>
          <c:order val="0"/>
          <c:tx>
            <c:strRef>
              <c:f>'Данные с компьютера - Протокол2'!$C$2</c:f>
              <c:strCache>
                <c:ptCount val="1"/>
                <c:pt idx="0">
                  <c:v>Логарифм</c:v>
                </c:pt>
              </c:strCache>
            </c:strRef>
          </c:tx>
          <c:spPr>
            <a:solidFill>
              <a:schemeClr val="accent1"/>
            </a:solidFill>
            <a:ln w="12700" cap="flat">
              <a:noFill/>
              <a:prstDash val="solid"/>
              <a:miter lim="400000"/>
            </a:ln>
            <a:effectLst/>
          </c:spPr>
          <c:marker>
            <c:symbol val="circle"/>
            <c:size val="8"/>
            <c:spPr>
              <a:solidFill>
                <a:schemeClr val="accent1"/>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'Данные с компьютера - Протокол2'!$A$3:$A$26</c:f>
              <c:numCache>
                <c:ptCount val="24"/>
                <c:pt idx="0">
                  <c:v>0.000000</c:v>
                </c:pt>
                <c:pt idx="1">
                  <c:v>36.000000</c:v>
                </c:pt>
                <c:pt idx="2">
                  <c:v>72.000000</c:v>
                </c:pt>
                <c:pt idx="3">
                  <c:v>108.000000</c:v>
                </c:pt>
                <c:pt idx="4">
                  <c:v>144.000000</c:v>
                </c:pt>
                <c:pt idx="5">
                  <c:v>180.000000</c:v>
                </c:pt>
                <c:pt idx="6">
                  <c:v>216.000000</c:v>
                </c:pt>
                <c:pt idx="7">
                  <c:v>252.000000</c:v>
                </c:pt>
                <c:pt idx="8">
                  <c:v>288.000000</c:v>
                </c:pt>
                <c:pt idx="9">
                  <c:v>324.000000</c:v>
                </c:pt>
                <c:pt idx="10">
                  <c:v>360.000000</c:v>
                </c:pt>
                <c:pt idx="11">
                  <c:v>396.000000</c:v>
                </c:pt>
                <c:pt idx="12">
                  <c:v>432.000000</c:v>
                </c:pt>
                <c:pt idx="13">
                  <c:v>468.000000</c:v>
                </c:pt>
                <c:pt idx="14">
                  <c:v>504.000000</c:v>
                </c:pt>
                <c:pt idx="15">
                  <c:v>540.000000</c:v>
                </c:pt>
                <c:pt idx="16">
                  <c:v>576.000000</c:v>
                </c:pt>
                <c:pt idx="17">
                  <c:v>612.000000</c:v>
                </c:pt>
                <c:pt idx="18">
                  <c:v>648.000000</c:v>
                </c:pt>
                <c:pt idx="19">
                  <c:v>684.000000</c:v>
                </c:pt>
                <c:pt idx="20">
                  <c:v>720.000000</c:v>
                </c:pt>
                <c:pt idx="21">
                  <c:v>756.000000</c:v>
                </c:pt>
                <c:pt idx="22">
                  <c:v>792.000000</c:v>
                </c:pt>
                <c:pt idx="23">
                  <c:v>828.000000</c:v>
                </c:pt>
              </c:numCache>
            </c:numRef>
          </c:xVal>
          <c:yVal>
            <c:numRef>
              <c:f>'Данные с компьютера - Протокол2'!$C$3:$C$26</c:f>
              <c:numCache>
                <c:ptCount val="24"/>
                <c:pt idx="0">
                  <c:v>0.000000</c:v>
                </c:pt>
                <c:pt idx="1">
                  <c:v>-0.027835</c:v>
                </c:pt>
                <c:pt idx="2">
                  <c:v>-0.060625</c:v>
                </c:pt>
                <c:pt idx="3">
                  <c:v>-0.090225</c:v>
                </c:pt>
                <c:pt idx="4">
                  <c:v>-0.120729</c:v>
                </c:pt>
                <c:pt idx="5">
                  <c:v>-0.152192</c:v>
                </c:pt>
                <c:pt idx="6">
                  <c:v>-0.179971</c:v>
                </c:pt>
                <c:pt idx="7">
                  <c:v>-0.208545</c:v>
                </c:pt>
                <c:pt idx="8">
                  <c:v>-0.237959</c:v>
                </c:pt>
                <c:pt idx="9">
                  <c:v>-0.268264</c:v>
                </c:pt>
                <c:pt idx="10">
                  <c:v>-0.294239</c:v>
                </c:pt>
                <c:pt idx="11">
                  <c:v>-0.326328</c:v>
                </c:pt>
                <c:pt idx="12">
                  <c:v>-0.353878</c:v>
                </c:pt>
                <c:pt idx="13">
                  <c:v>-0.382208</c:v>
                </c:pt>
                <c:pt idx="14">
                  <c:v>-0.411365</c:v>
                </c:pt>
                <c:pt idx="15">
                  <c:v>-0.441397</c:v>
                </c:pt>
                <c:pt idx="16">
                  <c:v>-0.466090</c:v>
                </c:pt>
                <c:pt idx="17">
                  <c:v>-0.491408</c:v>
                </c:pt>
                <c:pt idx="18">
                  <c:v>-0.523984</c:v>
                </c:pt>
                <c:pt idx="19">
                  <c:v>-0.550831</c:v>
                </c:pt>
                <c:pt idx="20">
                  <c:v>-0.578419</c:v>
                </c:pt>
                <c:pt idx="21">
                  <c:v>-0.606790</c:v>
                </c:pt>
                <c:pt idx="22">
                  <c:v>-0.635989</c:v>
                </c:pt>
                <c:pt idx="23">
                  <c:v>-0.658462</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225"/>
        <c:minorUnit val="28.12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175"/>
        <c:minorUnit val="0.02187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Давление 160 торр</a:t>
            </a:r>
          </a:p>
        </c:rich>
      </c:tx>
      <c:layout>
        <c:manualLayout>
          <c:xMode val="edge"/>
          <c:yMode val="edge"/>
          <c:x val="0.369361"/>
          <c:y val="0"/>
          <c:w val="0.261277"/>
          <c:h val="0.0902778"/>
        </c:manualLayout>
      </c:layout>
      <c:overlay val="1"/>
      <c:spPr>
        <a:noFill/>
        <a:effectLst/>
      </c:spPr>
    </c:title>
    <c:autoTitleDeleted val="1"/>
    <c:plotArea>
      <c:layout>
        <c:manualLayout>
          <c:layoutTarget val="inner"/>
          <c:xMode val="edge"/>
          <c:yMode val="edge"/>
          <c:x val="0.0949552"/>
          <c:y val="0.0902778"/>
          <c:w val="0.86023"/>
          <c:h val="0.843403"/>
        </c:manualLayout>
      </c:layout>
      <c:scatterChart>
        <c:scatterStyle val="lineMarker"/>
        <c:varyColors val="0"/>
        <c:ser>
          <c:idx val="0"/>
          <c:order val="0"/>
          <c:tx>
            <c:strRef>
              <c:f>'Данные с компьютера - Протокол3'!$C$2</c:f>
              <c:strCache>
                <c:ptCount val="1"/>
                <c:pt idx="0">
                  <c:v>Логарифм</c:v>
                </c:pt>
              </c:strCache>
            </c:strRef>
          </c:tx>
          <c:spPr>
            <a:solidFill>
              <a:schemeClr val="accent1"/>
            </a:solidFill>
            <a:ln w="12700" cap="flat">
              <a:noFill/>
              <a:prstDash val="solid"/>
              <a:miter lim="400000"/>
            </a:ln>
            <a:effectLst/>
          </c:spPr>
          <c:marker>
            <c:symbol val="circle"/>
            <c:size val="8"/>
            <c:spPr>
              <a:solidFill>
                <a:schemeClr val="accent1"/>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c:spPr>
            <c:trendlineType val="linear"/>
            <c:forward val="0"/>
            <c:backward val="0"/>
            <c:dispRSqr val="0"/>
            <c:dispEq val="1"/>
          </c:trendline>
          <c:xVal>
            <c:numRef>
              <c:f>'Данные с компьютера - Протокол3'!$A$3:$A$26</c:f>
              <c:numCache>
                <c:ptCount val="24"/>
                <c:pt idx="0">
                  <c:v>0.000000</c:v>
                </c:pt>
                <c:pt idx="1">
                  <c:v>48.390000</c:v>
                </c:pt>
                <c:pt idx="2">
                  <c:v>96.780000</c:v>
                </c:pt>
                <c:pt idx="3">
                  <c:v>145.170000</c:v>
                </c:pt>
                <c:pt idx="4">
                  <c:v>193.570000</c:v>
                </c:pt>
                <c:pt idx="5">
                  <c:v>241.960000</c:v>
                </c:pt>
                <c:pt idx="6">
                  <c:v>290.350000</c:v>
                </c:pt>
                <c:pt idx="7">
                  <c:v>338.740000</c:v>
                </c:pt>
                <c:pt idx="8">
                  <c:v>387.130000</c:v>
                </c:pt>
                <c:pt idx="9">
                  <c:v>435.520000</c:v>
                </c:pt>
                <c:pt idx="10">
                  <c:v>483.910000</c:v>
                </c:pt>
                <c:pt idx="11">
                  <c:v>532.300000</c:v>
                </c:pt>
                <c:pt idx="12">
                  <c:v>580.700000</c:v>
                </c:pt>
                <c:pt idx="13">
                  <c:v>629.090000</c:v>
                </c:pt>
                <c:pt idx="14">
                  <c:v>677.480000</c:v>
                </c:pt>
                <c:pt idx="15">
                  <c:v>725.870000</c:v>
                </c:pt>
                <c:pt idx="16">
                  <c:v>774.260000</c:v>
                </c:pt>
                <c:pt idx="17">
                  <c:v>822.650000</c:v>
                </c:pt>
                <c:pt idx="18">
                  <c:v>871.040000</c:v>
                </c:pt>
                <c:pt idx="19">
                  <c:v>919.430000</c:v>
                </c:pt>
                <c:pt idx="20">
                  <c:v>967.830000</c:v>
                </c:pt>
                <c:pt idx="21">
                  <c:v>1016.220000</c:v>
                </c:pt>
                <c:pt idx="22">
                  <c:v>1064.610000</c:v>
                </c:pt>
                <c:pt idx="23">
                  <c:v>1113.000000</c:v>
                </c:pt>
              </c:numCache>
            </c:numRef>
          </c:xVal>
          <c:yVal>
            <c:numRef>
              <c:f>'Данные с компьютера - Протокол3'!$C$3:$C$26</c:f>
              <c:numCache>
                <c:ptCount val="24"/>
                <c:pt idx="0">
                  <c:v>0.000000</c:v>
                </c:pt>
                <c:pt idx="1">
                  <c:v>-0.035932</c:v>
                </c:pt>
                <c:pt idx="2">
                  <c:v>-0.064800</c:v>
                </c:pt>
                <c:pt idx="3">
                  <c:v>-0.098846</c:v>
                </c:pt>
                <c:pt idx="4">
                  <c:v>-0.134092</c:v>
                </c:pt>
                <c:pt idx="5">
                  <c:v>-0.162750</c:v>
                </c:pt>
                <c:pt idx="6">
                  <c:v>-0.194156</c:v>
                </c:pt>
                <c:pt idx="7">
                  <c:v>-0.223144</c:v>
                </c:pt>
                <c:pt idx="8">
                  <c:v>-0.252997</c:v>
                </c:pt>
                <c:pt idx="9">
                  <c:v>-0.283768</c:v>
                </c:pt>
                <c:pt idx="10">
                  <c:v>-0.310155</c:v>
                </c:pt>
                <c:pt idx="11">
                  <c:v>-0.337257</c:v>
                </c:pt>
                <c:pt idx="12">
                  <c:v>-0.365679</c:v>
                </c:pt>
                <c:pt idx="13">
                  <c:v>-0.396097</c:v>
                </c:pt>
                <c:pt idx="14">
                  <c:v>-0.423270</c:v>
                </c:pt>
                <c:pt idx="15">
                  <c:v>-0.453667</c:v>
                </c:pt>
                <c:pt idx="16">
                  <c:v>-0.485018</c:v>
                </c:pt>
                <c:pt idx="17">
                  <c:v>-0.510826</c:v>
                </c:pt>
                <c:pt idx="18">
                  <c:v>-0.542026</c:v>
                </c:pt>
                <c:pt idx="19">
                  <c:v>-0.571450</c:v>
                </c:pt>
                <c:pt idx="20">
                  <c:v>-0.599621</c:v>
                </c:pt>
                <c:pt idx="21">
                  <c:v>-0.628609</c:v>
                </c:pt>
                <c:pt idx="22">
                  <c:v>-0.650914</c:v>
                </c:pt>
                <c:pt idx="23">
                  <c:v>-0.681451</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00"/>
        <c:minorUnit val="37.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175"/>
        <c:minorUnit val="0.021875"/>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73106"/>
          <c:y val="0.0437956"/>
          <c:w val="0.907555"/>
          <c:h val="0.887135"/>
        </c:manualLayout>
      </c:layout>
      <c:scatterChart>
        <c:scatterStyle val="lineMarker"/>
        <c:varyColors val="0"/>
        <c:ser>
          <c:idx val="0"/>
          <c:order val="0"/>
          <c:tx>
            <c:v>1/Давление (П)</c:v>
          </c:tx>
          <c:spPr>
            <a:solidFill>
              <a:schemeClr val="accent1"/>
            </a:solidFill>
            <a:ln w="12700" cap="flat">
              <a:noFill/>
              <a:prstDash val="solid"/>
              <a:miter lim="400000"/>
            </a:ln>
            <a:effectLst/>
          </c:spPr>
          <c:marker>
            <c:symbol val="circle"/>
            <c:size val="8"/>
            <c:spPr>
              <a:solidFill>
                <a:schemeClr val="accent1"/>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'Данные с компьютера - Tаблица 1'!$D$3:$D$6</c:f>
              <c:numCache>
                <c:ptCount val="4"/>
                <c:pt idx="0">
                  <c:v>12.501063</c:v>
                </c:pt>
                <c:pt idx="1">
                  <c:v>9.375797</c:v>
                </c:pt>
                <c:pt idx="2">
                  <c:v>6.250531</c:v>
                </c:pt>
                <c:pt idx="3">
                  <c:v>4.687898</c:v>
                </c:pt>
              </c:numCache>
            </c:numRef>
          </c:xVal>
          <c:yVal>
            <c:numRef>
              <c:f>'Данные с компьютера - Tаблица 1'!$G$3:$G$6</c:f>
              <c:numCache>
                <c:ptCount val="4"/>
                <c:pt idx="0">
                  <c:v>6.600000</c:v>
                </c:pt>
                <c:pt idx="1">
                  <c:v>4.840000</c:v>
                </c:pt>
                <c:pt idx="2">
                  <c:v>3.520000</c:v>
                </c:pt>
                <c:pt idx="3">
                  <c:v>2.640000</c:v>
                </c:pt>
              </c:numCache>
            </c:numRef>
          </c:yVal>
          <c:smooth val="0"/>
        </c:ser>
        <c:ser>
          <c:idx val="1"/>
          <c:order val="1"/>
          <c:tx>
            <c:v>Новая 3</c:v>
          </c:tx>
          <c:spPr>
            <a:noFill/>
            <a:ln w="12700" cap="flat">
              <a:noFill/>
              <a:prstDash val="solid"/>
              <a:miter lim="400000"/>
            </a:ln>
            <a:effectLst/>
          </c:spPr>
          <c:marker>
            <c:symbol val="none"/>
            <c:size val="8"/>
            <c:spPr>
              <a:noFill/>
              <a:ln w="25400" cap="flat">
                <a:solidFill>
                  <a:srgbClr val="70BF4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chemeClr val="accent5"/>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'Данные с компьютера - Tаблица 4'!$A$2:$A$6</c:f>
              <c:numCache>
                <c:ptCount val="5"/>
                <c:pt idx="0">
                  <c:v>0.000000</c:v>
                </c:pt>
                <c:pt idx="1">
                  <c:v>3.250000</c:v>
                </c:pt>
                <c:pt idx="2">
                  <c:v>6.500000</c:v>
                </c:pt>
                <c:pt idx="3">
                  <c:v>9.750000</c:v>
                </c:pt>
                <c:pt idx="4">
                  <c:v>13.000000</c:v>
                </c:pt>
              </c:numCache>
            </c:numRef>
          </c:xVal>
          <c:yVal>
            <c:numRef>
              <c:f>'Данные с компьютера - Tаблица 4'!$B$2:$B$6</c:f>
              <c:numCache>
                <c:ptCount val="5"/>
                <c:pt idx="0">
                  <c:v>0.000000</c:v>
                </c:pt>
                <c:pt idx="1">
                  <c:v>1.727751</c:v>
                </c:pt>
                <c:pt idx="2">
                  <c:v>3.455501</c:v>
                </c:pt>
                <c:pt idx="3">
                  <c:v>5.183252</c:v>
                </c:pt>
                <c:pt idx="4">
                  <c:v>6.911003</c:v>
                </c:pt>
              </c:numCache>
            </c:numRef>
          </c:yVal>
          <c:smooth val="0"/>
        </c:ser>
        <c:axId val="2094734552"/>
        <c:axId val="2094734553"/>
      </c:scatterChart>
      <c:valAx>
        <c:axId val="2094734552"/>
        <c:scaling>
          <c:orientation val="minMax"/>
        </c:scaling>
        <c:delete val="0"/>
        <c:axPos val="b"/>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5"/>
        <c:minorUnit val="0.4375"/>
      </c:valAx>
      <c:valAx>
        <c:axId val="2094734553"/>
        <c:scaling>
          <c:orientation val="minMax"/>
        </c:scaling>
        <c:delete val="0"/>
        <c:axPos val="l"/>
        <c:majorGridlines>
          <c:spPr>
            <a:ln w="12700" cap="flat">
              <a:solidFill>
                <a:srgbClr val="B8B8B8"/>
              </a:solidFill>
              <a:prstDash val="solid"/>
              <a:miter lim="400000"/>
            </a:ln>
          </c:spPr>
        </c:majorGridlines>
        <c:minorGridlines>
          <c:spPr>
            <a:ln w="12700" cap="flat">
              <a:solidFill>
                <a:srgbClr val="B8B8B8"/>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75"/>
        <c:minorUnit val="0.21875"/>
      </c:valAx>
      <c:spPr>
        <a:noFill/>
        <a:ln w="12700" cap="flat">
          <a:noFill/>
          <a:miter lim="400000"/>
        </a:ln>
        <a:effectLst/>
      </c:spPr>
    </c:plotArea>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15767"/>
          <c:y val="0.126667"/>
          <c:w val="0.865203"/>
          <c:h val="0.809167"/>
        </c:manualLayout>
      </c:layout>
      <c:scatterChart>
        <c:scatterStyle val="lineMarker"/>
        <c:varyColors val="0"/>
        <c:ser>
          <c:idx val="0"/>
          <c:order val="0"/>
          <c:tx>
            <c:strRef>
              <c:f>'Данные с компьютера - Протокол '!$A$2</c:f>
              <c:strCache>
                <c:ptCount val="1"/>
                <c:pt idx="0">
                  <c:v>Время</c:v>
                </c:pt>
              </c:strCache>
            </c:strRef>
          </c:tx>
          <c:spPr>
            <a:solidFill>
              <a:srgbClr val="FFFFFF"/>
            </a:solidFill>
            <a:ln w="12700" cap="flat">
              <a:noFill/>
              <a:prstDash val="solid"/>
              <a:miter lim="400000"/>
            </a:ln>
            <a:effectLst/>
          </c:spPr>
          <c:marker>
            <c:symbol val="circle"/>
            <c:size val="6"/>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53ABFF"/>
                </a:solidFill>
                <a:prstDash val="solid"/>
                <a:miter lim="400000"/>
              </a:ln>
              <a:effectLst/>
            </c:spPr>
            <c:trendlineType val="linear"/>
            <c:forward val="0"/>
            <c:backward val="0"/>
            <c:dispRSqr val="0"/>
            <c:dispEq val="0"/>
          </c:trendline>
          <c:xVal>
            <c:numRef>
              <c:f>'Данные с компьютера - Протокол '!$A$3:$A$26</c:f>
              <c:numCache>
                <c:ptCount val="24"/>
                <c:pt idx="0">
                  <c:v>0.000000</c:v>
                </c:pt>
                <c:pt idx="1">
                  <c:v>20.670000</c:v>
                </c:pt>
                <c:pt idx="2">
                  <c:v>41.350000</c:v>
                </c:pt>
                <c:pt idx="3">
                  <c:v>62.020000</c:v>
                </c:pt>
                <c:pt idx="4">
                  <c:v>82.700000</c:v>
                </c:pt>
                <c:pt idx="5">
                  <c:v>103.370000</c:v>
                </c:pt>
                <c:pt idx="6">
                  <c:v>124.040000</c:v>
                </c:pt>
                <c:pt idx="7">
                  <c:v>144.720000</c:v>
                </c:pt>
                <c:pt idx="8">
                  <c:v>165.390000</c:v>
                </c:pt>
                <c:pt idx="9">
                  <c:v>186.070000</c:v>
                </c:pt>
                <c:pt idx="10">
                  <c:v>206.740000</c:v>
                </c:pt>
                <c:pt idx="11">
                  <c:v>227.410000</c:v>
                </c:pt>
                <c:pt idx="12">
                  <c:v>248.090000</c:v>
                </c:pt>
                <c:pt idx="13">
                  <c:v>268.760000</c:v>
                </c:pt>
                <c:pt idx="14">
                  <c:v>289.430000</c:v>
                </c:pt>
                <c:pt idx="15">
                  <c:v>310.110000</c:v>
                </c:pt>
                <c:pt idx="16">
                  <c:v>330.780000</c:v>
                </c:pt>
                <c:pt idx="17">
                  <c:v>351.460000</c:v>
                </c:pt>
                <c:pt idx="18">
                  <c:v>372.130000</c:v>
                </c:pt>
                <c:pt idx="19">
                  <c:v>392.800000</c:v>
                </c:pt>
                <c:pt idx="20">
                  <c:v>413.480000</c:v>
                </c:pt>
                <c:pt idx="21">
                  <c:v>434.150000</c:v>
                </c:pt>
                <c:pt idx="22">
                  <c:v>454.830000</c:v>
                </c:pt>
                <c:pt idx="23">
                  <c:v>475.500000</c:v>
                </c:pt>
              </c:numCache>
            </c:numRef>
          </c:xVal>
          <c:yVal>
            <c:numRef>
              <c:f>'Данные с компьютера - Протокол '!$C$3:$C$26</c:f>
              <c:numCache>
                <c:ptCount val="24"/>
                <c:pt idx="0">
                  <c:v>0.000000</c:v>
                </c:pt>
                <c:pt idx="1">
                  <c:v>-0.031066</c:v>
                </c:pt>
                <c:pt idx="2">
                  <c:v>-0.060625</c:v>
                </c:pt>
                <c:pt idx="3">
                  <c:v>-0.091513</c:v>
                </c:pt>
                <c:pt idx="4">
                  <c:v>-0.121171</c:v>
                </c:pt>
                <c:pt idx="5">
                  <c:v>-0.161366</c:v>
                </c:pt>
                <c:pt idx="6">
                  <c:v>-0.192728</c:v>
                </c:pt>
                <c:pt idx="7">
                  <c:v>-0.218254</c:v>
                </c:pt>
                <c:pt idx="8">
                  <c:v>-0.249467</c:v>
                </c:pt>
                <c:pt idx="9">
                  <c:v>-0.278573</c:v>
                </c:pt>
                <c:pt idx="10">
                  <c:v>-0.310155</c:v>
                </c:pt>
                <c:pt idx="11">
                  <c:v>-0.340559</c:v>
                </c:pt>
                <c:pt idx="12">
                  <c:v>-0.370780</c:v>
                </c:pt>
                <c:pt idx="13">
                  <c:v>-0.399600</c:v>
                </c:pt>
                <c:pt idx="14">
                  <c:v>-0.429276</c:v>
                </c:pt>
                <c:pt idx="15">
                  <c:v>-0.466090</c:v>
                </c:pt>
                <c:pt idx="16">
                  <c:v>-0.494618</c:v>
                </c:pt>
                <c:pt idx="17">
                  <c:v>-0.523984</c:v>
                </c:pt>
                <c:pt idx="18">
                  <c:v>-0.551511</c:v>
                </c:pt>
                <c:pt idx="19">
                  <c:v>-0.578419</c:v>
                </c:pt>
                <c:pt idx="20">
                  <c:v>-0.611838</c:v>
                </c:pt>
                <c:pt idx="21">
                  <c:v>-0.635989</c:v>
                </c:pt>
                <c:pt idx="22">
                  <c:v>-0.667594</c:v>
                </c:pt>
                <c:pt idx="23">
                  <c:v>-0.697076</c:v>
                </c:pt>
              </c:numCache>
            </c:numRef>
          </c:yVal>
          <c:smooth val="0"/>
        </c:ser>
        <c:ser>
          <c:idx val="1"/>
          <c:order val="1"/>
          <c:tx>
            <c:strRef>
              <c:f>'Данные с компьютера - Протокол1'!$A$2</c:f>
              <c:strCache>
                <c:ptCount val="1"/>
                <c:pt idx="0">
                  <c:v>Время</c:v>
                </c:pt>
              </c:strCache>
            </c:strRef>
          </c:tx>
          <c:spPr>
            <a:solidFill>
              <a:srgbClr val="FFFFFF"/>
            </a:solidFill>
            <a:ln w="12700" cap="flat">
              <a:noFill/>
              <a:prstDash val="solid"/>
              <a:miter lim="400000"/>
            </a:ln>
            <a:effectLst/>
          </c:spPr>
          <c:marker>
            <c:symbol val="circle"/>
            <c:size val="6"/>
            <c:spPr>
              <a:solidFill>
                <a:srgbClr val="FFFFFF"/>
              </a:solidFill>
              <a:ln w="25400" cap="flat">
                <a:solidFill>
                  <a:srgbClr val="70BF4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8EF252"/>
                </a:solidFill>
                <a:prstDash val="solid"/>
                <a:miter lim="400000"/>
              </a:ln>
              <a:effectLst/>
            </c:spPr>
            <c:trendlineType val="linear"/>
            <c:forward val="0"/>
            <c:backward val="0"/>
            <c:dispRSqr val="0"/>
            <c:dispEq val="0"/>
          </c:trendline>
          <c:xVal>
            <c:numRef>
              <c:f>'Данные с компьютера - Протокол1'!$A$3:$A$26</c:f>
              <c:numCache>
                <c:ptCount val="24"/>
                <c:pt idx="0">
                  <c:v>0.000000</c:v>
                </c:pt>
                <c:pt idx="1">
                  <c:v>27.330000</c:v>
                </c:pt>
                <c:pt idx="2">
                  <c:v>54.650000</c:v>
                </c:pt>
                <c:pt idx="3">
                  <c:v>81.980000</c:v>
                </c:pt>
                <c:pt idx="4">
                  <c:v>109.300000</c:v>
                </c:pt>
                <c:pt idx="5">
                  <c:v>136.630000</c:v>
                </c:pt>
                <c:pt idx="6">
                  <c:v>163.960000</c:v>
                </c:pt>
                <c:pt idx="7">
                  <c:v>191.280000</c:v>
                </c:pt>
                <c:pt idx="8">
                  <c:v>218.610000</c:v>
                </c:pt>
                <c:pt idx="9">
                  <c:v>245.930000</c:v>
                </c:pt>
                <c:pt idx="10">
                  <c:v>273.260000</c:v>
                </c:pt>
                <c:pt idx="11">
                  <c:v>300.590000</c:v>
                </c:pt>
                <c:pt idx="12">
                  <c:v>327.910000</c:v>
                </c:pt>
                <c:pt idx="13">
                  <c:v>355.240000</c:v>
                </c:pt>
                <c:pt idx="14">
                  <c:v>382.570000</c:v>
                </c:pt>
                <c:pt idx="15">
                  <c:v>409.890000</c:v>
                </c:pt>
                <c:pt idx="16">
                  <c:v>437.220000</c:v>
                </c:pt>
                <c:pt idx="17">
                  <c:v>464.540000</c:v>
                </c:pt>
                <c:pt idx="18">
                  <c:v>491.870000</c:v>
                </c:pt>
                <c:pt idx="19">
                  <c:v>519.200000</c:v>
                </c:pt>
                <c:pt idx="20">
                  <c:v>546.520000</c:v>
                </c:pt>
                <c:pt idx="21">
                  <c:v>573.850000</c:v>
                </c:pt>
                <c:pt idx="22">
                  <c:v>601.170000</c:v>
                </c:pt>
                <c:pt idx="23">
                  <c:v>628.500000</c:v>
                </c:pt>
              </c:numCache>
            </c:numRef>
          </c:xVal>
          <c:yVal>
            <c:numRef>
              <c:f>'Данные с компьютера - Протокол1'!$C$3:$C$26</c:f>
              <c:numCache>
                <c:ptCount val="24"/>
                <c:pt idx="0">
                  <c:v>0.000000</c:v>
                </c:pt>
                <c:pt idx="1">
                  <c:v>-0.028642</c:v>
                </c:pt>
                <c:pt idx="2">
                  <c:v>-0.060625</c:v>
                </c:pt>
                <c:pt idx="3">
                  <c:v>-0.090225</c:v>
                </c:pt>
                <c:pt idx="4">
                  <c:v>-0.120729</c:v>
                </c:pt>
                <c:pt idx="5">
                  <c:v>-0.157227</c:v>
                </c:pt>
                <c:pt idx="6">
                  <c:v>-0.186093</c:v>
                </c:pt>
                <c:pt idx="7">
                  <c:v>-0.218254</c:v>
                </c:pt>
                <c:pt idx="8">
                  <c:v>-0.247959</c:v>
                </c:pt>
                <c:pt idx="9">
                  <c:v>-0.278573</c:v>
                </c:pt>
                <c:pt idx="10">
                  <c:v>-0.310155</c:v>
                </c:pt>
                <c:pt idx="11">
                  <c:v>-0.342767</c:v>
                </c:pt>
                <c:pt idx="12">
                  <c:v>-0.374194</c:v>
                </c:pt>
                <c:pt idx="13">
                  <c:v>-0.404289</c:v>
                </c:pt>
                <c:pt idx="14">
                  <c:v>-0.429276</c:v>
                </c:pt>
                <c:pt idx="15">
                  <c:v>-0.461724</c:v>
                </c:pt>
                <c:pt idx="16">
                  <c:v>-0.491408</c:v>
                </c:pt>
                <c:pt idx="17">
                  <c:v>-0.517383</c:v>
                </c:pt>
                <c:pt idx="18">
                  <c:v>-0.550151</c:v>
                </c:pt>
                <c:pt idx="19">
                  <c:v>-0.578419</c:v>
                </c:pt>
                <c:pt idx="20">
                  <c:v>-0.606790</c:v>
                </c:pt>
                <c:pt idx="21">
                  <c:v>-0.635989</c:v>
                </c:pt>
                <c:pt idx="22">
                  <c:v>-0.666066</c:v>
                </c:pt>
                <c:pt idx="23">
                  <c:v>-0.689233</c:v>
                </c:pt>
              </c:numCache>
            </c:numRef>
          </c:yVal>
          <c:smooth val="0"/>
        </c:ser>
        <c:ser>
          <c:idx val="2"/>
          <c:order val="2"/>
          <c:tx>
            <c:strRef>
              <c:f>'Данные с компьютера - Протокол2'!$A$2</c:f>
              <c:strCache>
                <c:ptCount val="1"/>
                <c:pt idx="0">
                  <c:v>Время</c:v>
                </c:pt>
              </c:strCache>
            </c:strRef>
          </c:tx>
          <c:spPr>
            <a:solidFill>
              <a:srgbClr val="FFFFFF"/>
            </a:solidFill>
            <a:ln w="12700" cap="flat">
              <a:noFill/>
              <a:prstDash val="solid"/>
              <a:miter lim="400000"/>
            </a:ln>
            <a:effectLst/>
          </c:spPr>
          <c:marker>
            <c:symbol val="circle"/>
            <c:size val="6"/>
            <c:spPr>
              <a:solidFill>
                <a:srgbClr val="FFFFFF"/>
              </a:solidFill>
              <a:ln w="25400" cap="flat">
                <a:solidFill>
                  <a:srgbClr val="FBE12B"/>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FFE42C"/>
                </a:solidFill>
                <a:prstDash val="solid"/>
                <a:miter lim="400000"/>
              </a:ln>
              <a:effectLst/>
            </c:spPr>
            <c:trendlineType val="linear"/>
            <c:forward val="0"/>
            <c:backward val="0"/>
            <c:dispRSqr val="0"/>
            <c:dispEq val="0"/>
          </c:trendline>
          <c:xVal>
            <c:numRef>
              <c:f>'Данные с компьютера - Протокол2'!$A$3:$A$26</c:f>
              <c:numCache>
                <c:ptCount val="24"/>
                <c:pt idx="0">
                  <c:v>0.000000</c:v>
                </c:pt>
                <c:pt idx="1">
                  <c:v>36.000000</c:v>
                </c:pt>
                <c:pt idx="2">
                  <c:v>72.000000</c:v>
                </c:pt>
                <c:pt idx="3">
                  <c:v>108.000000</c:v>
                </c:pt>
                <c:pt idx="4">
                  <c:v>144.000000</c:v>
                </c:pt>
                <c:pt idx="5">
                  <c:v>180.000000</c:v>
                </c:pt>
                <c:pt idx="6">
                  <c:v>216.000000</c:v>
                </c:pt>
                <c:pt idx="7">
                  <c:v>252.000000</c:v>
                </c:pt>
                <c:pt idx="8">
                  <c:v>288.000000</c:v>
                </c:pt>
                <c:pt idx="9">
                  <c:v>324.000000</c:v>
                </c:pt>
                <c:pt idx="10">
                  <c:v>360.000000</c:v>
                </c:pt>
                <c:pt idx="11">
                  <c:v>396.000000</c:v>
                </c:pt>
                <c:pt idx="12">
                  <c:v>432.000000</c:v>
                </c:pt>
                <c:pt idx="13">
                  <c:v>468.000000</c:v>
                </c:pt>
                <c:pt idx="14">
                  <c:v>504.000000</c:v>
                </c:pt>
                <c:pt idx="15">
                  <c:v>540.000000</c:v>
                </c:pt>
                <c:pt idx="16">
                  <c:v>576.000000</c:v>
                </c:pt>
                <c:pt idx="17">
                  <c:v>612.000000</c:v>
                </c:pt>
                <c:pt idx="18">
                  <c:v>648.000000</c:v>
                </c:pt>
                <c:pt idx="19">
                  <c:v>684.000000</c:v>
                </c:pt>
                <c:pt idx="20">
                  <c:v>720.000000</c:v>
                </c:pt>
                <c:pt idx="21">
                  <c:v>756.000000</c:v>
                </c:pt>
                <c:pt idx="22">
                  <c:v>792.000000</c:v>
                </c:pt>
                <c:pt idx="23">
                  <c:v>828.000000</c:v>
                </c:pt>
              </c:numCache>
            </c:numRef>
          </c:xVal>
          <c:yVal>
            <c:numRef>
              <c:f>'Данные с компьютера - Протокол2'!$C$3:$C$26</c:f>
              <c:numCache>
                <c:ptCount val="24"/>
                <c:pt idx="0">
                  <c:v>0.000000</c:v>
                </c:pt>
                <c:pt idx="1">
                  <c:v>-0.027835</c:v>
                </c:pt>
                <c:pt idx="2">
                  <c:v>-0.060625</c:v>
                </c:pt>
                <c:pt idx="3">
                  <c:v>-0.090225</c:v>
                </c:pt>
                <c:pt idx="4">
                  <c:v>-0.120729</c:v>
                </c:pt>
                <c:pt idx="5">
                  <c:v>-0.152192</c:v>
                </c:pt>
                <c:pt idx="6">
                  <c:v>-0.179971</c:v>
                </c:pt>
                <c:pt idx="7">
                  <c:v>-0.208545</c:v>
                </c:pt>
                <c:pt idx="8">
                  <c:v>-0.237959</c:v>
                </c:pt>
                <c:pt idx="9">
                  <c:v>-0.268264</c:v>
                </c:pt>
                <c:pt idx="10">
                  <c:v>-0.294239</c:v>
                </c:pt>
                <c:pt idx="11">
                  <c:v>-0.326328</c:v>
                </c:pt>
                <c:pt idx="12">
                  <c:v>-0.353878</c:v>
                </c:pt>
                <c:pt idx="13">
                  <c:v>-0.382208</c:v>
                </c:pt>
                <c:pt idx="14">
                  <c:v>-0.411365</c:v>
                </c:pt>
                <c:pt idx="15">
                  <c:v>-0.441397</c:v>
                </c:pt>
                <c:pt idx="16">
                  <c:v>-0.466090</c:v>
                </c:pt>
                <c:pt idx="17">
                  <c:v>-0.491408</c:v>
                </c:pt>
                <c:pt idx="18">
                  <c:v>-0.523984</c:v>
                </c:pt>
                <c:pt idx="19">
                  <c:v>-0.550831</c:v>
                </c:pt>
                <c:pt idx="20">
                  <c:v>-0.578419</c:v>
                </c:pt>
                <c:pt idx="21">
                  <c:v>-0.606790</c:v>
                </c:pt>
                <c:pt idx="22">
                  <c:v>-0.635989</c:v>
                </c:pt>
                <c:pt idx="23">
                  <c:v>-0.658462</c:v>
                </c:pt>
              </c:numCache>
            </c:numRef>
          </c:yVal>
          <c:smooth val="0"/>
        </c:ser>
        <c:ser>
          <c:idx val="3"/>
          <c:order val="3"/>
          <c:tx>
            <c:strRef>
              <c:f>'Данные с компьютера - Протокол3'!$A$2</c:f>
              <c:strCache>
                <c:ptCount val="1"/>
                <c:pt idx="0">
                  <c:v>Время</c:v>
                </c:pt>
              </c:strCache>
            </c:strRef>
          </c:tx>
          <c:spPr>
            <a:solidFill>
              <a:srgbClr val="FFFFFF"/>
            </a:solidFill>
            <a:ln w="12700" cap="flat">
              <a:noFill/>
              <a:prstDash val="solid"/>
              <a:miter lim="400000"/>
            </a:ln>
            <a:effectLst/>
          </c:spPr>
          <c:marker>
            <c:symbol val="circle"/>
            <c:size val="6"/>
            <c:spPr>
              <a:solidFill>
                <a:srgbClr val="FFFFFF"/>
              </a:solidFill>
              <a:ln w="25400" cap="flat">
                <a:solidFill>
                  <a:srgbClr val="EF951A"/>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25400" cap="flat">
                <a:solidFill>
                  <a:srgbClr val="FF9E1B"/>
                </a:solidFill>
                <a:prstDash val="solid"/>
                <a:miter lim="400000"/>
              </a:ln>
              <a:effectLst/>
            </c:spPr>
            <c:trendlineType val="linear"/>
            <c:forward val="0"/>
            <c:backward val="0"/>
            <c:dispRSqr val="0"/>
            <c:dispEq val="0"/>
          </c:trendline>
          <c:xVal>
            <c:numRef>
              <c:f>'Данные с компьютера - Протокол3'!$A$3:$A$26</c:f>
              <c:numCache>
                <c:ptCount val="24"/>
                <c:pt idx="0">
                  <c:v>0.000000</c:v>
                </c:pt>
                <c:pt idx="1">
                  <c:v>48.390000</c:v>
                </c:pt>
                <c:pt idx="2">
                  <c:v>96.780000</c:v>
                </c:pt>
                <c:pt idx="3">
                  <c:v>145.170000</c:v>
                </c:pt>
                <c:pt idx="4">
                  <c:v>193.570000</c:v>
                </c:pt>
                <c:pt idx="5">
                  <c:v>241.960000</c:v>
                </c:pt>
                <c:pt idx="6">
                  <c:v>290.350000</c:v>
                </c:pt>
                <c:pt idx="7">
                  <c:v>338.740000</c:v>
                </c:pt>
                <c:pt idx="8">
                  <c:v>387.130000</c:v>
                </c:pt>
                <c:pt idx="9">
                  <c:v>435.520000</c:v>
                </c:pt>
                <c:pt idx="10">
                  <c:v>483.910000</c:v>
                </c:pt>
                <c:pt idx="11">
                  <c:v>532.300000</c:v>
                </c:pt>
                <c:pt idx="12">
                  <c:v>580.700000</c:v>
                </c:pt>
                <c:pt idx="13">
                  <c:v>629.090000</c:v>
                </c:pt>
                <c:pt idx="14">
                  <c:v>677.480000</c:v>
                </c:pt>
                <c:pt idx="15">
                  <c:v>725.870000</c:v>
                </c:pt>
                <c:pt idx="16">
                  <c:v>774.260000</c:v>
                </c:pt>
                <c:pt idx="17">
                  <c:v>822.650000</c:v>
                </c:pt>
                <c:pt idx="18">
                  <c:v>871.040000</c:v>
                </c:pt>
                <c:pt idx="19">
                  <c:v>919.430000</c:v>
                </c:pt>
                <c:pt idx="20">
                  <c:v>967.830000</c:v>
                </c:pt>
                <c:pt idx="21">
                  <c:v>1016.220000</c:v>
                </c:pt>
                <c:pt idx="22">
                  <c:v>1064.610000</c:v>
                </c:pt>
                <c:pt idx="23">
                  <c:v>1113.000000</c:v>
                </c:pt>
              </c:numCache>
            </c:numRef>
          </c:xVal>
          <c:yVal>
            <c:numRef>
              <c:f>'Данные с компьютера - Протокол3'!$C$3:$C$26</c:f>
              <c:numCache>
                <c:ptCount val="24"/>
                <c:pt idx="0">
                  <c:v>0.000000</c:v>
                </c:pt>
                <c:pt idx="1">
                  <c:v>-0.035932</c:v>
                </c:pt>
                <c:pt idx="2">
                  <c:v>-0.064800</c:v>
                </c:pt>
                <c:pt idx="3">
                  <c:v>-0.098846</c:v>
                </c:pt>
                <c:pt idx="4">
                  <c:v>-0.134092</c:v>
                </c:pt>
                <c:pt idx="5">
                  <c:v>-0.162750</c:v>
                </c:pt>
                <c:pt idx="6">
                  <c:v>-0.194156</c:v>
                </c:pt>
                <c:pt idx="7">
                  <c:v>-0.223144</c:v>
                </c:pt>
                <c:pt idx="8">
                  <c:v>-0.252997</c:v>
                </c:pt>
                <c:pt idx="9">
                  <c:v>-0.283768</c:v>
                </c:pt>
                <c:pt idx="10">
                  <c:v>-0.310155</c:v>
                </c:pt>
                <c:pt idx="11">
                  <c:v>-0.337257</c:v>
                </c:pt>
                <c:pt idx="12">
                  <c:v>-0.365679</c:v>
                </c:pt>
                <c:pt idx="13">
                  <c:v>-0.396097</c:v>
                </c:pt>
                <c:pt idx="14">
                  <c:v>-0.423270</c:v>
                </c:pt>
                <c:pt idx="15">
                  <c:v>-0.453667</c:v>
                </c:pt>
                <c:pt idx="16">
                  <c:v>-0.485018</c:v>
                </c:pt>
                <c:pt idx="17">
                  <c:v>-0.510826</c:v>
                </c:pt>
                <c:pt idx="18">
                  <c:v>-0.542026</c:v>
                </c:pt>
                <c:pt idx="19">
                  <c:v>-0.571450</c:v>
                </c:pt>
                <c:pt idx="20">
                  <c:v>-0.599621</c:v>
                </c:pt>
                <c:pt idx="21">
                  <c:v>-0.628609</c:v>
                </c:pt>
                <c:pt idx="22">
                  <c:v>-0.650914</c:v>
                </c:pt>
                <c:pt idx="23">
                  <c:v>-0.681451</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00"/>
        <c:minorUnit val="1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2"/>
        <c:minorUnit val="0.1"/>
      </c:valAx>
      <c:spPr>
        <a:noFill/>
        <a:ln w="12700" cap="flat">
          <a:noFill/>
          <a:miter lim="400000"/>
        </a:ln>
        <a:effectLst/>
      </c:spPr>
    </c:plotArea>
    <c:legend>
      <c:legendPos val="t"/>
      <c:layout>
        <c:manualLayout>
          <c:xMode val="edge"/>
          <c:yMode val="edge"/>
          <c:x val="0.0866364"/>
          <c:y val="0"/>
          <c:w val="0.8377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5953"/>
          <c:y val="0.126667"/>
          <c:w val="0.761141"/>
          <c:h val="0.809167"/>
        </c:manualLayout>
      </c:layout>
      <c:lineChart>
        <c:grouping val="standard"/>
        <c:varyColors val="0"/>
        <c:ser>
          <c:idx val="0"/>
          <c:order val="0"/>
          <c:tx>
            <c:strRef>
              <c:f>'Рассчеты - D(1_P)'!$B$2</c:f>
              <c:strCache>
                <c:ptCount val="1"/>
                <c:pt idx="0">
                  <c:v>D</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'Рассчеты - D(1_P)'!$A$3:$A$7</c:f>
              <c:strCache>
                <c:ptCount val="5"/>
                <c:pt idx="0">
                  <c:v>0,187515420676042</c:v>
                </c:pt>
                <c:pt idx="1">
                  <c:v>0,125010280450695</c:v>
                </c:pt>
                <c:pt idx="2">
                  <c:v>0,0937577103380212</c:v>
                </c:pt>
                <c:pt idx="3">
                  <c:v>0,0625051402253475</c:v>
                </c:pt>
                <c:pt idx="4">
                  <c:v>0,0468788551690106</c:v>
                </c:pt>
              </c:strCache>
            </c:strRef>
          </c:cat>
          <c:val>
            <c:numRef>
              <c:f>'Рассчеты - D(1_P)'!$B$3:$B$7</c:f>
              <c:numCache>
                <c:ptCount val="5"/>
                <c:pt idx="0">
                  <c:v>102.960000</c:v>
                </c:pt>
                <c:pt idx="1">
                  <c:v>126.280000</c:v>
                </c:pt>
                <c:pt idx="2">
                  <c:v>129.360000</c:v>
                </c:pt>
                <c:pt idx="3">
                  <c:v>133.320000</c:v>
                </c:pt>
                <c:pt idx="4">
                  <c:v>133.760000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35"/>
        <c:minorUnit val="17.5"/>
      </c:valAx>
      <c:spPr>
        <a:noFill/>
        <a:ln w="12700" cap="flat">
          <a:noFill/>
          <a:miter lim="400000"/>
        </a:ln>
        <a:effectLst/>
      </c:spPr>
    </c:plotArea>
    <c:legend>
      <c:legendPos val="t"/>
      <c:layout>
        <c:manualLayout>
          <c:xMode val="edge"/>
          <c:yMode val="edge"/>
          <c:x val="0.0286292"/>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2.xml.rels><?xml version="1.0" encoding="UTF-8"?>
<Relationships xmlns="http://schemas.openxmlformats.org/package/2006/relationships"><Relationship Id="rId1" Type="http://schemas.openxmlformats.org/officeDocument/2006/relationships/chart" Target="../charts/char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458731</xdr:colOff>
      <xdr:row>57</xdr:row>
      <xdr:rowOff>105161</xdr:rowOff>
    </xdr:from>
    <xdr:to>
      <xdr:col>17</xdr:col>
      <xdr:colOff>606970</xdr:colOff>
      <xdr:row>79</xdr:row>
      <xdr:rowOff>130561</xdr:rowOff>
    </xdr:to>
    <xdr:graphicFrame>
      <xdr:nvGraphicFramePr>
        <xdr:cNvPr id="2" name="Chart 2"/>
        <xdr:cNvGraphicFramePr/>
      </xdr:nvGraphicFramePr>
      <xdr:xfrm>
        <a:off x="6173731" y="9515861"/>
        <a:ext cx="522824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19</xdr:col>
      <xdr:colOff>132571</xdr:colOff>
      <xdr:row>59</xdr:row>
      <xdr:rowOff>51229</xdr:rowOff>
    </xdr:from>
    <xdr:to>
      <xdr:col>27</xdr:col>
      <xdr:colOff>280810</xdr:colOff>
      <xdr:row>81</xdr:row>
      <xdr:rowOff>76629</xdr:rowOff>
    </xdr:to>
    <xdr:graphicFrame>
      <xdr:nvGraphicFramePr>
        <xdr:cNvPr id="3" name="Chart 3"/>
        <xdr:cNvGraphicFramePr/>
      </xdr:nvGraphicFramePr>
      <xdr:xfrm>
        <a:off x="12197571" y="9792129"/>
        <a:ext cx="5228240" cy="36576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27</xdr:col>
      <xdr:colOff>562299</xdr:colOff>
      <xdr:row>59</xdr:row>
      <xdr:rowOff>91512</xdr:rowOff>
    </xdr:from>
    <xdr:to>
      <xdr:col>36</xdr:col>
      <xdr:colOff>75538</xdr:colOff>
      <xdr:row>81</xdr:row>
      <xdr:rowOff>116912</xdr:rowOff>
    </xdr:to>
    <xdr:graphicFrame>
      <xdr:nvGraphicFramePr>
        <xdr:cNvPr id="4" name="Chart 4"/>
        <xdr:cNvGraphicFramePr/>
      </xdr:nvGraphicFramePr>
      <xdr:xfrm>
        <a:off x="17707299" y="9832412"/>
        <a:ext cx="5228240" cy="36576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36</xdr:col>
      <xdr:colOff>299591</xdr:colOff>
      <xdr:row>59</xdr:row>
      <xdr:rowOff>91512</xdr:rowOff>
    </xdr:from>
    <xdr:to>
      <xdr:col>44</xdr:col>
      <xdr:colOff>483145</xdr:colOff>
      <xdr:row>81</xdr:row>
      <xdr:rowOff>116912</xdr:rowOff>
    </xdr:to>
    <xdr:graphicFrame>
      <xdr:nvGraphicFramePr>
        <xdr:cNvPr id="5" name="Chart 5"/>
        <xdr:cNvGraphicFramePr/>
      </xdr:nvGraphicFramePr>
      <xdr:xfrm>
        <a:off x="23159591" y="9832412"/>
        <a:ext cx="5263555" cy="365760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34</xdr:col>
      <xdr:colOff>63727</xdr:colOff>
      <xdr:row>88</xdr:row>
      <xdr:rowOff>105988</xdr:rowOff>
    </xdr:from>
    <xdr:to>
      <xdr:col>42</xdr:col>
      <xdr:colOff>70077</xdr:colOff>
      <xdr:row>109</xdr:row>
      <xdr:rowOff>118688</xdr:rowOff>
    </xdr:to>
    <xdr:graphicFrame>
      <xdr:nvGraphicFramePr>
        <xdr:cNvPr id="6" name="Chart 6"/>
        <xdr:cNvGraphicFramePr/>
      </xdr:nvGraphicFramePr>
      <xdr:xfrm>
        <a:off x="21653727" y="14634788"/>
        <a:ext cx="5086351" cy="347980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0</xdr:colOff>
      <xdr:row>0</xdr:row>
      <xdr:rowOff>0</xdr:rowOff>
    </xdr:from>
    <xdr:to>
      <xdr:col>8</xdr:col>
      <xdr:colOff>377744</xdr:colOff>
      <xdr:row>23</xdr:row>
      <xdr:rowOff>12700</xdr:rowOff>
    </xdr:to>
    <xdr:graphicFrame>
      <xdr:nvGraphicFramePr>
        <xdr:cNvPr id="7" name="Chart 7"/>
        <xdr:cNvGraphicFramePr/>
      </xdr:nvGraphicFramePr>
      <xdr:xfrm>
        <a:off x="-218840" y="0"/>
        <a:ext cx="5457746" cy="3810000"/>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460533</xdr:colOff>
      <xdr:row>25</xdr:row>
      <xdr:rowOff>116791</xdr:rowOff>
    </xdr:from>
    <xdr:to>
      <xdr:col>12</xdr:col>
      <xdr:colOff>460533</xdr:colOff>
      <xdr:row>48</xdr:row>
      <xdr:rowOff>129491</xdr:rowOff>
    </xdr:to>
    <xdr:graphicFrame>
      <xdr:nvGraphicFramePr>
        <xdr:cNvPr id="9" name="Chart 9"/>
        <xdr:cNvGraphicFramePr/>
      </xdr:nvGraphicFramePr>
      <xdr:xfrm>
        <a:off x="3000533" y="4244291"/>
        <a:ext cx="5080001"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3.xml.rels><?xml version="1.0" encoding="UTF-8"?>
<Relationships xmlns="http://schemas.openxmlformats.org/package/2006/relationships"><Relationship Id="rId1" Type="http://schemas.openxmlformats.org/officeDocument/2006/relationships/drawing" Target="../drawings/drawing1.xml"/></Relationships>

</file>

<file path=xl/worksheets/_rels/sheet17.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10</v>
      </c>
      <c r="D11" t="s" s="5">
        <v>11</v>
      </c>
    </row>
    <row r="12">
      <c r="B12" s="4"/>
      <c r="C12" t="s" s="4">
        <v>12</v>
      </c>
      <c r="D12" t="s" s="5">
        <v>13</v>
      </c>
    </row>
    <row r="13">
      <c r="B13" s="4"/>
      <c r="C13" t="s" s="4">
        <v>14</v>
      </c>
      <c r="D13" t="s" s="5">
        <v>15</v>
      </c>
    </row>
    <row r="14">
      <c r="B14" s="4"/>
      <c r="C14" t="s" s="4">
        <v>16</v>
      </c>
      <c r="D14" t="s" s="5">
        <v>17</v>
      </c>
    </row>
    <row r="15">
      <c r="B15" s="4"/>
      <c r="C15" t="s" s="4">
        <v>24</v>
      </c>
      <c r="D15" t="s" s="5">
        <v>25</v>
      </c>
    </row>
    <row r="16">
      <c r="B16" s="4"/>
      <c r="C16" t="s" s="4">
        <v>26</v>
      </c>
      <c r="D16" t="s" s="5">
        <v>27</v>
      </c>
    </row>
    <row r="17">
      <c r="B17" s="4"/>
      <c r="C17" t="s" s="4">
        <v>35</v>
      </c>
      <c r="D17" t="s" s="5">
        <v>36</v>
      </c>
    </row>
    <row r="18">
      <c r="B18" s="4"/>
      <c r="C18" t="s" s="4">
        <v>40</v>
      </c>
      <c r="D18" t="s" s="5">
        <v>41</v>
      </c>
    </row>
    <row r="19">
      <c r="B19" s="4"/>
      <c r="C19" t="s" s="4">
        <v>23</v>
      </c>
      <c r="D19" t="s" s="5">
        <v>46</v>
      </c>
    </row>
    <row r="20">
      <c r="B20" s="4"/>
      <c r="C20" t="s" s="4">
        <v>48</v>
      </c>
      <c r="D20" t="s" s="5">
        <v>49</v>
      </c>
    </row>
    <row r="21">
      <c r="B21" s="4"/>
      <c r="C21" t="s" s="4">
        <v>50</v>
      </c>
      <c r="D21" t="s" s="5">
        <v>51</v>
      </c>
    </row>
    <row r="22">
      <c r="B22" t="s" s="3">
        <v>52</v>
      </c>
      <c r="C22" s="3"/>
      <c r="D22" s="3"/>
    </row>
    <row r="23">
      <c r="B23" s="4"/>
      <c r="C23" t="s" s="4">
        <v>16</v>
      </c>
      <c r="D23" t="s" s="5">
        <v>53</v>
      </c>
    </row>
    <row r="24">
      <c r="B24" s="4"/>
      <c r="C24" t="s" s="4">
        <v>23</v>
      </c>
      <c r="D24" t="s" s="5">
        <v>54</v>
      </c>
    </row>
    <row r="25">
      <c r="B25" s="4"/>
      <c r="C25" t="s" s="4">
        <v>56</v>
      </c>
      <c r="D25" t="s" s="5">
        <v>57</v>
      </c>
    </row>
    <row r="26">
      <c r="B26" s="4"/>
      <c r="C26" t="s" s="4">
        <v>50</v>
      </c>
      <c r="D26" t="s" s="5">
        <v>58</v>
      </c>
    </row>
  </sheetData>
  <mergeCells count="1">
    <mergeCell ref="B3:D3"/>
  </mergeCells>
  <hyperlinks>
    <hyperlink ref="D10" location="'Данные с компьютера - Протокол '!R2C1" tooltip="" display="Данные с компьютера - Протокол "/>
    <hyperlink ref="D11" location="'Данные с компьютера - Протокол1'!R2C1" tooltip="" display="Данные с компьютера - Протокол1"/>
    <hyperlink ref="D12" location="'Данные с компьютера - Протокол2'!R2C1" tooltip="" display="Данные с компьютера - Протокол2"/>
    <hyperlink ref="D13" location="'Данные с компьютера - Протокол3'!R2C1" tooltip="" display="Данные с компьютера - Протокол3"/>
    <hyperlink ref="D14" location="'Данные с компьютера - Tаблица 1'!R2C1" tooltip="" display="Данные с компьютера - Tаблица 1"/>
    <hyperlink ref="D15" location="'Данные с компьютера - Tаблица 3'!R2C1" tooltip="" display="Данные с компьютера - Tаблица 3"/>
    <hyperlink ref="D16" location="'Данные с компьютера - Параметры'!R2C1" tooltip="" display="Данные с компьютера - Параметры"/>
    <hyperlink ref="D17" location="'Данные с компьютера - Параметр1'!R2C1" tooltip="" display="Данные с компьютера - Параметр1"/>
    <hyperlink ref="D18" location="'Данные с компьютера - Tаблица 2'!R2C1" tooltip="" display="Данные с компьютера - Tаблица 2"/>
    <hyperlink ref="D19" location="'Данные с компьютера - Коэффицие'!R2C1" tooltip="" display="Данные с компьютера - Коэффицие"/>
    <hyperlink ref="D20" location="'Данные с компьютера - Tаблица 4'!R2C1" tooltip="" display="Данные с компьютера - Tаблица 4"/>
    <hyperlink ref="D21" location="'Данные с компьютера - Drawings'!R1C1" tooltip="" display="Данные с компьютера - Drawings"/>
    <hyperlink ref="D23" location="'Рассчеты - Tаблица 1'!R1C1" tooltip="" display="Рассчеты - Tаблица 1"/>
    <hyperlink ref="D24" location="'Рассчеты - Коэффициент диффузии'!R2C1" tooltip="" display="Рассчеты - Коэффициент диффузии"/>
    <hyperlink ref="D25" location="'Рассчеты - D(1_P)'!R2C1" tooltip="" display="Рассчеты - D(1_P)"/>
    <hyperlink ref="D26" location="'Рассчеты - Drawings'!R1C1" tooltip="" display="Рассчеты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C11"/>
  <sheetViews>
    <sheetView workbookViewId="0" showGridLines="0" defaultGridColor="1"/>
  </sheetViews>
  <sheetFormatPr defaultColWidth="19.6" defaultRowHeight="19.45" customHeight="1" outlineLevelRow="0" outlineLevelCol="0"/>
  <cols>
    <col min="1" max="1" width="19.6016" style="38" customWidth="1"/>
    <col min="2" max="3" width="34.2891" style="38" customWidth="1"/>
    <col min="4" max="256" width="19.6016" style="38" customWidth="1"/>
  </cols>
  <sheetData>
    <row r="1" ht="28.45" customHeight="1">
      <c r="A1" t="s" s="7">
        <v>40</v>
      </c>
      <c r="B1" s="7"/>
      <c r="C1" s="7"/>
    </row>
    <row r="2" ht="18.9" customHeight="1">
      <c r="A2" t="s" s="39">
        <v>42</v>
      </c>
      <c r="B2" t="s" s="39">
        <v>43</v>
      </c>
      <c r="C2" s="15"/>
    </row>
    <row r="3" ht="18.9" customHeight="1">
      <c r="A3" s="13">
        <f>1/(101325*10^-5)</f>
        <v>0.9869232667160128</v>
      </c>
      <c r="B3" s="13">
        <f>B10</f>
        <v>0.5411726173571633</v>
      </c>
      <c r="C3" s="15"/>
    </row>
    <row r="4" ht="18.9" customHeight="1">
      <c r="A4" s="15"/>
      <c r="B4" s="15"/>
      <c r="C4" s="15"/>
    </row>
    <row r="5" ht="18.9" customHeight="1">
      <c r="A5" t="s" s="39">
        <v>44</v>
      </c>
      <c r="B5" s="13">
        <f>3*B3*10^(-4)*SQRT(3.14*3.5*10^(-3)/8/8.31/300)</f>
        <v>1.205174078070394e-07</v>
      </c>
      <c r="C5" s="15"/>
    </row>
    <row r="6" ht="18.9" customHeight="1">
      <c r="A6" t="s" s="39">
        <v>45</v>
      </c>
      <c r="B6" s="13">
        <f>1.38*10^(-23)*300/101325/B5</f>
        <v>3.390267346893299e-19</v>
      </c>
      <c r="C6" s="15"/>
    </row>
    <row r="7" ht="18.9" customHeight="1">
      <c r="A7" s="15"/>
      <c r="B7" s="15"/>
      <c r="C7" s="15"/>
    </row>
    <row r="8" ht="18.9" customHeight="1">
      <c r="A8" s="15"/>
      <c r="B8" s="13">
        <v>0.5316156088319999</v>
      </c>
      <c r="C8" s="13">
        <v>0.009557008525163434</v>
      </c>
    </row>
    <row r="9" ht="18.9" customHeight="1">
      <c r="A9" s="15"/>
      <c r="B9" s="15"/>
      <c r="C9" s="15"/>
    </row>
    <row r="10" ht="18.9" customHeight="1">
      <c r="A10" s="13">
        <v>1</v>
      </c>
      <c r="B10" s="13">
        <f>B8*A10+C8</f>
        <v>0.5411726173571633</v>
      </c>
      <c r="C10" s="15"/>
    </row>
    <row r="11" ht="18.9" customHeight="1">
      <c r="A11" s="15"/>
      <c r="B11" s="15"/>
      <c r="C11" s="15"/>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C6"/>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3" width="19.6016" style="40" customWidth="1"/>
    <col min="4" max="256" width="19.6016" style="40" customWidth="1"/>
  </cols>
  <sheetData>
    <row r="1" ht="28.45" customHeight="1">
      <c r="A1" t="s" s="7">
        <v>23</v>
      </c>
      <c r="B1" s="7"/>
      <c r="C1" s="7"/>
    </row>
    <row r="2" ht="30.1" customHeight="1">
      <c r="A2" t="s" s="8">
        <v>18</v>
      </c>
      <c r="B2" t="s" s="8">
        <v>19</v>
      </c>
      <c r="C2" t="s" s="8">
        <v>47</v>
      </c>
    </row>
    <row r="3" ht="19.1" customHeight="1">
      <c r="A3" s="41">
        <f>'Данные с компьютера - Tаблица 1'!A3</f>
        <v>60</v>
      </c>
      <c r="B3" s="36">
        <f>'Данные с компьютера - Tаблица 1'!G3</f>
        <v>6.600000000000001</v>
      </c>
      <c r="C3" s="10">
        <f>'Данные с компьютера - Протокол '!F3</f>
        <v>0.000428465042056552</v>
      </c>
    </row>
    <row r="4" ht="18.9" customHeight="1">
      <c r="A4" s="42">
        <f>'Данные с компьютера - Tаблица 1'!A4</f>
        <v>80</v>
      </c>
      <c r="B4" s="37">
        <f>'Данные с компьютера - Tаблица 1'!G4</f>
        <v>4.84</v>
      </c>
      <c r="C4" s="13">
        <f>'Данные с компьютера - Протокол1'!F3</f>
        <v>0.00031862638564511</v>
      </c>
    </row>
    <row r="5" ht="18.9" customHeight="1">
      <c r="A5" s="42">
        <f>'Данные с компьютера - Tаблица 1'!A5</f>
        <v>120</v>
      </c>
      <c r="B5" s="37">
        <f>'Данные с компьютера - Tаблица 1'!G5</f>
        <v>3.52</v>
      </c>
      <c r="C5" s="13">
        <f>'Данные с компьютера - Протокол2'!F3</f>
        <v>0.0002306296254948093</v>
      </c>
    </row>
    <row r="6" ht="18.9" customHeight="1">
      <c r="A6" s="42">
        <f>'Данные с компьютера - Tаблица 1'!A6</f>
        <v>160</v>
      </c>
      <c r="B6" s="37">
        <f>'Данные с компьютера - Tаблица 1'!G6</f>
        <v>2.64</v>
      </c>
      <c r="C6" s="13">
        <f>'Данные с компьютера - Протокол3'!F3</f>
        <v>0.0001742082755169974</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sheetViews>
  <sheetFormatPr defaultColWidth="19.6" defaultRowHeight="19.45" customHeight="1" outlineLevelRow="0" outlineLevelCol="0"/>
  <cols>
    <col min="1" max="2" width="19.6016" style="43" customWidth="1"/>
    <col min="3" max="256" width="19.6016" style="43" customWidth="1"/>
  </cols>
  <sheetData>
    <row r="1" ht="28.45" customHeight="1">
      <c r="A1" t="s" s="7">
        <v>48</v>
      </c>
      <c r="B1" s="7"/>
    </row>
    <row r="2" ht="18.9" customHeight="1">
      <c r="A2" s="13">
        <v>0</v>
      </c>
      <c r="B2" s="13">
        <f>A2*'Данные с компьютера - Tаблица 2'!$B$8</f>
        <v>0</v>
      </c>
    </row>
    <row r="3" ht="18.9" customHeight="1">
      <c r="A3" s="13">
        <v>3.25</v>
      </c>
      <c r="B3" s="13">
        <f>A3*'Данные с компьютера - Tаблица 2'!$B$8</f>
        <v>1.727750728704</v>
      </c>
    </row>
    <row r="4" ht="18.9" customHeight="1">
      <c r="A4" s="13">
        <v>6.5</v>
      </c>
      <c r="B4" s="13">
        <f>A4*'Данные с компьютера - Tаблица 2'!$B$8</f>
        <v>3.455501457407999</v>
      </c>
    </row>
    <row r="5" ht="18.9" customHeight="1">
      <c r="A5" s="13">
        <v>9.75</v>
      </c>
      <c r="B5" s="13">
        <f>A5*'Данные с компьютера - Tаблица 2'!$B$8</f>
        <v>5.183252186111999</v>
      </c>
    </row>
    <row r="6" ht="18.9" customHeight="1">
      <c r="A6" s="13">
        <v>13</v>
      </c>
      <c r="B6" s="13">
        <f>A6*'Данные с компьютера - Tаблица 2'!$B$8</f>
        <v>6.911002914815999</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A1:C5"/>
  <sheetViews>
    <sheetView workbookViewId="0" showGridLines="0" defaultGridColor="1"/>
  </sheetViews>
  <sheetFormatPr defaultColWidth="19.6" defaultRowHeight="19.45" customHeight="1" outlineLevelRow="0" outlineLevelCol="0"/>
  <cols>
    <col min="1" max="3" width="19.6016" style="44" customWidth="1"/>
    <col min="4" max="256" width="19.6016" style="44" customWidth="1"/>
  </cols>
  <sheetData>
    <row r="1" ht="19.85" customHeight="1">
      <c r="A1" s="45">
        <v>-0.0234</v>
      </c>
      <c r="B1" s="45">
        <f>(800*11/2)</f>
        <v>4400</v>
      </c>
      <c r="C1" s="45">
        <f>-1*A1*$B$1</f>
        <v>102.96</v>
      </c>
    </row>
    <row r="2" ht="19.85" customHeight="1">
      <c r="A2" s="45">
        <v>-0.0287</v>
      </c>
      <c r="B2" s="45"/>
      <c r="C2" s="45">
        <f>-1*A2*$B$1</f>
        <v>126.28</v>
      </c>
    </row>
    <row r="3" ht="19.85" customHeight="1">
      <c r="A3" s="45">
        <v>-0.0294</v>
      </c>
      <c r="B3" s="45"/>
      <c r="C3" s="45">
        <f>-1*A3*$B$1</f>
        <v>129.36</v>
      </c>
    </row>
    <row r="4" ht="19.85" customHeight="1">
      <c r="A4" s="45">
        <v>-0.0303</v>
      </c>
      <c r="B4" s="45"/>
      <c r="C4" s="45">
        <f>-1*A4*$B$1</f>
        <v>133.32</v>
      </c>
    </row>
    <row r="5" ht="19.85" customHeight="1">
      <c r="A5" s="45">
        <v>-0.0304</v>
      </c>
      <c r="B5" s="45"/>
      <c r="C5" s="45">
        <f>-1*A5*$B$1</f>
        <v>133.76</v>
      </c>
    </row>
  </sheetData>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1" width="19.6016" style="46" customWidth="1"/>
    <col min="2" max="5" width="26.0156" style="46" customWidth="1"/>
    <col min="6" max="256" width="19.6016" style="46" customWidth="1"/>
  </cols>
  <sheetData>
    <row r="1" ht="28.45" customHeight="1">
      <c r="A1" t="s" s="7">
        <v>23</v>
      </c>
      <c r="B1" s="7"/>
      <c r="C1" s="7"/>
      <c r="D1" s="7"/>
      <c r="E1" s="7"/>
    </row>
    <row r="2" ht="19.1" customHeight="1">
      <c r="A2" t="s" s="8">
        <v>18</v>
      </c>
      <c r="B2" t="s" s="8">
        <v>23</v>
      </c>
      <c r="C2" t="s" s="8">
        <v>20</v>
      </c>
      <c r="D2" t="s" s="8">
        <v>55</v>
      </c>
      <c r="E2" t="s" s="8">
        <v>42</v>
      </c>
    </row>
    <row r="3" ht="19.1" customHeight="1">
      <c r="A3" s="41">
        <v>40</v>
      </c>
      <c r="B3" s="36">
        <f>'Рассчеты - Tаблица 1'!C1</f>
        <v>102.96</v>
      </c>
      <c r="C3" s="10">
        <f>(1/11)^2+(5/800)^2+(0.005/'Рассчеты - Tаблица 1'!A1)^2</f>
        <v>0.05396062224906557</v>
      </c>
      <c r="D3" s="10">
        <f>(101.325/760)*A3</f>
        <v>5.332894736842105</v>
      </c>
      <c r="E3" s="10">
        <f>1/D3</f>
        <v>0.1875154206760424</v>
      </c>
    </row>
    <row r="4" ht="18.9" customHeight="1">
      <c r="A4" s="42">
        <v>60</v>
      </c>
      <c r="B4" s="37">
        <f>'Рассчеты - Tаблица 1'!C2</f>
        <v>126.28</v>
      </c>
      <c r="C4" s="13">
        <f>(1/11)^2+(5/800)^2+(0.005/'Рассчеты - Tаблица 1'!A2)^2</f>
        <v>0.03865474967830838</v>
      </c>
      <c r="D4" s="13">
        <f>(101.325/760)*A4</f>
        <v>7.999342105263158</v>
      </c>
      <c r="E4" s="13">
        <f>1/D4</f>
        <v>0.125010280450695</v>
      </c>
    </row>
    <row r="5" ht="18.9" customHeight="1">
      <c r="A5" s="42">
        <v>80</v>
      </c>
      <c r="B5" s="37">
        <f>'Рассчеты - Tаблица 1'!C3</f>
        <v>129.36</v>
      </c>
      <c r="C5" s="13">
        <f>(1/11)^2+(5/800)^2+(0.005/'Рассчеты - Tаблица 1'!A3)^2</f>
        <v>0.03722665918931946</v>
      </c>
      <c r="D5" s="13">
        <f>(101.325/760)*A5</f>
        <v>10.66578947368421</v>
      </c>
      <c r="E5" s="13">
        <f>1/D5</f>
        <v>0.09375771033802122</v>
      </c>
    </row>
    <row r="6" ht="18.9" customHeight="1">
      <c r="A6" s="42">
        <v>120</v>
      </c>
      <c r="B6" s="37">
        <f>'Рассчеты - Tаблица 1'!C4</f>
        <v>133.32</v>
      </c>
      <c r="C6" s="13">
        <f>(1/11)^2+(5/800)^2+(0.005/'Рассчеты - Tаблица 1'!A4)^2</f>
        <v>0.03553397112677627</v>
      </c>
      <c r="D6" s="13">
        <f>(101.325/760)*A6</f>
        <v>15.99868421052632</v>
      </c>
      <c r="E6" s="13">
        <f>1/D6</f>
        <v>0.06250514022534748</v>
      </c>
    </row>
    <row r="7" ht="18.9" customHeight="1">
      <c r="A7" s="42">
        <v>160</v>
      </c>
      <c r="B7" s="37">
        <f>'Рассчеты - Tаблица 1'!C5</f>
        <v>133.76</v>
      </c>
      <c r="C7" s="13">
        <f>(1/11)^2+(5/800)^2+(0.005/'Рассчеты - Tаблица 1'!A5)^2</f>
        <v>0.0353551181077013</v>
      </c>
      <c r="D7" s="13">
        <f>(101.325/760)*A7</f>
        <v>21.33157894736842</v>
      </c>
      <c r="E7" s="13">
        <f>1/D7</f>
        <v>0.04687885516901061</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2" width="19.6016" style="47" customWidth="1"/>
    <col min="3" max="256" width="19.6016" style="47" customWidth="1"/>
  </cols>
  <sheetData>
    <row r="1" ht="28.45" customHeight="1">
      <c r="A1" t="s" s="7">
        <v>56</v>
      </c>
      <c r="B1" s="7"/>
    </row>
    <row r="2" ht="19.1" customHeight="1">
      <c r="A2" t="s" s="8">
        <v>42</v>
      </c>
      <c r="B2" t="s" s="8">
        <v>43</v>
      </c>
    </row>
    <row r="3" ht="19.1" customHeight="1">
      <c r="A3" s="41">
        <f>'Рассчеты - Коэффициент диффузии'!E3</f>
        <v>0.1875154206760424</v>
      </c>
      <c r="B3" s="36">
        <f>'Рассчеты - Коэффициент диффузии'!B3</f>
        <v>102.96</v>
      </c>
    </row>
    <row r="4" ht="18.9" customHeight="1">
      <c r="A4" s="42">
        <f>'Рассчеты - Коэффициент диффузии'!E4</f>
        <v>0.125010280450695</v>
      </c>
      <c r="B4" s="37">
        <f>'Рассчеты - Коэффициент диффузии'!B4</f>
        <v>126.28</v>
      </c>
    </row>
    <row r="5" ht="18.9" customHeight="1">
      <c r="A5" s="42">
        <f>'Рассчеты - Коэффициент диффузии'!E5</f>
        <v>0.09375771033802122</v>
      </c>
      <c r="B5" s="37">
        <f>'Рассчеты - Коэффициент диффузии'!B5</f>
        <v>129.36</v>
      </c>
    </row>
    <row r="6" ht="18.9" customHeight="1">
      <c r="A6" s="42">
        <f>'Рассчеты - Коэффициент диффузии'!E6</f>
        <v>0.06250514022534748</v>
      </c>
      <c r="B6" s="37">
        <f>'Рассчеты - Коэффициент диффузии'!B6</f>
        <v>133.32</v>
      </c>
    </row>
    <row r="7" ht="18.9" customHeight="1">
      <c r="A7" s="42">
        <f>'Рассчеты - Коэффициент диффузии'!E7</f>
        <v>0.04687885516901061</v>
      </c>
      <c r="B7" s="37">
        <f>'Рассчеты - Коэффициент диффузии'!B7</f>
        <v>133.76</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&amp;C&amp;"Helvetica,Regular"&amp;11&amp;K000000&amp;P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F28"/>
  <sheetViews>
    <sheetView workbookViewId="0" showGridLines="0" defaultGridColor="1">
      <pane topLeftCell="A3" xSplit="0" ySplit="2" activePane="bottomLeft" state="frozen"/>
    </sheetView>
  </sheetViews>
  <sheetFormatPr defaultColWidth="19.6" defaultRowHeight="19.45" customHeight="1" outlineLevelRow="0" outlineLevelCol="0"/>
  <cols>
    <col min="1" max="6" width="19.6016" style="6" customWidth="1"/>
    <col min="7" max="256" width="19.6016" style="6" customWidth="1"/>
  </cols>
  <sheetData>
    <row r="1" ht="28.45" customHeight="1">
      <c r="A1" t="s" s="7">
        <v>5</v>
      </c>
      <c r="B1" s="7"/>
      <c r="C1" s="7"/>
      <c r="D1" s="7"/>
      <c r="E1" s="7"/>
      <c r="F1" s="7"/>
    </row>
    <row r="2" ht="19.1" customHeight="1">
      <c r="A2" t="s" s="8">
        <v>7</v>
      </c>
      <c r="B2" t="s" s="8">
        <v>8</v>
      </c>
      <c r="C2" t="s" s="8">
        <v>9</v>
      </c>
      <c r="D2" s="9"/>
      <c r="E2" s="9"/>
      <c r="F2" s="9"/>
    </row>
    <row r="3" ht="19.1" customHeight="1">
      <c r="A3" s="10">
        <v>0</v>
      </c>
      <c r="B3" s="10">
        <v>255</v>
      </c>
      <c r="C3" s="11">
        <f>LN(B3/$B$3)</f>
        <v>0</v>
      </c>
      <c r="D3" s="10">
        <f>A3^2</f>
        <v>0</v>
      </c>
      <c r="E3" s="11">
        <f>C3^2</f>
        <v>0</v>
      </c>
      <c r="F3" s="12">
        <f>1/SQRT(24)*SQRT(E28/D28+'Данные с компьютера - Tаблица 1'!F3^2)</f>
        <v>0.000428465042056552</v>
      </c>
    </row>
    <row r="4" ht="18.9" customHeight="1">
      <c r="A4" s="13">
        <v>20.67</v>
      </c>
      <c r="B4" s="13">
        <v>247.2</v>
      </c>
      <c r="C4" s="14">
        <f>LN(B4/$B$3)</f>
        <v>-0.03106581957489049</v>
      </c>
      <c r="D4" s="13">
        <f>A4^2</f>
        <v>427.2489</v>
      </c>
      <c r="E4" s="14">
        <f>C4^2</f>
        <v>0.000965085145859649</v>
      </c>
      <c r="F4" s="15"/>
    </row>
    <row r="5" ht="18.9" customHeight="1">
      <c r="A5" s="13">
        <v>41.35</v>
      </c>
      <c r="B5" s="13">
        <v>240</v>
      </c>
      <c r="C5" s="14">
        <f>LN(B5/$B$3)</f>
        <v>-0.06062462181643485</v>
      </c>
      <c r="D5" s="13">
        <f>A5^2</f>
        <v>1709.8225</v>
      </c>
      <c r="E5" s="14">
        <f>C5^2</f>
        <v>0.003675344770385749</v>
      </c>
      <c r="F5" s="15"/>
    </row>
    <row r="6" ht="18.9" customHeight="1">
      <c r="A6" s="13">
        <v>62.02</v>
      </c>
      <c r="B6" s="13">
        <v>232.7</v>
      </c>
      <c r="C6" s="14">
        <f>LN(B6/$B$3)</f>
        <v>-0.09151347485018017</v>
      </c>
      <c r="D6" s="13">
        <f>A6^2</f>
        <v>3846.4804</v>
      </c>
      <c r="E6" s="14">
        <f>C6^2</f>
        <v>0.008374716079154559</v>
      </c>
      <c r="F6" s="15"/>
    </row>
    <row r="7" ht="18.9" customHeight="1">
      <c r="A7" s="13">
        <v>82.7</v>
      </c>
      <c r="B7" s="13">
        <v>225.9</v>
      </c>
      <c r="C7" s="14">
        <f>LN(B7/$B$3)</f>
        <v>-0.1211711216844686</v>
      </c>
      <c r="D7" s="16">
        <f>A7^2</f>
        <v>6839.290000000001</v>
      </c>
      <c r="E7" s="14">
        <f>C7^2</f>
        <v>0.01468244073027229</v>
      </c>
      <c r="F7" s="15"/>
    </row>
    <row r="8" ht="18.9" customHeight="1">
      <c r="A8" s="13">
        <v>103.37</v>
      </c>
      <c r="B8" s="13">
        <v>217</v>
      </c>
      <c r="C8" s="14">
        <f>LN(B8/$B$3)</f>
        <v>-0.1613661916179666</v>
      </c>
      <c r="D8" s="13">
        <f>A8^2</f>
        <v>10685.3569</v>
      </c>
      <c r="E8" s="14">
        <f>C8^2</f>
        <v>0.02603904779728632</v>
      </c>
      <c r="F8" s="15"/>
    </row>
    <row r="9" ht="18.9" customHeight="1">
      <c r="A9" s="13">
        <v>124.04</v>
      </c>
      <c r="B9" s="13">
        <v>210.3</v>
      </c>
      <c r="C9" s="14">
        <f>LN(B9/$B$3)</f>
        <v>-0.192728462449772</v>
      </c>
      <c r="D9" s="13">
        <f>A9^2</f>
        <v>15385.9216</v>
      </c>
      <c r="E9" s="14">
        <f>C9^2</f>
        <v>0.03714426023825319</v>
      </c>
      <c r="F9" s="15"/>
    </row>
    <row r="10" ht="18.9" customHeight="1">
      <c r="A10" s="13">
        <v>144.72</v>
      </c>
      <c r="B10" s="13">
        <v>205</v>
      </c>
      <c r="C10" s="14">
        <f>LN(B10/$B$3)</f>
        <v>-0.2182535660200179</v>
      </c>
      <c r="D10" s="13">
        <f>A10^2</f>
        <v>20943.8784</v>
      </c>
      <c r="E10" s="14">
        <f>C10^2</f>
        <v>0.04763461908045433</v>
      </c>
      <c r="F10" s="15"/>
    </row>
    <row r="11" ht="18.9" customHeight="1">
      <c r="A11" s="13">
        <v>165.39</v>
      </c>
      <c r="B11" s="13">
        <v>198.7</v>
      </c>
      <c r="C11" s="14">
        <f>LN(B11/$B$3)</f>
        <v>-0.249467395600655</v>
      </c>
      <c r="D11" s="13">
        <f>A11^2</f>
        <v>27353.8521</v>
      </c>
      <c r="E11" s="14">
        <f>C11^2</f>
        <v>0.06223398146777372</v>
      </c>
      <c r="F11" s="15"/>
    </row>
    <row r="12" ht="18.9" customHeight="1">
      <c r="A12" s="13">
        <v>186.07</v>
      </c>
      <c r="B12" s="13">
        <v>193</v>
      </c>
      <c r="C12" s="14">
        <f>LN(B12/$B$3)</f>
        <v>-0.2785733562535406</v>
      </c>
      <c r="D12" s="13">
        <f>A12^2</f>
        <v>34622.0449</v>
      </c>
      <c r="E12" s="14">
        <f>C12^2</f>
        <v>0.07760311481436206</v>
      </c>
      <c r="F12" s="15"/>
    </row>
    <row r="13" ht="18.9" customHeight="1">
      <c r="A13" s="13">
        <v>206.74</v>
      </c>
      <c r="B13" s="13">
        <v>187</v>
      </c>
      <c r="C13" s="14">
        <f>LN(B13/$B$3)</f>
        <v>-0.3101549283038396</v>
      </c>
      <c r="D13" s="13">
        <f>A13^2</f>
        <v>42741.4276</v>
      </c>
      <c r="E13" s="14">
        <f>C13^2</f>
        <v>0.0961960795511599</v>
      </c>
      <c r="F13" s="15"/>
    </row>
    <row r="14" ht="18.9" customHeight="1">
      <c r="A14" s="13">
        <v>227.41</v>
      </c>
      <c r="B14" s="13">
        <v>181.4</v>
      </c>
      <c r="C14" s="14">
        <f>LN(B14/$B$3)</f>
        <v>-0.3405590074773899</v>
      </c>
      <c r="D14" s="13">
        <f>A14^2</f>
        <v>51715.3081</v>
      </c>
      <c r="E14" s="14">
        <f>C14^2</f>
        <v>0.1159804375739849</v>
      </c>
      <c r="F14" s="15"/>
    </row>
    <row r="15" ht="18.9" customHeight="1">
      <c r="A15" s="13">
        <v>248.09</v>
      </c>
      <c r="B15" s="13">
        <v>176</v>
      </c>
      <c r="C15" s="14">
        <f>LN(B15/$B$3)</f>
        <v>-0.3707795501202744</v>
      </c>
      <c r="D15" s="13">
        <f>A15^2</f>
        <v>61548.6481</v>
      </c>
      <c r="E15" s="14">
        <f>C15^2</f>
        <v>0.1374774747873931</v>
      </c>
      <c r="F15" s="15"/>
    </row>
    <row r="16" ht="18.9" customHeight="1">
      <c r="A16" s="13">
        <v>268.76</v>
      </c>
      <c r="B16" s="13">
        <v>171</v>
      </c>
      <c r="C16" s="14">
        <f>LN(B16/$B$3)</f>
        <v>-0.3995999886557664</v>
      </c>
      <c r="D16" s="13">
        <f>A16^2</f>
        <v>72231.937599999990</v>
      </c>
      <c r="E16" s="14">
        <f>C16^2</f>
        <v>0.1596801509336886</v>
      </c>
      <c r="F16" s="15"/>
    </row>
    <row r="17" ht="18.9" customHeight="1">
      <c r="A17" s="13">
        <v>289.43</v>
      </c>
      <c r="B17" s="13">
        <v>166</v>
      </c>
      <c r="C17" s="14">
        <f>LN(B17/$B$3)</f>
        <v>-0.4292757568018829</v>
      </c>
      <c r="D17" s="13">
        <f>A17^2</f>
        <v>83769.7249</v>
      </c>
      <c r="E17" s="14">
        <f>C17^2</f>
        <v>0.1842776753778293</v>
      </c>
      <c r="F17" s="15"/>
    </row>
    <row r="18" ht="18.9" customHeight="1">
      <c r="A18" s="13">
        <v>310.11</v>
      </c>
      <c r="B18" s="13">
        <v>160</v>
      </c>
      <c r="C18" s="14">
        <f>LN(B18/$B$3)</f>
        <v>-0.4660897299245992</v>
      </c>
      <c r="D18" s="13">
        <f>A18^2</f>
        <v>96168.2121</v>
      </c>
      <c r="E18" s="14">
        <f>C18^2</f>
        <v>0.2172396363411859</v>
      </c>
      <c r="F18" s="15"/>
    </row>
    <row r="19" ht="18.9" customHeight="1">
      <c r="A19" s="13">
        <v>330.78</v>
      </c>
      <c r="B19" s="13">
        <v>155.5</v>
      </c>
      <c r="C19" s="14">
        <f>LN(B19/$B$3)</f>
        <v>-0.4946178135391373</v>
      </c>
      <c r="D19" s="13">
        <f>A19^2</f>
        <v>109415.4084</v>
      </c>
      <c r="E19" s="14">
        <f>C19^2</f>
        <v>0.2446467814702367</v>
      </c>
      <c r="F19" s="15"/>
    </row>
    <row r="20" ht="18.9" customHeight="1">
      <c r="A20" s="13">
        <v>351.46</v>
      </c>
      <c r="B20" s="13">
        <v>151</v>
      </c>
      <c r="C20" s="14">
        <f>LN(B20/$B$3)</f>
        <v>-0.5239837083435018</v>
      </c>
      <c r="D20" s="13">
        <f>A20^2</f>
        <v>123524.1316</v>
      </c>
      <c r="E20" s="14">
        <f>C20^2</f>
        <v>0.274558926609408</v>
      </c>
      <c r="F20" s="15"/>
    </row>
    <row r="21" ht="18.9" customHeight="1">
      <c r="A21" s="13">
        <v>372.13</v>
      </c>
      <c r="B21" s="13">
        <v>146.9</v>
      </c>
      <c r="C21" s="14">
        <f>LN(B21/$B$3)</f>
        <v>-0.5515114619785946</v>
      </c>
      <c r="D21" s="13">
        <f>A21^2</f>
        <v>138480.7369</v>
      </c>
      <c r="E21" s="14">
        <f>C21^2</f>
        <v>0.3041648926937668</v>
      </c>
      <c r="F21" s="15"/>
    </row>
    <row r="22" ht="18.9" customHeight="1">
      <c r="A22" s="13">
        <v>392.8</v>
      </c>
      <c r="B22" s="13">
        <v>143</v>
      </c>
      <c r="C22" s="14">
        <f>LN(B22/$B$3)</f>
        <v>-0.5784189148985188</v>
      </c>
      <c r="D22" s="16">
        <f>A22^2</f>
        <v>154291.84</v>
      </c>
      <c r="E22" s="14">
        <f>C22^2</f>
        <v>0.3345684411123799</v>
      </c>
      <c r="F22" s="15"/>
    </row>
    <row r="23" ht="18.9" customHeight="1">
      <c r="A23" s="13">
        <v>413.48</v>
      </c>
      <c r="B23" s="13">
        <v>138.3</v>
      </c>
      <c r="C23" s="14">
        <f>LN(B23/$B$3)</f>
        <v>-0.6118383064877136</v>
      </c>
      <c r="D23" s="13">
        <f>A23^2</f>
        <v>170965.7104</v>
      </c>
      <c r="E23" s="14">
        <f>C23^2</f>
        <v>0.3743461132857534</v>
      </c>
      <c r="F23" s="15"/>
    </row>
    <row r="24" ht="18.9" customHeight="1">
      <c r="A24" s="13">
        <v>434.15</v>
      </c>
      <c r="B24" s="13">
        <v>135</v>
      </c>
      <c r="C24" s="14">
        <f>LN(B24/$B$3)</f>
        <v>-0.6359887667199967</v>
      </c>
      <c r="D24" s="13">
        <f>A24^2</f>
        <v>188486.2225</v>
      </c>
      <c r="E24" s="14">
        <f>C24^2</f>
        <v>0.4044817113940224</v>
      </c>
      <c r="F24" s="15"/>
    </row>
    <row r="25" ht="18.9" customHeight="1">
      <c r="A25" s="13">
        <v>454.83</v>
      </c>
      <c r="B25" s="13">
        <v>130.8</v>
      </c>
      <c r="C25" s="14">
        <f>LN(B25/$B$3)</f>
        <v>-0.6675941061353278</v>
      </c>
      <c r="D25" s="13">
        <f>A25^2</f>
        <v>206870.3289</v>
      </c>
      <c r="E25" s="14">
        <f>C25^2</f>
        <v>0.4456818905466273</v>
      </c>
      <c r="F25" s="15"/>
    </row>
    <row r="26" ht="18.9" customHeight="1">
      <c r="A26" s="13">
        <v>475.5</v>
      </c>
      <c r="B26" s="13">
        <v>127</v>
      </c>
      <c r="C26" s="14">
        <f>LN(B26/$B$3)</f>
        <v>-0.6970764586998348</v>
      </c>
      <c r="D26" s="16">
        <f>A26^2</f>
        <v>226100.25</v>
      </c>
      <c r="E26" s="14">
        <f>C26^2</f>
        <v>0.4859155892735025</v>
      </c>
      <c r="F26" s="15"/>
    </row>
    <row r="27" ht="18.9" customHeight="1">
      <c r="A27" s="17">
        <f>AVERAGE(A3:A26)^2</f>
        <v>56525.0625</v>
      </c>
      <c r="B27" s="18"/>
      <c r="C27" s="19">
        <f>AVERAGE(C3:C26)^2</f>
        <v>0.1249107770984325</v>
      </c>
      <c r="D27" s="17">
        <f>AVERAGE(D3:D26)</f>
        <v>77005.157616666664</v>
      </c>
      <c r="E27" s="19">
        <f>AVERAGE(E3:E26)</f>
        <v>0.1690653504614475</v>
      </c>
      <c r="F27" s="20">
        <f>(F3/'Данные с компьютера - Tаблица 1'!F3)*100</f>
        <v>28.56433613710346</v>
      </c>
    </row>
    <row r="28" ht="18.9" customHeight="1">
      <c r="A28" s="18"/>
      <c r="B28" s="18"/>
      <c r="C28" s="19"/>
      <c r="D28" s="17">
        <f>D27-A27</f>
        <v>20480.095116666664</v>
      </c>
      <c r="E28" s="19">
        <f>E27-C27</f>
        <v>0.04415457336301504</v>
      </c>
      <c r="F28" s="21"/>
    </row>
  </sheetData>
  <mergeCells count="2">
    <mergeCell ref="A1:F1"/>
    <mergeCell ref="F3:F2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28"/>
  <sheetViews>
    <sheetView workbookViewId="0" showGridLines="0" defaultGridColor="1">
      <pane topLeftCell="A3" xSplit="0" ySplit="2" activePane="bottomLeft" state="frozen"/>
    </sheetView>
  </sheetViews>
  <sheetFormatPr defaultColWidth="19.6" defaultRowHeight="19.45" customHeight="1" outlineLevelRow="0" outlineLevelCol="0"/>
  <cols>
    <col min="1" max="6" width="19.6016" style="22" customWidth="1"/>
    <col min="7" max="256" width="19.6016" style="22" customWidth="1"/>
  </cols>
  <sheetData>
    <row r="1" ht="28.45" customHeight="1">
      <c r="A1" t="s" s="7">
        <v>10</v>
      </c>
      <c r="B1" s="7"/>
      <c r="C1" s="7"/>
      <c r="D1" s="7"/>
      <c r="E1" s="7"/>
      <c r="F1" s="7"/>
    </row>
    <row r="2" ht="19.1" customHeight="1">
      <c r="A2" t="s" s="8">
        <v>7</v>
      </c>
      <c r="B2" t="s" s="8">
        <v>8</v>
      </c>
      <c r="C2" t="s" s="8">
        <v>9</v>
      </c>
      <c r="D2" s="9"/>
      <c r="E2" s="9"/>
      <c r="F2" s="9"/>
    </row>
    <row r="3" ht="19.1" customHeight="1">
      <c r="A3" s="10">
        <v>0</v>
      </c>
      <c r="B3" s="10">
        <v>255</v>
      </c>
      <c r="C3" s="11">
        <f>LN(B3/$B$3)</f>
        <v>0</v>
      </c>
      <c r="D3" s="10">
        <f>A3^2</f>
        <v>0</v>
      </c>
      <c r="E3" s="11">
        <f>C3^2</f>
        <v>0</v>
      </c>
      <c r="F3" s="12">
        <f>1/SQRT(24)*SQRT(E28/D28+'Данные с компьютера - Tаблица 1'!F4^2)</f>
        <v>0.00031862638564511</v>
      </c>
    </row>
    <row r="4" ht="18.9" customHeight="1">
      <c r="A4" s="13">
        <v>27.33</v>
      </c>
      <c r="B4" s="13">
        <v>247.8</v>
      </c>
      <c r="C4" s="14">
        <f>LN(B4/$B$3)</f>
        <v>-0.02864157596338404</v>
      </c>
      <c r="D4" s="13">
        <f>A4^2</f>
        <v>746.9288999999999</v>
      </c>
      <c r="E4" s="14">
        <f>C4^2</f>
        <v>0.0008203398736662983</v>
      </c>
      <c r="F4" s="15"/>
    </row>
    <row r="5" ht="18.9" customHeight="1">
      <c r="A5" s="13">
        <v>54.65</v>
      </c>
      <c r="B5" s="13">
        <v>240</v>
      </c>
      <c r="C5" s="14">
        <f>LN(B5/$B$3)</f>
        <v>-0.06062462181643485</v>
      </c>
      <c r="D5" s="13">
        <f>A5^2</f>
        <v>2986.6225</v>
      </c>
      <c r="E5" s="14">
        <f>C5^2</f>
        <v>0.003675344770385749</v>
      </c>
      <c r="F5" s="15"/>
    </row>
    <row r="6" ht="18.9" customHeight="1">
      <c r="A6" s="13">
        <v>81.98</v>
      </c>
      <c r="B6" s="13">
        <v>233</v>
      </c>
      <c r="C6" s="14">
        <f>LN(B6/$B$3)</f>
        <v>-0.09022509159272561</v>
      </c>
      <c r="D6" s="13">
        <f>A6^2</f>
        <v>6720.720400000001</v>
      </c>
      <c r="E6" s="14">
        <f>C6^2</f>
        <v>0.008140567152915727</v>
      </c>
      <c r="F6" s="15"/>
    </row>
    <row r="7" ht="18.9" customHeight="1">
      <c r="A7" s="13">
        <v>109.3</v>
      </c>
      <c r="B7" s="13">
        <v>226</v>
      </c>
      <c r="C7" s="14">
        <f>LN(B7/$B$3)</f>
        <v>-0.1207285458861403</v>
      </c>
      <c r="D7" s="16">
        <f>A7^2</f>
        <v>11946.49</v>
      </c>
      <c r="E7" s="14">
        <f>C7^2</f>
        <v>0.01457538179178188</v>
      </c>
      <c r="F7" s="15"/>
    </row>
    <row r="8" ht="18.9" customHeight="1">
      <c r="A8" s="13">
        <v>136.63</v>
      </c>
      <c r="B8" s="13">
        <v>217.9</v>
      </c>
      <c r="C8" s="14">
        <f>LN(B8/$B$3)</f>
        <v>-0.157227303207852</v>
      </c>
      <c r="D8" s="13">
        <f>A8^2</f>
        <v>18667.7569</v>
      </c>
      <c r="E8" s="14">
        <f>C8^2</f>
        <v>0.02472042487401382</v>
      </c>
      <c r="F8" s="15"/>
    </row>
    <row r="9" ht="18.9" customHeight="1">
      <c r="A9" s="13">
        <v>163.96</v>
      </c>
      <c r="B9" s="13">
        <v>211.7</v>
      </c>
      <c r="C9" s="14">
        <f>LN(B9/$B$3)</f>
        <v>-0.1860933670176067</v>
      </c>
      <c r="D9" s="13">
        <f>A9^2</f>
        <v>26882.8816</v>
      </c>
      <c r="E9" s="14">
        <f>C9^2</f>
        <v>0.03463074124794966</v>
      </c>
      <c r="F9" s="15"/>
    </row>
    <row r="10" ht="18.9" customHeight="1">
      <c r="A10" s="13">
        <v>191.28</v>
      </c>
      <c r="B10" s="13">
        <v>205</v>
      </c>
      <c r="C10" s="14">
        <f>LN(B10/$B$3)</f>
        <v>-0.2182535660200179</v>
      </c>
      <c r="D10" s="13">
        <f>A10^2</f>
        <v>36588.0384</v>
      </c>
      <c r="E10" s="14">
        <f>C10^2</f>
        <v>0.04763461908045433</v>
      </c>
      <c r="F10" s="15"/>
    </row>
    <row r="11" ht="18.9" customHeight="1">
      <c r="A11" s="13">
        <v>218.61</v>
      </c>
      <c r="B11" s="13">
        <v>199</v>
      </c>
      <c r="C11" s="14">
        <f>LN(B11/$B$3)</f>
        <v>-0.2479587204339337</v>
      </c>
      <c r="D11" s="13">
        <f>A11^2</f>
        <v>47790.332100000007</v>
      </c>
      <c r="E11" s="14">
        <f>C11^2</f>
        <v>0.06148352703923371</v>
      </c>
      <c r="F11" s="15"/>
    </row>
    <row r="12" ht="18.9" customHeight="1">
      <c r="A12" s="13">
        <v>245.93</v>
      </c>
      <c r="B12" s="13">
        <v>193</v>
      </c>
      <c r="C12" s="14">
        <f>LN(B12/$B$3)</f>
        <v>-0.2785733562535406</v>
      </c>
      <c r="D12" s="13">
        <f>A12^2</f>
        <v>60481.5649</v>
      </c>
      <c r="E12" s="14">
        <f>C12^2</f>
        <v>0.07760311481436206</v>
      </c>
      <c r="F12" s="15"/>
    </row>
    <row r="13" ht="18.9" customHeight="1">
      <c r="A13" s="13">
        <v>273.26</v>
      </c>
      <c r="B13" s="13">
        <v>187</v>
      </c>
      <c r="C13" s="14">
        <f>LN(B13/$B$3)</f>
        <v>-0.3101549283038396</v>
      </c>
      <c r="D13" s="13">
        <f>A13^2</f>
        <v>74671.0276</v>
      </c>
      <c r="E13" s="14">
        <f>C13^2</f>
        <v>0.0961960795511599</v>
      </c>
      <c r="F13" s="15"/>
    </row>
    <row r="14" ht="18.9" customHeight="1">
      <c r="A14" s="13">
        <v>300.59</v>
      </c>
      <c r="B14" s="13">
        <v>181</v>
      </c>
      <c r="C14" s="14">
        <f>LN(B14/$B$3)</f>
        <v>-0.3427665138926004</v>
      </c>
      <c r="D14" s="13">
        <f>A14^2</f>
        <v>90354.348099999988</v>
      </c>
      <c r="E14" s="14">
        <f>C14^2</f>
        <v>0.1174888830460862</v>
      </c>
      <c r="F14" s="15"/>
    </row>
    <row r="15" ht="18.9" customHeight="1">
      <c r="A15" s="13">
        <v>327.91</v>
      </c>
      <c r="B15" s="13">
        <v>175.4</v>
      </c>
      <c r="C15" s="14">
        <f>LN(B15/$B$3)</f>
        <v>-0.3741944652203434</v>
      </c>
      <c r="D15" s="13">
        <f>A15^2</f>
        <v>107524.9681</v>
      </c>
      <c r="E15" s="14">
        <f>C15^2</f>
        <v>0.1400214978015388</v>
      </c>
      <c r="F15" s="15"/>
    </row>
    <row r="16" ht="18.9" customHeight="1">
      <c r="A16" s="13">
        <v>355.24</v>
      </c>
      <c r="B16" s="13">
        <v>170.2</v>
      </c>
      <c r="C16" s="14">
        <f>LN(B16/$B$3)</f>
        <v>-0.4042893290191525</v>
      </c>
      <c r="D16" s="13">
        <f>A16^2</f>
        <v>126195.4576</v>
      </c>
      <c r="E16" s="14">
        <f>C16^2</f>
        <v>0.1634498615587565</v>
      </c>
      <c r="F16" s="15"/>
    </row>
    <row r="17" ht="18.9" customHeight="1">
      <c r="A17" s="13">
        <v>382.57</v>
      </c>
      <c r="B17" s="13">
        <v>166</v>
      </c>
      <c r="C17" s="14">
        <f>LN(B17/$B$3)</f>
        <v>-0.4292757568018829</v>
      </c>
      <c r="D17" s="13">
        <f>A17^2</f>
        <v>146359.8049</v>
      </c>
      <c r="E17" s="14">
        <f>C17^2</f>
        <v>0.1842776753778293</v>
      </c>
      <c r="F17" s="15"/>
    </row>
    <row r="18" ht="18.9" customHeight="1">
      <c r="A18" s="13">
        <v>409.89</v>
      </c>
      <c r="B18" s="13">
        <v>160.7</v>
      </c>
      <c r="C18" s="14">
        <f>LN(B18/$B$3)</f>
        <v>-0.4617242724149593</v>
      </c>
      <c r="D18" s="13">
        <f>A18^2</f>
        <v>168009.8121</v>
      </c>
      <c r="E18" s="14">
        <f>C18^2</f>
        <v>0.2131893037371236</v>
      </c>
      <c r="F18" s="15"/>
    </row>
    <row r="19" ht="18.9" customHeight="1">
      <c r="A19" s="13">
        <v>437.22</v>
      </c>
      <c r="B19" s="13">
        <v>156</v>
      </c>
      <c r="C19" s="14">
        <f>LN(B19/$B$3)</f>
        <v>-0.491407537908889</v>
      </c>
      <c r="D19" s="13">
        <f>A19^2</f>
        <v>191161.3284</v>
      </c>
      <c r="E19" s="14">
        <f>C19^2</f>
        <v>0.2414813683136762</v>
      </c>
      <c r="F19" s="15"/>
    </row>
    <row r="20" ht="18.9" customHeight="1">
      <c r="A20" s="13">
        <v>464.54</v>
      </c>
      <c r="B20" s="13">
        <v>152</v>
      </c>
      <c r="C20" s="14">
        <f>LN(B20/$B$3)</f>
        <v>-0.5173830243121498</v>
      </c>
      <c r="D20" s="13">
        <f>A20^2</f>
        <v>215797.4116</v>
      </c>
      <c r="E20" s="14">
        <f>C20^2</f>
        <v>0.2676851938463866</v>
      </c>
      <c r="F20" s="15"/>
    </row>
    <row r="21" ht="18.9" customHeight="1">
      <c r="A21" s="13">
        <v>491.87</v>
      </c>
      <c r="B21" s="13">
        <v>147.1</v>
      </c>
      <c r="C21" s="14">
        <f>LN(B21/$B$3)</f>
        <v>-0.5501509175510344</v>
      </c>
      <c r="D21" s="13">
        <f>A21^2</f>
        <v>241936.0969</v>
      </c>
      <c r="E21" s="14">
        <f>C21^2</f>
        <v>0.3026660320822451</v>
      </c>
      <c r="F21" s="15"/>
    </row>
    <row r="22" ht="18.9" customHeight="1">
      <c r="A22" s="13">
        <v>519.2</v>
      </c>
      <c r="B22" s="13">
        <v>143</v>
      </c>
      <c r="C22" s="14">
        <f>LN(B22/$B$3)</f>
        <v>-0.5784189148985188</v>
      </c>
      <c r="D22" s="16">
        <f>A22^2</f>
        <v>269568.6400000001</v>
      </c>
      <c r="E22" s="14">
        <f>C22^2</f>
        <v>0.3345684411123799</v>
      </c>
      <c r="F22" s="15"/>
    </row>
    <row r="23" ht="18.9" customHeight="1">
      <c r="A23" s="13">
        <v>546.52</v>
      </c>
      <c r="B23" s="13">
        <v>139</v>
      </c>
      <c r="C23" s="14">
        <f>LN(B23/$B$3)</f>
        <v>-0.6067896120277345</v>
      </c>
      <c r="D23" s="13">
        <f>A23^2</f>
        <v>298684.1104</v>
      </c>
      <c r="E23" s="14">
        <f>C23^2</f>
        <v>0.3681936332647686</v>
      </c>
      <c r="F23" s="15"/>
    </row>
    <row r="24" ht="18.9" customHeight="1">
      <c r="A24" s="13">
        <v>573.85</v>
      </c>
      <c r="B24" s="13">
        <v>135</v>
      </c>
      <c r="C24" s="14">
        <f>LN(B24/$B$3)</f>
        <v>-0.6359887667199967</v>
      </c>
      <c r="D24" s="13">
        <f>A24^2</f>
        <v>329303.8225</v>
      </c>
      <c r="E24" s="14">
        <f>C24^2</f>
        <v>0.4044817113940224</v>
      </c>
      <c r="F24" s="15"/>
    </row>
    <row r="25" ht="18.9" customHeight="1">
      <c r="A25" s="13">
        <v>601.17</v>
      </c>
      <c r="B25" s="13">
        <v>131</v>
      </c>
      <c r="C25" s="14">
        <f>LN(B25/$B$3)</f>
        <v>-0.6660662219572747</v>
      </c>
      <c r="D25" s="13">
        <f>A25^2</f>
        <v>361405.3688999999</v>
      </c>
      <c r="E25" s="14">
        <f>C25^2</f>
        <v>0.4436442120324375</v>
      </c>
      <c r="F25" s="15"/>
    </row>
    <row r="26" ht="18.9" customHeight="1">
      <c r="A26" s="13">
        <v>628.5</v>
      </c>
      <c r="B26" s="13">
        <v>128</v>
      </c>
      <c r="C26" s="14">
        <f>LN(B26/$B$3)</f>
        <v>-0.689233281238809</v>
      </c>
      <c r="D26" s="16">
        <f>A26^2</f>
        <v>395012.25</v>
      </c>
      <c r="E26" s="14">
        <f>C26^2</f>
        <v>0.4750425159672152</v>
      </c>
      <c r="F26" s="15"/>
    </row>
    <row r="27" ht="18.9" customHeight="1">
      <c r="A27" s="17">
        <f>AVERAGE(A3:A26)^2</f>
        <v>98753.0625</v>
      </c>
      <c r="B27" s="18"/>
      <c r="C27" s="19">
        <f>AVERAGE(C3:C26)^2</f>
        <v>0.123850316736155</v>
      </c>
      <c r="D27" s="17">
        <f>AVERAGE(D3:D26)</f>
        <v>134533.1576166667</v>
      </c>
      <c r="E27" s="19">
        <f>AVERAGE(E3:E26)</f>
        <v>0.1677362695720995</v>
      </c>
      <c r="F27" s="20">
        <f>(F3/'Данные с компьютера - Tаблица 1'!F4)*100</f>
        <v>28.96603505864636</v>
      </c>
    </row>
    <row r="28" ht="18.9" customHeight="1">
      <c r="A28" s="18"/>
      <c r="B28" s="18"/>
      <c r="C28" s="19"/>
      <c r="D28" s="17">
        <f>D27-A27</f>
        <v>35780.095116666664</v>
      </c>
      <c r="E28" s="19">
        <f>E27-C27</f>
        <v>0.04388595283594456</v>
      </c>
      <c r="F28" s="23"/>
    </row>
  </sheetData>
  <mergeCells count="2">
    <mergeCell ref="A1:F1"/>
    <mergeCell ref="F3:F2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28"/>
  <sheetViews>
    <sheetView workbookViewId="0" showGridLines="0" defaultGridColor="1">
      <pane topLeftCell="A3" xSplit="0" ySplit="2" activePane="bottomLeft" state="frozen"/>
    </sheetView>
  </sheetViews>
  <sheetFormatPr defaultColWidth="19.6" defaultRowHeight="19.45" customHeight="1" outlineLevelRow="0" outlineLevelCol="0"/>
  <cols>
    <col min="1" max="6" width="19.6016" style="24" customWidth="1"/>
    <col min="7" max="256" width="19.6016" style="24" customWidth="1"/>
  </cols>
  <sheetData>
    <row r="1" ht="28.45" customHeight="1">
      <c r="A1" t="s" s="7">
        <v>12</v>
      </c>
      <c r="B1" s="7"/>
      <c r="C1" s="7"/>
      <c r="D1" s="7"/>
      <c r="E1" s="7"/>
      <c r="F1" s="7"/>
    </row>
    <row r="2" ht="19.1" customHeight="1">
      <c r="A2" t="s" s="8">
        <v>7</v>
      </c>
      <c r="B2" t="s" s="8">
        <v>8</v>
      </c>
      <c r="C2" t="s" s="8">
        <v>9</v>
      </c>
      <c r="D2" s="9"/>
      <c r="E2" s="9"/>
      <c r="F2" s="9"/>
    </row>
    <row r="3" ht="19.1" customHeight="1">
      <c r="A3" s="10">
        <v>0</v>
      </c>
      <c r="B3" s="10">
        <v>255</v>
      </c>
      <c r="C3" s="11">
        <f>LN(B3/$B$3)</f>
        <v>0</v>
      </c>
      <c r="D3" s="10">
        <f>A3^2</f>
        <v>0</v>
      </c>
      <c r="E3" s="11">
        <f>C3^2</f>
        <v>0</v>
      </c>
      <c r="F3" s="12">
        <f>1/SQRT(24)*SQRT(E28/D28+'Данные с компьютера - Tаблица 1'!F5^2)</f>
        <v>0.0002306296254948093</v>
      </c>
    </row>
    <row r="4" ht="18.9" customHeight="1">
      <c r="A4" s="13">
        <v>36</v>
      </c>
      <c r="B4" s="13">
        <v>248</v>
      </c>
      <c r="C4" s="14">
        <f>LN(B4/$B$3)</f>
        <v>-0.02783479899344399</v>
      </c>
      <c r="D4" s="16">
        <f>A4^2</f>
        <v>1296</v>
      </c>
      <c r="E4" s="14">
        <f>C4^2</f>
        <v>0.0007747760350054304</v>
      </c>
      <c r="F4" s="15"/>
    </row>
    <row r="5" ht="18.9" customHeight="1">
      <c r="A5" s="13">
        <v>72</v>
      </c>
      <c r="B5" s="13">
        <v>240</v>
      </c>
      <c r="C5" s="14">
        <f>LN(B5/$B$3)</f>
        <v>-0.06062462181643485</v>
      </c>
      <c r="D5" s="16">
        <f>A5^2</f>
        <v>5184</v>
      </c>
      <c r="E5" s="14">
        <f>C5^2</f>
        <v>0.003675344770385749</v>
      </c>
      <c r="F5" s="15"/>
    </row>
    <row r="6" ht="18.9" customHeight="1">
      <c r="A6" s="13">
        <v>108</v>
      </c>
      <c r="B6" s="13">
        <v>233</v>
      </c>
      <c r="C6" s="14">
        <f>LN(B6/$B$3)</f>
        <v>-0.09022509159272561</v>
      </c>
      <c r="D6" s="16">
        <f>A6^2</f>
        <v>11664</v>
      </c>
      <c r="E6" s="14">
        <f>C6^2</f>
        <v>0.008140567152915727</v>
      </c>
      <c r="F6" s="15"/>
    </row>
    <row r="7" ht="18.9" customHeight="1">
      <c r="A7" s="13">
        <v>144</v>
      </c>
      <c r="B7" s="13">
        <v>226</v>
      </c>
      <c r="C7" s="14">
        <f>LN(B7/$B$3)</f>
        <v>-0.1207285458861403</v>
      </c>
      <c r="D7" s="16">
        <f>A7^2</f>
        <v>20736</v>
      </c>
      <c r="E7" s="14">
        <f>C7^2</f>
        <v>0.01457538179178188</v>
      </c>
      <c r="F7" s="15"/>
    </row>
    <row r="8" ht="18.9" customHeight="1">
      <c r="A8" s="13">
        <v>180</v>
      </c>
      <c r="B8" s="13">
        <v>219</v>
      </c>
      <c r="C8" s="14">
        <f>LN(B8/$B$3)</f>
        <v>-0.1521918153419254</v>
      </c>
      <c r="D8" s="16">
        <f>A8^2</f>
        <v>32400</v>
      </c>
      <c r="E8" s="14">
        <f>C8^2</f>
        <v>0.02316234865707072</v>
      </c>
      <c r="F8" s="15"/>
    </row>
    <row r="9" ht="18.9" customHeight="1">
      <c r="A9" s="13">
        <v>216</v>
      </c>
      <c r="B9" s="13">
        <v>213</v>
      </c>
      <c r="C9" s="14">
        <f>LN(B9/$B$3)</f>
        <v>-0.179971379449001</v>
      </c>
      <c r="D9" s="16">
        <f>A9^2</f>
        <v>46656</v>
      </c>
      <c r="E9" s="14">
        <f>C9^2</f>
        <v>0.0323896974207763</v>
      </c>
      <c r="F9" s="15"/>
    </row>
    <row r="10" ht="18.9" customHeight="1">
      <c r="A10" s="13">
        <v>252</v>
      </c>
      <c r="B10" s="13">
        <v>207</v>
      </c>
      <c r="C10" s="14">
        <f>LN(B10/$B$3)</f>
        <v>-0.2085447518930571</v>
      </c>
      <c r="D10" s="16">
        <f>A10^2</f>
        <v>63504</v>
      </c>
      <c r="E10" s="14">
        <f>C10^2</f>
        <v>0.04349091354213673</v>
      </c>
      <c r="F10" s="15"/>
    </row>
    <row r="11" ht="18.9" customHeight="1">
      <c r="A11" s="13">
        <v>288</v>
      </c>
      <c r="B11" s="13">
        <v>201</v>
      </c>
      <c r="C11" s="14">
        <f>LN(B11/$B$3)</f>
        <v>-0.2379586370993504</v>
      </c>
      <c r="D11" s="16">
        <f>A11^2</f>
        <v>82944</v>
      </c>
      <c r="E11" s="14">
        <f>C11^2</f>
        <v>0.05662431297018035</v>
      </c>
      <c r="F11" s="15"/>
    </row>
    <row r="12" ht="18.9" customHeight="1">
      <c r="A12" s="13">
        <v>324</v>
      </c>
      <c r="B12" s="13">
        <v>195</v>
      </c>
      <c r="C12" s="14">
        <f>LN(B12/$B$3)</f>
        <v>-0.2682639865946794</v>
      </c>
      <c r="D12" s="16">
        <f>A12^2</f>
        <v>104976</v>
      </c>
      <c r="E12" s="14">
        <f>C12^2</f>
        <v>0.07196556650367034</v>
      </c>
      <c r="F12" s="15"/>
    </row>
    <row r="13" ht="18.9" customHeight="1">
      <c r="A13" s="13">
        <v>360</v>
      </c>
      <c r="B13" s="13">
        <v>190</v>
      </c>
      <c r="C13" s="14">
        <f>LN(B13/$B$3)</f>
        <v>-0.29423947299794</v>
      </c>
      <c r="D13" s="16">
        <f>A13^2</f>
        <v>129600</v>
      </c>
      <c r="E13" s="14">
        <f>C13^2</f>
        <v>0.08657686747010544</v>
      </c>
      <c r="F13" s="15"/>
    </row>
    <row r="14" ht="18.9" customHeight="1">
      <c r="A14" s="13">
        <v>396</v>
      </c>
      <c r="B14" s="13">
        <v>184</v>
      </c>
      <c r="C14" s="14">
        <f>LN(B14/$B$3)</f>
        <v>-0.3263277875494405</v>
      </c>
      <c r="D14" s="16">
        <f>A14^2</f>
        <v>156816</v>
      </c>
      <c r="E14" s="14">
        <f>C14^2</f>
        <v>0.1064898249269128</v>
      </c>
      <c r="F14" s="15"/>
    </row>
    <row r="15" ht="18.9" customHeight="1">
      <c r="A15" s="13">
        <v>432</v>
      </c>
      <c r="B15" s="13">
        <v>179</v>
      </c>
      <c r="C15" s="14">
        <f>LN(B15/$B$3)</f>
        <v>-0.3538777393176712</v>
      </c>
      <c r="D15" s="16">
        <f>A15^2</f>
        <v>186624</v>
      </c>
      <c r="E15" s="14">
        <f>C15^2</f>
        <v>0.1252294543845857</v>
      </c>
      <c r="F15" s="15"/>
    </row>
    <row r="16" ht="18.9" customHeight="1">
      <c r="A16" s="13">
        <v>468</v>
      </c>
      <c r="B16" s="13">
        <v>174</v>
      </c>
      <c r="C16" s="14">
        <f>LN(B16/$B$3)</f>
        <v>-0.3822082459438971</v>
      </c>
      <c r="D16" s="16">
        <f>A16^2</f>
        <v>219024</v>
      </c>
      <c r="E16" s="14">
        <f>C16^2</f>
        <v>0.1460831432675105</v>
      </c>
      <c r="F16" s="15"/>
    </row>
    <row r="17" ht="18.9" customHeight="1">
      <c r="A17" s="13">
        <v>504</v>
      </c>
      <c r="B17" s="13">
        <v>169</v>
      </c>
      <c r="C17" s="14">
        <f>LN(B17/$B$3)</f>
        <v>-0.4113648302353527</v>
      </c>
      <c r="D17" s="16">
        <f>A17^2</f>
        <v>254016</v>
      </c>
      <c r="E17" s="14">
        <f>C17^2</f>
        <v>0.1692210235545605</v>
      </c>
      <c r="F17" s="15"/>
    </row>
    <row r="18" ht="18.9" customHeight="1">
      <c r="A18" s="13">
        <v>540</v>
      </c>
      <c r="B18" s="13">
        <v>164</v>
      </c>
      <c r="C18" s="14">
        <f>LN(B18/$B$3)</f>
        <v>-0.4413971173342277</v>
      </c>
      <c r="D18" s="16">
        <f>A18^2</f>
        <v>291600</v>
      </c>
      <c r="E18" s="14">
        <f>C18^2</f>
        <v>0.1948314151909659</v>
      </c>
      <c r="F18" s="15"/>
    </row>
    <row r="19" ht="18.9" customHeight="1">
      <c r="A19" s="13">
        <v>576</v>
      </c>
      <c r="B19" s="13">
        <v>160</v>
      </c>
      <c r="C19" s="14">
        <f>LN(B19/$B$3)</f>
        <v>-0.4660897299245992</v>
      </c>
      <c r="D19" s="16">
        <f>A19^2</f>
        <v>331776</v>
      </c>
      <c r="E19" s="14">
        <f>C19^2</f>
        <v>0.2172396363411859</v>
      </c>
      <c r="F19" s="15"/>
    </row>
    <row r="20" ht="18.9" customHeight="1">
      <c r="A20" s="13">
        <v>612</v>
      </c>
      <c r="B20" s="13">
        <v>156</v>
      </c>
      <c r="C20" s="14">
        <f>LN(B20/$B$3)</f>
        <v>-0.491407537908889</v>
      </c>
      <c r="D20" s="16">
        <f>A20^2</f>
        <v>374544</v>
      </c>
      <c r="E20" s="14">
        <f>C20^2</f>
        <v>0.2414813683136762</v>
      </c>
      <c r="F20" s="15"/>
    </row>
    <row r="21" ht="18.9" customHeight="1">
      <c r="A21" s="13">
        <v>648</v>
      </c>
      <c r="B21" s="13">
        <v>151</v>
      </c>
      <c r="C21" s="14">
        <f>LN(B21/$B$3)</f>
        <v>-0.5239837083435018</v>
      </c>
      <c r="D21" s="16">
        <f>A21^2</f>
        <v>419904</v>
      </c>
      <c r="E21" s="14">
        <f>C21^2</f>
        <v>0.274558926609408</v>
      </c>
      <c r="F21" s="15"/>
    </row>
    <row r="22" ht="18.9" customHeight="1">
      <c r="A22" s="13">
        <v>684</v>
      </c>
      <c r="B22" s="13">
        <v>147</v>
      </c>
      <c r="C22" s="14">
        <f>LN(B22/$B$3)</f>
        <v>-0.55083095837969</v>
      </c>
      <c r="D22" s="16">
        <f>A22^2</f>
        <v>467856</v>
      </c>
      <c r="E22" s="14">
        <f>C22^2</f>
        <v>0.3034147447094878</v>
      </c>
      <c r="F22" s="15"/>
    </row>
    <row r="23" ht="18.9" customHeight="1">
      <c r="A23" s="13">
        <v>720</v>
      </c>
      <c r="B23" s="13">
        <v>143</v>
      </c>
      <c r="C23" s="14">
        <f>LN(B23/$B$3)</f>
        <v>-0.5784189148985188</v>
      </c>
      <c r="D23" s="16">
        <f>A23^2</f>
        <v>518400</v>
      </c>
      <c r="E23" s="14">
        <f>C23^2</f>
        <v>0.3345684411123799</v>
      </c>
      <c r="F23" s="15"/>
    </row>
    <row r="24" ht="18.9" customHeight="1">
      <c r="A24" s="13">
        <v>756</v>
      </c>
      <c r="B24" s="13">
        <v>139</v>
      </c>
      <c r="C24" s="14">
        <f>LN(B24/$B$3)</f>
        <v>-0.6067896120277345</v>
      </c>
      <c r="D24" s="16">
        <f>A24^2</f>
        <v>571536</v>
      </c>
      <c r="E24" s="14">
        <f>C24^2</f>
        <v>0.3681936332647686</v>
      </c>
      <c r="F24" s="15"/>
    </row>
    <row r="25" ht="18.9" customHeight="1">
      <c r="A25" s="13">
        <v>792</v>
      </c>
      <c r="B25" s="13">
        <v>135</v>
      </c>
      <c r="C25" s="14">
        <f>LN(B25/$B$3)</f>
        <v>-0.6359887667199967</v>
      </c>
      <c r="D25" s="16">
        <f>A25^2</f>
        <v>627264</v>
      </c>
      <c r="E25" s="14">
        <f>C25^2</f>
        <v>0.4044817113940224</v>
      </c>
      <c r="F25" s="15"/>
    </row>
    <row r="26" ht="18.9" customHeight="1">
      <c r="A26" s="13">
        <v>828</v>
      </c>
      <c r="B26" s="13">
        <v>132</v>
      </c>
      <c r="C26" s="14">
        <f>LN(B26/$B$3)</f>
        <v>-0.6584616225720552</v>
      </c>
      <c r="D26" s="16">
        <f>A26^2</f>
        <v>685584</v>
      </c>
      <c r="E26" s="14">
        <f>C26^2</f>
        <v>0.4335717084002237</v>
      </c>
      <c r="F26" s="15"/>
    </row>
    <row r="27" ht="18.9" customHeight="1">
      <c r="A27" s="25">
        <f>AVERAGE(A3:A26)^2</f>
        <v>171396</v>
      </c>
      <c r="B27" s="18"/>
      <c r="C27" s="19">
        <f>AVERAGE(C3:C26)^2</f>
        <v>0.1130004549890706</v>
      </c>
      <c r="D27" s="25">
        <f>AVERAGE(D3:D26)</f>
        <v>233496</v>
      </c>
      <c r="E27" s="19">
        <f>AVERAGE(E3:E26)</f>
        <v>0.1525308669909882</v>
      </c>
      <c r="F27" s="20">
        <f>(F3/'Данные с компьютера - Tаблица 1'!F5)*100</f>
        <v>28.82870318685116</v>
      </c>
    </row>
    <row r="28" ht="18.9" customHeight="1">
      <c r="A28" s="18"/>
      <c r="B28" s="18"/>
      <c r="C28" s="19"/>
      <c r="D28" s="25">
        <f>D27-A27</f>
        <v>62100</v>
      </c>
      <c r="E28" s="19">
        <f>E27-C27</f>
        <v>0.03953041200191758</v>
      </c>
      <c r="F28" s="23"/>
    </row>
  </sheetData>
  <mergeCells count="2">
    <mergeCell ref="A1:F1"/>
    <mergeCell ref="F3:F2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28"/>
  <sheetViews>
    <sheetView workbookViewId="0" showGridLines="0" defaultGridColor="1">
      <pane topLeftCell="A3" xSplit="0" ySplit="2" activePane="bottomLeft" state="frozen"/>
    </sheetView>
  </sheetViews>
  <sheetFormatPr defaultColWidth="19.6" defaultRowHeight="19.45" customHeight="1" outlineLevelRow="0" outlineLevelCol="0"/>
  <cols>
    <col min="1" max="6" width="19.6016" style="26" customWidth="1"/>
    <col min="7" max="256" width="19.6016" style="26" customWidth="1"/>
  </cols>
  <sheetData>
    <row r="1" ht="28.45" customHeight="1">
      <c r="A1" t="s" s="7">
        <v>14</v>
      </c>
      <c r="B1" s="7"/>
      <c r="C1" s="7"/>
      <c r="D1" s="7"/>
      <c r="E1" s="7"/>
      <c r="F1" s="7"/>
    </row>
    <row r="2" ht="19.1" customHeight="1">
      <c r="A2" t="s" s="8">
        <v>7</v>
      </c>
      <c r="B2" t="s" s="8">
        <v>8</v>
      </c>
      <c r="C2" t="s" s="8">
        <v>9</v>
      </c>
      <c r="D2" s="9"/>
      <c r="E2" s="9"/>
      <c r="F2" s="9"/>
    </row>
    <row r="3" ht="19.1" customHeight="1">
      <c r="A3" s="10">
        <v>0</v>
      </c>
      <c r="B3" s="10">
        <v>255</v>
      </c>
      <c r="C3" s="11">
        <f>LN(B3/$B$3)</f>
        <v>0</v>
      </c>
      <c r="D3" s="10">
        <f>A3^2</f>
        <v>0</v>
      </c>
      <c r="E3" s="11">
        <f>C3^2</f>
        <v>0</v>
      </c>
      <c r="F3" s="12">
        <f>1/SQRT(24)*SQRT(E28/D28+'Данные с компьютера - Tаблица 1'!F6^2)</f>
        <v>0.0001742082755169974</v>
      </c>
    </row>
    <row r="4" ht="18.9" customHeight="1">
      <c r="A4" s="13">
        <v>48.39</v>
      </c>
      <c r="B4" s="13">
        <v>246</v>
      </c>
      <c r="C4" s="14">
        <f>LN(B4/$B$3)</f>
        <v>-0.03593200922606333</v>
      </c>
      <c r="D4" s="13">
        <f>A4^2</f>
        <v>2341.5921</v>
      </c>
      <c r="E4" s="14">
        <f>C4^2</f>
        <v>0.0012911092870219</v>
      </c>
      <c r="F4" s="15"/>
    </row>
    <row r="5" ht="18.9" customHeight="1">
      <c r="A5" s="13">
        <v>96.78</v>
      </c>
      <c r="B5" s="13">
        <v>239</v>
      </c>
      <c r="C5" s="14">
        <f>LN(B5/$B$3)</f>
        <v>-0.06479999322691547</v>
      </c>
      <c r="D5" s="13">
        <f>A5^2</f>
        <v>9366.368399999999</v>
      </c>
      <c r="E5" s="14">
        <f>C5^2</f>
        <v>0.004199039122208291</v>
      </c>
      <c r="F5" s="15"/>
    </row>
    <row r="6" ht="18.9" customHeight="1">
      <c r="A6" s="13">
        <v>145.17</v>
      </c>
      <c r="B6" s="13">
        <v>231</v>
      </c>
      <c r="C6" s="14">
        <f>LN(B6/$B$3)</f>
        <v>-0.0988458346366326</v>
      </c>
      <c r="D6" s="13">
        <f>A6^2</f>
        <v>21074.3289</v>
      </c>
      <c r="E6" s="14">
        <f>C6^2</f>
        <v>0.009770499025012517</v>
      </c>
      <c r="F6" s="15"/>
    </row>
    <row r="7" ht="18.9" customHeight="1">
      <c r="A7" s="13">
        <v>193.57</v>
      </c>
      <c r="B7" s="13">
        <v>223</v>
      </c>
      <c r="C7" s="14">
        <f>LN(B7/$B$3)</f>
        <v>-0.1340917736983074</v>
      </c>
      <c r="D7" s="13">
        <f>A7^2</f>
        <v>37469.3449</v>
      </c>
      <c r="E7" s="14">
        <f>C7^2</f>
        <v>0.01798060377355808</v>
      </c>
      <c r="F7" s="15"/>
    </row>
    <row r="8" ht="18.9" customHeight="1">
      <c r="A8" s="13">
        <v>241.96</v>
      </c>
      <c r="B8" s="13">
        <v>216.7</v>
      </c>
      <c r="C8" s="14">
        <f>LN(B8/$B$3)</f>
        <v>-0.1627496366161129</v>
      </c>
      <c r="D8" s="13">
        <f>A8^2</f>
        <v>58544.6416</v>
      </c>
      <c r="E8" s="14">
        <f>C8^2</f>
        <v>0.02648744421867678</v>
      </c>
      <c r="F8" s="15"/>
    </row>
    <row r="9" ht="18.9" customHeight="1">
      <c r="A9" s="13">
        <v>290.35</v>
      </c>
      <c r="B9" s="13">
        <v>210</v>
      </c>
      <c r="C9" s="14">
        <f>LN(B9/$B$3)</f>
        <v>-0.1941560144409575</v>
      </c>
      <c r="D9" s="13">
        <f>A9^2</f>
        <v>84303.122500000012</v>
      </c>
      <c r="E9" s="14">
        <f>C9^2</f>
        <v>0.0376965579435973</v>
      </c>
      <c r="F9" s="15"/>
    </row>
    <row r="10" ht="18.9" customHeight="1">
      <c r="A10" s="13">
        <v>338.74</v>
      </c>
      <c r="B10" s="13">
        <v>204</v>
      </c>
      <c r="C10" s="14">
        <f>LN(B10/$B$3)</f>
        <v>-0.2231435513142097</v>
      </c>
      <c r="D10" s="13">
        <f>A10^2</f>
        <v>114744.7876</v>
      </c>
      <c r="E10" s="14">
        <f>C10^2</f>
        <v>0.04979304449311734</v>
      </c>
      <c r="F10" s="15"/>
    </row>
    <row r="11" ht="18.9" customHeight="1">
      <c r="A11" s="13">
        <v>387.13</v>
      </c>
      <c r="B11" s="13">
        <v>198</v>
      </c>
      <c r="C11" s="14">
        <f>LN(B11/$B$3)</f>
        <v>-0.2529965144638909</v>
      </c>
      <c r="D11" s="13">
        <f>A11^2</f>
        <v>149869.6369</v>
      </c>
      <c r="E11" s="14">
        <f>C11^2</f>
        <v>0.06400723633087775</v>
      </c>
      <c r="F11" s="15"/>
    </row>
    <row r="12" ht="18.9" customHeight="1">
      <c r="A12" s="13">
        <v>435.52</v>
      </c>
      <c r="B12" s="13">
        <v>192</v>
      </c>
      <c r="C12" s="14">
        <f>LN(B12/$B$3)</f>
        <v>-0.2837681731306446</v>
      </c>
      <c r="D12" s="13">
        <f>A12^2</f>
        <v>189677.6704</v>
      </c>
      <c r="E12" s="14">
        <f>C12^2</f>
        <v>0.08052437608190349</v>
      </c>
      <c r="F12" s="15"/>
    </row>
    <row r="13" ht="18.9" customHeight="1">
      <c r="A13" s="13">
        <v>483.91</v>
      </c>
      <c r="B13" s="13">
        <v>187</v>
      </c>
      <c r="C13" s="14">
        <f>LN(B13/$B$3)</f>
        <v>-0.3101549283038396</v>
      </c>
      <c r="D13" s="13">
        <f>A13^2</f>
        <v>234168.8881</v>
      </c>
      <c r="E13" s="14">
        <f>C13^2</f>
        <v>0.0961960795511599</v>
      </c>
      <c r="F13" s="15"/>
    </row>
    <row r="14" ht="18.9" customHeight="1">
      <c r="A14" s="13">
        <v>532.3</v>
      </c>
      <c r="B14" s="13">
        <v>182</v>
      </c>
      <c r="C14" s="14">
        <f>LN(B14/$B$3)</f>
        <v>-0.3372568580816308</v>
      </c>
      <c r="D14" s="16">
        <f>A14^2</f>
        <v>283343.29</v>
      </c>
      <c r="E14" s="14">
        <f>C14^2</f>
        <v>0.1137421883230932</v>
      </c>
      <c r="F14" s="15"/>
    </row>
    <row r="15" ht="18.9" customHeight="1">
      <c r="A15" s="13">
        <v>580.7</v>
      </c>
      <c r="B15" s="13">
        <v>176.9</v>
      </c>
      <c r="C15" s="14">
        <f>LN(B15/$B$3)</f>
        <v>-0.3656789439926866</v>
      </c>
      <c r="D15" s="16">
        <f>A15^2</f>
        <v>337212.49</v>
      </c>
      <c r="E15" s="14">
        <f>C15^2</f>
        <v>0.1337210900796064</v>
      </c>
      <c r="F15" s="15"/>
    </row>
    <row r="16" ht="18.9" customHeight="1">
      <c r="A16" s="13">
        <v>629.09</v>
      </c>
      <c r="B16" s="13">
        <v>171.6</v>
      </c>
      <c r="C16" s="14">
        <f>LN(B16/$B$3)</f>
        <v>-0.3960973581045642</v>
      </c>
      <c r="D16" s="13">
        <f>A16^2</f>
        <v>395754.2281000001</v>
      </c>
      <c r="E16" s="14">
        <f>C16^2</f>
        <v>0.1568931170974154</v>
      </c>
      <c r="F16" s="15"/>
    </row>
    <row r="17" ht="18.9" customHeight="1">
      <c r="A17" s="13">
        <v>677.48</v>
      </c>
      <c r="B17" s="13">
        <v>167</v>
      </c>
      <c r="C17" s="14">
        <f>LN(B17/$B$3)</f>
        <v>-0.423269732741671</v>
      </c>
      <c r="D17" s="13">
        <f>A17^2</f>
        <v>458979.1504</v>
      </c>
      <c r="E17" s="14">
        <f>C17^2</f>
        <v>0.1791572666552056</v>
      </c>
      <c r="F17" s="15"/>
    </row>
    <row r="18" ht="18.9" customHeight="1">
      <c r="A18" s="13">
        <v>725.87</v>
      </c>
      <c r="B18" s="13">
        <v>162</v>
      </c>
      <c r="C18" s="14">
        <f>LN(B18/$B$3)</f>
        <v>-0.4536672099260421</v>
      </c>
      <c r="D18" s="13">
        <f>A18^2</f>
        <v>526887.2569</v>
      </c>
      <c r="E18" s="14">
        <f>C18^2</f>
        <v>0.2058139373620796</v>
      </c>
      <c r="F18" s="15"/>
    </row>
    <row r="19" ht="18.9" customHeight="1">
      <c r="A19" s="13">
        <v>774.26</v>
      </c>
      <c r="B19" s="13">
        <v>157</v>
      </c>
      <c r="C19" s="14">
        <f>LN(B19/$B$3)</f>
        <v>-0.485017739810118</v>
      </c>
      <c r="D19" s="13">
        <f>A19^2</f>
        <v>599478.5475999999</v>
      </c>
      <c r="E19" s="14">
        <f>C19^2</f>
        <v>0.2352422079305153</v>
      </c>
      <c r="F19" s="15"/>
    </row>
    <row r="20" ht="18.9" customHeight="1">
      <c r="A20" s="13">
        <v>822.65</v>
      </c>
      <c r="B20" s="13">
        <v>153</v>
      </c>
      <c r="C20" s="14">
        <f>LN(B20/$B$3)</f>
        <v>-0.5108256237659907</v>
      </c>
      <c r="D20" s="13">
        <f>A20^2</f>
        <v>676753.0225</v>
      </c>
      <c r="E20" s="14">
        <f>C20^2</f>
        <v>0.2609428178959135</v>
      </c>
      <c r="F20" s="15"/>
    </row>
    <row r="21" ht="18.9" customHeight="1">
      <c r="A21" s="13">
        <v>871.04</v>
      </c>
      <c r="B21" s="13">
        <v>148.3</v>
      </c>
      <c r="C21" s="14">
        <f>LN(B21/$B$3)</f>
        <v>-0.5420262960145396</v>
      </c>
      <c r="D21" s="13">
        <f>A21^2</f>
        <v>758710.6815999999</v>
      </c>
      <c r="E21" s="14">
        <f>C21^2</f>
        <v>0.2937925055712413</v>
      </c>
      <c r="F21" s="15"/>
    </row>
    <row r="22" ht="18.9" customHeight="1">
      <c r="A22" s="13">
        <v>919.4299999999999</v>
      </c>
      <c r="B22" s="13">
        <v>144</v>
      </c>
      <c r="C22" s="14">
        <f>LN(B22/$B$3)</f>
        <v>-0.5714502455824255</v>
      </c>
      <c r="D22" s="13">
        <f>A22^2</f>
        <v>845351.5249</v>
      </c>
      <c r="E22" s="14">
        <f>C22^2</f>
        <v>0.3265553831762145</v>
      </c>
      <c r="F22" s="15"/>
    </row>
    <row r="23" ht="18.9" customHeight="1">
      <c r="A23" s="13">
        <v>967.83</v>
      </c>
      <c r="B23" s="13">
        <v>140</v>
      </c>
      <c r="C23" s="14">
        <f>LN(B23/$B$3)</f>
        <v>-0.5996211225491218</v>
      </c>
      <c r="D23" s="13">
        <f>A23^2</f>
        <v>936694.9089</v>
      </c>
      <c r="E23" s="14">
        <f>C23^2</f>
        <v>0.359545490607069</v>
      </c>
      <c r="F23" s="15"/>
    </row>
    <row r="24" ht="18.9" customHeight="1">
      <c r="A24" s="13">
        <v>1016.22</v>
      </c>
      <c r="B24" s="13">
        <v>136</v>
      </c>
      <c r="C24" s="14">
        <f>LN(B24/$B$3)</f>
        <v>-0.6286086594223742</v>
      </c>
      <c r="D24" s="13">
        <f>A24^2</f>
        <v>1032703.0884</v>
      </c>
      <c r="E24" s="14">
        <f>C24^2</f>
        <v>0.3951488467007944</v>
      </c>
      <c r="F24" s="15"/>
    </row>
    <row r="25" ht="18.9" customHeight="1">
      <c r="A25" s="13">
        <v>1064.61</v>
      </c>
      <c r="B25" s="13">
        <v>133</v>
      </c>
      <c r="C25" s="14">
        <f>LN(B25/$B$3)</f>
        <v>-0.6509144169366723</v>
      </c>
      <c r="D25" s="13">
        <f>A25^2</f>
        <v>1133394.4521</v>
      </c>
      <c r="E25" s="14">
        <f>C25^2</f>
        <v>0.4236895781760081</v>
      </c>
      <c r="F25" s="15"/>
    </row>
    <row r="26" ht="18.9" customHeight="1">
      <c r="A26" s="13">
        <v>1113</v>
      </c>
      <c r="B26" s="13">
        <v>129</v>
      </c>
      <c r="C26" s="14">
        <f>LN(B26/$B$3)</f>
        <v>-0.6814511407967541</v>
      </c>
      <c r="D26" s="16">
        <f>A26^2</f>
        <v>1238769</v>
      </c>
      <c r="E26" s="14">
        <f>C26^2</f>
        <v>0.4643756572931975</v>
      </c>
      <c r="F26" s="15"/>
    </row>
    <row r="27" ht="18.9" customHeight="1">
      <c r="A27" s="17">
        <f>AVERAGE(A3:A26)^2</f>
        <v>309692.25</v>
      </c>
      <c r="B27" s="18"/>
      <c r="C27" s="19">
        <f>AVERAGE(C3:C26)^2</f>
        <v>0.1226903507111178</v>
      </c>
      <c r="D27" s="17">
        <f>AVERAGE(D3:D26)</f>
        <v>421899.6676166666</v>
      </c>
      <c r="E27" s="19">
        <f>AVERAGE(E3:E26)</f>
        <v>0.1640235865289786</v>
      </c>
      <c r="F27" s="20">
        <f>(F3/'Данные с компьютера - Tаблица 1'!F6)*100</f>
        <v>29.03471258616624</v>
      </c>
    </row>
    <row r="28" ht="18.9" customHeight="1">
      <c r="A28" s="18"/>
      <c r="B28" s="18"/>
      <c r="C28" s="19"/>
      <c r="D28" s="17">
        <f>D27-A27</f>
        <v>112207.4176166666</v>
      </c>
      <c r="E28" s="19">
        <f>E27-C27</f>
        <v>0.04133323581786076</v>
      </c>
      <c r="F28" s="23"/>
    </row>
  </sheetData>
  <mergeCells count="2">
    <mergeCell ref="A1:F1"/>
    <mergeCell ref="F3:F2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J6"/>
  <sheetViews>
    <sheetView workbookViewId="0" showGridLines="0" defaultGridColor="1">
      <pane topLeftCell="A3" xSplit="0" ySplit="2" activePane="bottomLeft" state="frozen"/>
    </sheetView>
  </sheetViews>
  <sheetFormatPr defaultColWidth="19.6" defaultRowHeight="19.45" customHeight="1" outlineLevelRow="0" outlineLevelCol="0"/>
  <cols>
    <col min="1" max="10" width="19.6016" style="27" customWidth="1"/>
    <col min="11" max="256" width="19.6016" style="27" customWidth="1"/>
  </cols>
  <sheetData>
    <row r="1" ht="28.45" customHeight="1">
      <c r="A1" t="s" s="7">
        <v>16</v>
      </c>
      <c r="B1" s="7"/>
      <c r="C1" s="7"/>
      <c r="D1" s="7"/>
      <c r="E1" s="7"/>
      <c r="F1" s="7"/>
      <c r="G1" s="7"/>
      <c r="H1" s="7"/>
      <c r="I1" s="7"/>
      <c r="J1" s="7"/>
    </row>
    <row r="2" ht="30.1" customHeight="1">
      <c r="A2" t="s" s="8">
        <v>18</v>
      </c>
      <c r="B2" t="s" s="8">
        <v>19</v>
      </c>
      <c r="C2" t="s" s="8">
        <v>20</v>
      </c>
      <c r="D2" t="s" s="8">
        <v>21</v>
      </c>
      <c r="E2" s="9"/>
      <c r="F2" t="s" s="8">
        <v>22</v>
      </c>
      <c r="G2" t="s" s="8">
        <v>23</v>
      </c>
      <c r="H2" s="9"/>
      <c r="I2" s="9"/>
      <c r="J2" s="9"/>
    </row>
    <row r="3" ht="19.1" customHeight="1">
      <c r="A3" s="10">
        <v>60</v>
      </c>
      <c r="B3" s="10">
        <v>14.55</v>
      </c>
      <c r="C3" s="10">
        <f>('Данные с компьютера - Протокол '!F3/F3)^2+(1/100)^2+(5/800)^2</f>
        <v>0.08173119239534349</v>
      </c>
      <c r="D3" s="10">
        <f>1/(133.322*A3)*10^5</f>
        <v>12.50106259032018</v>
      </c>
      <c r="E3" s="10">
        <f>B3/0.44</f>
        <v>33.06818181818182</v>
      </c>
      <c r="F3" s="10">
        <v>0.0015</v>
      </c>
      <c r="G3" s="10">
        <f>F3*4400</f>
        <v>6.600000000000001</v>
      </c>
      <c r="H3" s="10">
        <f>D3^2</f>
        <v>156.2765658871026</v>
      </c>
      <c r="I3" s="10">
        <f>G3^2</f>
        <v>43.56000000000001</v>
      </c>
      <c r="J3" s="10">
        <f>1/SQRT(4)*SQRT(AVERAGE(I3:I6)/AVERAGE(H3:H6)-'Данные с компьютера - Tаблица 3'!$C$6^2)</f>
        <v>0.008276612166973426</v>
      </c>
    </row>
    <row r="4" ht="18.9" customHeight="1">
      <c r="A4" s="13">
        <v>80</v>
      </c>
      <c r="B4" s="13">
        <v>10.98</v>
      </c>
      <c r="C4" s="13">
        <f>('Данные с компьютера - Протокол1'!F3/F4)^2+(1/100)^2+(5/800)^2</f>
        <v>0.08404218120187301</v>
      </c>
      <c r="D4" s="13">
        <f>1/(133.322*A4)*10^5</f>
        <v>9.375796942740132</v>
      </c>
      <c r="E4" s="13">
        <f>B4/0.44</f>
        <v>24.95454545454546</v>
      </c>
      <c r="F4" s="13">
        <v>0.0011</v>
      </c>
      <c r="G4" s="13">
        <f>F4*4400</f>
        <v>4.84</v>
      </c>
      <c r="H4" s="13">
        <f>D4^2</f>
        <v>87.90556831149522</v>
      </c>
      <c r="I4" s="13">
        <f>G4^2</f>
        <v>23.4256</v>
      </c>
      <c r="J4" s="13">
        <f>J3^2/'Данные с компьютера - Tаблица 3'!$C$6^2</f>
        <v>0.0002423872450444283</v>
      </c>
    </row>
    <row r="5" ht="18.9" customHeight="1">
      <c r="A5" s="13">
        <v>120</v>
      </c>
      <c r="B5" s="13">
        <v>7.89</v>
      </c>
      <c r="C5" s="13">
        <f>('Данные с компьютера - Протокол2'!F3/F5)^2+(1/100)^2+(5/800)^2</f>
        <v>0.08324847524355625</v>
      </c>
      <c r="D5" s="13">
        <f>1/(133.322*A5)*10^5</f>
        <v>6.250531295160089</v>
      </c>
      <c r="E5" s="13">
        <f>B5/0.44</f>
        <v>17.93181818181818</v>
      </c>
      <c r="F5" s="13">
        <v>0.0008</v>
      </c>
      <c r="G5" s="13">
        <f>F5*4400</f>
        <v>3.52</v>
      </c>
      <c r="H5" s="13">
        <f>D5^2</f>
        <v>39.06914147177566</v>
      </c>
      <c r="I5" s="13">
        <f>G5^2</f>
        <v>12.3904</v>
      </c>
      <c r="J5" s="13">
        <f>(J3/'Данные с компьютера - Tаблица 3'!C6)*100</f>
        <v>1.556879073802549</v>
      </c>
    </row>
    <row r="6" ht="18.9" customHeight="1">
      <c r="A6" s="13">
        <v>160</v>
      </c>
      <c r="B6" s="13">
        <v>6.01</v>
      </c>
      <c r="C6" s="13">
        <f>('Данные с компьютера - Протокол3'!F3/F6)^2+(1/100)^2+(5/800)^2</f>
        <v>0.08444051599612803</v>
      </c>
      <c r="D6" s="13">
        <f>1/(133.322*A6)*10^5</f>
        <v>4.687898471370066</v>
      </c>
      <c r="E6" s="13">
        <f>B6/0.44</f>
        <v>13.65909090909091</v>
      </c>
      <c r="F6" s="13">
        <v>0.0005999999999999999</v>
      </c>
      <c r="G6" s="13">
        <f>F6*4400</f>
        <v>2.64</v>
      </c>
      <c r="H6" s="13">
        <f>D6^2</f>
        <v>21.9763920778738</v>
      </c>
      <c r="I6" s="13">
        <f>G6^2</f>
        <v>6.969599999999998</v>
      </c>
      <c r="J6" s="15"/>
    </row>
  </sheetData>
  <mergeCells count="1">
    <mergeCell ref="A1:J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C6"/>
  <sheetViews>
    <sheetView workbookViewId="0" showGridLines="0" defaultGridColor="1"/>
  </sheetViews>
  <sheetFormatPr defaultColWidth="19.6" defaultRowHeight="19.45" customHeight="1" outlineLevelRow="0" outlineLevelCol="0"/>
  <cols>
    <col min="1" max="3" width="12.1953" style="28" customWidth="1"/>
    <col min="4" max="256" width="19.6016" style="28" customWidth="1"/>
  </cols>
  <sheetData>
    <row r="1" ht="28.45" customHeight="1">
      <c r="A1" t="s" s="7">
        <v>24</v>
      </c>
      <c r="B1" s="7"/>
      <c r="C1" s="7"/>
    </row>
    <row r="2" ht="22.05" customHeight="1">
      <c r="A2" s="13">
        <f>'Данные с компьютера - Tаблица 1'!G3*'Данные с компьютера - Tаблица 1'!D3</f>
        <v>82.50701309611318</v>
      </c>
      <c r="B2" s="13">
        <f>'Данные с компьютера - Tаблица 1'!D3^2</f>
        <v>156.2765658871026</v>
      </c>
      <c r="C2" s="15"/>
    </row>
    <row r="3" ht="22.05" customHeight="1">
      <c r="A3" s="13">
        <f>'Данные с компьютера - Tаблица 1'!G4*'Данные с компьютера - Tаблица 1'!D4</f>
        <v>45.37885720286224</v>
      </c>
      <c r="B3" s="13">
        <f>'Данные с компьютера - Tаблица 1'!D4^2</f>
        <v>87.90556831149522</v>
      </c>
      <c r="C3" s="15"/>
    </row>
    <row r="4" ht="22.05" customHeight="1">
      <c r="A4" s="13">
        <f>'Данные с компьютера - Tаблица 1'!G5*'Данные с компьютера - Tаблица 1'!D5</f>
        <v>22.00187015896351</v>
      </c>
      <c r="B4" s="13">
        <f>'Данные с компьютера - Tаблица 1'!D5^2</f>
        <v>39.06914147177566</v>
      </c>
      <c r="C4" s="15"/>
    </row>
    <row r="5" ht="22.05" customHeight="1">
      <c r="A5" s="13">
        <f>'Данные с компьютера - Tаблица 1'!G6*'Данные с компьютера - Tаблица 1'!D6</f>
        <v>12.37605196441697</v>
      </c>
      <c r="B5" s="13">
        <f>'Данные с компьютера - Tаблица 1'!D6^2</f>
        <v>21.9763920778738</v>
      </c>
      <c r="C5" s="15"/>
    </row>
    <row r="6" ht="22.05" customHeight="1">
      <c r="A6" s="13">
        <f>AVERAGE(A2:A5)</f>
        <v>40.56594810558898</v>
      </c>
      <c r="B6" s="13">
        <f>AVERAGE(B2:B5)</f>
        <v>76.30691693706183</v>
      </c>
      <c r="C6" s="13">
        <f>A6/B6</f>
        <v>0.5316156088320001</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2" width="19.6016" style="29" customWidth="1"/>
    <col min="3" max="256" width="19.6016" style="29" customWidth="1"/>
  </cols>
  <sheetData>
    <row r="1" ht="28.45" customHeight="1">
      <c r="A1" t="s" s="7">
        <v>26</v>
      </c>
      <c r="B1" s="7"/>
    </row>
    <row r="2" ht="19.1" customHeight="1">
      <c r="A2" s="9"/>
      <c r="B2" s="9"/>
    </row>
    <row r="3" ht="19.1" customHeight="1">
      <c r="A3" t="s" s="30">
        <v>28</v>
      </c>
      <c r="B3" t="s" s="31">
        <v>29</v>
      </c>
    </row>
    <row r="4" ht="18.9" customHeight="1">
      <c r="A4" t="s" s="32">
        <v>30</v>
      </c>
      <c r="B4" t="s" s="33">
        <v>31</v>
      </c>
    </row>
    <row r="5" ht="18.9" customHeight="1">
      <c r="A5" t="s" s="32">
        <v>32</v>
      </c>
      <c r="B5" t="s" s="33">
        <f>B4</f>
        <v>31</v>
      </c>
    </row>
    <row r="6" ht="18.9" customHeight="1">
      <c r="A6" t="s" s="32">
        <v>33</v>
      </c>
      <c r="B6" t="s" s="33">
        <v>34</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F5"/>
  <sheetViews>
    <sheetView workbookViewId="0" showGridLines="0" defaultGridColor="1">
      <pane topLeftCell="B3" xSplit="1" ySplit="2" activePane="bottomRight" state="frozen"/>
    </sheetView>
  </sheetViews>
  <sheetFormatPr defaultColWidth="19.6" defaultRowHeight="19.45" customHeight="1" outlineLevelRow="0" outlineLevelCol="0"/>
  <cols>
    <col min="1" max="1" width="24.7656" style="34" customWidth="1"/>
    <col min="2" max="2" width="11.4219" style="34" customWidth="1"/>
    <col min="3" max="3" width="9.21875" style="34" customWidth="1"/>
    <col min="4" max="4" width="9.83594" style="34" customWidth="1"/>
    <col min="5" max="5" width="9.07031" style="34" customWidth="1"/>
    <col min="6" max="6" width="10.375" style="34" customWidth="1"/>
    <col min="7" max="256" width="19.6016" style="34" customWidth="1"/>
  </cols>
  <sheetData>
    <row r="1" ht="28.45" customHeight="1">
      <c r="A1" t="s" s="7">
        <v>35</v>
      </c>
      <c r="B1" s="7"/>
      <c r="C1" s="7"/>
      <c r="D1" s="7"/>
      <c r="E1" s="7"/>
      <c r="F1" s="7"/>
    </row>
    <row r="2" ht="19.1" customHeight="1">
      <c r="A2" s="9"/>
      <c r="B2" s="35">
        <v>1</v>
      </c>
      <c r="C2" s="35">
        <v>2</v>
      </c>
      <c r="D2" s="35">
        <v>3</v>
      </c>
      <c r="E2" s="35">
        <v>4</v>
      </c>
      <c r="F2" s="35">
        <v>5</v>
      </c>
    </row>
    <row r="3" ht="19.1" customHeight="1">
      <c r="A3" t="s" s="30">
        <v>37</v>
      </c>
      <c r="B3" s="36">
        <v>5.3</v>
      </c>
      <c r="C3" s="10">
        <v>10.6</v>
      </c>
      <c r="D3" s="10">
        <v>21.2</v>
      </c>
      <c r="E3" s="10">
        <v>7.95</v>
      </c>
      <c r="F3" s="10">
        <v>15.9</v>
      </c>
    </row>
    <row r="4" ht="18.9" customHeight="1">
      <c r="A4" t="s" s="32">
        <v>38</v>
      </c>
      <c r="B4" s="37">
        <v>1</v>
      </c>
      <c r="C4" s="13">
        <v>2</v>
      </c>
      <c r="D4" s="13">
        <v>4</v>
      </c>
      <c r="E4" s="13">
        <v>1.5</v>
      </c>
      <c r="F4" s="13">
        <v>3</v>
      </c>
    </row>
    <row r="5" ht="18.9" customHeight="1">
      <c r="A5" t="s" s="32">
        <v>39</v>
      </c>
      <c r="B5" s="37">
        <v>9.275</v>
      </c>
      <c r="C5" s="13">
        <v>18.55</v>
      </c>
      <c r="D5" s="13">
        <v>37.1</v>
      </c>
      <c r="E5" s="13">
        <v>13.9125</v>
      </c>
      <c r="F5" s="13">
        <v>27.825</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