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Диаметры стеклянных ша" sheetId="2" r:id="rId5"/>
    <sheet name="Лист 1 - Диаметры металлических" sheetId="3" r:id="rId6"/>
    <sheet name="Лист 1 - Tаблица 1" sheetId="4" r:id="rId7"/>
    <sheet name="Лист 1 - Прямая для настройки" sheetId="5" r:id="rId8"/>
    <sheet name="Лист 1 - Tаблица 2 (Сокращенная" sheetId="6" r:id="rId9"/>
    <sheet name="Лист 1 - Tаблица 2 (Сокращенна1" sheetId="7" r:id="rId10"/>
    <sheet name="Лист 1 - Tаблица 2 (Сокращенна2" sheetId="8" r:id="rId11"/>
    <sheet name="Лист 1 - Tаблица 2 (Сокращенна3" sheetId="9" r:id="rId12"/>
    <sheet name="Лист 1 - Tаблица 2" sheetId="10" r:id="rId13"/>
    <sheet name="Лист 1 - Drawings" sheetId="11" r:id="rId14"/>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<sst xmlns="http://schemas.openxmlformats.org/spreadsheetml/2006/main" uniqueCount="62">
  <si>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</si>
  <si>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</si>
  <si>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</si>
  <si>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</si>
  <si>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</si>
  <si>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Диаметры стеклянных шариков, мм</t>
  </si>
  <si>
    <t>Лист 1 - Диаметры стеклянных ша</t>
  </si>
  <si>
    <t>№</t>
  </si>
  <si>
    <t>x</t>
  </si>
  <si>
    <t>y</t>
  </si>
  <si>
    <t>z</t>
  </si>
  <si>
    <t>d ср</t>
  </si>
  <si>
    <t>погрешность</t>
  </si>
  <si>
    <t>Диаметры металлических шариков, мм</t>
  </si>
  <si>
    <t>Лист 1 - Диаметры металлических</t>
  </si>
  <si>
    <t>Tаблица 1</t>
  </si>
  <si>
    <t>Лист 1 - Tаблица 1</t>
  </si>
  <si>
    <t>t, °C</t>
  </si>
  <si>
    <t>σt</t>
  </si>
  <si>
    <t>T, K</t>
  </si>
  <si>
    <t>σT</t>
  </si>
  <si>
    <t>№ шарика</t>
  </si>
  <si>
    <t>Тип шарика</t>
  </si>
  <si>
    <t>T1,c</t>
  </si>
  <si>
    <t>T2,c</t>
  </si>
  <si>
    <t>rho, кг/м^3</t>
  </si>
  <si>
    <t>Tср, c</t>
  </si>
  <si>
    <t>Vуст, м/с</t>
  </si>
  <si>
    <t>σVуст, м/с</t>
  </si>
  <si>
    <t>∆rho, кг/м^3</t>
  </si>
  <si>
    <t>σ∆rho, кг/м^3</t>
  </si>
  <si>
    <t>r, мм</t>
  </si>
  <si>
    <t>r^2, мм^2</t>
  </si>
  <si>
    <t>σr^2, мм^2</t>
  </si>
  <si>
    <t>𝜂, Па с</t>
  </si>
  <si>
    <t>σ𝜂</t>
  </si>
  <si>
    <t>σ𝜂практ</t>
  </si>
  <si>
    <t>Re</t>
  </si>
  <si>
    <t>tau, c</t>
  </si>
  <si>
    <t>S</t>
  </si>
  <si>
    <t>𝜂ср</t>
  </si>
  <si>
    <t>σ𝜂ср отклон</t>
  </si>
  <si>
    <t>1/T</t>
  </si>
  <si>
    <t>σ1/T</t>
  </si>
  <si>
    <t>ln𝜂</t>
  </si>
  <si>
    <t>σln𝜂</t>
  </si>
  <si>
    <t>Прямая для настройки</t>
  </si>
  <si>
    <t>Лист 1 - Прямая для настройки</t>
  </si>
  <si>
    <t>k</t>
  </si>
  <si>
    <t>b</t>
  </si>
  <si>
    <t>Tаблица 2 (Сокращенная)</t>
  </si>
  <si>
    <t>Лист 1 - Tаблица 2 (Сокращенная</t>
  </si>
  <si>
    <t>Tаблица 2 (Сокращенная)-1</t>
  </si>
  <si>
    <t>Лист 1 - Tаблица 2 (Сокращенна1</t>
  </si>
  <si>
    <t>Tаблица 2 (Сокращенная)-1-1-1</t>
  </si>
  <si>
    <t>Лист 1 - Tаблица 2 (Сокращенна2</t>
  </si>
  <si>
    <t>Tаблица 2 (Сокращенная)-1-1</t>
  </si>
  <si>
    <t>Лист 1 - Tаблица 2 (Сокращенна3</t>
  </si>
  <si>
    <t>Tаблица 2</t>
  </si>
  <si>
    <t>Лист 1 - Tаблица 2</t>
  </si>
  <si>
    <t>“All Drawings from the Sheet”</t>
  </si>
  <si>
    <t>Лист 1 - Drawings</t>
  </si>
</sst>
</file>

<file path=xl/styles.xml><?xml version="1.0" encoding="utf-8"?>
<styleSheet xmlns="http://schemas.openxmlformats.org/spreadsheetml/2006/main">
  <numFmts count="6">
    <numFmt numFmtId="0" formatCode="General"/>
    <numFmt numFmtId="59" formatCode="0.000"/>
    <numFmt numFmtId="60" formatCode="0.00000"/>
    <numFmt numFmtId="61" formatCode="0.0"/>
    <numFmt numFmtId="62" formatCode="0.000000"/>
    <numFmt numFmtId="63" formatCode="0.0000"/>
  </numFmts>
  <fonts count="11">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8"/>
      <name val="Times New Roman"/>
    </font>
    <font>
      <b val="1"/>
      <sz val="11"/>
      <color indexed="8"/>
      <name val="Times New Roman"/>
    </font>
    <font>
      <sz val="10"/>
      <color indexed="8"/>
      <name val="Times New Roman"/>
    </font>
    <font>
      <sz val="11"/>
      <color indexed="8"/>
      <name val="Helvetica"/>
    </font>
    <font>
      <shadow val="1"/>
      <sz val="12"/>
      <color indexed="16"/>
      <name val="Helvetica"/>
    </font>
    <font>
      <shadow val="1"/>
      <sz val="12"/>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17">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4"/>
      </left>
      <right style="thin">
        <color indexed="14"/>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3"/>
      </bottom>
      <diagonal/>
    </border>
    <border>
      <left style="thin">
        <color indexed="14"/>
      </left>
      <right style="thin">
        <color indexed="14"/>
      </right>
      <top style="thin">
        <color indexed="13"/>
      </top>
      <bottom style="thin">
        <color indexed="13"/>
      </bottom>
      <diagonal/>
    </border>
    <border>
      <left style="thin">
        <color indexed="14"/>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4"/>
      </bottom>
      <diagonal/>
    </border>
  </borders>
  <cellStyleXfs count="1">
    <xf numFmtId="0" fontId="0" applyNumberFormat="0" applyFont="1" applyFill="0" applyBorder="0" applyAlignment="1" applyProtection="0">
      <alignment vertical="top" wrapText="1"/>
    </xf>
  </cellStyleXfs>
  <cellXfs count="8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4" borderId="8" applyNumberFormat="1" applyFont="1" applyFill="1" applyBorder="1" applyAlignment="1" applyProtection="0">
      <alignment horizontal="center" vertical="center" wrapText="1"/>
    </xf>
    <xf numFmtId="49" fontId="5" fillId="4" borderId="9" applyNumberFormat="1" applyFont="1" applyFill="1" applyBorder="1" applyAlignment="1" applyProtection="0">
      <alignment horizontal="center" vertical="center" wrapText="1"/>
    </xf>
    <xf numFmtId="49" fontId="5" fillId="4" borderId="10" applyNumberFormat="1" applyFont="1" applyFill="1" applyBorder="1" applyAlignment="1" applyProtection="0">
      <alignment horizontal="center" vertical="center" wrapText="1"/>
    </xf>
    <xf numFmtId="49" fontId="6" fillId="4" borderId="10" applyNumberFormat="1" applyFont="1" applyFill="1" applyBorder="1" applyAlignment="1" applyProtection="0">
      <alignment horizontal="center" vertical="center" wrapText="1"/>
    </xf>
    <xf numFmtId="49" fontId="5" fillId="4" borderId="11" applyNumberFormat="1" applyFont="1" applyFill="1" applyBorder="1" applyAlignment="1" applyProtection="0">
      <alignment horizontal="center" vertical="center" wrapText="1"/>
    </xf>
    <xf numFmtId="0" fontId="5" fillId="5" borderId="12" applyNumberFormat="1" applyFont="1" applyFill="1" applyBorder="1" applyAlignment="1" applyProtection="0">
      <alignment horizontal="center" vertical="center" wrapText="1"/>
    </xf>
    <xf numFmtId="0" fontId="7" borderId="3" applyNumberFormat="1" applyFont="1" applyFill="0" applyBorder="1" applyAlignment="1" applyProtection="0">
      <alignment horizontal="center" vertical="center" wrapText="1"/>
    </xf>
    <xf numFmtId="0" fontId="7" borderId="4" applyNumberFormat="1" applyFont="1" applyFill="0" applyBorder="1" applyAlignment="1" applyProtection="0">
      <alignment horizontal="center" vertical="center" wrapText="1"/>
    </xf>
    <xf numFmtId="2" fontId="7" borderId="4" applyNumberFormat="1" applyFont="1" applyFill="0" applyBorder="1" applyAlignment="1" applyProtection="0">
      <alignment horizontal="center" vertical="center" wrapText="1"/>
    </xf>
    <xf numFmtId="3" fontId="7" borderId="4" applyNumberFormat="1" applyFont="1" applyFill="0" applyBorder="1" applyAlignment="1" applyProtection="0">
      <alignment horizontal="center" vertical="center" wrapText="1"/>
    </xf>
    <xf numFmtId="59" fontId="7" borderId="4" applyNumberFormat="1" applyFont="1" applyFill="0" applyBorder="1" applyAlignment="1" applyProtection="0">
      <alignment horizontal="center" vertical="center" wrapText="1"/>
    </xf>
    <xf numFmtId="60" fontId="7" borderId="4" applyNumberFormat="1" applyFont="1" applyFill="0" applyBorder="1" applyAlignment="1" applyProtection="0">
      <alignment horizontal="center" vertical="center" wrapText="1"/>
    </xf>
    <xf numFmtId="61" fontId="7" borderId="4" applyNumberFormat="1" applyFont="1" applyFill="0" applyBorder="1" applyAlignment="1" applyProtection="0">
      <alignment horizontal="center" vertical="center" wrapText="1"/>
    </xf>
    <xf numFmtId="62" fontId="7" borderId="4" applyNumberFormat="1" applyFont="1" applyFill="0" applyBorder="1" applyAlignment="1" applyProtection="0">
      <alignment horizontal="center" vertical="center" wrapText="1"/>
    </xf>
    <xf numFmtId="63" fontId="7" borderId="4" applyNumberFormat="1" applyFont="1" applyFill="0" applyBorder="1" applyAlignment="1" applyProtection="0">
      <alignment horizontal="center" vertical="center" wrapText="1"/>
    </xf>
    <xf numFmtId="59" fontId="7" borderId="2" applyNumberFormat="1" applyFont="1" applyFill="0" applyBorder="1" applyAlignment="1" applyProtection="0">
      <alignment horizontal="center" vertical="center" wrapText="1"/>
    </xf>
    <xf numFmtId="0" fontId="4" fillId="5" borderId="13"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7" borderId="7" applyNumberFormat="1" applyFont="1" applyFill="0" applyBorder="1" applyAlignment="1" applyProtection="0">
      <alignment horizontal="center" vertical="center" wrapText="1"/>
    </xf>
    <xf numFmtId="3" fontId="7" borderId="7" applyNumberFormat="1" applyFont="1" applyFill="0" applyBorder="1" applyAlignment="1" applyProtection="0">
      <alignment horizontal="center" vertical="center" wrapText="1"/>
    </xf>
    <xf numFmtId="59" fontId="7" borderId="7" applyNumberFormat="1" applyFont="1" applyFill="0" applyBorder="1" applyAlignment="1" applyProtection="0">
      <alignment horizontal="center" vertical="center" wrapText="1"/>
    </xf>
    <xf numFmtId="60" fontId="7" borderId="7" applyNumberFormat="1" applyFont="1" applyFill="0" applyBorder="1" applyAlignment="1" applyProtection="0">
      <alignment horizontal="center" vertical="center" wrapText="1"/>
    </xf>
    <xf numFmtId="61" fontId="7" borderId="7" applyNumberFormat="1" applyFont="1" applyFill="0" applyBorder="1" applyAlignment="1" applyProtection="0">
      <alignment horizontal="center" vertical="center" wrapText="1"/>
    </xf>
    <xf numFmtId="62" fontId="7" borderId="7" applyNumberFormat="1" applyFont="1" applyFill="0" applyBorder="1" applyAlignment="1" applyProtection="0">
      <alignment horizontal="center" vertical="center" wrapText="1"/>
    </xf>
    <xf numFmtId="63" fontId="7" borderId="7" applyNumberFormat="1" applyFont="1" applyFill="0" applyBorder="1" applyAlignment="1" applyProtection="0">
      <alignment horizontal="center" vertical="center" wrapText="1"/>
    </xf>
    <xf numFmtId="0" fontId="0" borderId="5" applyNumberFormat="0" applyFont="1" applyFill="0" applyBorder="1" applyAlignment="1" applyProtection="0">
      <alignment vertical="top" wrapText="1"/>
    </xf>
    <xf numFmtId="0" fontId="4" fillId="5" borderId="14" applyNumberFormat="0" applyFont="1" applyFill="1" applyBorder="1" applyAlignment="1" applyProtection="0">
      <alignment vertical="top" wrapText="1"/>
    </xf>
    <xf numFmtId="0" fontId="0" borderId="15"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7" borderId="1" applyNumberFormat="1" applyFont="1" applyFill="0" applyBorder="1" applyAlignment="1" applyProtection="0">
      <alignment horizontal="center" vertical="center" wrapText="1"/>
    </xf>
    <xf numFmtId="3" fontId="7" borderId="1" applyNumberFormat="1" applyFont="1" applyFill="0" applyBorder="1" applyAlignment="1" applyProtection="0">
      <alignment horizontal="center" vertical="center" wrapText="1"/>
    </xf>
    <xf numFmtId="59" fontId="7" borderId="1" applyNumberFormat="1" applyFont="1" applyFill="0" applyBorder="1" applyAlignment="1" applyProtection="0">
      <alignment horizontal="center" vertical="center" wrapText="1"/>
    </xf>
    <xf numFmtId="60" fontId="7" borderId="1" applyNumberFormat="1" applyFont="1" applyFill="0" applyBorder="1" applyAlignment="1" applyProtection="0">
      <alignment horizontal="center" vertical="center" wrapText="1"/>
    </xf>
    <xf numFmtId="61" fontId="7" borderId="1" applyNumberFormat="1" applyFont="1" applyFill="0" applyBorder="1" applyAlignment="1" applyProtection="0">
      <alignment horizontal="center" vertical="center" wrapText="1"/>
    </xf>
    <xf numFmtId="62" fontId="7" borderId="1" applyNumberFormat="1" applyFont="1" applyFill="0" applyBorder="1" applyAlignment="1" applyProtection="0">
      <alignment horizontal="center" vertical="center" wrapText="1"/>
    </xf>
    <xf numFmtId="63" fontId="7" borderId="1" applyNumberFormat="1" applyFont="1" applyFill="0" applyBorder="1" applyAlignment="1" applyProtection="0">
      <alignment horizontal="center" vertical="center" wrapText="1"/>
    </xf>
    <xf numFmtId="0" fontId="0" borderId="16" applyNumberFormat="0" applyFont="1" applyFill="0" applyBorder="1" applyAlignment="1" applyProtection="0">
      <alignment vertical="top" wrapText="1"/>
    </xf>
    <xf numFmtId="0" fontId="0" borderId="6" applyNumberFormat="0" applyFont="1" applyFill="0" applyBorder="1" applyAlignment="1" applyProtection="0">
      <alignment horizontal="center" vertical="center" wrapText="1"/>
    </xf>
    <xf numFmtId="0" fontId="0" borderId="7" applyNumberFormat="0" applyFont="1" applyFill="0" applyBorder="1" applyAlignment="1" applyProtection="0">
      <alignment horizontal="center" vertical="center" wrapText="1"/>
    </xf>
    <xf numFmtId="0" fontId="0" borderId="5"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fillId="5" borderId="3" applyNumberFormat="1" applyFont="1" applyFill="1" applyBorder="1" applyAlignment="1" applyProtection="0">
      <alignment horizontal="center" vertical="center" wrapText="1"/>
    </xf>
    <xf numFmtId="63" fontId="7" borderId="2" applyNumberFormat="1" applyFont="1" applyFill="0" applyBorder="1" applyAlignment="1" applyProtection="0">
      <alignment horizontal="center" vertical="center" wrapText="1"/>
    </xf>
    <xf numFmtId="0" fontId="4" fillId="5" borderId="6" applyNumberFormat="0" applyFont="1" applyFill="1" applyBorder="1" applyAlignment="1" applyProtection="0">
      <alignment vertical="top" wrapText="1"/>
    </xf>
    <xf numFmtId="63" fontId="7" borderId="5" applyNumberFormat="1" applyFont="1" applyFill="0" applyBorder="1" applyAlignment="1" applyProtection="0">
      <alignment horizontal="center" vertical="center" wrapText="1"/>
    </xf>
    <xf numFmtId="0" fontId="4" fillId="5" borderId="15" applyNumberFormat="0" applyFont="1" applyFill="1" applyBorder="1" applyAlignment="1" applyProtection="0">
      <alignment vertical="top" wrapText="1"/>
    </xf>
    <xf numFmtId="63" fontId="7" borderId="16"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3" fontId="7" borderId="10" applyNumberFormat="1" applyFont="1" applyFill="0" applyBorder="1" applyAlignment="1" applyProtection="0">
      <alignment horizontal="center" vertical="center" wrapText="1"/>
    </xf>
    <xf numFmtId="2" fontId="7" borderId="10" applyNumberFormat="1" applyFont="1" applyFill="0" applyBorder="1" applyAlignment="1" applyProtection="0">
      <alignment horizontal="center" vertical="center" wrapText="1"/>
    </xf>
    <xf numFmtId="0" fontId="7" borderId="10" applyNumberFormat="1" applyFont="1" applyFill="0" applyBorder="1" applyAlignment="1" applyProtection="0">
      <alignment horizontal="center" vertical="center" wrapText="1"/>
    </xf>
    <xf numFmtId="59" fontId="7" borderId="11" applyNumberFormat="1" applyFont="1" applyFill="0" applyBorder="1" applyAlignment="1" applyProtection="0">
      <alignment horizontal="center" vertical="center" wrapText="1"/>
    </xf>
    <xf numFmtId="59" fontId="7" borderId="5" applyNumberFormat="1" applyFont="1" applyFill="0" applyBorder="1" applyAlignment="1" applyProtection="0">
      <alignment horizontal="center" vertical="center" wrapText="1"/>
    </xf>
    <xf numFmtId="2" fontId="7" borderId="7"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7" applyNumberFormat="0" applyFont="1" applyFill="1" applyBorder="1" applyAlignment="1" applyProtection="0">
      <alignment vertical="top" wrapText="1"/>
    </xf>
    <xf numFmtId="0" fontId="4" fillId="5" borderId="1" applyNumberFormat="0" applyFont="1" applyFill="1" applyBorder="1" applyAlignment="1" applyProtection="0">
      <alignment vertical="top" wrapText="1"/>
    </xf>
    <xf numFmtId="0" fontId="7" borderId="4" applyNumberFormat="0" applyFont="1" applyFill="0" applyBorder="1" applyAlignment="1" applyProtection="0">
      <alignment horizontal="center" vertical="center" wrapText="1"/>
    </xf>
    <xf numFmtId="0" fontId="7" borderId="2"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341269"/>
          <c:y val="0.0449669"/>
          <c:w val="0.956867"/>
          <c:h val="0.924191"/>
        </c:manualLayout>
      </c:layout>
      <c:scatterChart>
        <c:scatterStyle val="lineMarker"/>
        <c:varyColors val="0"/>
        <c:ser>
          <c:idx val="0"/>
          <c:order val="0"/>
          <c:tx>
            <c:strRef>
              <c:f>'Лист 1 - Tаблица 1'!$AD$1</c:f>
              <c:strCache>
                <c:ptCount val="1"/>
                <c:pt idx="0">
                  <c:v>ln𝜂</c:v>
                </c:pt>
              </c:strCache>
            </c:strRef>
          </c:tx>
          <c:spPr>
            <a:solidFill>
              <a:srgbClr val="000000"/>
            </a:solidFill>
            <a:ln w="12700" cap="flat">
              <a:noFill/>
              <a:prstDash val="solid"/>
              <a:miter lim="400000"/>
            </a:ln>
            <a:effectLst/>
          </c:spPr>
          <c:marker>
            <c:symbol val="circle"/>
            <c:size val="9"/>
            <c:spPr>
              <a:solidFill>
                <a:srgbClr val="000000"/>
              </a:solidFill>
              <a:ln w="12700" cap="flat">
                <a:solidFill>
                  <a:srgbClr val="000000"/>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000000"/>
                </a:solidFill>
                <a:prstDash val="solid"/>
                <a:miter lim="400000"/>
              </a:ln>
              <a:effectLst/>
            </c:spPr>
            <c:trendlineType val="linear"/>
            <c:forward val="0"/>
            <c:backward val="0"/>
            <c:dispRSqr val="0"/>
            <c:dispEq val="1"/>
          </c:trendline>
          <c:errBars>
            <c:errDir val="x"/>
            <c:errBarType val="both"/>
            <c:errValType val="cust"/>
            <c:noEndCap val="0"/>
            <c:plus>
              <c:numRef>
                <c:f>'Лист 1 - Tаблица 1'!$AC$2:$AC$37</c:f>
                <c:numCache>
                  <c:ptCount val="36"/>
                  <c:pt idx="0">
                    <c:v>0.034130</c:v>
                  </c:pt>
                  <c:pt idx="1">
                    <c:v>nan</c:v>
                  </c:pt>
                  <c:pt idx="2">
                    <c:v>nan</c:v>
                  </c:pt>
                  <c:pt idx="3">
                    <c:v>nan</c:v>
                  </c:pt>
                  <c:pt idx="4">
                    <c:v>0.026846</c:v>
                  </c:pt>
                  <c:pt idx="5">
                    <c:v>nan</c:v>
                  </c:pt>
                  <c:pt idx="6">
                    <c:v>nan</c:v>
                  </c:pt>
                  <c:pt idx="7">
                    <c:v>nan</c:v>
                  </c:pt>
                  <c:pt idx="8">
                    <c:v>0.022002</c:v>
                  </c:pt>
                  <c:pt idx="9">
                    <c:v>nan</c:v>
                  </c:pt>
                  <c:pt idx="10">
                    <c:v>nan</c:v>
                  </c:pt>
                  <c:pt idx="11">
                    <c:v>nan</c:v>
                  </c:pt>
                  <c:pt idx="12">
                    <c:v>0.018319</c:v>
                  </c:pt>
                  <c:pt idx="13">
                    <c:v>nan</c:v>
                  </c:pt>
                  <c:pt idx="14">
                    <c:v>0.018553</c:v>
                  </c:pt>
                  <c:pt idx="15">
                    <c:v>nan</c:v>
                  </c:pt>
                  <c:pt idx="16">
                    <c:v>0.015974</c:v>
                  </c:pt>
                  <c:pt idx="17">
                    <c:v>nan</c:v>
                  </c:pt>
                  <c:pt idx="18">
                    <c:v>nan</c:v>
                  </c:pt>
                  <c:pt idx="19">
                    <c:v>nan</c:v>
                  </c:pt>
                  <c:pt idx="20">
                    <c:v>0.013976</c:v>
                  </c:pt>
                  <c:pt idx="21">
                    <c:v>nan</c:v>
                  </c:pt>
                  <c:pt idx="22">
                    <c:v>nan</c:v>
                  </c:pt>
                  <c:pt idx="23">
                    <c:v>nan</c:v>
                  </c:pt>
                  <c:pt idx="24">
                    <c:v>0.012384</c:v>
                  </c:pt>
                  <c:pt idx="25">
                    <c:v>nan</c:v>
                  </c:pt>
                  <c:pt idx="26">
                    <c:v>nan</c:v>
                  </c:pt>
                  <c:pt idx="27">
                    <c:v>nan</c:v>
                  </c:pt>
                  <c:pt idx="28">
                    <c:v>nan</c:v>
                  </c:pt>
                  <c:pt idx="29">
                    <c:v>nan</c:v>
                  </c:pt>
                  <c:pt idx="30">
                    <c:v>0.011086</c:v>
                  </c:pt>
                  <c:pt idx="31">
                    <c:v>nan</c:v>
                  </c:pt>
                  <c:pt idx="32">
                    <c:v>nan</c:v>
                  </c:pt>
                  <c:pt idx="33">
                    <c:v>nan</c:v>
                  </c:pt>
                  <c:pt idx="34">
                    <c:v>nan</c:v>
                  </c:pt>
                  <c:pt idx="35">
                    <c:v>nan</c:v>
                  </c:pt>
                </c:numCache>
              </c:numRef>
            </c:plus>
            <c:minus>
              <c:numRef>
                <c:f>'Лист 1 - Tаблица 1'!$AC$2:$AC$37</c:f>
                <c:numCache>
                  <c:ptCount val="36"/>
                  <c:pt idx="0">
                    <c:v>0.034130</c:v>
                  </c:pt>
                  <c:pt idx="1">
                    <c:v>nan</c:v>
                  </c:pt>
                  <c:pt idx="2">
                    <c:v>nan</c:v>
                  </c:pt>
                  <c:pt idx="3">
                    <c:v>nan</c:v>
                  </c:pt>
                  <c:pt idx="4">
                    <c:v>0.026846</c:v>
                  </c:pt>
                  <c:pt idx="5">
                    <c:v>nan</c:v>
                  </c:pt>
                  <c:pt idx="6">
                    <c:v>nan</c:v>
                  </c:pt>
                  <c:pt idx="7">
                    <c:v>nan</c:v>
                  </c:pt>
                  <c:pt idx="8">
                    <c:v>0.022002</c:v>
                  </c:pt>
                  <c:pt idx="9">
                    <c:v>nan</c:v>
                  </c:pt>
                  <c:pt idx="10">
                    <c:v>nan</c:v>
                  </c:pt>
                  <c:pt idx="11">
                    <c:v>nan</c:v>
                  </c:pt>
                  <c:pt idx="12">
                    <c:v>0.018319</c:v>
                  </c:pt>
                  <c:pt idx="13">
                    <c:v>nan</c:v>
                  </c:pt>
                  <c:pt idx="14">
                    <c:v>0.018553</c:v>
                  </c:pt>
                  <c:pt idx="15">
                    <c:v>nan</c:v>
                  </c:pt>
                  <c:pt idx="16">
                    <c:v>0.015974</c:v>
                  </c:pt>
                  <c:pt idx="17">
                    <c:v>nan</c:v>
                  </c:pt>
                  <c:pt idx="18">
                    <c:v>nan</c:v>
                  </c:pt>
                  <c:pt idx="19">
                    <c:v>nan</c:v>
                  </c:pt>
                  <c:pt idx="20">
                    <c:v>0.013976</c:v>
                  </c:pt>
                  <c:pt idx="21">
                    <c:v>nan</c:v>
                  </c:pt>
                  <c:pt idx="22">
                    <c:v>nan</c:v>
                  </c:pt>
                  <c:pt idx="23">
                    <c:v>nan</c:v>
                  </c:pt>
                  <c:pt idx="24">
                    <c:v>0.012384</c:v>
                  </c:pt>
                  <c:pt idx="25">
                    <c:v>nan</c:v>
                  </c:pt>
                  <c:pt idx="26">
                    <c:v>nan</c:v>
                  </c:pt>
                  <c:pt idx="27">
                    <c:v>nan</c:v>
                  </c:pt>
                  <c:pt idx="28">
                    <c:v>nan</c:v>
                  </c:pt>
                  <c:pt idx="29">
                    <c:v>nan</c:v>
                  </c:pt>
                  <c:pt idx="30">
                    <c:v>0.011086</c:v>
                  </c:pt>
                  <c:pt idx="31">
                    <c:v>nan</c:v>
                  </c:pt>
                  <c:pt idx="32">
                    <c:v>nan</c:v>
                  </c:pt>
                  <c:pt idx="33">
                    <c:v>nan</c:v>
                  </c:pt>
                  <c:pt idx="34">
                    <c:v>nan</c:v>
                  </c:pt>
                  <c:pt idx="35">
                    <c:v>nan</c:v>
                  </c:pt>
                </c:numCache>
              </c:numRef>
            </c:minus>
            <c:val val="0"/>
            <c:spPr>
              <a:noFill/>
              <a:ln w="12700" cap="flat">
                <a:solidFill>
                  <a:srgbClr val="000000"/>
                </a:solidFill>
                <a:prstDash val="solid"/>
                <a:miter lim="400000"/>
              </a:ln>
              <a:effectLst/>
            </c:spPr>
          </c:errBars>
          <c:errBars>
            <c:errDir val="y"/>
            <c:errBarType val="both"/>
            <c:errValType val="cust"/>
            <c:noEndCap val="0"/>
            <c:plus>
              <c:numLit>
                <c:ptCount val="36"/>
                <c:pt idx="0">
                  <c:v>0.180914</c:v>
                </c:pt>
                <c:pt idx="1">
                  <c:v>nan</c:v>
                </c:pt>
                <c:pt idx="2">
                  <c:v>nan</c:v>
                </c:pt>
                <c:pt idx="3">
                  <c:v>nan</c:v>
                </c:pt>
                <c:pt idx="4">
                  <c:v>0.139954</c:v>
                </c:pt>
                <c:pt idx="5">
                  <c:v>nan</c:v>
                </c:pt>
                <c:pt idx="6">
                  <c:v>nan</c:v>
                </c:pt>
                <c:pt idx="7">
                  <c:v>nan</c:v>
                </c:pt>
                <c:pt idx="8">
                  <c:v>0.053191</c:v>
                </c:pt>
                <c:pt idx="9">
                  <c:v>nan</c:v>
                </c:pt>
                <c:pt idx="10">
                  <c:v>nan</c:v>
                </c:pt>
                <c:pt idx="11">
                  <c:v>nan</c:v>
                </c:pt>
                <c:pt idx="12">
                  <c:v>0.038618</c:v>
                </c:pt>
                <c:pt idx="13">
                  <c:v>nan</c:v>
                </c:pt>
                <c:pt idx="14">
                  <c:v>0.027553</c:v>
                </c:pt>
                <c:pt idx="15">
                  <c:v>nan</c:v>
                </c:pt>
                <c:pt idx="16">
                  <c:v>0.028037</c:v>
                </c:pt>
                <c:pt idx="17">
                  <c:v>nan</c:v>
                </c:pt>
                <c:pt idx="18">
                  <c:v>nan</c:v>
                </c:pt>
                <c:pt idx="19">
                  <c:v>nan</c:v>
                </c:pt>
                <c:pt idx="20">
                  <c:v>0.017091</c:v>
                </c:pt>
                <c:pt idx="21">
                  <c:v>nan</c:v>
                </c:pt>
                <c:pt idx="22">
                  <c:v>nan</c:v>
                </c:pt>
                <c:pt idx="23">
                  <c:v>nan</c:v>
                </c:pt>
                <c:pt idx="24">
                  <c:v>0.015568</c:v>
                </c:pt>
                <c:pt idx="25">
                  <c:v>nan</c:v>
                </c:pt>
                <c:pt idx="26">
                  <c:v>nan</c:v>
                </c:pt>
                <c:pt idx="27">
                  <c:v>nan</c:v>
                </c:pt>
                <c:pt idx="28">
                  <c:v>nan</c:v>
                </c:pt>
                <c:pt idx="29">
                  <c:v>nan</c:v>
                </c:pt>
                <c:pt idx="30">
                  <c:v>0.015356</c:v>
                </c:pt>
                <c:pt idx="31">
                  <c:v>nan</c:v>
                </c:pt>
                <c:pt idx="32">
                  <c:v>nan</c:v>
                </c:pt>
                <c:pt idx="33">
                  <c:v>nan</c:v>
                </c:pt>
                <c:pt idx="34">
                  <c:v>nan</c:v>
                </c:pt>
                <c:pt idx="35">
                  <c:v>nan</c:v>
                </c:pt>
              </c:numLit>
            </c:plus>
            <c:minus>
              <c:numLit>
                <c:ptCount val="36"/>
                <c:pt idx="0">
                  <c:v>0.180914</c:v>
                </c:pt>
                <c:pt idx="1">
                  <c:v>nan</c:v>
                </c:pt>
                <c:pt idx="2">
                  <c:v>nan</c:v>
                </c:pt>
                <c:pt idx="3">
                  <c:v>nan</c:v>
                </c:pt>
                <c:pt idx="4">
                  <c:v>0.139954</c:v>
                </c:pt>
                <c:pt idx="5">
                  <c:v>nan</c:v>
                </c:pt>
                <c:pt idx="6">
                  <c:v>nan</c:v>
                </c:pt>
                <c:pt idx="7">
                  <c:v>nan</c:v>
                </c:pt>
                <c:pt idx="8">
                  <c:v>0.053191</c:v>
                </c:pt>
                <c:pt idx="9">
                  <c:v>nan</c:v>
                </c:pt>
                <c:pt idx="10">
                  <c:v>nan</c:v>
                </c:pt>
                <c:pt idx="11">
                  <c:v>nan</c:v>
                </c:pt>
                <c:pt idx="12">
                  <c:v>0.038618</c:v>
                </c:pt>
                <c:pt idx="13">
                  <c:v>nan</c:v>
                </c:pt>
                <c:pt idx="14">
                  <c:v>0.027553</c:v>
                </c:pt>
                <c:pt idx="15">
                  <c:v>nan</c:v>
                </c:pt>
                <c:pt idx="16">
                  <c:v>0.028037</c:v>
                </c:pt>
                <c:pt idx="17">
                  <c:v>nan</c:v>
                </c:pt>
                <c:pt idx="18">
                  <c:v>nan</c:v>
                </c:pt>
                <c:pt idx="19">
                  <c:v>nan</c:v>
                </c:pt>
                <c:pt idx="20">
                  <c:v>0.017091</c:v>
                </c:pt>
                <c:pt idx="21">
                  <c:v>nan</c:v>
                </c:pt>
                <c:pt idx="22">
                  <c:v>nan</c:v>
                </c:pt>
                <c:pt idx="23">
                  <c:v>nan</c:v>
                </c:pt>
                <c:pt idx="24">
                  <c:v>0.015568</c:v>
                </c:pt>
                <c:pt idx="25">
                  <c:v>nan</c:v>
                </c:pt>
                <c:pt idx="26">
                  <c:v>nan</c:v>
                </c:pt>
                <c:pt idx="27">
                  <c:v>nan</c:v>
                </c:pt>
                <c:pt idx="28">
                  <c:v>nan</c:v>
                </c:pt>
                <c:pt idx="29">
                  <c:v>nan</c:v>
                </c:pt>
                <c:pt idx="30">
                  <c:v>0.015356</c:v>
                </c:pt>
                <c:pt idx="31">
                  <c:v>nan</c:v>
                </c:pt>
                <c:pt idx="32">
                  <c:v>nan</c:v>
                </c:pt>
                <c:pt idx="33">
                  <c:v>nan</c:v>
                </c:pt>
                <c:pt idx="34">
                  <c:v>nan</c:v>
                </c:pt>
                <c:pt idx="35">
                  <c:v>nan</c:v>
                </c:pt>
              </c:numLit>
            </c:minus>
            <c:val val="0"/>
            <c:spPr>
              <a:noFill/>
              <a:ln w="12700" cap="flat">
                <a:solidFill>
                  <a:srgbClr val="000000"/>
                </a:solidFill>
                <a:prstDash val="solid"/>
                <a:miter lim="400000"/>
              </a:ln>
              <a:effectLst/>
            </c:spPr>
          </c:errBars>
          <c:xVal>
            <c:numRef>
              <c:f>'Лист 1 - Tаблица 1'!$AB$2:$AB$37</c:f>
              <c:numCache>
                <c:ptCount val="9"/>
                <c:pt idx="0">
                  <c:v>3.412969</c:v>
                </c:pt>
                <c:pt idx="4">
                  <c:v>3.355705</c:v>
                </c:pt>
                <c:pt idx="8">
                  <c:v>3.300330</c:v>
                </c:pt>
                <c:pt idx="12">
                  <c:v>3.242542</c:v>
                </c:pt>
                <c:pt idx="14">
                  <c:v>3.246753</c:v>
                </c:pt>
                <c:pt idx="16">
                  <c:v>3.194888</c:v>
                </c:pt>
                <c:pt idx="20">
                  <c:v>3.144654</c:v>
                </c:pt>
                <c:pt idx="24">
                  <c:v>3.095975</c:v>
                </c:pt>
                <c:pt idx="30">
                  <c:v>3.048780</c:v>
                </c:pt>
              </c:numCache>
            </c:numRef>
          </c:xVal>
          <c:yVal>
            <c:numRef>
              <c:f>'Лист 1 - Tаблица 1'!$AD$2:$AD$37</c:f>
              <c:numCache>
                <c:ptCount val="9"/>
                <c:pt idx="0">
                  <c:v>-0.646874</c:v>
                </c:pt>
                <c:pt idx="4">
                  <c:v>-0.819400</c:v>
                </c:pt>
                <c:pt idx="8">
                  <c:v>-1.286554</c:v>
                </c:pt>
                <c:pt idx="12">
                  <c:v>-1.891321</c:v>
                </c:pt>
                <c:pt idx="14">
                  <c:v>-1.648099</c:v>
                </c:pt>
                <c:pt idx="16">
                  <c:v>-1.979951</c:v>
                </c:pt>
                <c:pt idx="20">
                  <c:v>-2.444732</c:v>
                </c:pt>
                <c:pt idx="24">
                  <c:v>-2.618682</c:v>
                </c:pt>
                <c:pt idx="30">
                  <c:v>-2.833666</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numFmt formatCode="0.0" sourceLinked="0"/>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0.1"/>
        <c:minorUnit val="0.00555556"/>
      </c:valAx>
      <c:valAx>
        <c:axId val="2094734553"/>
        <c:scaling>
          <c:orientation val="minMax"/>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numFmt formatCode="0.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5"/>
        <c:minorUnit val="0.0277778"/>
      </c:valAx>
      <c:spPr>
        <a:noFill/>
        <a:ln w="12700" cap="flat">
          <a:noFill/>
          <a:miter lim="400000"/>
        </a:ln>
        <a:effectLst/>
      </c:spPr>
    </c:plotArea>
    <c:legend>
      <c:legendPos val="t"/>
      <c:layout>
        <c:manualLayout>
          <c:xMode val="edge"/>
          <c:yMode val="edge"/>
          <c:x val="0.0638155"/>
          <c:y val="0"/>
          <c:w val="0.890436"/>
          <c:h val="0.03929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699368</xdr:colOff>
      <xdr:row>35</xdr:row>
      <xdr:rowOff>117012</xdr:rowOff>
    </xdr:from>
    <xdr:to>
      <xdr:col>6</xdr:col>
      <xdr:colOff>52883</xdr:colOff>
      <xdr:row>37</xdr:row>
      <xdr:rowOff>93517</xdr:rowOff>
    </xdr:to>
    <xdr:sp>
      <xdr:nvSpPr>
        <xdr:cNvPr id="2" name="Shape 2"/>
        <xdr:cNvSpPr txBox="1"/>
      </xdr:nvSpPr>
      <xdr:spPr>
        <a:xfrm>
          <a:off x="2223368" y="5895512"/>
          <a:ext cx="2401516"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Диаметр внутренней колбы 28 мм</a:t>
          </a:r>
        </a:p>
      </xdr:txBody>
    </xdr:sp>
    <xdr:clientData/>
  </xdr:twoCellAnchor>
  <xdr:twoCellAnchor>
    <xdr:from>
      <xdr:col>34</xdr:col>
      <xdr:colOff>342069</xdr:colOff>
      <xdr:row>0</xdr:row>
      <xdr:rowOff>0</xdr:rowOff>
    </xdr:from>
    <xdr:to>
      <xdr:col>48</xdr:col>
      <xdr:colOff>180131</xdr:colOff>
      <xdr:row>65</xdr:row>
      <xdr:rowOff>849</xdr:rowOff>
    </xdr:to>
    <xdr:graphicFrame>
      <xdr:nvGraphicFramePr>
        <xdr:cNvPr id="3" name="Chart 3"/>
        <xdr:cNvGraphicFramePr/>
      </xdr:nvGraphicFramePr>
      <xdr:xfrm>
        <a:off x="26250069" y="-484823"/>
        <a:ext cx="10506063" cy="1073235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15</v>
      </c>
      <c r="D12" t="s" s="5">
        <v>16</v>
      </c>
    </row>
    <row r="13">
      <c r="B13" s="4"/>
      <c r="C13" t="s" s="4">
        <v>46</v>
      </c>
      <c r="D13" t="s" s="5">
        <v>47</v>
      </c>
    </row>
    <row r="14">
      <c r="B14" s="4"/>
      <c r="C14" t="s" s="4">
        <v>50</v>
      </c>
      <c r="D14" t="s" s="5">
        <v>51</v>
      </c>
    </row>
    <row r="15">
      <c r="B15" s="4"/>
      <c r="C15" t="s" s="4">
        <v>52</v>
      </c>
      <c r="D15" t="s" s="5">
        <v>53</v>
      </c>
    </row>
    <row r="16">
      <c r="B16" s="4"/>
      <c r="C16" t="s" s="4">
        <v>54</v>
      </c>
      <c r="D16" t="s" s="5">
        <v>55</v>
      </c>
    </row>
    <row r="17">
      <c r="B17" s="4"/>
      <c r="C17" t="s" s="4">
        <v>56</v>
      </c>
      <c r="D17" t="s" s="5">
        <v>57</v>
      </c>
    </row>
    <row r="18">
      <c r="B18" s="4"/>
      <c r="C18" t="s" s="4">
        <v>58</v>
      </c>
      <c r="D18" t="s" s="5">
        <v>59</v>
      </c>
    </row>
    <row r="19">
      <c r="B19" s="4"/>
      <c r="C19" t="s" s="4">
        <v>60</v>
      </c>
      <c r="D19" t="s" s="5">
        <v>61</v>
      </c>
    </row>
  </sheetData>
  <mergeCells count="1">
    <mergeCell ref="B3:D3"/>
  </mergeCells>
  <hyperlinks>
    <hyperlink ref="D10" location="'Лист 1 - Диаметры стеклянных ша'!R2C1" tooltip="" display="Лист 1 - Диаметры стеклянных ша"/>
    <hyperlink ref="D11" location="'Лист 1 - Диаметры металлических'!R2C1" tooltip="" display="Лист 1 - Диаметры металлических"/>
    <hyperlink ref="D12" location="'Лист 1 - Tаблица 1'!R1C1" tooltip="" display="Лист 1 - Tаблица 1"/>
    <hyperlink ref="D13" location="'Лист 1 - Прямая для настройки'!R2C1" tooltip="" display="Лист 1 - Прямая для настройки"/>
    <hyperlink ref="D14" location="'Лист 1 - Tаблица 2 (Сокращенная'!R1C1" tooltip="" display="Лист 1 - Tаблица 2 (Сокращенная"/>
    <hyperlink ref="D15" location="'Лист 1 - Tаблица 2 (Сокращенна1'!R1C1" tooltip="" display="Лист 1 - Tаблица 2 (Сокращенна1"/>
    <hyperlink ref="D16" location="'Лист 1 - Tаблица 2 (Сокращенна2'!R1C1" tooltip="" display="Лист 1 - Tаблица 2 (Сокращенна2"/>
    <hyperlink ref="D17" location="'Лист 1 - Tаблица 2 (Сокращенна3'!R1C1" tooltip="" display="Лист 1 - Tаблица 2 (Сокращенна3"/>
    <hyperlink ref="D18" location="'Лист 1 - Tаблица 2'!R2C1" tooltip="" display="Лист 1 - Tаблица 2"/>
    <hyperlink ref="D19" location="'Лист 1 - Drawings'!R1C1" tooltip="" display="Лист 1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sheetViews>
  <sheetFormatPr defaultColWidth="16.3333" defaultRowHeight="18" customHeight="1" outlineLevelRow="0" outlineLevelCol="0"/>
  <cols>
    <col min="1" max="2" width="16.3516" style="84" customWidth="1"/>
    <col min="3" max="256" width="16.3516" style="84" customWidth="1"/>
  </cols>
  <sheetData>
    <row r="1" ht="28" customHeight="1">
      <c r="A1" t="s" s="7">
        <v>58</v>
      </c>
      <c r="B1" s="7"/>
    </row>
    <row r="2" ht="20.35" customHeight="1">
      <c r="A2" s="16">
        <v>6.411262398084308</v>
      </c>
      <c r="B2" s="16">
        <v>-22.48544358014743</v>
      </c>
    </row>
    <row r="3" ht="20.35" customHeight="1">
      <c r="A3" s="16">
        <v>0.3381943365170917</v>
      </c>
      <c r="B3" s="16">
        <v>1.09200096481144</v>
      </c>
    </row>
    <row r="4" ht="20.35" customHeight="1">
      <c r="A4" s="16">
        <f>A2*1.38</f>
        <v>8.847542109356345</v>
      </c>
      <c r="B4" s="39"/>
    </row>
    <row r="5" ht="20.35" customHeight="1">
      <c r="A5" s="16">
        <f>A3*1.38</f>
        <v>0.4667081843935866</v>
      </c>
      <c r="B5" s="39"/>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F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35156" style="6" customWidth="1"/>
    <col min="2" max="2" width="4.85156" style="6" customWidth="1"/>
    <col min="3" max="4" width="4.67188" style="6" customWidth="1"/>
    <col min="5" max="5" width="5.67188" style="6" customWidth="1"/>
    <col min="6" max="6" width="12.3516" style="6" customWidth="1"/>
    <col min="7" max="256" width="16.3516" style="6" customWidth="1"/>
  </cols>
  <sheetData>
    <row r="1" ht="28" customHeight="1">
      <c r="A1" t="s" s="7">
        <v>5</v>
      </c>
      <c r="B1" s="7"/>
      <c r="C1" s="7"/>
      <c r="D1" s="7"/>
      <c r="E1" s="7"/>
      <c r="F1" s="7"/>
    </row>
    <row r="2" ht="20.55" customHeight="1">
      <c r="A2" t="s" s="8">
        <v>7</v>
      </c>
      <c r="B2" t="s" s="8">
        <v>8</v>
      </c>
      <c r="C2" t="s" s="8">
        <v>9</v>
      </c>
      <c r="D2" t="s" s="8">
        <v>10</v>
      </c>
      <c r="E2" t="s" s="8">
        <v>11</v>
      </c>
      <c r="F2" t="s" s="8">
        <v>12</v>
      </c>
    </row>
    <row r="3" ht="20.55" customHeight="1">
      <c r="A3" s="9">
        <v>1</v>
      </c>
      <c r="B3" s="10">
        <f>2.2</f>
        <v>2.2</v>
      </c>
      <c r="C3" s="11">
        <v>2.15</v>
      </c>
      <c r="D3" s="11">
        <v>2.15</v>
      </c>
      <c r="E3" s="12">
        <f>AVERAGE(B3:D3)</f>
        <v>2.166666666666667</v>
      </c>
      <c r="F3" s="13">
        <v>0.05</v>
      </c>
    </row>
    <row r="4" ht="20.35" customHeight="1">
      <c r="A4" s="14">
        <v>2</v>
      </c>
      <c r="B4" s="15">
        <v>2.1</v>
      </c>
      <c r="C4" s="16">
        <v>2.2</v>
      </c>
      <c r="D4" s="16">
        <v>2.15</v>
      </c>
      <c r="E4" s="17">
        <f>AVERAGE(B4:D4)</f>
        <v>2.15</v>
      </c>
      <c r="F4" s="18">
        <v>0.05</v>
      </c>
    </row>
    <row r="5" ht="20.35" customHeight="1">
      <c r="A5" s="14">
        <v>3</v>
      </c>
      <c r="B5" s="15">
        <v>2.1</v>
      </c>
      <c r="C5" s="16">
        <v>2</v>
      </c>
      <c r="D5" s="16">
        <v>2.1</v>
      </c>
      <c r="E5" s="17">
        <f>AVERAGE(B5:D5)</f>
        <v>2.066666666666666</v>
      </c>
      <c r="F5" s="18">
        <v>0.05</v>
      </c>
    </row>
    <row r="6" ht="20.35" customHeight="1">
      <c r="A6" s="14">
        <v>4</v>
      </c>
      <c r="B6" s="15">
        <v>2</v>
      </c>
      <c r="C6" s="16">
        <v>2.15</v>
      </c>
      <c r="D6" s="16">
        <v>2</v>
      </c>
      <c r="E6" s="17">
        <f>AVERAGE(B6:D6)</f>
        <v>2.05</v>
      </c>
      <c r="F6" s="18">
        <v>0.05</v>
      </c>
    </row>
    <row r="7" ht="20.35" customHeight="1">
      <c r="A7" s="14">
        <v>5</v>
      </c>
      <c r="B7" s="15">
        <v>2.15</v>
      </c>
      <c r="C7" s="16">
        <v>2.1</v>
      </c>
      <c r="D7" s="16">
        <v>2.1</v>
      </c>
      <c r="E7" s="17">
        <f>AVERAGE(B7:D7)</f>
        <v>2.116666666666667</v>
      </c>
      <c r="F7" s="18">
        <v>0.05</v>
      </c>
    </row>
    <row r="8" ht="20.35" customHeight="1">
      <c r="A8" s="14">
        <v>6</v>
      </c>
      <c r="B8" s="15">
        <v>2.1</v>
      </c>
      <c r="C8" s="16">
        <v>2</v>
      </c>
      <c r="D8" s="16">
        <v>2</v>
      </c>
      <c r="E8" s="17">
        <f>AVERAGE(B8:D8)</f>
        <v>2.033333333333333</v>
      </c>
      <c r="F8" s="18">
        <v>0.05</v>
      </c>
    </row>
    <row r="9" ht="20.35" customHeight="1">
      <c r="A9" s="14">
        <v>7</v>
      </c>
      <c r="B9" s="15">
        <v>2.05</v>
      </c>
      <c r="C9" s="16">
        <v>2</v>
      </c>
      <c r="D9" s="16">
        <v>2.1</v>
      </c>
      <c r="E9" s="17">
        <f>AVERAGE(B9:D9)</f>
        <v>2.05</v>
      </c>
      <c r="F9" s="18">
        <v>0.05</v>
      </c>
    </row>
    <row r="10" ht="20.35" customHeight="1">
      <c r="A10" s="14">
        <v>8</v>
      </c>
      <c r="B10" s="15">
        <v>2</v>
      </c>
      <c r="C10" s="16">
        <v>1.9</v>
      </c>
      <c r="D10" s="16">
        <v>2.05</v>
      </c>
      <c r="E10" s="17">
        <f>AVERAGE(B10:D10)</f>
        <v>1.983333333333333</v>
      </c>
      <c r="F10" s="18">
        <v>0.05</v>
      </c>
    </row>
    <row r="11" ht="20.35" customHeight="1">
      <c r="A11" s="14">
        <v>9</v>
      </c>
      <c r="B11" s="15">
        <v>2.1</v>
      </c>
      <c r="C11" s="16">
        <v>2.1</v>
      </c>
      <c r="D11" s="16">
        <v>2.1</v>
      </c>
      <c r="E11" s="17">
        <f>AVERAGE(B11:D11)</f>
        <v>2.1</v>
      </c>
      <c r="F11" s="18">
        <v>0.05</v>
      </c>
    </row>
    <row r="12" ht="20.35" customHeight="1">
      <c r="A12" s="14">
        <v>10</v>
      </c>
      <c r="B12" s="15">
        <v>1.95</v>
      </c>
      <c r="C12" s="16">
        <v>2</v>
      </c>
      <c r="D12" s="16">
        <v>2</v>
      </c>
      <c r="E12" s="17">
        <f>AVERAGE(B12:D12)</f>
        <v>1.983333333333333</v>
      </c>
      <c r="F12" s="18">
        <v>0.05</v>
      </c>
    </row>
    <row r="13" ht="20.35" customHeight="1">
      <c r="A13" s="14">
        <v>11</v>
      </c>
      <c r="B13" s="15">
        <v>2</v>
      </c>
      <c r="C13" s="16">
        <v>2.1</v>
      </c>
      <c r="D13" s="16">
        <v>2.1</v>
      </c>
      <c r="E13" s="17">
        <f>AVERAGE(B13:D13)</f>
        <v>2.066666666666666</v>
      </c>
      <c r="F13" s="18">
        <v>0.05</v>
      </c>
    </row>
    <row r="14" ht="20.35" customHeight="1">
      <c r="A14" s="14">
        <v>12</v>
      </c>
      <c r="B14" s="15">
        <v>1.65</v>
      </c>
      <c r="C14" s="16">
        <v>1.6</v>
      </c>
      <c r="D14" s="16">
        <v>1.6</v>
      </c>
      <c r="E14" s="17">
        <f>AVERAGE(B14:D14)</f>
        <v>1.616666666666666</v>
      </c>
      <c r="F14" s="18">
        <v>0.05</v>
      </c>
    </row>
    <row r="15" ht="20.35" customHeight="1">
      <c r="A15" s="14">
        <v>13</v>
      </c>
      <c r="B15" s="15">
        <v>2</v>
      </c>
      <c r="C15" s="16">
        <v>2.1</v>
      </c>
      <c r="D15" s="16">
        <v>2.05</v>
      </c>
      <c r="E15" s="17">
        <f>AVERAGE(B15:D15)</f>
        <v>2.05</v>
      </c>
      <c r="F15" s="18">
        <v>0.05</v>
      </c>
    </row>
    <row r="16" ht="20.35" customHeight="1">
      <c r="A16" s="14">
        <v>14</v>
      </c>
      <c r="B16" s="15">
        <v>2.1</v>
      </c>
      <c r="C16" s="16">
        <v>2.1</v>
      </c>
      <c r="D16" s="16">
        <v>2.15</v>
      </c>
      <c r="E16" s="17">
        <f>AVERAGE(B16:D16)</f>
        <v>2.116666666666667</v>
      </c>
      <c r="F16" s="18">
        <v>0.05</v>
      </c>
    </row>
    <row r="17" ht="20.35" customHeight="1">
      <c r="A17" s="14">
        <v>15</v>
      </c>
      <c r="B17" s="15">
        <v>2</v>
      </c>
      <c r="C17" s="16">
        <v>2</v>
      </c>
      <c r="D17" s="16">
        <v>2.1</v>
      </c>
      <c r="E17" s="17">
        <f>AVERAGE(B17:D17)</f>
        <v>2.033333333333333</v>
      </c>
      <c r="F17" s="18">
        <v>0.05</v>
      </c>
    </row>
    <row r="18" ht="20.35" customHeight="1">
      <c r="A18" s="14">
        <v>16</v>
      </c>
      <c r="B18" s="15">
        <v>2.05</v>
      </c>
      <c r="C18" s="16">
        <v>2</v>
      </c>
      <c r="D18" s="16">
        <v>2.1</v>
      </c>
      <c r="E18" s="17">
        <f>AVERAGE(B18:D18)</f>
        <v>2.05</v>
      </c>
      <c r="F18" s="18">
        <v>0.05</v>
      </c>
    </row>
    <row r="19" ht="20.35" customHeight="1">
      <c r="A19" s="14">
        <v>17</v>
      </c>
      <c r="B19" s="15">
        <v>2.1</v>
      </c>
      <c r="C19" s="16">
        <v>2.1</v>
      </c>
      <c r="D19" s="16">
        <v>2.05</v>
      </c>
      <c r="E19" s="17">
        <f>AVERAGE(B19:D19)</f>
        <v>2.083333333333333</v>
      </c>
      <c r="F19" s="18">
        <v>0.05</v>
      </c>
    </row>
    <row r="20" ht="20.35" customHeight="1">
      <c r="A20" s="14">
        <v>18</v>
      </c>
      <c r="B20" s="15">
        <v>2.05</v>
      </c>
      <c r="C20" s="16">
        <v>2.2</v>
      </c>
      <c r="D20" s="16">
        <v>2.05</v>
      </c>
      <c r="E20" s="17">
        <f>AVERAGE(B20:D20)</f>
        <v>2.1</v>
      </c>
      <c r="F20" s="18">
        <v>0.05</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35156" style="19" customWidth="1"/>
    <col min="2" max="2" width="4.85156" style="19" customWidth="1"/>
    <col min="3" max="3" width="4.67188" style="19" customWidth="1"/>
    <col min="4" max="4" width="5.67188" style="19" customWidth="1"/>
    <col min="5" max="5" width="12.3516" style="19" customWidth="1"/>
    <col min="6" max="256" width="16.3516" style="19" customWidth="1"/>
  </cols>
  <sheetData>
    <row r="1" ht="28" customHeight="1">
      <c r="A1" t="s" s="7">
        <v>13</v>
      </c>
      <c r="B1" s="7"/>
      <c r="C1" s="7"/>
      <c r="D1" s="7"/>
      <c r="E1" s="7"/>
    </row>
    <row r="2" ht="20.55" customHeight="1">
      <c r="A2" t="s" s="8">
        <v>7</v>
      </c>
      <c r="B2" t="s" s="8">
        <v>8</v>
      </c>
      <c r="C2" t="s" s="8">
        <v>9</v>
      </c>
      <c r="D2" t="s" s="8">
        <v>11</v>
      </c>
      <c r="E2" t="s" s="8">
        <v>12</v>
      </c>
    </row>
    <row r="3" ht="20.55" customHeight="1">
      <c r="A3" s="9">
        <v>1</v>
      </c>
      <c r="B3" s="10">
        <v>0.9</v>
      </c>
      <c r="C3" s="11">
        <v>0.9</v>
      </c>
      <c r="D3" s="12">
        <f>AVERAGE(B3:C3)</f>
        <v>0.9</v>
      </c>
      <c r="E3" s="13">
        <v>0.05</v>
      </c>
    </row>
    <row r="4" ht="20.35" customHeight="1">
      <c r="A4" s="14">
        <v>2</v>
      </c>
      <c r="B4" s="15">
        <v>0.8</v>
      </c>
      <c r="C4" s="16">
        <v>0.85</v>
      </c>
      <c r="D4" s="17">
        <f>AVERAGE(B4:C4)</f>
        <v>0.825</v>
      </c>
      <c r="E4" s="18">
        <v>0.05</v>
      </c>
    </row>
    <row r="5" ht="20.35" customHeight="1">
      <c r="A5" s="14">
        <v>3</v>
      </c>
      <c r="B5" s="15">
        <v>0.85</v>
      </c>
      <c r="C5" s="16">
        <v>0.8</v>
      </c>
      <c r="D5" s="17">
        <f>AVERAGE(B5:C5)</f>
        <v>0.825</v>
      </c>
      <c r="E5" s="18">
        <v>0.05</v>
      </c>
    </row>
    <row r="6" ht="20.35" customHeight="1">
      <c r="A6" s="14">
        <v>4</v>
      </c>
      <c r="B6" s="15">
        <v>0.65</v>
      </c>
      <c r="C6" s="16">
        <v>0.65</v>
      </c>
      <c r="D6" s="17">
        <f>AVERAGE(B6:C6)</f>
        <v>0.65</v>
      </c>
      <c r="E6" s="18">
        <v>0.05</v>
      </c>
    </row>
    <row r="7" ht="20.35" customHeight="1">
      <c r="A7" s="14">
        <v>5</v>
      </c>
      <c r="B7" s="15">
        <v>0.8</v>
      </c>
      <c r="C7" s="16">
        <v>0.8</v>
      </c>
      <c r="D7" s="17">
        <f>AVERAGE(B7:C7)</f>
        <v>0.8</v>
      </c>
      <c r="E7" s="18">
        <v>0.05</v>
      </c>
    </row>
    <row r="8" ht="20.35" customHeight="1">
      <c r="A8" s="14">
        <v>6</v>
      </c>
      <c r="B8" s="15">
        <v>0.75</v>
      </c>
      <c r="C8" s="16">
        <v>0.8</v>
      </c>
      <c r="D8" s="17">
        <f>AVERAGE(B8:C8)</f>
        <v>0.775</v>
      </c>
      <c r="E8" s="18">
        <v>0.05</v>
      </c>
    </row>
    <row r="9" ht="20.35" customHeight="1">
      <c r="A9" s="14">
        <v>7</v>
      </c>
      <c r="B9" s="15">
        <v>0.85</v>
      </c>
      <c r="C9" s="16">
        <v>0.8</v>
      </c>
      <c r="D9" s="17">
        <f>AVERAGE(B9:C9)</f>
        <v>0.825</v>
      </c>
      <c r="E9" s="18">
        <v>0.05</v>
      </c>
    </row>
    <row r="10" ht="20.35" customHeight="1">
      <c r="A10" s="14">
        <v>8</v>
      </c>
      <c r="B10" s="15">
        <v>0.65</v>
      </c>
      <c r="C10" s="16">
        <v>0.6</v>
      </c>
      <c r="D10" s="17">
        <f>AVERAGE(B10:C10)</f>
        <v>0.625</v>
      </c>
      <c r="E10" s="18">
        <v>0.05</v>
      </c>
    </row>
    <row r="11" ht="20.35" customHeight="1">
      <c r="A11" s="14">
        <v>9</v>
      </c>
      <c r="B11" s="15">
        <v>0.75</v>
      </c>
      <c r="C11" s="16">
        <v>0.6</v>
      </c>
      <c r="D11" s="17">
        <f>AVERAGE(B11:C11)</f>
        <v>0.675</v>
      </c>
      <c r="E11" s="18">
        <v>0.05</v>
      </c>
    </row>
    <row r="12" ht="20.35" customHeight="1">
      <c r="A12" s="14">
        <v>10</v>
      </c>
      <c r="B12" s="15">
        <v>0.6</v>
      </c>
      <c r="C12" s="16">
        <v>0.6</v>
      </c>
      <c r="D12" s="17">
        <f>AVERAGE(B12:C12)</f>
        <v>0.6</v>
      </c>
      <c r="E12" s="18">
        <v>0.05</v>
      </c>
    </row>
    <row r="13" ht="20.35" customHeight="1">
      <c r="A13" s="14">
        <v>11</v>
      </c>
      <c r="B13" s="15">
        <v>0.85</v>
      </c>
      <c r="C13" s="16">
        <v>0.8</v>
      </c>
      <c r="D13" s="17">
        <f>AVERAGE(B13:C13)</f>
        <v>0.825</v>
      </c>
      <c r="E13" s="18">
        <v>0.05</v>
      </c>
    </row>
    <row r="14" ht="20.35" customHeight="1">
      <c r="A14" s="14">
        <v>12</v>
      </c>
      <c r="B14" s="15">
        <v>0.55</v>
      </c>
      <c r="C14" s="16">
        <v>0.55</v>
      </c>
      <c r="D14" s="17">
        <f>AVERAGE(B14:C14)</f>
        <v>0.55</v>
      </c>
      <c r="E14" s="18">
        <v>0.05</v>
      </c>
    </row>
    <row r="15" ht="20.35" customHeight="1">
      <c r="A15" s="14">
        <v>13</v>
      </c>
      <c r="B15" s="15">
        <v>0.75</v>
      </c>
      <c r="C15" s="16">
        <v>0.75</v>
      </c>
      <c r="D15" s="17">
        <f>AVERAGE(B15:C15)</f>
        <v>0.75</v>
      </c>
      <c r="E15" s="18">
        <v>0.05</v>
      </c>
    </row>
    <row r="16" ht="20.35" customHeight="1">
      <c r="A16" s="14">
        <v>14</v>
      </c>
      <c r="B16" s="15">
        <v>0.8</v>
      </c>
      <c r="C16" s="16">
        <v>0.8</v>
      </c>
      <c r="D16" s="17">
        <f>AVERAGE(B16:C16)</f>
        <v>0.8</v>
      </c>
      <c r="E16" s="18">
        <v>0.05</v>
      </c>
    </row>
    <row r="17" ht="20.35" customHeight="1">
      <c r="A17" s="14">
        <v>15</v>
      </c>
      <c r="B17" s="15">
        <v>0.9</v>
      </c>
      <c r="C17" s="16">
        <v>0.9</v>
      </c>
      <c r="D17" s="17">
        <f>AVERAGE(B17:C17)</f>
        <v>0.9</v>
      </c>
      <c r="E17" s="18">
        <v>0.05</v>
      </c>
    </row>
    <row r="18" ht="20.35" customHeight="1">
      <c r="A18" s="14">
        <v>16</v>
      </c>
      <c r="B18" s="15">
        <v>0.9</v>
      </c>
      <c r="C18" s="16">
        <v>1.1</v>
      </c>
      <c r="D18" s="17">
        <f>AVERAGE(B18:C18)</f>
        <v>1</v>
      </c>
      <c r="E18" s="18">
        <v>0.05</v>
      </c>
    </row>
    <row r="19" ht="20.35" customHeight="1">
      <c r="A19" s="14">
        <v>17</v>
      </c>
      <c r="B19" s="15">
        <v>0.85</v>
      </c>
      <c r="C19" s="16">
        <v>0.8</v>
      </c>
      <c r="D19" s="17">
        <f>AVERAGE(B19:C19)</f>
        <v>0.825</v>
      </c>
      <c r="E19" s="18">
        <v>0.05</v>
      </c>
    </row>
    <row r="20" ht="20.35" customHeight="1">
      <c r="A20" s="14">
        <v>18</v>
      </c>
      <c r="B20" s="15">
        <v>0.9</v>
      </c>
      <c r="C20" s="16">
        <v>0.95</v>
      </c>
      <c r="D20" s="17">
        <f>AVERAGE(B20:C20)</f>
        <v>0.925</v>
      </c>
      <c r="E20" s="18">
        <v>0.05</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E37"/>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4.85156" style="20" customWidth="1"/>
    <col min="2" max="2" width="3.85156" style="20" customWidth="1"/>
    <col min="3" max="3" width="5.67188" style="20" customWidth="1"/>
    <col min="4" max="4" width="4.67188" style="20" customWidth="1"/>
    <col min="5" max="5" width="10" style="20" customWidth="1"/>
    <col min="6" max="6" width="11.3516" style="20" customWidth="1"/>
    <col min="7" max="8" width="4.85156" style="20" customWidth="1"/>
    <col min="9" max="9" width="10.3516" style="20" customWidth="1"/>
    <col min="10" max="10" width="6.35156" style="20" customWidth="1"/>
    <col min="11" max="11" width="5.67188" style="20" customWidth="1"/>
    <col min="12" max="12" width="8.85156" style="20" customWidth="1"/>
    <col min="13" max="13" width="10.6328" style="20" customWidth="1"/>
    <col min="14" max="14" width="11.5" style="20" customWidth="1"/>
    <col min="15" max="15" width="12.5" style="20" customWidth="1"/>
    <col min="16" max="16" width="5.67188" style="20" customWidth="1"/>
    <col min="17" max="17" width="9.35156" style="20" customWidth="1"/>
    <col min="18" max="18" width="10.3516" style="20" customWidth="1"/>
    <col min="19" max="19" width="6.67188" style="20" customWidth="1"/>
    <col min="20" max="21" width="8.5" style="20" customWidth="1"/>
    <col min="22" max="23" width="7.5" style="20" customWidth="1"/>
    <col min="24" max="24" width="8.5" style="20" customWidth="1"/>
    <col min="25" max="25" width="6.5" style="20" customWidth="1"/>
    <col min="26" max="26" width="7.5" style="20" customWidth="1"/>
    <col min="27" max="27" width="5.67188" style="20" customWidth="1"/>
    <col min="28" max="28" width="6.5" style="20" customWidth="1"/>
    <col min="29" max="29" width="4.85156" style="20" customWidth="1"/>
    <col min="30" max="30" width="7.17188" style="20" customWidth="1"/>
    <col min="31" max="31" width="5.85156" style="20" customWidth="1"/>
    <col min="32" max="256" width="16.3516" style="20" customWidth="1"/>
  </cols>
  <sheetData>
    <row r="1" ht="32.6" customHeight="1">
      <c r="A1" t="s" s="21">
        <v>17</v>
      </c>
      <c r="B1" t="s" s="22">
        <v>18</v>
      </c>
      <c r="C1" t="s" s="23">
        <v>19</v>
      </c>
      <c r="D1" t="s" s="23">
        <v>20</v>
      </c>
      <c r="E1" t="s" s="23">
        <v>21</v>
      </c>
      <c r="F1" t="s" s="23">
        <v>22</v>
      </c>
      <c r="G1" t="s" s="23">
        <v>23</v>
      </c>
      <c r="H1" t="s" s="23">
        <v>24</v>
      </c>
      <c r="I1" t="s" s="23">
        <v>25</v>
      </c>
      <c r="J1" t="s" s="23">
        <v>26</v>
      </c>
      <c r="K1" t="s" s="24">
        <v>18</v>
      </c>
      <c r="L1" t="s" s="23">
        <v>27</v>
      </c>
      <c r="M1" t="s" s="24">
        <v>28</v>
      </c>
      <c r="N1" t="s" s="23">
        <v>29</v>
      </c>
      <c r="O1" t="s" s="23">
        <v>30</v>
      </c>
      <c r="P1" t="s" s="23">
        <v>31</v>
      </c>
      <c r="Q1" t="s" s="23">
        <v>32</v>
      </c>
      <c r="R1" t="s" s="23">
        <v>33</v>
      </c>
      <c r="S1" t="s" s="23">
        <v>34</v>
      </c>
      <c r="T1" t="s" s="23">
        <v>35</v>
      </c>
      <c r="U1" t="s" s="23">
        <v>36</v>
      </c>
      <c r="V1" t="s" s="23">
        <v>37</v>
      </c>
      <c r="W1" t="s" s="23">
        <v>38</v>
      </c>
      <c r="X1" t="s" s="23">
        <v>39</v>
      </c>
      <c r="Y1" t="s" s="23">
        <v>40</v>
      </c>
      <c r="Z1" t="s" s="23">
        <v>41</v>
      </c>
      <c r="AA1" t="s" s="23">
        <v>35</v>
      </c>
      <c r="AB1" t="s" s="23">
        <v>42</v>
      </c>
      <c r="AC1" t="s" s="23">
        <v>43</v>
      </c>
      <c r="AD1" t="s" s="23">
        <v>44</v>
      </c>
      <c r="AE1" t="s" s="25">
        <v>45</v>
      </c>
    </row>
    <row r="2" ht="19.1" customHeight="1">
      <c r="A2" s="26">
        <v>20</v>
      </c>
      <c r="B2" s="27">
        <v>0.2</v>
      </c>
      <c r="C2" s="28">
        <f>$A2+273</f>
        <v>293</v>
      </c>
      <c r="D2" s="29">
        <f>B2/$A2*C2</f>
        <v>2.93</v>
      </c>
      <c r="E2" s="28">
        <v>1</v>
      </c>
      <c r="F2" s="28">
        <v>1</v>
      </c>
      <c r="G2" s="28">
        <v>15</v>
      </c>
      <c r="H2" s="28">
        <v>16</v>
      </c>
      <c r="I2" s="30">
        <v>2600</v>
      </c>
      <c r="J2" s="28">
        <f>AVERAGE(G2:H2)</f>
        <v>15.5</v>
      </c>
      <c r="K2" s="31">
        <f>SQRT((AVEDEV(G2,H2))^2+(0.5)^2)</f>
        <v>0.7071067811865476</v>
      </c>
      <c r="L2" s="32">
        <f>0.1/J2</f>
        <v>0.006451612903225806</v>
      </c>
      <c r="M2" s="32">
        <f>L2*SQRT((0.5/10)^2+(K2/J2)^2)</f>
        <v>0.0004366729502259581</v>
      </c>
      <c r="N2" s="33">
        <f>I2-('Лист 1 - Прямая для настройки'!$A$3*$A$2+'Лист 1 - Прямая для настройки'!$B$3)*1000</f>
        <v>1340</v>
      </c>
      <c r="O2" s="33">
        <f>N2/I2</f>
        <v>0.5153846153846153</v>
      </c>
      <c r="P2" s="28">
        <f>INDEX(('Лист 1 - Диаметры стеклянных ша'!$E$3:$E$20,'Лист 1 - Диаметры металлических'!$D$3:$D$20),E2,1,F2)/2</f>
        <v>1.083333333333333</v>
      </c>
      <c r="Q2" s="28">
        <f>P2^2</f>
        <v>1.173611111111111</v>
      </c>
      <c r="R2" s="34">
        <f>Q2*2*(0.05/2/P2)</f>
        <v>0.05416666666666666</v>
      </c>
      <c r="S2" s="35">
        <f>2/9*9.8*Q2*N2/L2*10^(-6)</f>
        <v>0.5308529938271604</v>
      </c>
      <c r="T2" s="34">
        <f>SQRT((R2/Q2)^2+(O2/N2)^2+(M2/L2)^2)*S2</f>
        <v>0.04348943582072179</v>
      </c>
      <c r="U2" s="34">
        <f>SQRT(T2^2+T3^2+T4^2+T5^2)</f>
        <v>0.116458958439651</v>
      </c>
      <c r="V2" s="32">
        <f>L2*P2*I2*10^(-3)/S2</f>
        <v>0.03423178021422122</v>
      </c>
      <c r="W2" s="32">
        <f>2/9*Q2*10^(-6)*I2/S2</f>
        <v>0.001277352539475106</v>
      </c>
      <c r="X2" s="34">
        <f>L2*W2*(J2/W2-1+EXP(-J2/W2))</f>
        <v>0.09999175901587436</v>
      </c>
      <c r="Y2" s="28">
        <f>AVERAGE(S2:S5)</f>
        <v>0.5236800800540125</v>
      </c>
      <c r="Z2" s="28">
        <f>AVEDEV(S2:S5)</f>
        <v>0.01153606130401236</v>
      </c>
      <c r="AA2" s="31">
        <f>SQRT(Z2^2+U2^2)</f>
        <v>0.1170289268140928</v>
      </c>
      <c r="AB2" s="35">
        <f>1/($A2+273)*10^(3)</f>
        <v>3.412969283276451</v>
      </c>
      <c r="AC2" s="29">
        <f>D2/C2^2*1000</f>
        <v>0.03412969283276451</v>
      </c>
      <c r="AD2" s="28">
        <f>LN(Y2)</f>
        <v>-0.6468743153610909</v>
      </c>
      <c r="AE2" s="36">
        <f>-AA2/AD2</f>
        <v>0.1809144744737102</v>
      </c>
    </row>
    <row r="3" ht="18.9" customHeight="1">
      <c r="A3" s="37"/>
      <c r="B3" s="38"/>
      <c r="C3" s="39"/>
      <c r="D3" s="39"/>
      <c r="E3" s="40">
        <v>2</v>
      </c>
      <c r="F3" s="40">
        <v>1</v>
      </c>
      <c r="G3" s="40">
        <v>17</v>
      </c>
      <c r="H3" s="40">
        <v>15</v>
      </c>
      <c r="I3" s="41">
        <v>2600</v>
      </c>
      <c r="J3" s="40">
        <f>AVERAGE(G3:H3)</f>
        <v>16</v>
      </c>
      <c r="K3" s="42">
        <f>SQRT((AVEDEV(G3,H3))^2+(0.5)^2)</f>
        <v>1.118033988749895</v>
      </c>
      <c r="L3" s="43">
        <f>0.1/J3</f>
        <v>0.00625</v>
      </c>
      <c r="M3" s="43">
        <f>L3*SQRT((0.5/10)^2+(K3/J3)^2)</f>
        <v>0.0005370205892526375</v>
      </c>
      <c r="N3" s="44">
        <f>I3-('Лист 1 - Прямая для настройки'!$A$3*$A$2+'Лист 1 - Прямая для настройки'!$B$3)*1000</f>
        <v>1340</v>
      </c>
      <c r="O3" s="44">
        <f>N3/I3</f>
        <v>0.5153846153846153</v>
      </c>
      <c r="P3" s="40">
        <f>INDEX(('Лист 1 - Диаметры стеклянных ша'!$E$3:$E$20,'Лист 1 - Диаметры металлических'!$D$3:$D$20),E3,1,F3)/2</f>
        <v>1.075</v>
      </c>
      <c r="Q3" s="40">
        <f>P3^2</f>
        <v>1.155625</v>
      </c>
      <c r="R3" s="45">
        <f>Q3*2*(0.05/2/P3)</f>
        <v>0.05375000000000001</v>
      </c>
      <c r="S3" s="46">
        <f>2/9*9.8*Q3*N3/L3*10^(-6)</f>
        <v>0.5395792888888891</v>
      </c>
      <c r="T3" s="45">
        <f>SQRT((R3/Q3)^2+(O3/N3)^2+(M3/L3)^2)*S3</f>
        <v>0.05271966327181049</v>
      </c>
      <c r="U3" s="39"/>
      <c r="V3" s="43">
        <f>L3*P3*I3*10^(-3)/S3</f>
        <v>0.03237476003938541</v>
      </c>
      <c r="W3" s="43">
        <f>2/9*Q3*10^(-6)*I3/S3</f>
        <v>0.001237435272616509</v>
      </c>
      <c r="X3" s="45">
        <f>L3*W3*(J3/W3-1+EXP(-J3/W3))</f>
        <v>0.09999226602954614</v>
      </c>
      <c r="Y3" s="39"/>
      <c r="Z3" s="39"/>
      <c r="AA3" s="39"/>
      <c r="AB3" s="39"/>
      <c r="AC3" s="39"/>
      <c r="AD3" s="39"/>
      <c r="AE3" s="47"/>
    </row>
    <row r="4" ht="18.9" customHeight="1">
      <c r="A4" s="37"/>
      <c r="B4" s="38"/>
      <c r="C4" s="39"/>
      <c r="D4" s="39"/>
      <c r="E4" s="40">
        <v>1</v>
      </c>
      <c r="F4" s="40">
        <v>2</v>
      </c>
      <c r="G4" s="40">
        <v>18</v>
      </c>
      <c r="H4" s="40">
        <v>18</v>
      </c>
      <c r="I4" s="41">
        <v>7700</v>
      </c>
      <c r="J4" s="40">
        <f>AVERAGE(G4:H4)</f>
        <v>18</v>
      </c>
      <c r="K4" s="42">
        <f>SQRT((AVEDEV(G4,H4))^2+(0.5)^2)</f>
        <v>0.5</v>
      </c>
      <c r="L4" s="43">
        <f>0.1/J4</f>
        <v>0.005555555555555556</v>
      </c>
      <c r="M4" s="43">
        <f>L4*SQRT((0.5/10)^2+(K4/J4)^2)</f>
        <v>0.000317766362376142</v>
      </c>
      <c r="N4" s="44">
        <f>I4-('Лист 1 - Прямая для настройки'!$A$3*$A$2+'Лист 1 - Прямая для настройки'!$B$3)*1000</f>
        <v>6440</v>
      </c>
      <c r="O4" s="44">
        <f>N4/I4</f>
        <v>0.8363636363636363</v>
      </c>
      <c r="P4" s="40">
        <f>INDEX(('Лист 1 - Диаметры стеклянных ша'!$E$3:$E$20,'Лист 1 - Диаметры металлических'!$D$3:$D$20),E4,1,F4)/2</f>
        <v>0.45</v>
      </c>
      <c r="Q4" s="40">
        <f>P4^2</f>
        <v>0.2025</v>
      </c>
      <c r="R4" s="45">
        <f>Q4*2*(0.05/2/P4)</f>
        <v>0.0225</v>
      </c>
      <c r="S4" s="46">
        <f>2/9*9.8*Q4*N4/L4*10^(-6)</f>
        <v>0.5112072000000001</v>
      </c>
      <c r="T4" s="45">
        <f>SQRT((R4/Q4)^2+(O4/N4)^2+(M4/L4)^2)*S4</f>
        <v>0.06388515454872225</v>
      </c>
      <c r="U4" s="39"/>
      <c r="V4" s="43">
        <f>L4*P4*I4*10^(-3)/S4</f>
        <v>0.03765596415699934</v>
      </c>
      <c r="W4" s="43">
        <f>2/9*Q4*10^(-6)*I4/S4</f>
        <v>0.0006778073548259882</v>
      </c>
      <c r="X4" s="45">
        <f>L4*W4*(J4/W4-1+EXP(-J4/W4))</f>
        <v>0.09999623440358429</v>
      </c>
      <c r="Y4" s="39"/>
      <c r="Z4" s="39"/>
      <c r="AA4" s="39"/>
      <c r="AB4" s="39"/>
      <c r="AC4" s="39"/>
      <c r="AD4" s="39"/>
      <c r="AE4" s="47"/>
    </row>
    <row r="5" ht="19.1" customHeight="1">
      <c r="A5" s="48"/>
      <c r="B5" s="49"/>
      <c r="C5" s="50"/>
      <c r="D5" s="50"/>
      <c r="E5" s="51">
        <v>2</v>
      </c>
      <c r="F5" s="51">
        <v>2</v>
      </c>
      <c r="G5" s="51">
        <v>21</v>
      </c>
      <c r="H5" s="51">
        <v>22</v>
      </c>
      <c r="I5" s="52">
        <v>7700</v>
      </c>
      <c r="J5" s="51">
        <f>AVERAGE(G5:H5)</f>
        <v>21.5</v>
      </c>
      <c r="K5" s="53">
        <f>SQRT((AVEDEV(G5,H5))^2+(0.5)^2)</f>
        <v>0.7071067811865476</v>
      </c>
      <c r="L5" s="54">
        <f>0.1/J5</f>
        <v>0.004651162790697674</v>
      </c>
      <c r="M5" s="54">
        <f>L5*SQRT((0.5/10)^2+(K5/J5)^2)</f>
        <v>0.0002783582310969772</v>
      </c>
      <c r="N5" s="55">
        <f>I5-('Лист 1 - Прямая для настройки'!$A$3*$A$2+'Лист 1 - Прямая для настройки'!$B$3)*1000</f>
        <v>6440</v>
      </c>
      <c r="O5" s="55">
        <f>N5/I5</f>
        <v>0.8363636363636363</v>
      </c>
      <c r="P5" s="51">
        <f>INDEX(('Лист 1 - Диаметры стеклянных ша'!$E$3:$E$20,'Лист 1 - Диаметры металлических'!$D$3:$D$20),E5,1,F5)/2</f>
        <v>0.4125</v>
      </c>
      <c r="Q5" s="51">
        <f>P5^2</f>
        <v>0.17015625</v>
      </c>
      <c r="R5" s="56">
        <f>Q5*2*(0.05/2/P5)</f>
        <v>0.020625</v>
      </c>
      <c r="S5" s="57">
        <f>2/9*9.8*Q5*N5/L5*10^(-6)</f>
        <v>0.5130808375</v>
      </c>
      <c r="T5" s="56">
        <f>SQRT((R5/Q5)^2+(O5/N5)^2+(M5/L5)^2)*S5</f>
        <v>0.06935908091689563</v>
      </c>
      <c r="U5" s="50"/>
      <c r="V5" s="54">
        <f>L5*P5*I5*10^(-3)/S5</f>
        <v>0.02879323243864762</v>
      </c>
      <c r="W5" s="54">
        <f>2/9*Q5*10^(-6)*I5/S5</f>
        <v>0.0005674666226450133</v>
      </c>
      <c r="X5" s="56">
        <f>L5*W5*(J5/W5-1+EXP(-J5/W5))</f>
        <v>0.0999973606203598</v>
      </c>
      <c r="Y5" s="50"/>
      <c r="Z5" s="50"/>
      <c r="AA5" s="50"/>
      <c r="AB5" s="50"/>
      <c r="AC5" s="50"/>
      <c r="AD5" s="50"/>
      <c r="AE5" s="58"/>
    </row>
    <row r="6" ht="19.1" customHeight="1">
      <c r="A6" s="26">
        <v>25</v>
      </c>
      <c r="B6" s="27">
        <v>0.2</v>
      </c>
      <c r="C6" s="28">
        <f>$A6+273</f>
        <v>298</v>
      </c>
      <c r="D6" s="29">
        <f>B6/$A6*C6</f>
        <v>2.384</v>
      </c>
      <c r="E6" s="28">
        <v>3</v>
      </c>
      <c r="F6" s="28">
        <v>1</v>
      </c>
      <c r="G6" s="28">
        <v>17</v>
      </c>
      <c r="H6" s="28">
        <v>16</v>
      </c>
      <c r="I6" s="30">
        <v>2600</v>
      </c>
      <c r="J6" s="28">
        <f>AVERAGE(G6:H6)</f>
        <v>16.5</v>
      </c>
      <c r="K6" s="31">
        <f>SQRT((AVEDEV(G6,H6))^2+(0.5)^2)</f>
        <v>0.7071067811865476</v>
      </c>
      <c r="L6" s="32">
        <f>0.1/J6</f>
        <v>0.006060606060606061</v>
      </c>
      <c r="M6" s="32">
        <f>L6*SQRT((0.5/10)^2+(K6/J6)^2)</f>
        <v>0.0003991058551349997</v>
      </c>
      <c r="N6" s="33">
        <f>I6-('Лист 1 - Прямая для настройки'!$A$3*$A$6+'Лист 1 - Прямая для настройки'!$B$3)*1000</f>
        <v>1342.222222222222</v>
      </c>
      <c r="O6" s="33">
        <f>N6/I6</f>
        <v>0.5162393162393162</v>
      </c>
      <c r="P6" s="28">
        <f>INDEX(('Лист 1 - Диаметры стеклянных ша'!$E$3:$E$20,'Лист 1 - Диаметры металлических'!$D$3:$D$20),E6,1,F6)/2</f>
        <v>1.033333333333333</v>
      </c>
      <c r="Q6" s="28">
        <f>P6^2</f>
        <v>1.067777777777777</v>
      </c>
      <c r="R6" s="34">
        <f>Q6*2*(0.05/2/P6)</f>
        <v>0.05166666666666666</v>
      </c>
      <c r="S6" s="35">
        <f>2/9*9.8*Q6*N6/L6*10^(-6)</f>
        <v>0.5149947588477365</v>
      </c>
      <c r="T6" s="34">
        <f>SQRT((R6/Q6)^2+(O6/N6)^2+(M6/L6)^2)*S6</f>
        <v>0.04208489259873349</v>
      </c>
      <c r="U6" s="34">
        <f>SQRT(T6^2+T7^2+T8^2+T9^2)</f>
        <v>0.1007339784195198</v>
      </c>
      <c r="V6" s="32">
        <f>L6*P6*I6*10^(-3)/S6</f>
        <v>0.03161746406751776</v>
      </c>
      <c r="W6" s="32">
        <f>2/9*Q6*10^(-6)*I6/S6</f>
        <v>0.001197950583002617</v>
      </c>
      <c r="X6" s="34">
        <f>L6*W6*(J6/W6-1+EXP(-J6/W6))</f>
        <v>0.09999273969343635</v>
      </c>
      <c r="Y6" s="28">
        <f>AVERAGE(S6:S9)</f>
        <v>0.4406959444765947</v>
      </c>
      <c r="Z6" s="28">
        <f>AVEDEV(S6:S9)</f>
        <v>0.05480716889789092</v>
      </c>
      <c r="AA6" s="31">
        <f>SQRT(Z6^2+U6^2)</f>
        <v>0.1146785078854195</v>
      </c>
      <c r="AB6" s="35">
        <f>1/($A6+273)*10^(3)</f>
        <v>3.355704697986577</v>
      </c>
      <c r="AC6" s="29">
        <f>D6/C6^2*1000</f>
        <v>0.02684563758389261</v>
      </c>
      <c r="AD6" s="28">
        <f>LN(Y6)</f>
        <v>-0.8194001096349123</v>
      </c>
      <c r="AE6" s="36">
        <f>-AA6/AD6</f>
        <v>0.1399542257036249</v>
      </c>
    </row>
    <row r="7" ht="18.9" customHeight="1">
      <c r="A7" s="37"/>
      <c r="B7" s="38"/>
      <c r="C7" s="39"/>
      <c r="D7" s="39"/>
      <c r="E7" s="40">
        <v>4</v>
      </c>
      <c r="F7" s="40">
        <v>1</v>
      </c>
      <c r="G7" s="40">
        <v>16</v>
      </c>
      <c r="H7" s="40">
        <v>15</v>
      </c>
      <c r="I7" s="41">
        <v>2600</v>
      </c>
      <c r="J7" s="40">
        <f>AVERAGE(G7:H7)</f>
        <v>15.5</v>
      </c>
      <c r="K7" s="42">
        <f>SQRT((AVEDEV(G7,H7))^2+(0.5)^2)</f>
        <v>0.7071067811865476</v>
      </c>
      <c r="L7" s="43">
        <f>0.1/J7</f>
        <v>0.006451612903225806</v>
      </c>
      <c r="M7" s="43">
        <f>L7*SQRT((0.5/10)^2+(K7/J7)^2)</f>
        <v>0.0004366729502259581</v>
      </c>
      <c r="N7" s="44">
        <f>I7-('Лист 1 - Прямая для настройки'!$A$3*$A$6+'Лист 1 - Прямая для настройки'!$B$3)*1000</f>
        <v>1342.222222222222</v>
      </c>
      <c r="O7" s="44">
        <f>N7/I7</f>
        <v>0.5162393162393162</v>
      </c>
      <c r="P7" s="40">
        <f>INDEX(('Лист 1 - Диаметры стеклянных ша'!$E$3:$E$20,'Лист 1 - Диаметры металлических'!$D$3:$D$20),E7,1,F7)/2</f>
        <v>1.025</v>
      </c>
      <c r="Q7" s="40">
        <f>P7^2</f>
        <v>1.050625</v>
      </c>
      <c r="R7" s="45">
        <f>Q7*2*(0.05/2/P7)</f>
        <v>0.05125000000000001</v>
      </c>
      <c r="S7" s="46">
        <f>2/9*9.8*Q7*N7/L7*10^(-6)</f>
        <v>0.4760114679012347</v>
      </c>
      <c r="T7" s="45">
        <f>SQRT((R7/Q7)^2+(O7/N7)^2+(M7/L7)^2)*S7</f>
        <v>0.03971444828930848</v>
      </c>
      <c r="U7" s="39"/>
      <c r="V7" s="43">
        <f>L7*P7*I7*10^(-3)/S7</f>
        <v>0.0361200297608464</v>
      </c>
      <c r="W7" s="43">
        <f>2/9*Q7*10^(-6)*I7/S7</f>
        <v>0.001275237717389883</v>
      </c>
      <c r="X7" s="45">
        <f>L7*W7*(J7/W7-1+EXP(-J7/W7))</f>
        <v>0.0999917726598878</v>
      </c>
      <c r="Y7" s="39"/>
      <c r="Z7" s="39"/>
      <c r="AA7" s="39"/>
      <c r="AB7" s="39"/>
      <c r="AC7" s="39"/>
      <c r="AD7" s="39"/>
      <c r="AE7" s="47"/>
    </row>
    <row r="8" ht="18.9" customHeight="1">
      <c r="A8" s="37"/>
      <c r="B8" s="38"/>
      <c r="C8" s="39"/>
      <c r="D8" s="39"/>
      <c r="E8" s="40">
        <v>3</v>
      </c>
      <c r="F8" s="40">
        <v>2</v>
      </c>
      <c r="G8" s="40">
        <v>17</v>
      </c>
      <c r="H8" s="40">
        <v>16</v>
      </c>
      <c r="I8" s="41">
        <v>7700</v>
      </c>
      <c r="J8" s="40">
        <f>AVERAGE(G8:H8)</f>
        <v>16.5</v>
      </c>
      <c r="K8" s="42">
        <f>SQRT((AVEDEV(G8,H8))^2+(0.5)^2)</f>
        <v>0.7071067811865476</v>
      </c>
      <c r="L8" s="43">
        <f>0.1/J8</f>
        <v>0.006060606060606061</v>
      </c>
      <c r="M8" s="43">
        <f>L8*SQRT((0.5/10)^2+(K8/J8)^2)</f>
        <v>0.0003991058551349997</v>
      </c>
      <c r="N8" s="44">
        <f>I8-('Лист 1 - Прямая для настройки'!$A$3*$A$6+'Лист 1 - Прямая для настройки'!$B$3)*1000</f>
        <v>6442.222222222223</v>
      </c>
      <c r="O8" s="44">
        <f>N8/I8</f>
        <v>0.8366522366522368</v>
      </c>
      <c r="P8" s="40">
        <f>INDEX(('Лист 1 - Диаметры стеклянных ша'!$E$3:$E$20,'Лист 1 - Диаметры металлических'!$D$3:$D$20),E8,1,F8)/2</f>
        <v>0.4125</v>
      </c>
      <c r="Q8" s="40">
        <f>P8^2</f>
        <v>0.17015625</v>
      </c>
      <c r="R8" s="45">
        <f>Q8*2*(0.05/2/P8)</f>
        <v>0.020625</v>
      </c>
      <c r="S8" s="46">
        <f>2/9*9.8*Q8*N8/L8*10^(-6)</f>
        <v>0.3938955854166667</v>
      </c>
      <c r="T8" s="45">
        <f>SQRT((R8/Q8)^2+(O8/N8)^2+(M8/L8)^2)*S8</f>
        <v>0.0543360970878442</v>
      </c>
      <c r="U8" s="39"/>
      <c r="V8" s="43">
        <f>L8*P8*I8*10^(-3)/S8</f>
        <v>0.04887081935593961</v>
      </c>
      <c r="W8" s="43">
        <f>2/9*Q8*10^(-6)*I8/S8</f>
        <v>0.0007391711427585865</v>
      </c>
      <c r="X8" s="45">
        <f>L8*W8*(J8/W8-1+EXP(-J8/W8))</f>
        <v>0.09999552017489237</v>
      </c>
      <c r="Y8" s="39"/>
      <c r="Z8" s="39"/>
      <c r="AA8" s="39"/>
      <c r="AB8" s="39"/>
      <c r="AC8" s="39"/>
      <c r="AD8" s="39"/>
      <c r="AE8" s="47"/>
    </row>
    <row r="9" ht="19.1" customHeight="1">
      <c r="A9" s="48"/>
      <c r="B9" s="49"/>
      <c r="C9" s="50"/>
      <c r="D9" s="50"/>
      <c r="E9" s="51">
        <v>4</v>
      </c>
      <c r="F9" s="51">
        <v>2</v>
      </c>
      <c r="G9" s="51">
        <v>26</v>
      </c>
      <c r="H9" s="51">
        <v>25</v>
      </c>
      <c r="I9" s="52">
        <v>7700</v>
      </c>
      <c r="J9" s="51">
        <f>AVERAGE(G9:H9)</f>
        <v>25.5</v>
      </c>
      <c r="K9" s="53">
        <f>SQRT((AVEDEV(G9,H9))^2+(0.5)^2)</f>
        <v>0.7071067811865476</v>
      </c>
      <c r="L9" s="54">
        <f>0.1/J9</f>
        <v>0.00392156862745098</v>
      </c>
      <c r="M9" s="54">
        <f>L9*SQRT((0.5/10)^2+(K9/J9)^2)</f>
        <v>0.0002242141224424965</v>
      </c>
      <c r="N9" s="55">
        <f>I9-('Лист 1 - Прямая для настройки'!$A$3*$A$6+'Лист 1 - Прямая для настройки'!$B$3)*1000</f>
        <v>6442.222222222223</v>
      </c>
      <c r="O9" s="55">
        <f>N9/I9</f>
        <v>0.8366522366522368</v>
      </c>
      <c r="P9" s="51">
        <f>INDEX(('Лист 1 - Диаметры стеклянных ша'!$E$3:$E$20,'Лист 1 - Диаметры металлических'!$D$3:$D$20),E9,1,F9)/2</f>
        <v>0.325</v>
      </c>
      <c r="Q9" s="51">
        <f>P9^2</f>
        <v>0.105625</v>
      </c>
      <c r="R9" s="56">
        <f>Q9*2*(0.05/2/P9)</f>
        <v>0.01625</v>
      </c>
      <c r="S9" s="57">
        <f>2/9*9.8*Q9*N9/L9*10^(-6)</f>
        <v>0.3778819657407408</v>
      </c>
      <c r="T9" s="56">
        <f>SQRT((R9/Q9)^2+(O9/N9)^2+(M9/L9)^2)*S9</f>
        <v>0.06202053993245749</v>
      </c>
      <c r="U9" s="50"/>
      <c r="V9" s="54">
        <f>L9*P9*I9*10^(-3)/S9</f>
        <v>0.02597034624544408</v>
      </c>
      <c r="W9" s="54">
        <f>2/9*Q9*10^(-6)*I9/S9</f>
        <v>0.0004782872100202619</v>
      </c>
      <c r="X9" s="56">
        <f>L9*W9*(J9/W9-1+EXP(-J9/W9))</f>
        <v>0.09999812436388227</v>
      </c>
      <c r="Y9" s="50"/>
      <c r="Z9" s="50"/>
      <c r="AA9" s="50"/>
      <c r="AB9" s="50"/>
      <c r="AC9" s="50"/>
      <c r="AD9" s="50"/>
      <c r="AE9" s="58"/>
    </row>
    <row r="10" ht="19.1" customHeight="1">
      <c r="A10" s="26">
        <v>30</v>
      </c>
      <c r="B10" s="27">
        <v>0.2</v>
      </c>
      <c r="C10" s="28">
        <f>$A10+273</f>
        <v>303</v>
      </c>
      <c r="D10" s="29">
        <f>B10/$A10*C10</f>
        <v>2.02</v>
      </c>
      <c r="E10" s="28">
        <v>5</v>
      </c>
      <c r="F10" s="28">
        <v>1</v>
      </c>
      <c r="G10" s="28">
        <v>10</v>
      </c>
      <c r="H10" s="28">
        <v>9</v>
      </c>
      <c r="I10" s="30">
        <v>2600</v>
      </c>
      <c r="J10" s="28">
        <f>AVERAGE(G10:H10)</f>
        <v>9.5</v>
      </c>
      <c r="K10" s="31">
        <f>SQRT((AVEDEV(G10,H10))^2+(0.5)^2)</f>
        <v>0.7071067811865476</v>
      </c>
      <c r="L10" s="32">
        <f>0.1/J10</f>
        <v>0.01052631578947368</v>
      </c>
      <c r="M10" s="32">
        <f>L10*SQRT((0.5/10)^2+(K10/J10)^2)</f>
        <v>0.0009438628829584943</v>
      </c>
      <c r="N10" s="33">
        <f>I10-('Лист 1 - Прямая для настройки'!$A$3*$A$10+'Лист 1 - Прямая для настройки'!$B$3)*1000</f>
        <v>1344.444444444445</v>
      </c>
      <c r="O10" s="33">
        <f>N10/I10</f>
        <v>0.5170940170940171</v>
      </c>
      <c r="P10" s="28">
        <f>INDEX(('Лист 1 - Диаметры стеклянных ша'!$E$3:$E$20,'Лист 1 - Диаметры металлических'!$D$3:$D$20),E10,1,F10)/2</f>
        <v>1.058333333333333</v>
      </c>
      <c r="Q10" s="28">
        <f>P10^2</f>
        <v>1.120069444444445</v>
      </c>
      <c r="R10" s="34">
        <f>Q10*2*(0.05/2/P10)</f>
        <v>0.05291666666666667</v>
      </c>
      <c r="S10" s="35">
        <f>2/9*9.8*Q10*N10/L10*10^(-6)</f>
        <v>0.3115480073731139</v>
      </c>
      <c r="T10" s="34">
        <f>SQRT((R10/Q10)^2+(O10/N10)^2+(M10/L10)^2)*S10</f>
        <v>0.03157615303603596</v>
      </c>
      <c r="U10" s="34">
        <f>SQRT(T10^2+T11^2+T12^2+T13^2)</f>
        <v>0.06611427304549498</v>
      </c>
      <c r="V10" s="32">
        <f>L10*P10*I10*10^(-3)/S10</f>
        <v>0.09297094378784775</v>
      </c>
      <c r="W10" s="32">
        <f>2/9*Q10*10^(-6)*I10/S10</f>
        <v>0.002077211920000709</v>
      </c>
      <c r="X10" s="34">
        <f>L10*W10*(J10/W10-1+EXP(-J10/W10))</f>
        <v>0.09997813461136841</v>
      </c>
      <c r="Y10" s="28">
        <f>AVERAGE(S10:S13)</f>
        <v>0.2762208915037723</v>
      </c>
      <c r="Z10" s="28">
        <f>AVEDEV(S10:S13)</f>
        <v>0.0176635579346708</v>
      </c>
      <c r="AA10" s="31">
        <f>SQRT(Z10^2+U10^2)</f>
        <v>0.06843316724546465</v>
      </c>
      <c r="AB10" s="35">
        <f>1/($A10+273)*10^(3)</f>
        <v>3.3003300330033</v>
      </c>
      <c r="AC10" s="29">
        <f>D10/C10^2*1000</f>
        <v>0.022002200220022</v>
      </c>
      <c r="AD10" s="28">
        <f>LN(Y10)</f>
        <v>-1.286554401824087</v>
      </c>
      <c r="AE10" s="36">
        <f>-AA10/AD10</f>
        <v>0.05319104046314681</v>
      </c>
    </row>
    <row r="11" ht="18.9" customHeight="1">
      <c r="A11" s="37"/>
      <c r="B11" s="38"/>
      <c r="C11" s="39"/>
      <c r="D11" s="39"/>
      <c r="E11" s="40">
        <v>6</v>
      </c>
      <c r="F11" s="40">
        <v>1</v>
      </c>
      <c r="G11" s="40">
        <v>9</v>
      </c>
      <c r="H11" s="40">
        <v>9</v>
      </c>
      <c r="I11" s="41">
        <v>2600</v>
      </c>
      <c r="J11" s="40">
        <f>AVERAGE(G11:H11)</f>
        <v>9</v>
      </c>
      <c r="K11" s="42">
        <f>SQRT((AVEDEV(G11,H11))^2+(0.5)^2)</f>
        <v>0.5</v>
      </c>
      <c r="L11" s="43">
        <f>0.1/J11</f>
        <v>0.01111111111111111</v>
      </c>
      <c r="M11" s="43">
        <f>L11*SQRT((0.5/10)^2+(K11/J11)^2)</f>
        <v>0.0008304706201897352</v>
      </c>
      <c r="N11" s="44">
        <f>I11-('Лист 1 - Прямая для настройки'!$A$3*$A$10+'Лист 1 - Прямая для настройки'!$B$3)*1000</f>
        <v>1344.444444444445</v>
      </c>
      <c r="O11" s="44">
        <f>N11/I11</f>
        <v>0.5170940170940171</v>
      </c>
      <c r="P11" s="40">
        <f>INDEX(('Лист 1 - Диаметры стеклянных ша'!$E$3:$E$20,'Лист 1 - Диаметры металлических'!$D$3:$D$20),E11,1,F11)/2</f>
        <v>1.016666666666667</v>
      </c>
      <c r="Q11" s="40">
        <f>P11^2</f>
        <v>1.033611111111111</v>
      </c>
      <c r="R11" s="45">
        <f>Q11*2*(0.05/2/P11)</f>
        <v>0.05083333333333333</v>
      </c>
      <c r="S11" s="46">
        <f>2/9*9.8*Q11*N11/L11*10^(-6)</f>
        <v>0.272368012345679</v>
      </c>
      <c r="T11" s="45">
        <f>SQRT((R11/Q11)^2+(O11/N11)^2+(M11/L11)^2)*S11</f>
        <v>0.02436936186249162</v>
      </c>
      <c r="U11" s="39"/>
      <c r="V11" s="43">
        <f>L11*P11*I11*10^(-3)/S11</f>
        <v>0.107833405683097</v>
      </c>
      <c r="W11" s="43">
        <f>2/9*Q11*10^(-6)*I11/S11</f>
        <v>0.002192612582222971</v>
      </c>
      <c r="X11" s="45">
        <f>L11*W11*(J11/W11-1+EXP(-J11/W11))</f>
        <v>0.0999756376379753</v>
      </c>
      <c r="Y11" s="39"/>
      <c r="Z11" s="39"/>
      <c r="AA11" s="39"/>
      <c r="AB11" s="39"/>
      <c r="AC11" s="39"/>
      <c r="AD11" s="39"/>
      <c r="AE11" s="47"/>
    </row>
    <row r="12" ht="18.9" customHeight="1">
      <c r="A12" s="37"/>
      <c r="B12" s="38"/>
      <c r="C12" s="39"/>
      <c r="D12" s="39"/>
      <c r="E12" s="40">
        <v>5</v>
      </c>
      <c r="F12" s="40">
        <v>2</v>
      </c>
      <c r="G12" s="40">
        <v>11</v>
      </c>
      <c r="H12" s="40">
        <v>11</v>
      </c>
      <c r="I12" s="41">
        <v>7700</v>
      </c>
      <c r="J12" s="40">
        <f>AVERAGE(G12:H12)</f>
        <v>11</v>
      </c>
      <c r="K12" s="42">
        <f>SQRT((AVEDEV(G12,H12))^2+(0.5)^2)</f>
        <v>0.5</v>
      </c>
      <c r="L12" s="43">
        <f>0.1/J12</f>
        <v>0.009090909090909092</v>
      </c>
      <c r="M12" s="43">
        <f>L12*SQRT((0.5/10)^2+(K12/J12)^2)</f>
        <v>0.0006143003614594425</v>
      </c>
      <c r="N12" s="44">
        <f>I12-('Лист 1 - Прямая для настройки'!$A$3*$A$10+'Лист 1 - Прямая для настройки'!$B$3)*1000</f>
        <v>6444.444444444444</v>
      </c>
      <c r="O12" s="44">
        <f>N12/I12</f>
        <v>0.8369408369408369</v>
      </c>
      <c r="P12" s="40">
        <f>INDEX(('Лист 1 - Диаметры стеклянных ша'!$E$3:$E$20,'Лист 1 - Диаметры металлических'!$D$3:$D$20),E12,1,F12)/2</f>
        <v>0.4</v>
      </c>
      <c r="Q12" s="40">
        <f>P12^2</f>
        <v>0.16</v>
      </c>
      <c r="R12" s="45">
        <f>Q12*2*(0.05/2/P12)</f>
        <v>0.02</v>
      </c>
      <c r="S12" s="46">
        <f>2/9*9.8*Q12*N12/L12*10^(-6)</f>
        <v>0.2470083950617284</v>
      </c>
      <c r="T12" s="45">
        <f>SQRT((R12/Q12)^2+(O12/N12)^2+(M12/L12)^2)*S12</f>
        <v>0.03509878265945948</v>
      </c>
      <c r="U12" s="39"/>
      <c r="V12" s="43">
        <f>L12*P12*I12*10^(-3)/S12</f>
        <v>0.1133564711150918</v>
      </c>
      <c r="W12" s="43">
        <f>2/9*Q12*10^(-6)*I12/S12</f>
        <v>0.001108374384236453</v>
      </c>
      <c r="X12" s="45">
        <f>L12*W12*(J12/W12-1+EXP(-J12/W12))</f>
        <v>0.09998992386923422</v>
      </c>
      <c r="Y12" s="39"/>
      <c r="Z12" s="39"/>
      <c r="AA12" s="39"/>
      <c r="AB12" s="39"/>
      <c r="AC12" s="39"/>
      <c r="AD12" s="39"/>
      <c r="AE12" s="47"/>
    </row>
    <row r="13" ht="19.1" customHeight="1">
      <c r="A13" s="48"/>
      <c r="B13" s="49"/>
      <c r="C13" s="50"/>
      <c r="D13" s="50"/>
      <c r="E13" s="51">
        <v>6</v>
      </c>
      <c r="F13" s="51">
        <v>2</v>
      </c>
      <c r="G13" s="51">
        <v>13</v>
      </c>
      <c r="H13" s="51">
        <v>13</v>
      </c>
      <c r="I13" s="52">
        <v>7700</v>
      </c>
      <c r="J13" s="51">
        <f>AVERAGE(G13:H13)</f>
        <v>13</v>
      </c>
      <c r="K13" s="53">
        <f>SQRT((AVEDEV(G13,H13))^2+(0.5)^2)</f>
        <v>0.5</v>
      </c>
      <c r="L13" s="54">
        <f>0.1/J13</f>
        <v>0.007692307692307693</v>
      </c>
      <c r="M13" s="54">
        <f>L13*SQRT((0.5/10)^2+(K13/J13)^2)</f>
        <v>0.0004852431794928026</v>
      </c>
      <c r="N13" s="55">
        <f>I13-('Лист 1 - Прямая для настройки'!$A$3*$A$10+'Лист 1 - Прямая для настройки'!$B$3)*1000</f>
        <v>6444.444444444444</v>
      </c>
      <c r="O13" s="55">
        <f>N13/I13</f>
        <v>0.8369408369408369</v>
      </c>
      <c r="P13" s="51">
        <f>INDEX(('Лист 1 - Диаметры стеклянных ша'!$E$3:$E$20,'Лист 1 - Диаметры металлических'!$D$3:$D$20),E13,1,F13)/2</f>
        <v>0.3875</v>
      </c>
      <c r="Q13" s="51">
        <f>P13^2</f>
        <v>0.15015625</v>
      </c>
      <c r="R13" s="56">
        <f>Q13*2*(0.05/2/P13)</f>
        <v>0.019375</v>
      </c>
      <c r="S13" s="57">
        <f>2/9*9.8*Q13*N13/L13*10^(-6)</f>
        <v>0.2739591512345679</v>
      </c>
      <c r="T13" s="56">
        <f>SQRT((R13/Q13)^2+(O13/N13)^2+(M13/L13)^2)*S13</f>
        <v>0.03934785023375569</v>
      </c>
      <c r="U13" s="50"/>
      <c r="V13" s="54">
        <f>L13*P13*I13*10^(-3)/S13</f>
        <v>0.08377863259355516</v>
      </c>
      <c r="W13" s="54">
        <f>2/9*Q13*10^(-6)*I13/S13</f>
        <v>0.0009378552482000758</v>
      </c>
      <c r="X13" s="56">
        <f>L13*W13*(J13/W13-1+EXP(-J13/W13))</f>
        <v>0.09999278572886</v>
      </c>
      <c r="Y13" s="50"/>
      <c r="Z13" s="50"/>
      <c r="AA13" s="50"/>
      <c r="AB13" s="50"/>
      <c r="AC13" s="50"/>
      <c r="AD13" s="50"/>
      <c r="AE13" s="58"/>
    </row>
    <row r="14" ht="19.1" customHeight="1">
      <c r="A14" s="26">
        <v>35.4</v>
      </c>
      <c r="B14" s="27">
        <v>0.2</v>
      </c>
      <c r="C14" s="28">
        <f>$A14+273</f>
        <v>308.4</v>
      </c>
      <c r="D14" s="29">
        <f>B14/$A14*C14</f>
        <v>1.742372881355932</v>
      </c>
      <c r="E14" s="28">
        <v>7</v>
      </c>
      <c r="F14" s="28">
        <v>1</v>
      </c>
      <c r="G14" s="28">
        <v>7.2</v>
      </c>
      <c r="H14" s="28">
        <v>7</v>
      </c>
      <c r="I14" s="30">
        <v>2600</v>
      </c>
      <c r="J14" s="28">
        <f>AVERAGE(G14:H14)</f>
        <v>7.1</v>
      </c>
      <c r="K14" s="31">
        <f>SQRT((AVEDEV(G14,H14))^2+(0.5)^2)</f>
        <v>0.5099019513592785</v>
      </c>
      <c r="L14" s="32">
        <f>0.1/J14</f>
        <v>0.01408450704225352</v>
      </c>
      <c r="M14" s="32">
        <f>L14*SQRT((0.5/10)^2+(K14/J14)^2)</f>
        <v>0.00123251160844372</v>
      </c>
      <c r="N14" s="33">
        <f>I14-('Лист 1 - Прямая для настройки'!$A$3*$A$14+'Лист 1 - Прямая для настройки'!$B$3)*1000</f>
        <v>1346.844444444444</v>
      </c>
      <c r="O14" s="33">
        <f>N14/I14</f>
        <v>0.5180170940170941</v>
      </c>
      <c r="P14" s="28">
        <f>INDEX(('Лист 1 - Диаметры стеклянных ша'!$E$3:$E$20,'Лист 1 - Диаметры металлических'!$D$3:$D$20),E14,1,F14)/2</f>
        <v>1.025</v>
      </c>
      <c r="Q14" s="28">
        <f>P14^2</f>
        <v>1.050625</v>
      </c>
      <c r="R14" s="34">
        <f>Q14*2*(0.05/2/P14)</f>
        <v>0.05125000000000001</v>
      </c>
      <c r="S14" s="35">
        <f>2/9*9.8*Q14*N14/L14*10^(-6)</f>
        <v>0.2187948425876544</v>
      </c>
      <c r="T14" s="34">
        <f>SQRT((R14/Q14)^2+(O14/N14)^2+(M14/L14)^2)*S14</f>
        <v>0.02192035058138366</v>
      </c>
      <c r="U14" s="34">
        <f>SQRT(T14^2+T15^2)</f>
        <v>0.02685731684296241</v>
      </c>
      <c r="V14" s="32">
        <f>L14*P14*I14*10^(-3)/S14</f>
        <v>0.1715543694891627</v>
      </c>
      <c r="W14" s="32">
        <f>2/9*Q14*10^(-6)*I14/S14</f>
        <v>0.002774415386571959</v>
      </c>
      <c r="X14" s="34">
        <f>L14*W14*(J14/W14-1+EXP(-J14/W14))</f>
        <v>0.0999609237269497</v>
      </c>
      <c r="Y14" s="28">
        <f>AVERAGE(S14:S15)</f>
        <v>0.1508724003640432</v>
      </c>
      <c r="Z14" s="28">
        <f>AVEDEV(S14:S15)</f>
        <v>0.06792244222361113</v>
      </c>
      <c r="AA14" s="31">
        <f>SQRT(Z14^2+U14^2)</f>
        <v>0.07303953467556502</v>
      </c>
      <c r="AB14" s="35">
        <f>1/($A14+273)*10^(3)</f>
        <v>3.24254215304799</v>
      </c>
      <c r="AC14" s="29">
        <f>D14/C14^2*1000</f>
        <v>0.01831944719236153</v>
      </c>
      <c r="AD14" s="28">
        <f>LN(Y14)</f>
        <v>-1.891320830108623</v>
      </c>
      <c r="AE14" s="36">
        <f>-AA14/AD14</f>
        <v>0.03861826799177704</v>
      </c>
    </row>
    <row r="15" ht="19.1" customHeight="1">
      <c r="A15" s="48"/>
      <c r="B15" s="49"/>
      <c r="C15" s="50"/>
      <c r="D15" s="50"/>
      <c r="E15" s="51">
        <v>8</v>
      </c>
      <c r="F15" s="51">
        <v>2</v>
      </c>
      <c r="G15" s="51">
        <v>6</v>
      </c>
      <c r="H15" s="51">
        <v>6.1</v>
      </c>
      <c r="I15" s="52">
        <v>7700</v>
      </c>
      <c r="J15" s="51">
        <f>AVERAGE(G15:H15)</f>
        <v>6.05</v>
      </c>
      <c r="K15" s="53">
        <f>SQRT((AVEDEV(G15,H15))^2+(0.5)^2)</f>
        <v>0.5024937810560445</v>
      </c>
      <c r="L15" s="54">
        <f>0.1/J15</f>
        <v>0.01652892561983471</v>
      </c>
      <c r="M15" s="54">
        <f>L15*SQRT((0.5/10)^2+(K15/J15)^2)</f>
        <v>0.001602405464110877</v>
      </c>
      <c r="N15" s="55">
        <f>I15-('Лист 1 - Прямая для настройки'!$A$3*$A$14+'Лист 1 - Прямая для настройки'!$B$3)*1000</f>
        <v>6446.844444444445</v>
      </c>
      <c r="O15" s="55">
        <f>N15/I15</f>
        <v>0.8372525252525254</v>
      </c>
      <c r="P15" s="51">
        <f>INDEX(('Лист 1 - Диаметры стеклянных ша'!$E$3:$E$20,'Лист 1 - Диаметры металлических'!$D$3:$D$20),E15,1,F15)/2</f>
        <v>0.3125</v>
      </c>
      <c r="Q15" s="51">
        <f>P15^2</f>
        <v>0.09765625</v>
      </c>
      <c r="R15" s="56">
        <f>Q15*2*(0.05/2/P15)</f>
        <v>0.015625</v>
      </c>
      <c r="S15" s="57">
        <f>2/9*9.8*Q15*N15/L15*10^(-6)</f>
        <v>0.0829499581404321</v>
      </c>
      <c r="T15" s="56">
        <f>SQRT((R15/Q15)^2+(O15/N15)^2+(M15/L15)^2)*S15</f>
        <v>0.01551817316543752</v>
      </c>
      <c r="U15" s="50"/>
      <c r="V15" s="54">
        <f>L15*P15*I15*10^(-3)/S15</f>
        <v>0.4794785695418085</v>
      </c>
      <c r="W15" s="54">
        <f>2/9*Q15*10^(-6)*I15/S15</f>
        <v>0.002014475934533292</v>
      </c>
      <c r="X15" s="56">
        <f>L15*W15*(J15/W15-1+EXP(-J15/W15))</f>
        <v>0.09996670287711515</v>
      </c>
      <c r="Y15" s="50"/>
      <c r="Z15" s="50"/>
      <c r="AA15" s="50"/>
      <c r="AB15" s="50"/>
      <c r="AC15" s="50"/>
      <c r="AD15" s="50"/>
      <c r="AE15" s="58"/>
    </row>
    <row r="16" ht="19.1" customHeight="1">
      <c r="A16" s="26">
        <v>35</v>
      </c>
      <c r="B16" s="27">
        <v>0.2</v>
      </c>
      <c r="C16" s="28">
        <f>$A16+273</f>
        <v>308</v>
      </c>
      <c r="D16" s="29">
        <f>B16/$A16*C16</f>
        <v>1.76</v>
      </c>
      <c r="E16" s="28">
        <v>7</v>
      </c>
      <c r="F16" s="28">
        <v>1</v>
      </c>
      <c r="G16" s="28">
        <v>7.1</v>
      </c>
      <c r="H16" s="28">
        <v>7.2</v>
      </c>
      <c r="I16" s="30">
        <v>2600</v>
      </c>
      <c r="J16" s="28">
        <f>AVERAGE(G16:H16)</f>
        <v>7.15</v>
      </c>
      <c r="K16" s="31">
        <f>SQRT((AVEDEV(G16,H16))^2+(0.5)^2)</f>
        <v>0.5024937810560445</v>
      </c>
      <c r="L16" s="32">
        <f>0.1/J16</f>
        <v>0.01398601398601399</v>
      </c>
      <c r="M16" s="32">
        <f>L16*SQRT((0.5/10)^2+(K16/J16)^2)</f>
        <v>0.001206298111047291</v>
      </c>
      <c r="N16" s="33">
        <f>I16-('Лист 1 - Прямая для настройки'!$A$3*$A$16+'Лист 1 - Прямая для настройки'!$B$3)*1000</f>
        <v>1346.666666666667</v>
      </c>
      <c r="O16" s="33">
        <f>N16/I16</f>
        <v>0.5179487179487179</v>
      </c>
      <c r="P16" s="28">
        <f>INDEX(('Лист 1 - Диаметры стеклянных ша'!$E$3:$E$20,'Лист 1 - Диаметры металлических'!$D$3:$D$20),E16,1,F16)/2</f>
        <v>1.025</v>
      </c>
      <c r="Q16" s="28">
        <f>P16^2</f>
        <v>1.050625</v>
      </c>
      <c r="R16" s="34">
        <f>Q16*2*(0.05/2/P16)</f>
        <v>0.05125000000000001</v>
      </c>
      <c r="S16" s="35">
        <f>2/9*9.8*Q16*N16/L16*10^(-6)</f>
        <v>0.220306567962963</v>
      </c>
      <c r="T16" s="34">
        <f>SQRT((R16/Q16)^2+(O16/N16)^2+(M16/L16)^2)*S16</f>
        <v>0.02183014741216967</v>
      </c>
      <c r="U16" s="34">
        <f>SQRT(T16^2+T17^2)</f>
        <v>0.03583527621197589</v>
      </c>
      <c r="V16" s="32">
        <f>L16*P16*I16*10^(-3)/S16</f>
        <v>0.1691857288566785</v>
      </c>
      <c r="W16" s="32">
        <f>2/9*Q16*10^(-6)*I16/S16</f>
        <v>0.002755377578574184</v>
      </c>
      <c r="X16" s="34">
        <f>L16*W16*(J16/W16-1+EXP(-J16/W16))</f>
        <v>0.09996146325064931</v>
      </c>
      <c r="Y16" s="28">
        <f>AVERAGE(S16:S17)</f>
        <v>0.1924154367592593</v>
      </c>
      <c r="Z16" s="28">
        <f>AVEDEV(S16:S17)</f>
        <v>0.02789113120370372</v>
      </c>
      <c r="AA16" s="31">
        <f>SQRT(Z16^2+U16^2)</f>
        <v>0.04541015548322666</v>
      </c>
      <c r="AB16" s="35">
        <f>1/($A16+273)*10^(3)</f>
        <v>3.246753246753247</v>
      </c>
      <c r="AC16" s="29">
        <f>D16/C16^2*1000</f>
        <v>0.01855287569573284</v>
      </c>
      <c r="AD16" s="28">
        <f>LN(Y16)</f>
        <v>-1.648098511332514</v>
      </c>
      <c r="AE16" s="36">
        <f>-AA16/AD16</f>
        <v>0.02755305897734949</v>
      </c>
    </row>
    <row r="17" ht="19.1" customHeight="1">
      <c r="A17" s="48"/>
      <c r="B17" s="49"/>
      <c r="C17" s="50"/>
      <c r="D17" s="50"/>
      <c r="E17" s="51">
        <v>8</v>
      </c>
      <c r="F17" s="51">
        <v>2</v>
      </c>
      <c r="G17" s="51">
        <v>12</v>
      </c>
      <c r="H17" s="51">
        <v>12</v>
      </c>
      <c r="I17" s="52">
        <v>7700</v>
      </c>
      <c r="J17" s="51">
        <f>AVERAGE(G17:H17)</f>
        <v>12</v>
      </c>
      <c r="K17" s="53">
        <f>SQRT((AVEDEV(G17,H17))^2+(0.5)^2)</f>
        <v>0.5</v>
      </c>
      <c r="L17" s="54">
        <f>0.1/J17</f>
        <v>0.008333333333333333</v>
      </c>
      <c r="M17" s="54">
        <f>L17*SQRT((0.5/10)^2+(K17/J17)^2)</f>
        <v>0.00054237844971574</v>
      </c>
      <c r="N17" s="55">
        <f>I17-('Лист 1 - Прямая для настройки'!$A$3*$A$16+'Лист 1 - Прямая для настройки'!$B$3)*1000</f>
        <v>6446.666666666666</v>
      </c>
      <c r="O17" s="55">
        <f>N17/I17</f>
        <v>0.8372294372294371</v>
      </c>
      <c r="P17" s="51">
        <f>INDEX(('Лист 1 - Диаметры стеклянных ша'!$E$3:$E$20,'Лист 1 - Диаметры металлических'!$D$3:$D$20),E17,1,F17)/2</f>
        <v>0.3125</v>
      </c>
      <c r="Q17" s="51">
        <f>P17^2</f>
        <v>0.09765625</v>
      </c>
      <c r="R17" s="56">
        <f>Q17*2*(0.05/2/P17)</f>
        <v>0.015625</v>
      </c>
      <c r="S17" s="57">
        <f>2/9*9.8*Q17*N17/L17*10^(-6)</f>
        <v>0.1645243055555556</v>
      </c>
      <c r="T17" s="56">
        <f>SQRT((R17/Q17)^2+(O17/N17)^2+(M17/L17)^2)*S17</f>
        <v>0.02841850955190204</v>
      </c>
      <c r="U17" s="50"/>
      <c r="V17" s="54">
        <f>L17*P17*I17*10^(-3)/S17</f>
        <v>0.1218791549711922</v>
      </c>
      <c r="W17" s="54">
        <f>2/9*Q17*10^(-6)*I17/S17</f>
        <v>0.001015659624759935</v>
      </c>
      <c r="X17" s="56">
        <f>L17*W17*(J17/W17-1+EXP(-J17/W17))</f>
        <v>0.09999153616979367</v>
      </c>
      <c r="Y17" s="50"/>
      <c r="Z17" s="50"/>
      <c r="AA17" s="50"/>
      <c r="AB17" s="50"/>
      <c r="AC17" s="50"/>
      <c r="AD17" s="50"/>
      <c r="AE17" s="58"/>
    </row>
    <row r="18" ht="19.1" customHeight="1">
      <c r="A18" s="26">
        <v>40</v>
      </c>
      <c r="B18" s="27">
        <v>0.2</v>
      </c>
      <c r="C18" s="28">
        <f>$A18+273</f>
        <v>313</v>
      </c>
      <c r="D18" s="29">
        <f>B18/$A18*C18</f>
        <v>1.565</v>
      </c>
      <c r="E18" s="28">
        <v>9</v>
      </c>
      <c r="F18" s="28">
        <v>1</v>
      </c>
      <c r="G18" s="28">
        <v>5.1</v>
      </c>
      <c r="H18" s="28">
        <v>5.1</v>
      </c>
      <c r="I18" s="30">
        <v>2600</v>
      </c>
      <c r="J18" s="28">
        <f>AVERAGE(G18:H18)</f>
        <v>5.1</v>
      </c>
      <c r="K18" s="31">
        <f>SQRT((AVEDEV(G18,H18))^2+(0.5)^2)</f>
        <v>0.5</v>
      </c>
      <c r="L18" s="32">
        <f>0.1/J18</f>
        <v>0.01960784313725491</v>
      </c>
      <c r="M18" s="32">
        <f>L18*SQRT((0.5/10)^2+(K18/J18)^2)</f>
        <v>0.002157904188175195</v>
      </c>
      <c r="N18" s="33">
        <f>I18-('Лист 1 - Прямая для настройки'!$A$3*$A$18+'Лист 1 - Прямая для настройки'!$B$3)*1000</f>
        <v>1348.888888888889</v>
      </c>
      <c r="O18" s="33">
        <f>N18/I18</f>
        <v>0.5188034188034187</v>
      </c>
      <c r="P18" s="28">
        <f>INDEX(('Лист 1 - Диаметры стеклянных ша'!$E$3:$E$20,'Лист 1 - Диаметры металлических'!$D$3:$D$20),E18,1,F18)/2</f>
        <v>1.05</v>
      </c>
      <c r="Q18" s="28">
        <f>P18^2</f>
        <v>1.1025</v>
      </c>
      <c r="R18" s="34">
        <f>Q18*2*(0.05/2/P18)</f>
        <v>0.0525</v>
      </c>
      <c r="S18" s="35">
        <f>2/9*9.8*Q18*N18/L18*10^(-6)</f>
        <v>0.1651727933333333</v>
      </c>
      <c r="T18" s="34">
        <f>SQRT((R18/Q18)^2+(O18/N18)^2+(M18/L18)^2)*S18</f>
        <v>0.01980655929431602</v>
      </c>
      <c r="U18" s="34">
        <f>SQRT(T18^2+T19^2+T20^2+T21^2)</f>
        <v>0.04127287887028863</v>
      </c>
      <c r="V18" s="32">
        <f>L18*P18*I18*10^(-3)/S18</f>
        <v>0.3240812889606995</v>
      </c>
      <c r="W18" s="32">
        <f>2/9*Q18*10^(-6)*I18/S18</f>
        <v>0.003856567338632324</v>
      </c>
      <c r="X18" s="34">
        <f>L18*W18*(J18/W18-1+EXP(-J18/W18))</f>
        <v>0.09992438103257585</v>
      </c>
      <c r="Y18" s="28">
        <f>AVERAGE(S18:S21)</f>
        <v>0.1380759934670782</v>
      </c>
      <c r="Z18" s="28">
        <f>AVEDEV(S18:S21)</f>
        <v>0.03712244562242798</v>
      </c>
      <c r="AA18" s="31">
        <f>SQRT(Z18^2+U18^2)</f>
        <v>0.05551149880188464</v>
      </c>
      <c r="AB18" s="35">
        <f>1/($A18+273)*10^(3)</f>
        <v>3.194888178913738</v>
      </c>
      <c r="AC18" s="29">
        <f>D18/C18^2*1000</f>
        <v>0.01597444089456869</v>
      </c>
      <c r="AD18" s="28">
        <f>LN(Y18)</f>
        <v>-1.979951068094367</v>
      </c>
      <c r="AE18" s="36">
        <f>-AA18/AD18</f>
        <v>0.02803680338186968</v>
      </c>
    </row>
    <row r="19" ht="18.9" customHeight="1">
      <c r="A19" s="37"/>
      <c r="B19" s="38"/>
      <c r="C19" s="39"/>
      <c r="D19" s="39"/>
      <c r="E19" s="40">
        <v>10</v>
      </c>
      <c r="F19" s="40">
        <v>1</v>
      </c>
      <c r="G19" s="40">
        <v>5.2</v>
      </c>
      <c r="H19" s="40">
        <v>5</v>
      </c>
      <c r="I19" s="41">
        <v>2600</v>
      </c>
      <c r="J19" s="40">
        <f>AVERAGE(G19:H19)</f>
        <v>5.1</v>
      </c>
      <c r="K19" s="42">
        <f>SQRT((AVEDEV(G19,H19))^2+(0.5)^2)</f>
        <v>0.5099019513592785</v>
      </c>
      <c r="L19" s="43">
        <f>0.1/J19</f>
        <v>0.01960784313725491</v>
      </c>
      <c r="M19" s="43">
        <f>L19*SQRT((0.5/10)^2+(K19/J19)^2)</f>
        <v>0.002191886345937738</v>
      </c>
      <c r="N19" s="44">
        <f>I19-('Лист 1 - Прямая для настройки'!$A$3*$A$18+'Лист 1 - Прямая для настройки'!$B$3)*1000</f>
        <v>1348.888888888889</v>
      </c>
      <c r="O19" s="44">
        <f>N19/I19</f>
        <v>0.5188034188034187</v>
      </c>
      <c r="P19" s="40">
        <f>INDEX(('Лист 1 - Диаметры стеклянных ша'!$E$3:$E$20,'Лист 1 - Диаметры металлических'!$D$3:$D$20),E19,1,F19)/2</f>
        <v>0.9916666666666667</v>
      </c>
      <c r="Q19" s="40">
        <f>P19^2</f>
        <v>0.9834027777777778</v>
      </c>
      <c r="R19" s="45">
        <f>Q19*2*(0.05/2/P19)</f>
        <v>0.04958333333333334</v>
      </c>
      <c r="S19" s="46">
        <f>2/9*9.8*Q19*N19/L19*10^(-6)</f>
        <v>0.1473300533127572</v>
      </c>
      <c r="T19" s="45">
        <f>SQRT((R19/Q19)^2+(O19/N19)^2+(M19/L19)^2)*S19</f>
        <v>0.01806731252684401</v>
      </c>
      <c r="U19" s="39"/>
      <c r="V19" s="43">
        <f>L19*P19*I19*10^(-3)/S19</f>
        <v>0.3431448941936818</v>
      </c>
      <c r="W19" s="43">
        <f>2/9*Q19*10^(-6)*I19/S19</f>
        <v>0.003856567338632323</v>
      </c>
      <c r="X19" s="45">
        <f>L19*W19*(J19/W19-1+EXP(-J19/W19))</f>
        <v>0.09992438103257585</v>
      </c>
      <c r="Y19" s="39"/>
      <c r="Z19" s="39"/>
      <c r="AA19" s="39"/>
      <c r="AB19" s="39"/>
      <c r="AC19" s="39"/>
      <c r="AD19" s="39"/>
      <c r="AE19" s="47"/>
    </row>
    <row r="20" ht="18.9" customHeight="1">
      <c r="A20" s="37"/>
      <c r="B20" s="38"/>
      <c r="C20" s="39"/>
      <c r="D20" s="39"/>
      <c r="E20" s="40">
        <v>9</v>
      </c>
      <c r="F20" s="40">
        <v>2</v>
      </c>
      <c r="G20" s="40">
        <v>11</v>
      </c>
      <c r="H20" s="40">
        <v>11</v>
      </c>
      <c r="I20" s="41">
        <v>7700</v>
      </c>
      <c r="J20" s="40">
        <f>AVERAGE(G20:H20)</f>
        <v>11</v>
      </c>
      <c r="K20" s="42">
        <f>SQRT((AVEDEV(G20,H20))^2+(0.5)^2)</f>
        <v>0.5</v>
      </c>
      <c r="L20" s="43">
        <f>0.1/J20</f>
        <v>0.009090909090909092</v>
      </c>
      <c r="M20" s="43">
        <f>L20*SQRT((0.5/10)^2+(K20/J20)^2)</f>
        <v>0.0006143003614594425</v>
      </c>
      <c r="N20" s="44">
        <f>I20-('Лист 1 - Прямая для настройки'!$A$3*$A$18+'Лист 1 - Прямая для настройки'!$B$3)*1000</f>
        <v>6448.888888888889</v>
      </c>
      <c r="O20" s="44">
        <f>N20/I20</f>
        <v>0.8375180375180374</v>
      </c>
      <c r="P20" s="40">
        <f>INDEX(('Лист 1 - Диаметры стеклянных ша'!$E$3:$E$20,'Лист 1 - Диаметры металлических'!$D$3:$D$20),E20,1,F20)/2</f>
        <v>0.3375</v>
      </c>
      <c r="Q20" s="40">
        <f>P20^2</f>
        <v>0.11390625</v>
      </c>
      <c r="R20" s="45">
        <f>Q20*2*(0.05/2/P20)</f>
        <v>0.016875</v>
      </c>
      <c r="S20" s="46">
        <f>2/9*9.8*Q20*N20/L20*10^(-6)</f>
        <v>0.175970025</v>
      </c>
      <c r="T20" s="45">
        <f>SQRT((R20/Q20)^2+(O20/N20)^2+(M20/L20)^2)*S20</f>
        <v>0.02865341394159058</v>
      </c>
      <c r="U20" s="39"/>
      <c r="V20" s="43">
        <f>L20*P20*I20*10^(-3)/S20</f>
        <v>0.1342558199897966</v>
      </c>
      <c r="W20" s="43">
        <f>2/9*Q20*10^(-6)*I20/S20</f>
        <v>0.001107610514915822</v>
      </c>
      <c r="X20" s="45">
        <f>L20*W20*(J20/W20-1+EXP(-J20/W20))</f>
        <v>0.09998993081350079</v>
      </c>
      <c r="Y20" s="39"/>
      <c r="Z20" s="39"/>
      <c r="AA20" s="39"/>
      <c r="AB20" s="39"/>
      <c r="AC20" s="39"/>
      <c r="AD20" s="39"/>
      <c r="AE20" s="47"/>
    </row>
    <row r="21" ht="19.1" customHeight="1">
      <c r="A21" s="48"/>
      <c r="B21" s="49"/>
      <c r="C21" s="50"/>
      <c r="D21" s="50"/>
      <c r="E21" s="51">
        <v>10</v>
      </c>
      <c r="F21" s="51">
        <v>2</v>
      </c>
      <c r="G21" s="51">
        <v>5.1</v>
      </c>
      <c r="H21" s="51">
        <v>5</v>
      </c>
      <c r="I21" s="52">
        <v>7700</v>
      </c>
      <c r="J21" s="51">
        <f>AVERAGE(G21:H21)</f>
        <v>5.05</v>
      </c>
      <c r="K21" s="53">
        <f>SQRT((AVEDEV(G21,H21))^2+(0.5)^2)</f>
        <v>0.5024937810560445</v>
      </c>
      <c r="L21" s="54">
        <f>0.1/J21</f>
        <v>0.0198019801980198</v>
      </c>
      <c r="M21" s="54">
        <f>L21*SQRT((0.5/10)^2+(K21/J21)^2)</f>
        <v>0.002205143224626804</v>
      </c>
      <c r="N21" s="55">
        <f>I21-('Лист 1 - Прямая для настройки'!$A$3*$A$18+'Лист 1 - Прямая для настройки'!$B$3)*1000</f>
        <v>6448.888888888889</v>
      </c>
      <c r="O21" s="55">
        <f>N21/I21</f>
        <v>0.8375180375180374</v>
      </c>
      <c r="P21" s="51">
        <f>INDEX(('Лист 1 - Диаметры стеклянных ша'!$E$3:$E$20,'Лист 1 - Диаметры металлических'!$D$3:$D$20),E21,1,F21)/2</f>
        <v>0.3</v>
      </c>
      <c r="Q21" s="51">
        <f>P21^2</f>
        <v>0.09</v>
      </c>
      <c r="R21" s="56">
        <f>Q21*2*(0.05/2/P21)</f>
        <v>0.015</v>
      </c>
      <c r="S21" s="57">
        <f>2/9*9.8*Q21*N21/L21*10^(-6)</f>
        <v>0.06383110222222221</v>
      </c>
      <c r="T21" s="56">
        <f>SQRT((R21/Q21)^2+(O21/N21)^2+(M21/L21)^2)*S21</f>
        <v>0.01279471870388207</v>
      </c>
      <c r="U21" s="50"/>
      <c r="V21" s="54">
        <f>L21*P21*I21*10^(-3)/S21</f>
        <v>0.7166188999553401</v>
      </c>
      <c r="W21" s="54">
        <f>2/9*Q21*10^(-6)*I21/S21</f>
        <v>0.002412616963182978</v>
      </c>
      <c r="X21" s="56">
        <f>L21*W21*(J21/W21-1+EXP(-J21/W21))</f>
        <v>0.09995222540666963</v>
      </c>
      <c r="Y21" s="50"/>
      <c r="Z21" s="50"/>
      <c r="AA21" s="50"/>
      <c r="AB21" s="50"/>
      <c r="AC21" s="50"/>
      <c r="AD21" s="50"/>
      <c r="AE21" s="58"/>
    </row>
    <row r="22" ht="19.1" customHeight="1">
      <c r="A22" s="26">
        <v>45</v>
      </c>
      <c r="B22" s="27">
        <v>0.2</v>
      </c>
      <c r="C22" s="28">
        <f>$A22+273</f>
        <v>318</v>
      </c>
      <c r="D22" s="29">
        <f>B22/$A22*C22</f>
        <v>1.413333333333333</v>
      </c>
      <c r="E22" s="28">
        <v>11</v>
      </c>
      <c r="F22" s="28">
        <v>1</v>
      </c>
      <c r="G22" s="28">
        <v>4</v>
      </c>
      <c r="H22" s="28">
        <v>3.8</v>
      </c>
      <c r="I22" s="30">
        <v>2600</v>
      </c>
      <c r="J22" s="28">
        <f>AVERAGE(G22:H22)</f>
        <v>3.9</v>
      </c>
      <c r="K22" s="31">
        <f>SQRT((AVEDEV(G22,H22))^2+(0.5)^2)</f>
        <v>0.5099019513592785</v>
      </c>
      <c r="L22" s="32">
        <f>0.1/J22</f>
        <v>0.02564102564102564</v>
      </c>
      <c r="M22" s="32">
        <f>L22*SQRT((0.5/10)^2+(K22/J22)^2)</f>
        <v>0.00358919566276341</v>
      </c>
      <c r="N22" s="33">
        <f>I22-('Лист 1 - Прямая для настройки'!$A$3*$A$22+'Лист 1 - Прямая для настройки'!$B$3)*1000</f>
        <v>1351.111111111111</v>
      </c>
      <c r="O22" s="33">
        <f>N22/I22</f>
        <v>0.5196581196581197</v>
      </c>
      <c r="P22" s="28">
        <f>INDEX(('Лист 1 - Диаметры стеклянных ша'!$E$3:$E$20,'Лист 1 - Диаметры металлических'!$D$3:$D$20),E22,1,F22)/2</f>
        <v>1.033333333333333</v>
      </c>
      <c r="Q22" s="28">
        <f>P22^2</f>
        <v>1.067777777777777</v>
      </c>
      <c r="R22" s="34">
        <f>Q22*2*(0.05/2/P22)</f>
        <v>0.05166666666666666</v>
      </c>
      <c r="S22" s="35">
        <f>2/9*9.8*Q22*N22/L22*10^(-6)</f>
        <v>0.1225321665843621</v>
      </c>
      <c r="T22" s="34">
        <f>SQRT((R22/Q22)^2+(O22/N22)^2+(M22/L22)^2)*S22</f>
        <v>0.01814778584760244</v>
      </c>
      <c r="U22" s="34">
        <f>SQRT(T22^2+T23^2+T24^2+T25^2)</f>
        <v>0.03493239259289711</v>
      </c>
      <c r="V22" s="32">
        <f>L22*P22*I22*10^(-3)/S22</f>
        <v>0.5622106489193563</v>
      </c>
      <c r="W22" s="32">
        <f>2/9*Q22*10^(-6)*I22/S22</f>
        <v>0.005034908700322233</v>
      </c>
      <c r="X22" s="34">
        <f>L22*W22*(J22/W22-1+EXP(-J22/W22))</f>
        <v>0.09987089977691482</v>
      </c>
      <c r="Y22" s="28">
        <f>AVERAGE(S22:S25)</f>
        <v>0.08674937960712448</v>
      </c>
      <c r="Z22" s="28">
        <f>AVEDEV(S22:S25)</f>
        <v>0.02292513587255659</v>
      </c>
      <c r="AA22" s="31">
        <f>SQRT(Z22^2+U22^2)</f>
        <v>0.04178317732101609</v>
      </c>
      <c r="AB22" s="35">
        <f>1/($A22+273)*10^(3)</f>
        <v>3.144654088050315</v>
      </c>
      <c r="AC22" s="29">
        <f>D22/C22^2*1000</f>
        <v>0.01397624039133473</v>
      </c>
      <c r="AD22" s="28">
        <f>LN(Y22)</f>
        <v>-2.444732011683628</v>
      </c>
      <c r="AE22" s="36">
        <f>-AA22/AD22</f>
        <v>0.01709110737754893</v>
      </c>
    </row>
    <row r="23" ht="18.9" customHeight="1">
      <c r="A23" s="37"/>
      <c r="B23" s="38"/>
      <c r="C23" s="39"/>
      <c r="D23" s="39"/>
      <c r="E23" s="40">
        <v>12</v>
      </c>
      <c r="F23" s="40">
        <v>1</v>
      </c>
      <c r="G23" s="40">
        <v>4</v>
      </c>
      <c r="H23" s="40">
        <v>3.2</v>
      </c>
      <c r="I23" s="41">
        <v>2600</v>
      </c>
      <c r="J23" s="40">
        <f>AVERAGE(G23:H23)</f>
        <v>3.6</v>
      </c>
      <c r="K23" s="42">
        <f>SQRT((AVEDEV(G23,H23))^2+(0.5)^2)</f>
        <v>0.6403124237432848</v>
      </c>
      <c r="L23" s="43">
        <f>0.1/J23</f>
        <v>0.02777777777777778</v>
      </c>
      <c r="M23" s="43">
        <f>L23*SQRT((0.5/10)^2+(K23/J23)^2)</f>
        <v>0.005132188008739472</v>
      </c>
      <c r="N23" s="44">
        <f>I23-('Лист 1 - Прямая для настройки'!$A$3*$A$22+'Лист 1 - Прямая для настройки'!$B$3)*1000</f>
        <v>1351.111111111111</v>
      </c>
      <c r="O23" s="44">
        <f>N23/I23</f>
        <v>0.5196581196581197</v>
      </c>
      <c r="P23" s="40">
        <f>INDEX(('Лист 1 - Диаметры стеклянных ша'!$E$3:$E$20,'Лист 1 - Диаметры металлических'!$D$3:$D$20),E23,1,F23)/2</f>
        <v>0.8083333333333332</v>
      </c>
      <c r="Q23" s="40">
        <f>P23^2</f>
        <v>0.6534027777777777</v>
      </c>
      <c r="R23" s="45">
        <f>Q23*2*(0.05/2/P23)</f>
        <v>0.04041666666666666</v>
      </c>
      <c r="S23" s="46">
        <f>2/9*9.8*Q23*N23/L23*10^(-6)</f>
        <v>0.06921306864197528</v>
      </c>
      <c r="T23" s="45">
        <f>SQRT((R23/Q23)^2+(O23/N23)^2+(M23/L23)^2)*S23</f>
        <v>0.01348537637853236</v>
      </c>
      <c r="U23" s="39"/>
      <c r="V23" s="43">
        <f>L23*P23*I23*10^(-3)/S23</f>
        <v>0.8434769729921272</v>
      </c>
      <c r="W23" s="43">
        <f>2/9*Q23*10^(-6)*I23/S23</f>
        <v>0.005454484425349088</v>
      </c>
      <c r="X23" s="45">
        <f>L23*W23*(J23/W23-1+EXP(-J23/W23))</f>
        <v>0.09984848654374032</v>
      </c>
      <c r="Y23" s="39"/>
      <c r="Z23" s="39"/>
      <c r="AA23" s="39"/>
      <c r="AB23" s="39"/>
      <c r="AC23" s="39"/>
      <c r="AD23" s="39"/>
      <c r="AE23" s="47"/>
    </row>
    <row r="24" ht="18.9" customHeight="1">
      <c r="A24" s="37"/>
      <c r="B24" s="38"/>
      <c r="C24" s="39"/>
      <c r="D24" s="39"/>
      <c r="E24" s="40">
        <v>11</v>
      </c>
      <c r="F24" s="40">
        <v>2</v>
      </c>
      <c r="G24" s="40">
        <v>4.1</v>
      </c>
      <c r="H24" s="40">
        <v>4</v>
      </c>
      <c r="I24" s="41">
        <v>7700</v>
      </c>
      <c r="J24" s="40">
        <f>AVERAGE(G24:H24)</f>
        <v>4.05</v>
      </c>
      <c r="K24" s="42">
        <f>SQRT((AVEDEV(G24,H24))^2+(0.5)^2)</f>
        <v>0.5024937810560445</v>
      </c>
      <c r="L24" s="43">
        <f>0.1/J24</f>
        <v>0.02469135802469136</v>
      </c>
      <c r="M24" s="43">
        <f>L24*SQRT((0.5/10)^2+(K24/J24)^2)</f>
        <v>0.003302924377794308</v>
      </c>
      <c r="N24" s="44">
        <f>I24-('Лист 1 - Прямая для настройки'!$A$3*$A$22+'Лист 1 - Прямая для настройки'!$B$3)*1000</f>
        <v>6451.111111111111</v>
      </c>
      <c r="O24" s="44">
        <f>N24/I24</f>
        <v>0.8378066378066379</v>
      </c>
      <c r="P24" s="40">
        <f>INDEX(('Лист 1 - Диаметры стеклянных ша'!$E$3:$E$20,'Лист 1 - Диаметры металлических'!$D$3:$D$20),E24,1,F24)/2</f>
        <v>0.4125</v>
      </c>
      <c r="Q24" s="40">
        <f>P24^2</f>
        <v>0.17015625</v>
      </c>
      <c r="R24" s="45">
        <f>Q24*2*(0.05/2/P24)</f>
        <v>0.020625</v>
      </c>
      <c r="S24" s="46">
        <f>2/9*9.8*Q24*N24/L24*10^(-6)</f>
        <v>0.09681686437500001</v>
      </c>
      <c r="T24" s="45">
        <f>SQRT((R24/Q24)^2+(O24/N24)^2+(M24/L24)^2)*S24</f>
        <v>0.01747709063682601</v>
      </c>
      <c r="U24" s="39"/>
      <c r="V24" s="43">
        <f>L24*P24*I24*10^(-3)/S24</f>
        <v>0.8100440603215512</v>
      </c>
      <c r="W24" s="43">
        <f>2/9*Q24*10^(-6)*I24/S24</f>
        <v>0.003007288573943757</v>
      </c>
      <c r="X24" s="45">
        <f>L24*W24*(J24/W24-1+EXP(-J24/W24))</f>
        <v>0.09992574596113719</v>
      </c>
      <c r="Y24" s="39"/>
      <c r="Z24" s="39"/>
      <c r="AA24" s="39"/>
      <c r="AB24" s="39"/>
      <c r="AC24" s="39"/>
      <c r="AD24" s="39"/>
      <c r="AE24" s="47"/>
    </row>
    <row r="25" ht="19.1" customHeight="1">
      <c r="A25" s="48"/>
      <c r="B25" s="49"/>
      <c r="C25" s="50"/>
      <c r="D25" s="50"/>
      <c r="E25" s="51">
        <v>12</v>
      </c>
      <c r="F25" s="51">
        <v>2</v>
      </c>
      <c r="G25" s="51">
        <v>7</v>
      </c>
      <c r="H25" s="51">
        <v>4</v>
      </c>
      <c r="I25" s="52">
        <v>7700</v>
      </c>
      <c r="J25" s="51">
        <f>AVERAGE(G25:H25)</f>
        <v>5.5</v>
      </c>
      <c r="K25" s="53">
        <f>SQRT((AVEDEV(G25,H25))^2+(0.5)^2)</f>
        <v>1.58113883008419</v>
      </c>
      <c r="L25" s="54">
        <f>0.1/J25</f>
        <v>0.01818181818181818</v>
      </c>
      <c r="M25" s="54">
        <f>L25*SQRT((0.5/10)^2+(K25/J25)^2)</f>
        <v>0.005305373172133566</v>
      </c>
      <c r="N25" s="55">
        <f>I25-('Лист 1 - Прямая для настройки'!$A$3*$A$22+'Лист 1 - Прямая для настройки'!$B$3)*1000</f>
        <v>6451.111111111111</v>
      </c>
      <c r="O25" s="55">
        <f>N25/I25</f>
        <v>0.8378066378066379</v>
      </c>
      <c r="P25" s="51">
        <f>INDEX(('Лист 1 - Диаметры стеклянных ша'!$E$3:$E$20,'Лист 1 - Диаметры металлических'!$D$3:$D$20),E25,1,F25)/2</f>
        <v>0.275</v>
      </c>
      <c r="Q25" s="51">
        <f>P25^2</f>
        <v>0.07562500000000001</v>
      </c>
      <c r="R25" s="56">
        <f>Q25*2*(0.05/2/P25)</f>
        <v>0.01375</v>
      </c>
      <c r="S25" s="57">
        <f>2/9*9.8*Q25*N25/L25*10^(-6)</f>
        <v>0.0584354188271605</v>
      </c>
      <c r="T25" s="56">
        <f>SQRT((R25/Q25)^2+(O25/N25)^2+(M25/L25)^2)*S25</f>
        <v>0.02009044170483425</v>
      </c>
      <c r="U25" s="50"/>
      <c r="V25" s="54">
        <f>L25*P25*I25*10^(-3)/S25</f>
        <v>0.6588469933598798</v>
      </c>
      <c r="W25" s="54">
        <f>2/9*Q25*10^(-6)*I25/S25</f>
        <v>0.00221445794990404</v>
      </c>
      <c r="X25" s="56">
        <f>L25*W25*(J25/W25-1+EXP(-J25/W25))</f>
        <v>0.09995973712818358</v>
      </c>
      <c r="Y25" s="50"/>
      <c r="Z25" s="50"/>
      <c r="AA25" s="50"/>
      <c r="AB25" s="50"/>
      <c r="AC25" s="50"/>
      <c r="AD25" s="50"/>
      <c r="AE25" s="58"/>
    </row>
    <row r="26" ht="19.1" customHeight="1">
      <c r="A26" s="26">
        <v>50</v>
      </c>
      <c r="B26" s="27">
        <v>0.2</v>
      </c>
      <c r="C26" s="28">
        <f>$A26+273</f>
        <v>323</v>
      </c>
      <c r="D26" s="29">
        <f>B26/$A26*C26</f>
        <v>1.292</v>
      </c>
      <c r="E26" s="28">
        <v>13</v>
      </c>
      <c r="F26" s="28">
        <v>1</v>
      </c>
      <c r="G26" s="28">
        <v>3</v>
      </c>
      <c r="H26" s="28">
        <v>2.4</v>
      </c>
      <c r="I26" s="30">
        <v>2600</v>
      </c>
      <c r="J26" s="28">
        <f>AVERAGE(G26:H26)</f>
        <v>2.7</v>
      </c>
      <c r="K26" s="31">
        <f>SQRT((AVEDEV(G26,H26))^2+(0.5)^2)</f>
        <v>0.5830951894845301</v>
      </c>
      <c r="L26" s="32">
        <f>0.1/J26</f>
        <v>0.03703703703703703</v>
      </c>
      <c r="M26" s="32">
        <f>L26*SQRT((0.5/10)^2+(K26/J26)^2)</f>
        <v>0.008210137250290669</v>
      </c>
      <c r="N26" s="33">
        <f>I26-('Лист 1 - Прямая для настройки'!$A$3*$A$26+'Лист 1 - Прямая для настройки'!$B$3)*1000</f>
        <v>1353.333333333333</v>
      </c>
      <c r="O26" s="33">
        <f>N26/I26</f>
        <v>0.5205128205128204</v>
      </c>
      <c r="P26" s="28">
        <f>INDEX(('Лист 1 - Диаметры стеклянных ша'!$E$3:$E$20,'Лист 1 - Диаметры металлических'!$D$3:$D$20),E26,1,F26)/2</f>
        <v>1.025</v>
      </c>
      <c r="Q26" s="28">
        <f>P26^2</f>
        <v>1.050625</v>
      </c>
      <c r="R26" s="34">
        <f>Q26*2*(0.05/2/P26)</f>
        <v>0.05125</v>
      </c>
      <c r="S26" s="35">
        <f>2/9*9.8*Q26*N26/L26*10^(-6)</f>
        <v>0.08360453499999999</v>
      </c>
      <c r="T26" s="34">
        <f>SQRT((R26/Q26)^2+(O26/N26)^2+(M26/L26)^2)*S26</f>
        <v>0.01897637232871152</v>
      </c>
      <c r="U26" s="34">
        <f>SQRT(T26^2+T27^2+T28^2+T29^2+T30^2+T31^2)</f>
        <v>0.04036500787222488</v>
      </c>
      <c r="V26" s="32">
        <f>L26*P26*I26*10^(-3)/S26</f>
        <v>1.180602268808788</v>
      </c>
      <c r="W26" s="32">
        <f>2/9*Q26*10^(-6)*I26/S26</f>
        <v>0.007260703953174044</v>
      </c>
      <c r="X26" s="34">
        <f>L26*W26*(J26/W26-1+EXP(-J26/W26))</f>
        <v>0.09973108503877134</v>
      </c>
      <c r="Y26" s="28">
        <f>AVERAGE(S26:S31)</f>
        <v>0.07289887712448559</v>
      </c>
      <c r="Z26" s="28">
        <f>AVEDEV(S26:S31)</f>
        <v>0.00570647169238683</v>
      </c>
      <c r="AA26" s="31">
        <f>SQRT(Z26^2+U26^2)</f>
        <v>0.0407663792812262</v>
      </c>
      <c r="AB26" s="35">
        <f>1/($A26+273)*10^(3)</f>
        <v>3.095975232198143</v>
      </c>
      <c r="AC26" s="29">
        <f>D26/C26^2*1000</f>
        <v>0.01238390092879257</v>
      </c>
      <c r="AD26" s="28">
        <f>LN(Y26)</f>
        <v>-2.618682043042453</v>
      </c>
      <c r="AE26" s="36">
        <f>-AA26/AD26</f>
        <v>0.01556751778610845</v>
      </c>
    </row>
    <row r="27" ht="18.9" customHeight="1">
      <c r="A27" s="37"/>
      <c r="B27" s="38"/>
      <c r="C27" s="39"/>
      <c r="D27" s="39"/>
      <c r="E27" s="40">
        <v>14</v>
      </c>
      <c r="F27" s="40">
        <v>1</v>
      </c>
      <c r="G27" s="40">
        <v>2.5</v>
      </c>
      <c r="H27" s="40">
        <v>2.2</v>
      </c>
      <c r="I27" s="41">
        <v>2600</v>
      </c>
      <c r="J27" s="40">
        <f>AVERAGE(G27:H27)</f>
        <v>2.35</v>
      </c>
      <c r="K27" s="42">
        <f>SQRT((AVEDEV(G27,H27))^2+(0.5)^2)</f>
        <v>0.5220153254455274</v>
      </c>
      <c r="L27" s="43">
        <f>0.1/J27</f>
        <v>0.0425531914893617</v>
      </c>
      <c r="M27" s="43">
        <f>L27*SQRT((0.5/10)^2+(K27/J27)^2)</f>
        <v>0.009689016372863058</v>
      </c>
      <c r="N27" s="44">
        <f>I27-('Лист 1 - Прямая для настройки'!$A$3*$A$26+'Лист 1 - Прямая для настройки'!$B$3)*1000</f>
        <v>1353.333333333333</v>
      </c>
      <c r="O27" s="44">
        <f>N27/I27</f>
        <v>0.5205128205128204</v>
      </c>
      <c r="P27" s="40">
        <f>INDEX(('Лист 1 - Диаметры стеклянных ша'!$E$3:$E$20,'Лист 1 - Диаметры металлических'!$D$3:$D$20),E27,1,F27)/2</f>
        <v>1.058333333333333</v>
      </c>
      <c r="Q27" s="40">
        <f>P27^2</f>
        <v>1.120069444444445</v>
      </c>
      <c r="R27" s="45">
        <f>Q27*2*(0.05/2/P27)</f>
        <v>0.05291666666666667</v>
      </c>
      <c r="S27" s="46">
        <f>2/9*9.8*Q27*N27/L27*10^(-6)</f>
        <v>0.07757667346707819</v>
      </c>
      <c r="T27" s="45">
        <f>SQRT((R27/Q27)^2+(O27/N27)^2+(M27/L27)^2)*S27</f>
        <v>0.01803982896593316</v>
      </c>
      <c r="U27" s="39"/>
      <c r="V27" s="43">
        <f>L27*P27*I27*10^(-3)/S27</f>
        <v>1.509373802052129</v>
      </c>
      <c r="W27" s="43">
        <f>2/9*Q27*10^(-6)*I27/S27</f>
        <v>0.008342085393008476</v>
      </c>
      <c r="X27" s="45">
        <f>L27*W27*(J27/W27-1+EXP(-J27/W27))</f>
        <v>0.09964501764285072</v>
      </c>
      <c r="Y27" s="39"/>
      <c r="Z27" s="39"/>
      <c r="AA27" s="39"/>
      <c r="AB27" s="39"/>
      <c r="AC27" s="39"/>
      <c r="AD27" s="39"/>
      <c r="AE27" s="47"/>
    </row>
    <row r="28" ht="18.9" customHeight="1">
      <c r="A28" s="37"/>
      <c r="B28" s="38"/>
      <c r="C28" s="39"/>
      <c r="D28" s="39"/>
      <c r="E28" s="40">
        <v>15</v>
      </c>
      <c r="F28" s="40">
        <v>1</v>
      </c>
      <c r="G28" s="40">
        <v>2.5</v>
      </c>
      <c r="H28" s="40">
        <v>2.4</v>
      </c>
      <c r="I28" s="41">
        <v>2600</v>
      </c>
      <c r="J28" s="40">
        <f>AVERAGE(G28:H28)</f>
        <v>2.45</v>
      </c>
      <c r="K28" s="42">
        <f>SQRT((AVEDEV(G28,H28))^2+(0.5)^2)</f>
        <v>0.5024937810560445</v>
      </c>
      <c r="L28" s="43">
        <f>0.1/J28</f>
        <v>0.04081632653061224</v>
      </c>
      <c r="M28" s="43">
        <f>L28*SQRT((0.5/10)^2+(K28/J28)^2)</f>
        <v>0.008616577487833307</v>
      </c>
      <c r="N28" s="44">
        <f>I28-('Лист 1 - Прямая для настройки'!$A$3*$A$26+'Лист 1 - Прямая для настройки'!$B$3)*1000</f>
        <v>1353.333333333333</v>
      </c>
      <c r="O28" s="44">
        <f>N28/I28</f>
        <v>0.5205128205128204</v>
      </c>
      <c r="P28" s="40">
        <f>INDEX(('Лист 1 - Диаметры стеклянных ша'!$E$3:$E$20,'Лист 1 - Диаметры металлических'!$D$3:$D$20),E28,1,F28)/2</f>
        <v>1.016666666666667</v>
      </c>
      <c r="Q28" s="40">
        <f>P28^2</f>
        <v>1.033611111111111</v>
      </c>
      <c r="R28" s="45">
        <f>Q28*2*(0.05/2/P28)</f>
        <v>0.05083333333333333</v>
      </c>
      <c r="S28" s="46">
        <f>2/9*9.8*Q28*N28/L28*10^(-6)</f>
        <v>0.07463483798353909</v>
      </c>
      <c r="T28" s="45">
        <f>SQRT((R28/Q28)^2+(O28/N28)^2+(M28/L28)^2)*S28</f>
        <v>0.01617780631649048</v>
      </c>
      <c r="U28" s="39"/>
      <c r="V28" s="43">
        <f>L28*P28*I28*10^(-3)/S28</f>
        <v>1.445587066007709</v>
      </c>
      <c r="W28" s="43">
        <f>2/9*Q28*10^(-6)*I28/S28</f>
        <v>0.008001592111661191</v>
      </c>
      <c r="X28" s="45">
        <f>L28*W28*(J28/W28-1+EXP(-J28/W28))</f>
        <v>0.09967340440360566</v>
      </c>
      <c r="Y28" s="39"/>
      <c r="Z28" s="39"/>
      <c r="AA28" s="39"/>
      <c r="AB28" s="39"/>
      <c r="AC28" s="39"/>
      <c r="AD28" s="39"/>
      <c r="AE28" s="47"/>
    </row>
    <row r="29" ht="18.9" customHeight="1">
      <c r="A29" s="37"/>
      <c r="B29" s="38"/>
      <c r="C29" s="39"/>
      <c r="D29" s="39"/>
      <c r="E29" s="40">
        <v>13</v>
      </c>
      <c r="F29" s="40">
        <v>2</v>
      </c>
      <c r="G29" s="40">
        <v>3.2</v>
      </c>
      <c r="H29" s="40">
        <v>3.4</v>
      </c>
      <c r="I29" s="41">
        <v>7700</v>
      </c>
      <c r="J29" s="40">
        <f>AVERAGE(G29:H29)</f>
        <v>3.3</v>
      </c>
      <c r="K29" s="42">
        <f>SQRT((AVEDEV(G29,H29))^2+(0.5)^2)</f>
        <v>0.5099019513592784</v>
      </c>
      <c r="L29" s="43">
        <f>0.1/J29</f>
        <v>0.03030303030303031</v>
      </c>
      <c r="M29" s="43">
        <f>L29*SQRT((0.5/10)^2+(K29/J29)^2)</f>
        <v>0.004921338517577977</v>
      </c>
      <c r="N29" s="44">
        <f>I29-('Лист 1 - Прямая для настройки'!$A$3*$A$26+'Лист 1 - Прямая для настройки'!$B$3)*1000</f>
        <v>6453.333333333333</v>
      </c>
      <c r="O29" s="44">
        <f>N29/I29</f>
        <v>0.838095238095238</v>
      </c>
      <c r="P29" s="40">
        <f>INDEX(('Лист 1 - Диаметры стеклянных ша'!$E$3:$E$20,'Лист 1 - Диаметры металлических'!$D$3:$D$20),E29,1,F29)/2</f>
        <v>0.375</v>
      </c>
      <c r="Q29" s="40">
        <f>P29^2</f>
        <v>0.140625</v>
      </c>
      <c r="R29" s="45">
        <f>Q29*2*(0.05/2/P29)</f>
        <v>0.01875</v>
      </c>
      <c r="S29" s="46">
        <f>2/9*9.8*Q29*N29/L29*10^(-6)</f>
        <v>0.06521899999999999</v>
      </c>
      <c r="T29" s="45">
        <f>SQRT((R29/Q29)^2+(O29/N29)^2+(M29/L29)^2)*S29</f>
        <v>0.01370420348956479</v>
      </c>
      <c r="U29" s="39"/>
      <c r="V29" s="43">
        <f>L29*P29*I29*10^(-3)/S29</f>
        <v>1.341633573038532</v>
      </c>
      <c r="W29" s="43">
        <f>2/9*Q29*10^(-6)*I29/S29</f>
        <v>0.003689492325855963</v>
      </c>
      <c r="X29" s="45">
        <f>L29*W29*(J29/W29-1+EXP(-J29/W29))</f>
        <v>0.0998881972022468</v>
      </c>
      <c r="Y29" s="39"/>
      <c r="Z29" s="39"/>
      <c r="AA29" s="39"/>
      <c r="AB29" s="39"/>
      <c r="AC29" s="39"/>
      <c r="AD29" s="39"/>
      <c r="AE29" s="47"/>
    </row>
    <row r="30" ht="18.9" customHeight="1">
      <c r="A30" s="37"/>
      <c r="B30" s="59"/>
      <c r="C30" s="60"/>
      <c r="D30" s="60"/>
      <c r="E30" s="40">
        <v>14</v>
      </c>
      <c r="F30" s="40">
        <v>2</v>
      </c>
      <c r="G30" s="40">
        <v>2.8</v>
      </c>
      <c r="H30" s="40">
        <v>3</v>
      </c>
      <c r="I30" s="41">
        <v>7700</v>
      </c>
      <c r="J30" s="40">
        <f>AVERAGE(G30:H30)</f>
        <v>2.9</v>
      </c>
      <c r="K30" s="42">
        <f>SQRT((AVEDEV(G30,H30))^2+(0.5)^2)</f>
        <v>0.5099019513592785</v>
      </c>
      <c r="L30" s="43">
        <f>0.1/J30</f>
        <v>0.03448275862068965</v>
      </c>
      <c r="M30" s="43">
        <f>L30*SQRT((0.5/10)^2+(K30/J30)^2)</f>
        <v>0.006303423441286193</v>
      </c>
      <c r="N30" s="44">
        <f>I30-('Лист 1 - Прямая для настройки'!$A$3*$A$26+'Лист 1 - Прямая для настройки'!$B$3)*1000</f>
        <v>6453.333333333333</v>
      </c>
      <c r="O30" s="44">
        <f>N30/I30</f>
        <v>0.838095238095238</v>
      </c>
      <c r="P30" s="40">
        <f>INDEX(('Лист 1 - Диаметры стеклянных ша'!$E$3:$E$20,'Лист 1 - Диаметры металлических'!$D$3:$D$20),E30,1,F30)/2</f>
        <v>0.4</v>
      </c>
      <c r="Q30" s="40">
        <f>P30^2</f>
        <v>0.16</v>
      </c>
      <c r="R30" s="45">
        <f>Q30*2*(0.05/2/P30)</f>
        <v>0.02</v>
      </c>
      <c r="S30" s="46">
        <f>2/9*9.8*Q30*N30/L30*10^(-6)</f>
        <v>0.06521021629629631</v>
      </c>
      <c r="T30" s="45">
        <f>SQRT((R30/Q30)^2+(O30/N30)^2+(M30/L30)^2)*S30</f>
        <v>0.01444087469976723</v>
      </c>
      <c r="U30" s="60"/>
      <c r="V30" s="43">
        <f>L30*P30*I30*10^(-3)/S30</f>
        <v>1.628684929814537</v>
      </c>
      <c r="W30" s="43">
        <f>2/9*Q30*10^(-6)*I30/S30</f>
        <v>0.004198387819077475</v>
      </c>
      <c r="X30" s="45">
        <f>L30*W30*(J30/W30-1+EXP(-J30/W30))</f>
        <v>0.09985522800623871</v>
      </c>
      <c r="Y30" s="39"/>
      <c r="Z30" s="60"/>
      <c r="AA30" s="60"/>
      <c r="AB30" s="39"/>
      <c r="AC30" s="60"/>
      <c r="AD30" s="39"/>
      <c r="AE30" s="61"/>
    </row>
    <row r="31" ht="19.1" customHeight="1">
      <c r="A31" s="48"/>
      <c r="B31" s="49"/>
      <c r="C31" s="50"/>
      <c r="D31" s="50"/>
      <c r="E31" s="51">
        <v>15</v>
      </c>
      <c r="F31" s="51">
        <v>2</v>
      </c>
      <c r="G31" s="51">
        <v>2.6</v>
      </c>
      <c r="H31" s="51">
        <v>2.4</v>
      </c>
      <c r="I31" s="52">
        <v>7700</v>
      </c>
      <c r="J31" s="51">
        <f>AVERAGE(G31:H31)</f>
        <v>2.5</v>
      </c>
      <c r="K31" s="53">
        <f>SQRT((AVEDEV(G31,H31))^2+(0.5)^2)</f>
        <v>0.5099019513592785</v>
      </c>
      <c r="L31" s="54">
        <f>0.1/J31</f>
        <v>0.04</v>
      </c>
      <c r="M31" s="54">
        <f>L31*SQRT((0.5/10)^2+(K31/J31)^2)</f>
        <v>0.008400000000000001</v>
      </c>
      <c r="N31" s="55">
        <f>I31-('Лист 1 - Прямая для настройки'!$A$3*$A$26+'Лист 1 - Прямая для настройки'!$B$3)*1000</f>
        <v>6453.333333333333</v>
      </c>
      <c r="O31" s="55">
        <f>N31/I31</f>
        <v>0.838095238095238</v>
      </c>
      <c r="P31" s="51">
        <f>INDEX(('Лист 1 - Диаметры стеклянных ша'!$E$3:$E$20,'Лист 1 - Диаметры металлических'!$D$3:$D$20),E31,1,F31)/2</f>
        <v>0.45</v>
      </c>
      <c r="Q31" s="51">
        <f>P31^2</f>
        <v>0.2025</v>
      </c>
      <c r="R31" s="56">
        <f>Q31*2*(0.05/2/P31)</f>
        <v>0.0225</v>
      </c>
      <c r="S31" s="57">
        <f>2/9*9.8*Q31*N31/L31*10^(-6)</f>
        <v>0.071148</v>
      </c>
      <c r="T31" s="56">
        <f>SQRT((R31/Q31)^2+(O31/N31)^2+(M31/L31)^2)*S31</f>
        <v>0.01690355737870319</v>
      </c>
      <c r="U31" s="50"/>
      <c r="V31" s="54">
        <f>L31*P31*I31*10^(-3)/S31</f>
        <v>1.948051948051948</v>
      </c>
      <c r="W31" s="54">
        <f>2/9*Q31*10^(-6)*I31/S31</f>
        <v>0.00487012987012987</v>
      </c>
      <c r="X31" s="56">
        <f>L31*W31*(J31/W31-1+EXP(-J31/W31))</f>
        <v>0.09980519480519481</v>
      </c>
      <c r="Y31" s="50"/>
      <c r="Z31" s="50"/>
      <c r="AA31" s="50"/>
      <c r="AB31" s="50"/>
      <c r="AC31" s="50"/>
      <c r="AD31" s="50"/>
      <c r="AE31" s="58"/>
    </row>
    <row r="32" ht="19.1" customHeight="1">
      <c r="A32" s="26">
        <v>55</v>
      </c>
      <c r="B32" s="27">
        <v>0.2</v>
      </c>
      <c r="C32" s="28">
        <f>$A32+273</f>
        <v>328</v>
      </c>
      <c r="D32" s="29">
        <f>B32/$A32*C32</f>
        <v>1.192727272727273</v>
      </c>
      <c r="E32" s="28">
        <v>16</v>
      </c>
      <c r="F32" s="28">
        <v>1</v>
      </c>
      <c r="G32" s="28">
        <v>2.1</v>
      </c>
      <c r="H32" s="28">
        <v>1.5</v>
      </c>
      <c r="I32" s="30">
        <v>2600</v>
      </c>
      <c r="J32" s="28">
        <f>AVERAGE(G32:H32)</f>
        <v>1.8</v>
      </c>
      <c r="K32" s="31">
        <f>SQRT((AVEDEV(G32,H32))^2+(0.5)^2)</f>
        <v>0.5830951894845301</v>
      </c>
      <c r="L32" s="32">
        <f>0.1/J32</f>
        <v>0.05555555555555556</v>
      </c>
      <c r="M32" s="32">
        <f>L32*SQRT((0.5/10)^2+(K32/J32)^2)</f>
        <v>0.01820987654320988</v>
      </c>
      <c r="N32" s="33">
        <f>I32-('Лист 1 - Прямая для настройки'!$A$3*$A$32+'Лист 1 - Прямая для настройки'!$B$3)*1000</f>
        <v>1355.555555555555</v>
      </c>
      <c r="O32" s="33">
        <f>N32/I32</f>
        <v>0.5213675213675213</v>
      </c>
      <c r="P32" s="28">
        <f>INDEX(('Лист 1 - Диаметры стеклянных ша'!$E$3:$E$20,'Лист 1 - Диаметры металлических'!$D$3:$D$20),E32,1,F32)/2</f>
        <v>1.025</v>
      </c>
      <c r="Q32" s="28">
        <f>P32^2</f>
        <v>1.050625</v>
      </c>
      <c r="R32" s="34">
        <f>Q32*2*(0.05/2/P32)</f>
        <v>0.05125000000000001</v>
      </c>
      <c r="S32" s="35">
        <f>2/9*9.8*Q32*N32/L32*10^(-6)</f>
        <v>0.05582787777777778</v>
      </c>
      <c r="T32" s="34">
        <f>SQRT((R32/Q32)^2+(O32/N32)^2+(M32/L32)^2)*S32</f>
        <v>0.01850068446346841</v>
      </c>
      <c r="U32" s="34">
        <f>SQRT(T32^2+T33^2+T34^2+T35^2+T36^2+T37^2)</f>
        <v>0.04311942248255118</v>
      </c>
      <c r="V32" s="32">
        <f>L32*P32*I32*10^(-3)/S32</f>
        <v>2.652000424320069</v>
      </c>
      <c r="W32" s="32">
        <f>2/9*Q32*10^(-6)*I32/S32</f>
        <v>0.01087320173971228</v>
      </c>
      <c r="X32" s="34">
        <f>L32*W32*(J32/W32-1+EXP(-J32/W32))</f>
        <v>0.09939593323668265</v>
      </c>
      <c r="Y32" s="28">
        <f>AVERAGE(S32:S37)</f>
        <v>0.05879689272476566</v>
      </c>
      <c r="Z32" s="28">
        <f>AVEDEV(S32:S37)</f>
        <v>0.005836817256325257</v>
      </c>
      <c r="AA32" s="31">
        <f>SQRT(Z32^2+U32^2)</f>
        <v>0.0435126766691326</v>
      </c>
      <c r="AB32" s="35">
        <f>1/($A32+273)*10^(3)</f>
        <v>3.048780487804878</v>
      </c>
      <c r="AC32" s="29">
        <f>D32/C32^2*1000</f>
        <v>0.01108647450110865</v>
      </c>
      <c r="AD32" s="28">
        <f>LN(Y32)</f>
        <v>-2.833666270290803</v>
      </c>
      <c r="AE32" s="36">
        <f>-AA32/AD32</f>
        <v>0.01535561090073855</v>
      </c>
    </row>
    <row r="33" ht="18.9" customHeight="1">
      <c r="A33" s="37"/>
      <c r="B33" s="38"/>
      <c r="C33" s="39"/>
      <c r="D33" s="39"/>
      <c r="E33" s="40">
        <v>17</v>
      </c>
      <c r="F33" s="40">
        <v>1</v>
      </c>
      <c r="G33" s="40">
        <v>1.9</v>
      </c>
      <c r="H33" s="40">
        <v>2.1</v>
      </c>
      <c r="I33" s="41">
        <v>2600</v>
      </c>
      <c r="J33" s="40">
        <f>AVERAGE(G33:H33)</f>
        <v>2</v>
      </c>
      <c r="K33" s="42">
        <f>SQRT((AVEDEV(G33,H33))^2+(0.5)^2)</f>
        <v>0.5099019513592785</v>
      </c>
      <c r="L33" s="43">
        <f>0.1/J33</f>
        <v>0.05</v>
      </c>
      <c r="M33" s="43">
        <f>L33*SQRT((0.5/10)^2+(K33/J33)^2)</f>
        <v>0.01299038105676658</v>
      </c>
      <c r="N33" s="44">
        <f>I33-('Лист 1 - Прямая для настройки'!$A$3*$A$32+'Лист 1 - Прямая для настройки'!$B$3)*1000</f>
        <v>1355.555555555555</v>
      </c>
      <c r="O33" s="44">
        <f>N33/I33</f>
        <v>0.5213675213675213</v>
      </c>
      <c r="P33" s="40">
        <f>INDEX(('Лист 1 - Диаметры стеклянных ша'!$E$3:$E$20,'Лист 1 - Диаметры металлических'!$D$3:$D$20),E33,1,F33)/2</f>
        <v>1.041666666666667</v>
      </c>
      <c r="Q33" s="40">
        <f>P33^2</f>
        <v>1.085069444444445</v>
      </c>
      <c r="R33" s="45">
        <f>Q33*2*(0.05/2/P33)</f>
        <v>0.05208333333333334</v>
      </c>
      <c r="S33" s="46">
        <f>2/9*9.8*Q33*N33/L33*10^(-6)</f>
        <v>0.06406464334705077</v>
      </c>
      <c r="T33" s="45">
        <f>SQRT((R33/Q33)^2+(O33/N33)^2+(M33/L33)^2)*S33</f>
        <v>0.01692618283764544</v>
      </c>
      <c r="U33" s="39"/>
      <c r="V33" s="43">
        <f>L33*P33*I33*10^(-3)/S33</f>
        <v>2.113750418200067</v>
      </c>
      <c r="W33" s="43">
        <f>2/9*Q33*10^(-6)*I33/S33</f>
        <v>0.009785881565741051</v>
      </c>
      <c r="X33" s="45">
        <f>L33*W33*(J33/W33-1+EXP(-J33/W33))</f>
        <v>0.09951070592171295</v>
      </c>
      <c r="Y33" s="39"/>
      <c r="Z33" s="39"/>
      <c r="AA33" s="39"/>
      <c r="AB33" s="39"/>
      <c r="AC33" s="39"/>
      <c r="AD33" s="39"/>
      <c r="AE33" s="47"/>
    </row>
    <row r="34" ht="18.9" customHeight="1">
      <c r="A34" s="37"/>
      <c r="B34" s="38"/>
      <c r="C34" s="39"/>
      <c r="D34" s="39"/>
      <c r="E34" s="40">
        <v>18</v>
      </c>
      <c r="F34" s="40">
        <v>1</v>
      </c>
      <c r="G34" s="40">
        <v>2</v>
      </c>
      <c r="H34" s="40">
        <v>1.9</v>
      </c>
      <c r="I34" s="41">
        <v>2600</v>
      </c>
      <c r="J34" s="40">
        <f>AVERAGE(G34:H34)</f>
        <v>1.95</v>
      </c>
      <c r="K34" s="42">
        <f>SQRT((AVEDEV(G34,H34))^2+(0.5)^2)</f>
        <v>0.5024937810560445</v>
      </c>
      <c r="L34" s="43">
        <f>0.1/J34</f>
        <v>0.05128205128205129</v>
      </c>
      <c r="M34" s="43">
        <f>L34*SQRT((0.5/10)^2+(K34/J34)^2)</f>
        <v>0.01346128759603094</v>
      </c>
      <c r="N34" s="44">
        <f>I34-('Лист 1 - Прямая для настройки'!$A$3*$A$32+'Лист 1 - Прямая для настройки'!$B$3)*1000</f>
        <v>1355.555555555555</v>
      </c>
      <c r="O34" s="44">
        <f>N34/I34</f>
        <v>0.5213675213675213</v>
      </c>
      <c r="P34" s="40">
        <f>INDEX(('Лист 1 - Диаметры стеклянных ша'!$E$3:$E$20,'Лист 1 - Диаметры металлических'!$D$3:$D$20),E34,1,F34)/2</f>
        <v>1.05</v>
      </c>
      <c r="Q34" s="40">
        <f>P34^2</f>
        <v>1.1025</v>
      </c>
      <c r="R34" s="45">
        <f>Q34*2*(0.05/2/P34)</f>
        <v>0.0525</v>
      </c>
      <c r="S34" s="46">
        <f>2/9*9.8*Q34*N34/L34*10^(-6)</f>
        <v>0.06346643333333332</v>
      </c>
      <c r="T34" s="45">
        <f>SQRT((R34/Q34)^2+(O34/N34)^2+(M34/L34)^2)*S34</f>
        <v>0.01693155545966702</v>
      </c>
      <c r="U34" s="39"/>
      <c r="V34" s="43">
        <f>L34*P34*I34*10^(-3)/S34</f>
        <v>2.205890462832585</v>
      </c>
      <c r="W34" s="43">
        <f>2/9*Q34*10^(-6)*I34/S34</f>
        <v>0.01003680160588826</v>
      </c>
      <c r="X34" s="45">
        <f>L34*W34*(J34/W34-1+EXP(-J34/W34))</f>
        <v>0.09948529222533906</v>
      </c>
      <c r="Y34" s="39"/>
      <c r="Z34" s="39"/>
      <c r="AA34" s="39"/>
      <c r="AB34" s="39"/>
      <c r="AC34" s="39"/>
      <c r="AD34" s="39"/>
      <c r="AE34" s="47"/>
    </row>
    <row r="35" ht="18.9" customHeight="1">
      <c r="A35" s="37"/>
      <c r="B35" s="38"/>
      <c r="C35" s="39"/>
      <c r="D35" s="39"/>
      <c r="E35" s="40">
        <v>16</v>
      </c>
      <c r="F35" s="40">
        <v>2</v>
      </c>
      <c r="G35" s="40">
        <v>1.8</v>
      </c>
      <c r="H35" s="40">
        <v>1.9</v>
      </c>
      <c r="I35" s="41">
        <v>7700</v>
      </c>
      <c r="J35" s="40">
        <f>AVERAGE(G35:H35)</f>
        <v>1.85</v>
      </c>
      <c r="K35" s="42">
        <f>SQRT((AVEDEV(G35,H35))^2+(0.5)^2)</f>
        <v>0.5024937810560445</v>
      </c>
      <c r="L35" s="43">
        <f>0.1/J35</f>
        <v>0.05405405405405406</v>
      </c>
      <c r="M35" s="43">
        <f>L35*SQRT((0.5/10)^2+(K35/J35)^2)</f>
        <v>0.01492875500095056</v>
      </c>
      <c r="N35" s="44">
        <f>I35-('Лист 1 - Прямая для настройки'!$A$3*$A$32+'Лист 1 - Прямая для настройки'!$B$3)*1000</f>
        <v>6455.555555555556</v>
      </c>
      <c r="O35" s="44">
        <f>N35/I35</f>
        <v>0.8383838383838383</v>
      </c>
      <c r="P35" s="40">
        <f>INDEX(('Лист 1 - Диаметры стеклянных ша'!$E$3:$E$20,'Лист 1 - Диаметры металлических'!$D$3:$D$20),E35,1,F35)/2</f>
        <v>0.5</v>
      </c>
      <c r="Q35" s="40">
        <f>P35^2</f>
        <v>0.25</v>
      </c>
      <c r="R35" s="45">
        <f>Q35*2*(0.05/2/P35)</f>
        <v>0.025</v>
      </c>
      <c r="S35" s="46">
        <f>2/9*9.8*Q35*N35/L35*10^(-6)</f>
        <v>0.0650217901234568</v>
      </c>
      <c r="T35" s="45">
        <f>SQRT((R35/Q35)^2+(O35/N35)^2+(M35/L35)^2)*S35</f>
        <v>0.01909876000119667</v>
      </c>
      <c r="U35" s="39"/>
      <c r="V35" s="43">
        <f>L35*P35*I35*10^(-3)/S35</f>
        <v>3.200590259249607</v>
      </c>
      <c r="W35" s="43">
        <f>2/9*Q35*10^(-6)*I35/S35</f>
        <v>0.006578991088457524</v>
      </c>
      <c r="X35" s="45">
        <f>L35*W35*(J35/W35-1+EXP(-J35/W35))</f>
        <v>0.0996443788600834</v>
      </c>
      <c r="Y35" s="39"/>
      <c r="Z35" s="39"/>
      <c r="AA35" s="39"/>
      <c r="AB35" s="39"/>
      <c r="AC35" s="39"/>
      <c r="AD35" s="39"/>
      <c r="AE35" s="47"/>
    </row>
    <row r="36" ht="18.9" customHeight="1">
      <c r="A36" s="37"/>
      <c r="B36" s="59"/>
      <c r="C36" s="60"/>
      <c r="D36" s="60"/>
      <c r="E36" s="40">
        <v>17</v>
      </c>
      <c r="F36" s="40">
        <v>2</v>
      </c>
      <c r="G36" s="40">
        <v>2.3</v>
      </c>
      <c r="H36" s="40">
        <v>1.4</v>
      </c>
      <c r="I36" s="41">
        <v>7700</v>
      </c>
      <c r="J36" s="40">
        <f>AVERAGE(G36:H36)</f>
        <v>1.85</v>
      </c>
      <c r="K36" s="42">
        <f>SQRT((AVEDEV(G36,H36))^2+(0.5)^2)</f>
        <v>0.6726812023536854</v>
      </c>
      <c r="L36" s="43">
        <f>0.1/J36</f>
        <v>0.05405405405405406</v>
      </c>
      <c r="M36" s="43">
        <f>L36*SQRT((0.5/10)^2+(K36/J36)^2)</f>
        <v>0.01983962687090638</v>
      </c>
      <c r="N36" s="44">
        <f>I36-('Лист 1 - Прямая для настройки'!$A$3*$A$32+'Лист 1 - Прямая для настройки'!$B$3)*1000</f>
        <v>6455.555555555556</v>
      </c>
      <c r="O36" s="44">
        <f>N36/I36</f>
        <v>0.8383838383838383</v>
      </c>
      <c r="P36" s="40">
        <f>INDEX(('Лист 1 - Диаметры стеклянных ша'!$E$3:$E$20,'Лист 1 - Диаметры металлических'!$D$3:$D$20),E36,1,F36)/2</f>
        <v>0.4125</v>
      </c>
      <c r="Q36" s="40">
        <f>P36^2</f>
        <v>0.17015625</v>
      </c>
      <c r="R36" s="45">
        <f>Q36*2*(0.05/2/P36)</f>
        <v>0.020625</v>
      </c>
      <c r="S36" s="46">
        <f>2/9*9.8*Q36*N36/L36*10^(-6)</f>
        <v>0.04425545590277777</v>
      </c>
      <c r="T36" s="45">
        <f>SQRT((R36/Q36)^2+(O36/N36)^2+(M36/L36)^2)*S36</f>
        <v>0.01710607560576095</v>
      </c>
      <c r="U36" s="60"/>
      <c r="V36" s="43">
        <f>L36*P36*I36*10^(-3)/S36</f>
        <v>3.879503344544979</v>
      </c>
      <c r="W36" s="43">
        <f>2/9*Q36*10^(-6)*I36/S36</f>
        <v>0.006578991088457525</v>
      </c>
      <c r="X36" s="45">
        <f>L36*W36*(J36/W36-1+EXP(-J36/W36))</f>
        <v>0.09964437886008339</v>
      </c>
      <c r="Y36" s="39"/>
      <c r="Z36" s="60"/>
      <c r="AA36" s="60"/>
      <c r="AB36" s="39"/>
      <c r="AC36" s="60"/>
      <c r="AD36" s="39"/>
      <c r="AE36" s="61"/>
    </row>
    <row r="37" ht="19.1" customHeight="1">
      <c r="A37" s="48"/>
      <c r="B37" s="49"/>
      <c r="C37" s="50"/>
      <c r="D37" s="50"/>
      <c r="E37" s="51">
        <v>18</v>
      </c>
      <c r="F37" s="51">
        <v>2</v>
      </c>
      <c r="G37" s="51">
        <v>2.1</v>
      </c>
      <c r="H37" s="51">
        <v>1.9</v>
      </c>
      <c r="I37" s="52">
        <v>7700</v>
      </c>
      <c r="J37" s="51">
        <f>AVERAGE(G37:H37)</f>
        <v>2</v>
      </c>
      <c r="K37" s="53">
        <f>SQRT((AVEDEV(G37,H37))^2+(0.5)^2)</f>
        <v>0.5099019513592785</v>
      </c>
      <c r="L37" s="54">
        <f>0.1/J37</f>
        <v>0.05</v>
      </c>
      <c r="M37" s="54">
        <f>L37*SQRT((0.5/10)^2+(K37/J37)^2)</f>
        <v>0.01299038105676658</v>
      </c>
      <c r="N37" s="55">
        <f>I37-('Лист 1 - Прямая для настройки'!$A$3*$A$32+'Лист 1 - Прямая для настройки'!$B$3)*1000</f>
        <v>6455.555555555556</v>
      </c>
      <c r="O37" s="55">
        <f>N37/I37</f>
        <v>0.8383838383838383</v>
      </c>
      <c r="P37" s="51">
        <f>INDEX(('Лист 1 - Диаметры стеклянных ша'!$E$3:$E$20,'Лист 1 - Диаметры металлических'!$D$3:$D$20),E37,1,F37)/2</f>
        <v>0.4625</v>
      </c>
      <c r="Q37" s="51">
        <f>P37^2</f>
        <v>0.21390625</v>
      </c>
      <c r="R37" s="56">
        <f>Q37*2*(0.05/2/P37)</f>
        <v>0.023125</v>
      </c>
      <c r="S37" s="57">
        <f>2/9*9.8*Q37*N37/L37*10^(-6)</f>
        <v>0.06014515586419753</v>
      </c>
      <c r="T37" s="56">
        <f>SQRT((R37/Q37)^2+(O37/N37)^2+(M37/L37)^2)*S37</f>
        <v>0.01692499860151888</v>
      </c>
      <c r="U37" s="50"/>
      <c r="V37" s="54">
        <f>L37*P37*I37*10^(-3)/S37</f>
        <v>2.960545989805887</v>
      </c>
      <c r="W37" s="54">
        <f>2/9*Q37*10^(-6)*I37/S37</f>
        <v>0.006085566756823211</v>
      </c>
      <c r="X37" s="56">
        <f>L37*W37*(J37/W37-1+EXP(-J37/W37))</f>
        <v>0.09969572166215884</v>
      </c>
      <c r="Y37" s="50"/>
      <c r="Z37" s="50"/>
      <c r="AA37" s="50"/>
      <c r="AB37" s="50"/>
      <c r="AC37" s="50"/>
      <c r="AD37" s="50"/>
      <c r="AE37" s="58"/>
    </row>
  </sheetData>
  <mergeCells count="108">
    <mergeCell ref="A6:A9"/>
    <mergeCell ref="A10:A13"/>
    <mergeCell ref="A18:A21"/>
    <mergeCell ref="A22:A25"/>
    <mergeCell ref="A2:A5"/>
    <mergeCell ref="A14:A15"/>
    <mergeCell ref="A16:A17"/>
    <mergeCell ref="A26:A31"/>
    <mergeCell ref="A32:A37"/>
    <mergeCell ref="Y2:Y5"/>
    <mergeCell ref="Y6:Y9"/>
    <mergeCell ref="Y10:Y13"/>
    <mergeCell ref="Y14:Y15"/>
    <mergeCell ref="Y16:Y17"/>
    <mergeCell ref="Y18:Y21"/>
    <mergeCell ref="Y22:Y25"/>
    <mergeCell ref="Y26:Y31"/>
    <mergeCell ref="Y32:Y37"/>
    <mergeCell ref="AB2:AB5"/>
    <mergeCell ref="AB6:AB9"/>
    <mergeCell ref="AB10:AB13"/>
    <mergeCell ref="AB14:AB15"/>
    <mergeCell ref="AB16:AB17"/>
    <mergeCell ref="AB18:AB21"/>
    <mergeCell ref="AB22:AB25"/>
    <mergeCell ref="AB26:AB31"/>
    <mergeCell ref="AB32:AB37"/>
    <mergeCell ref="AD2:AD5"/>
    <mergeCell ref="AD6:AD9"/>
    <mergeCell ref="AD10:AD13"/>
    <mergeCell ref="AD14:AD15"/>
    <mergeCell ref="AD16:AD17"/>
    <mergeCell ref="AD18:AD21"/>
    <mergeCell ref="AD22:AD25"/>
    <mergeCell ref="AD26:AD31"/>
    <mergeCell ref="AD32:AD37"/>
    <mergeCell ref="Z2:Z5"/>
    <mergeCell ref="Z6:Z9"/>
    <mergeCell ref="Z10:Z13"/>
    <mergeCell ref="Z14:Z15"/>
    <mergeCell ref="Z16:Z17"/>
    <mergeCell ref="Z18:Z21"/>
    <mergeCell ref="Z22:Z25"/>
    <mergeCell ref="Z26:Z31"/>
    <mergeCell ref="Z32:Z37"/>
    <mergeCell ref="AE2:AE5"/>
    <mergeCell ref="AE6:AE9"/>
    <mergeCell ref="AE10:AE13"/>
    <mergeCell ref="AE14:AE15"/>
    <mergeCell ref="AE16:AE17"/>
    <mergeCell ref="AE18:AE21"/>
    <mergeCell ref="AE22:AE25"/>
    <mergeCell ref="AE26:AE31"/>
    <mergeCell ref="AE32:AE37"/>
    <mergeCell ref="C2:C5"/>
    <mergeCell ref="C6:C9"/>
    <mergeCell ref="C10:C13"/>
    <mergeCell ref="C14:C15"/>
    <mergeCell ref="C16:C17"/>
    <mergeCell ref="C18:C21"/>
    <mergeCell ref="C22:C25"/>
    <mergeCell ref="C26:C31"/>
    <mergeCell ref="C32:C37"/>
    <mergeCell ref="B2:B5"/>
    <mergeCell ref="B6:B9"/>
    <mergeCell ref="B10:B13"/>
    <mergeCell ref="B14:B15"/>
    <mergeCell ref="B16:B17"/>
    <mergeCell ref="B18:B21"/>
    <mergeCell ref="B22:B25"/>
    <mergeCell ref="B26:B31"/>
    <mergeCell ref="B32:B37"/>
    <mergeCell ref="D2:D5"/>
    <mergeCell ref="D6:D9"/>
    <mergeCell ref="D10:D13"/>
    <mergeCell ref="D14:D15"/>
    <mergeCell ref="D16:D17"/>
    <mergeCell ref="D18:D21"/>
    <mergeCell ref="D22:D25"/>
    <mergeCell ref="D26:D31"/>
    <mergeCell ref="D32:D37"/>
    <mergeCell ref="AC2:AC5"/>
    <mergeCell ref="AC6:AC9"/>
    <mergeCell ref="AC10:AC13"/>
    <mergeCell ref="AC14:AC15"/>
    <mergeCell ref="AC16:AC17"/>
    <mergeCell ref="AC18:AC21"/>
    <mergeCell ref="AC22:AC25"/>
    <mergeCell ref="AC26:AC31"/>
    <mergeCell ref="AC32:AC37"/>
    <mergeCell ref="U2:U5"/>
    <mergeCell ref="U6:U9"/>
    <mergeCell ref="U10:U13"/>
    <mergeCell ref="U14:U15"/>
    <mergeCell ref="U16:U17"/>
    <mergeCell ref="U18:U21"/>
    <mergeCell ref="U22:U25"/>
    <mergeCell ref="U26:U31"/>
    <mergeCell ref="U32:U37"/>
    <mergeCell ref="AA2:AA5"/>
    <mergeCell ref="AA6:AA9"/>
    <mergeCell ref="AA10:AA13"/>
    <mergeCell ref="AA14:AA15"/>
    <mergeCell ref="AA16:AA17"/>
    <mergeCell ref="AA18:AA21"/>
    <mergeCell ref="AA22:AA25"/>
    <mergeCell ref="AA26:AA31"/>
    <mergeCell ref="AA32:AA37"/>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sheetViews>
  <sheetFormatPr defaultColWidth="16.3333" defaultRowHeight="18" customHeight="1" outlineLevelRow="0" outlineLevelCol="0"/>
  <cols>
    <col min="1" max="2" width="16.3516" style="62" customWidth="1"/>
    <col min="3" max="256" width="16.3516" style="62" customWidth="1"/>
  </cols>
  <sheetData>
    <row r="1" ht="28" customHeight="1">
      <c r="A1" t="s" s="7">
        <v>46</v>
      </c>
      <c r="B1" s="7"/>
    </row>
    <row r="2" ht="20.35" customHeight="1">
      <c r="A2" t="s" s="63">
        <v>48</v>
      </c>
      <c r="B2" t="s" s="63">
        <v>49</v>
      </c>
    </row>
    <row r="3" ht="20.35" customHeight="1">
      <c r="A3" s="16">
        <f>-0.01/(42.5-20)</f>
        <v>-0.0004444444444444445</v>
      </c>
      <c r="B3" s="16">
        <f>1.26-A3*20</f>
        <v>1.268888888888889</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7"/>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4.85156" style="64" customWidth="1"/>
    <col min="2" max="2" width="9.85156" style="64" customWidth="1"/>
    <col min="3" max="3" width="7.85156" style="64" customWidth="1"/>
    <col min="4" max="5" width="4.85156" style="64" customWidth="1"/>
    <col min="6" max="6" width="6.35156" style="64" customWidth="1"/>
    <col min="7" max="7" width="10.3516" style="64" customWidth="1"/>
    <col min="8" max="8" width="8.85156" style="64" customWidth="1"/>
    <col min="9" max="9" width="6.67188" style="64" customWidth="1"/>
    <col min="10" max="256" width="16.3516" style="64" customWidth="1"/>
  </cols>
  <sheetData>
    <row r="1" ht="30.3" customHeight="1">
      <c r="A1" t="s" s="22">
        <v>17</v>
      </c>
      <c r="B1" t="s" s="23">
        <v>21</v>
      </c>
      <c r="C1" t="s" s="23">
        <v>22</v>
      </c>
      <c r="D1" t="s" s="23">
        <v>23</v>
      </c>
      <c r="E1" t="s" s="23">
        <v>24</v>
      </c>
      <c r="F1" t="s" s="23">
        <v>26</v>
      </c>
      <c r="G1" t="s" s="23">
        <v>25</v>
      </c>
      <c r="H1" t="s" s="23">
        <v>27</v>
      </c>
      <c r="I1" t="s" s="25">
        <v>34</v>
      </c>
    </row>
    <row r="2" ht="19.1" customHeight="1">
      <c r="A2" s="65">
        <v>20</v>
      </c>
      <c r="B2" s="28">
        <v>1</v>
      </c>
      <c r="C2" s="28">
        <v>1</v>
      </c>
      <c r="D2" s="28">
        <v>15</v>
      </c>
      <c r="E2" s="28">
        <v>16</v>
      </c>
      <c r="F2" s="28">
        <f>AVERAGE(D2:E2)</f>
        <v>15.5</v>
      </c>
      <c r="G2" s="30">
        <v>2600</v>
      </c>
      <c r="H2" s="32">
        <f>0.1/F2</f>
        <v>0.006451612903225806</v>
      </c>
      <c r="I2" s="66">
        <f>'Лист 1 - Tаблица 1'!S2</f>
        <v>0.5308529938271604</v>
      </c>
    </row>
    <row r="3" ht="18.9" customHeight="1">
      <c r="A3" s="67"/>
      <c r="B3" s="40">
        <v>2</v>
      </c>
      <c r="C3" s="40">
        <v>1</v>
      </c>
      <c r="D3" s="40">
        <v>17</v>
      </c>
      <c r="E3" s="40">
        <v>15</v>
      </c>
      <c r="F3" s="40">
        <f>AVERAGE(D3:E3)</f>
        <v>16</v>
      </c>
      <c r="G3" s="41">
        <v>2600</v>
      </c>
      <c r="H3" s="43">
        <f>0.1/F3</f>
        <v>0.00625</v>
      </c>
      <c r="I3" s="68">
        <f>'Лист 1 - Tаблица 1'!S3</f>
        <v>0.5395792888888891</v>
      </c>
    </row>
    <row r="4" ht="18.9" customHeight="1">
      <c r="A4" s="67"/>
      <c r="B4" s="40">
        <v>1</v>
      </c>
      <c r="C4" s="40">
        <v>2</v>
      </c>
      <c r="D4" s="40">
        <v>18</v>
      </c>
      <c r="E4" s="40">
        <v>18</v>
      </c>
      <c r="F4" s="40">
        <f>AVERAGE(D4:E4)</f>
        <v>18</v>
      </c>
      <c r="G4" s="41">
        <v>7700</v>
      </c>
      <c r="H4" s="43">
        <f>0.1/F4</f>
        <v>0.005555555555555556</v>
      </c>
      <c r="I4" s="68">
        <f>'Лист 1 - Tаблица 1'!S4</f>
        <v>0.5112072000000001</v>
      </c>
    </row>
    <row r="5" ht="19.1" customHeight="1">
      <c r="A5" s="69"/>
      <c r="B5" s="51">
        <v>2</v>
      </c>
      <c r="C5" s="51">
        <v>2</v>
      </c>
      <c r="D5" s="51">
        <v>21</v>
      </c>
      <c r="E5" s="51">
        <v>22</v>
      </c>
      <c r="F5" s="51">
        <f>AVERAGE(D5:E5)</f>
        <v>21.5</v>
      </c>
      <c r="G5" s="52">
        <v>7700</v>
      </c>
      <c r="H5" s="54">
        <f>0.1/F5</f>
        <v>0.004651162790697674</v>
      </c>
      <c r="I5" s="70">
        <f>'Лист 1 - Tаблица 1'!S5</f>
        <v>0.5130808375</v>
      </c>
    </row>
    <row r="6" ht="19.1" customHeight="1">
      <c r="A6" s="65">
        <v>25</v>
      </c>
      <c r="B6" s="28">
        <v>3</v>
      </c>
      <c r="C6" s="28">
        <v>1</v>
      </c>
      <c r="D6" s="28">
        <v>17</v>
      </c>
      <c r="E6" s="28">
        <v>16</v>
      </c>
      <c r="F6" s="28">
        <f>AVERAGE(D6:E6)</f>
        <v>16.5</v>
      </c>
      <c r="G6" s="30">
        <v>2600</v>
      </c>
      <c r="H6" s="32">
        <f>0.1/F6</f>
        <v>0.006060606060606061</v>
      </c>
      <c r="I6" s="66">
        <f>'Лист 1 - Tаблица 1'!S6</f>
        <v>0.5149947588477365</v>
      </c>
    </row>
    <row r="7" ht="18.9" customHeight="1">
      <c r="A7" s="67"/>
      <c r="B7" s="40">
        <v>4</v>
      </c>
      <c r="C7" s="40">
        <v>1</v>
      </c>
      <c r="D7" s="40">
        <v>16</v>
      </c>
      <c r="E7" s="40">
        <v>15</v>
      </c>
      <c r="F7" s="40">
        <f>AVERAGE(D7:E7)</f>
        <v>15.5</v>
      </c>
      <c r="G7" s="41">
        <v>2600</v>
      </c>
      <c r="H7" s="43">
        <f>0.1/F7</f>
        <v>0.006451612903225806</v>
      </c>
      <c r="I7" s="68">
        <f>'Лист 1 - Tаблица 1'!S7</f>
        <v>0.4760114679012347</v>
      </c>
    </row>
    <row r="8" ht="18.9" customHeight="1">
      <c r="A8" s="67"/>
      <c r="B8" s="40">
        <v>3</v>
      </c>
      <c r="C8" s="40">
        <v>2</v>
      </c>
      <c r="D8" s="40">
        <v>17</v>
      </c>
      <c r="E8" s="40">
        <v>16</v>
      </c>
      <c r="F8" s="40">
        <f>AVERAGE(D8:E8)</f>
        <v>16.5</v>
      </c>
      <c r="G8" s="41">
        <v>7700</v>
      </c>
      <c r="H8" s="43">
        <f>0.1/F8</f>
        <v>0.006060606060606061</v>
      </c>
      <c r="I8" s="68">
        <f>'Лист 1 - Tаблица 1'!S8</f>
        <v>0.3938955854166667</v>
      </c>
    </row>
    <row r="9" ht="19.1" customHeight="1">
      <c r="A9" s="69"/>
      <c r="B9" s="51">
        <v>4</v>
      </c>
      <c r="C9" s="51">
        <v>2</v>
      </c>
      <c r="D9" s="51">
        <v>26</v>
      </c>
      <c r="E9" s="51">
        <v>25</v>
      </c>
      <c r="F9" s="51">
        <f>AVERAGE(D9:E9)</f>
        <v>25.5</v>
      </c>
      <c r="G9" s="52">
        <v>7700</v>
      </c>
      <c r="H9" s="54">
        <f>0.1/F9</f>
        <v>0.00392156862745098</v>
      </c>
      <c r="I9" s="70">
        <f>'Лист 1 - Tаблица 1'!S9</f>
        <v>0.3778819657407408</v>
      </c>
    </row>
    <row r="10" ht="19.1" customHeight="1">
      <c r="A10" s="65">
        <v>30</v>
      </c>
      <c r="B10" s="28">
        <v>5</v>
      </c>
      <c r="C10" s="28">
        <v>1</v>
      </c>
      <c r="D10" s="28">
        <v>10</v>
      </c>
      <c r="E10" s="28">
        <v>9</v>
      </c>
      <c r="F10" s="28">
        <f>AVERAGE(D10:E10)</f>
        <v>9.5</v>
      </c>
      <c r="G10" s="30">
        <v>2600</v>
      </c>
      <c r="H10" s="32">
        <f>0.1/F10</f>
        <v>0.01052631578947368</v>
      </c>
      <c r="I10" s="66">
        <f>'Лист 1 - Tаблица 1'!S10</f>
        <v>0.3115480073731139</v>
      </c>
    </row>
    <row r="11" ht="18.9" customHeight="1">
      <c r="A11" s="67"/>
      <c r="B11" s="40">
        <v>6</v>
      </c>
      <c r="C11" s="40">
        <v>1</v>
      </c>
      <c r="D11" s="40">
        <v>9</v>
      </c>
      <c r="E11" s="40">
        <v>9</v>
      </c>
      <c r="F11" s="40">
        <f>AVERAGE(D11:E11)</f>
        <v>9</v>
      </c>
      <c r="G11" s="41">
        <v>2600</v>
      </c>
      <c r="H11" s="43">
        <f>0.1/F11</f>
        <v>0.01111111111111111</v>
      </c>
      <c r="I11" s="68">
        <f>'Лист 1 - Tаблица 1'!S11</f>
        <v>0.272368012345679</v>
      </c>
    </row>
    <row r="12" ht="18.9" customHeight="1">
      <c r="A12" s="67"/>
      <c r="B12" s="40">
        <v>5</v>
      </c>
      <c r="C12" s="40">
        <v>2</v>
      </c>
      <c r="D12" s="40">
        <v>11</v>
      </c>
      <c r="E12" s="40">
        <v>11</v>
      </c>
      <c r="F12" s="40">
        <f>AVERAGE(D12:E12)</f>
        <v>11</v>
      </c>
      <c r="G12" s="41">
        <v>7700</v>
      </c>
      <c r="H12" s="43">
        <f>0.1/F12</f>
        <v>0.009090909090909092</v>
      </c>
      <c r="I12" s="68">
        <f>'Лист 1 - Tаблица 1'!S12</f>
        <v>0.2470083950617284</v>
      </c>
    </row>
    <row r="13" ht="19.1" customHeight="1">
      <c r="A13" s="69"/>
      <c r="B13" s="51">
        <v>6</v>
      </c>
      <c r="C13" s="51">
        <v>2</v>
      </c>
      <c r="D13" s="51">
        <v>13</v>
      </c>
      <c r="E13" s="51">
        <v>13</v>
      </c>
      <c r="F13" s="51">
        <f>AVERAGE(D13:E13)</f>
        <v>13</v>
      </c>
      <c r="G13" s="52">
        <v>7700</v>
      </c>
      <c r="H13" s="54">
        <f>0.1/F13</f>
        <v>0.007692307692307693</v>
      </c>
      <c r="I13" s="70">
        <f>'Лист 1 - Tаблица 1'!S13</f>
        <v>0.2739591512345679</v>
      </c>
    </row>
    <row r="14" ht="19.1" customHeight="1">
      <c r="A14" s="65">
        <v>35.4</v>
      </c>
      <c r="B14" s="28">
        <v>7</v>
      </c>
      <c r="C14" s="28">
        <v>1</v>
      </c>
      <c r="D14" s="28">
        <v>7.2</v>
      </c>
      <c r="E14" s="28">
        <v>7</v>
      </c>
      <c r="F14" s="28">
        <f>AVERAGE(D14:E14)</f>
        <v>7.1</v>
      </c>
      <c r="G14" s="30">
        <v>2600</v>
      </c>
      <c r="H14" s="32">
        <f>0.1/F14</f>
        <v>0.01408450704225352</v>
      </c>
      <c r="I14" s="66">
        <f>'Лист 1 - Tаблица 1'!S14</f>
        <v>0.2187948425876544</v>
      </c>
    </row>
    <row r="15" ht="19.1" customHeight="1">
      <c r="A15" s="69"/>
      <c r="B15" s="51">
        <v>8</v>
      </c>
      <c r="C15" s="51">
        <v>2</v>
      </c>
      <c r="D15" s="51">
        <v>6</v>
      </c>
      <c r="E15" s="51">
        <v>6.1</v>
      </c>
      <c r="F15" s="51">
        <f>AVERAGE(D15:E15)</f>
        <v>6.05</v>
      </c>
      <c r="G15" s="52">
        <v>7700</v>
      </c>
      <c r="H15" s="54">
        <f>0.1/F15</f>
        <v>0.01652892561983471</v>
      </c>
      <c r="I15" s="70">
        <f>'Лист 1 - Tаблица 1'!S15</f>
        <v>0.0829499581404321</v>
      </c>
    </row>
    <row r="16" ht="19.1" customHeight="1">
      <c r="A16" s="65">
        <v>35</v>
      </c>
      <c r="B16" s="28">
        <v>7</v>
      </c>
      <c r="C16" s="28">
        <v>1</v>
      </c>
      <c r="D16" s="28">
        <v>7.1</v>
      </c>
      <c r="E16" s="28">
        <v>7.2</v>
      </c>
      <c r="F16" s="28">
        <f>AVERAGE(D16:E16)</f>
        <v>7.15</v>
      </c>
      <c r="G16" s="30">
        <v>2600</v>
      </c>
      <c r="H16" s="32">
        <f>0.1/F16</f>
        <v>0.01398601398601399</v>
      </c>
      <c r="I16" s="66">
        <f>'Лист 1 - Tаблица 1'!S16</f>
        <v>0.220306567962963</v>
      </c>
    </row>
    <row r="17" ht="19.1" customHeight="1">
      <c r="A17" s="69"/>
      <c r="B17" s="51">
        <v>8</v>
      </c>
      <c r="C17" s="51">
        <v>2</v>
      </c>
      <c r="D17" s="51">
        <v>12</v>
      </c>
      <c r="E17" s="51">
        <v>12</v>
      </c>
      <c r="F17" s="51">
        <f>AVERAGE(D17:E17)</f>
        <v>12</v>
      </c>
      <c r="G17" s="52">
        <v>7700</v>
      </c>
      <c r="H17" s="54">
        <f>0.1/F17</f>
        <v>0.008333333333333333</v>
      </c>
      <c r="I17" s="70">
        <f>'Лист 1 - Tаблица 1'!S17</f>
        <v>0.1645243055555556</v>
      </c>
    </row>
    <row r="18" ht="19.1" customHeight="1">
      <c r="A18" s="65">
        <v>40</v>
      </c>
      <c r="B18" s="28">
        <v>9</v>
      </c>
      <c r="C18" s="28">
        <v>1</v>
      </c>
      <c r="D18" s="28">
        <v>5.1</v>
      </c>
      <c r="E18" s="28">
        <v>5.1</v>
      </c>
      <c r="F18" s="28">
        <f>AVERAGE(D18:E18)</f>
        <v>5.1</v>
      </c>
      <c r="G18" s="30">
        <v>2600</v>
      </c>
      <c r="H18" s="32">
        <f>0.1/F18</f>
        <v>0.01960784313725491</v>
      </c>
      <c r="I18" s="66">
        <f>'Лист 1 - Tаблица 1'!S18</f>
        <v>0.1651727933333333</v>
      </c>
    </row>
    <row r="19" ht="18.9" customHeight="1">
      <c r="A19" s="67"/>
      <c r="B19" s="40">
        <v>10</v>
      </c>
      <c r="C19" s="40">
        <v>1</v>
      </c>
      <c r="D19" s="40">
        <v>5.2</v>
      </c>
      <c r="E19" s="40">
        <v>5</v>
      </c>
      <c r="F19" s="40">
        <f>AVERAGE(D19:E19)</f>
        <v>5.1</v>
      </c>
      <c r="G19" s="41">
        <v>2600</v>
      </c>
      <c r="H19" s="43">
        <f>0.1/F19</f>
        <v>0.01960784313725491</v>
      </c>
      <c r="I19" s="68">
        <f>'Лист 1 - Tаблица 1'!S19</f>
        <v>0.1473300533127572</v>
      </c>
    </row>
    <row r="20" ht="18.9" customHeight="1">
      <c r="A20" s="67"/>
      <c r="B20" s="40">
        <v>9</v>
      </c>
      <c r="C20" s="40">
        <v>2</v>
      </c>
      <c r="D20" s="40">
        <v>11</v>
      </c>
      <c r="E20" s="40">
        <v>11</v>
      </c>
      <c r="F20" s="40">
        <f>AVERAGE(D20:E20)</f>
        <v>11</v>
      </c>
      <c r="G20" s="41">
        <v>7700</v>
      </c>
      <c r="H20" s="43">
        <f>0.1/F20</f>
        <v>0.009090909090909092</v>
      </c>
      <c r="I20" s="68">
        <f>'Лист 1 - Tаблица 1'!S20</f>
        <v>0.175970025</v>
      </c>
    </row>
    <row r="21" ht="19.1" customHeight="1">
      <c r="A21" s="69"/>
      <c r="B21" s="51">
        <v>10</v>
      </c>
      <c r="C21" s="51">
        <v>2</v>
      </c>
      <c r="D21" s="51">
        <v>5.1</v>
      </c>
      <c r="E21" s="51">
        <v>5</v>
      </c>
      <c r="F21" s="51">
        <f>AVERAGE(D21:E21)</f>
        <v>5.05</v>
      </c>
      <c r="G21" s="52">
        <v>7700</v>
      </c>
      <c r="H21" s="54">
        <f>0.1/F21</f>
        <v>0.0198019801980198</v>
      </c>
      <c r="I21" s="70">
        <f>'Лист 1 - Tаблица 1'!S21</f>
        <v>0.06383110222222221</v>
      </c>
    </row>
    <row r="22" ht="19.1" customHeight="1">
      <c r="A22" s="65">
        <v>45</v>
      </c>
      <c r="B22" s="28">
        <v>11</v>
      </c>
      <c r="C22" s="28">
        <v>1</v>
      </c>
      <c r="D22" s="28">
        <v>4</v>
      </c>
      <c r="E22" s="28">
        <v>3.8</v>
      </c>
      <c r="F22" s="28">
        <f>AVERAGE(D22:E22)</f>
        <v>3.9</v>
      </c>
      <c r="G22" s="30">
        <v>2600</v>
      </c>
      <c r="H22" s="32">
        <f>0.1/F22</f>
        <v>0.02564102564102564</v>
      </c>
      <c r="I22" s="66">
        <f>'Лист 1 - Tаблица 1'!S22</f>
        <v>0.1225321665843621</v>
      </c>
    </row>
    <row r="23" ht="18.9" customHeight="1">
      <c r="A23" s="67"/>
      <c r="B23" s="40">
        <v>12</v>
      </c>
      <c r="C23" s="40">
        <v>1</v>
      </c>
      <c r="D23" s="40">
        <v>4</v>
      </c>
      <c r="E23" s="40">
        <v>3.2</v>
      </c>
      <c r="F23" s="40">
        <f>AVERAGE(D23:E23)</f>
        <v>3.6</v>
      </c>
      <c r="G23" s="41">
        <v>2600</v>
      </c>
      <c r="H23" s="43">
        <f>0.1/F23</f>
        <v>0.02777777777777778</v>
      </c>
      <c r="I23" s="68">
        <f>'Лист 1 - Tаблица 1'!S23</f>
        <v>0.06921306864197528</v>
      </c>
    </row>
    <row r="24" ht="18.9" customHeight="1">
      <c r="A24" s="67"/>
      <c r="B24" s="40">
        <v>11</v>
      </c>
      <c r="C24" s="40">
        <v>2</v>
      </c>
      <c r="D24" s="40">
        <v>4.1</v>
      </c>
      <c r="E24" s="40">
        <v>4</v>
      </c>
      <c r="F24" s="40">
        <f>AVERAGE(D24:E24)</f>
        <v>4.05</v>
      </c>
      <c r="G24" s="41">
        <v>7700</v>
      </c>
      <c r="H24" s="43">
        <f>0.1/F24</f>
        <v>0.02469135802469136</v>
      </c>
      <c r="I24" s="68">
        <f>'Лист 1 - Tаблица 1'!S24</f>
        <v>0.09681686437500001</v>
      </c>
    </row>
    <row r="25" ht="19.1" customHeight="1">
      <c r="A25" s="69"/>
      <c r="B25" s="51">
        <v>12</v>
      </c>
      <c r="C25" s="51">
        <v>2</v>
      </c>
      <c r="D25" s="51">
        <v>7</v>
      </c>
      <c r="E25" s="51">
        <v>4</v>
      </c>
      <c r="F25" s="51">
        <f>AVERAGE(D25:E25)</f>
        <v>5.5</v>
      </c>
      <c r="G25" s="52">
        <v>7700</v>
      </c>
      <c r="H25" s="54">
        <f>0.1/F25</f>
        <v>0.01818181818181818</v>
      </c>
      <c r="I25" s="70">
        <f>'Лист 1 - Tаблица 1'!S25</f>
        <v>0.0584354188271605</v>
      </c>
    </row>
    <row r="26" ht="19.1" customHeight="1">
      <c r="A26" s="65">
        <v>50</v>
      </c>
      <c r="B26" s="28">
        <v>13</v>
      </c>
      <c r="C26" s="28">
        <v>1</v>
      </c>
      <c r="D26" s="28">
        <v>3</v>
      </c>
      <c r="E26" s="28">
        <v>2.4</v>
      </c>
      <c r="F26" s="28">
        <f>AVERAGE(D26:E26)</f>
        <v>2.7</v>
      </c>
      <c r="G26" s="30">
        <v>2600</v>
      </c>
      <c r="H26" s="32">
        <f>0.1/F26</f>
        <v>0.03703703703703703</v>
      </c>
      <c r="I26" s="66">
        <f>'Лист 1 - Tаблица 1'!S26</f>
        <v>0.08360453499999999</v>
      </c>
    </row>
    <row r="27" ht="18.9" customHeight="1">
      <c r="A27" s="67"/>
      <c r="B27" s="40">
        <v>14</v>
      </c>
      <c r="C27" s="40">
        <v>1</v>
      </c>
      <c r="D27" s="40">
        <v>2.5</v>
      </c>
      <c r="E27" s="40">
        <v>2.2</v>
      </c>
      <c r="F27" s="40">
        <f>AVERAGE(D27:E27)</f>
        <v>2.35</v>
      </c>
      <c r="G27" s="41">
        <v>2600</v>
      </c>
      <c r="H27" s="43">
        <f>0.1/F27</f>
        <v>0.0425531914893617</v>
      </c>
      <c r="I27" s="68">
        <f>'Лист 1 - Tаблица 1'!S27</f>
        <v>0.07757667346707819</v>
      </c>
    </row>
    <row r="28" ht="18.9" customHeight="1">
      <c r="A28" s="67"/>
      <c r="B28" s="40">
        <v>15</v>
      </c>
      <c r="C28" s="40">
        <v>1</v>
      </c>
      <c r="D28" s="40">
        <v>2.5</v>
      </c>
      <c r="E28" s="40">
        <v>2.4</v>
      </c>
      <c r="F28" s="40">
        <f>AVERAGE(D28:E28)</f>
        <v>2.45</v>
      </c>
      <c r="G28" s="41">
        <v>2600</v>
      </c>
      <c r="H28" s="43">
        <f>0.1/F28</f>
        <v>0.04081632653061224</v>
      </c>
      <c r="I28" s="68">
        <f>'Лист 1 - Tаблица 1'!S28</f>
        <v>0.07463483798353909</v>
      </c>
    </row>
    <row r="29" ht="18.9" customHeight="1">
      <c r="A29" s="67"/>
      <c r="B29" s="40">
        <v>13</v>
      </c>
      <c r="C29" s="40">
        <v>2</v>
      </c>
      <c r="D29" s="40">
        <v>3.2</v>
      </c>
      <c r="E29" s="40">
        <v>3.4</v>
      </c>
      <c r="F29" s="40">
        <f>AVERAGE(D29:E29)</f>
        <v>3.3</v>
      </c>
      <c r="G29" s="41">
        <v>7700</v>
      </c>
      <c r="H29" s="43">
        <f>0.1/F29</f>
        <v>0.03030303030303031</v>
      </c>
      <c r="I29" s="68">
        <f>'Лист 1 - Tаблица 1'!S29</f>
        <v>0.06521899999999999</v>
      </c>
    </row>
    <row r="30" ht="18.9" customHeight="1">
      <c r="A30" s="67"/>
      <c r="B30" s="40">
        <v>14</v>
      </c>
      <c r="C30" s="40">
        <v>2</v>
      </c>
      <c r="D30" s="40">
        <v>2.8</v>
      </c>
      <c r="E30" s="40">
        <v>3</v>
      </c>
      <c r="F30" s="40">
        <f>AVERAGE(D30:E30)</f>
        <v>2.9</v>
      </c>
      <c r="G30" s="41">
        <v>7700</v>
      </c>
      <c r="H30" s="43">
        <f>0.1/F30</f>
        <v>0.03448275862068965</v>
      </c>
      <c r="I30" s="68">
        <f>'Лист 1 - Tаблица 1'!S30</f>
        <v>0.06521021629629631</v>
      </c>
    </row>
    <row r="31" ht="19.1" customHeight="1">
      <c r="A31" s="69"/>
      <c r="B31" s="51">
        <v>15</v>
      </c>
      <c r="C31" s="51">
        <v>2</v>
      </c>
      <c r="D31" s="51">
        <v>2.6</v>
      </c>
      <c r="E31" s="51">
        <v>2.4</v>
      </c>
      <c r="F31" s="51">
        <f>AVERAGE(D31:E31)</f>
        <v>2.5</v>
      </c>
      <c r="G31" s="52">
        <v>7700</v>
      </c>
      <c r="H31" s="54">
        <f>0.1/F31</f>
        <v>0.04</v>
      </c>
      <c r="I31" s="70">
        <f>'Лист 1 - Tаблица 1'!S31</f>
        <v>0.071148</v>
      </c>
    </row>
    <row r="32" ht="19.1" customHeight="1">
      <c r="A32" s="65">
        <v>55</v>
      </c>
      <c r="B32" s="28">
        <v>16</v>
      </c>
      <c r="C32" s="28">
        <v>1</v>
      </c>
      <c r="D32" s="28">
        <v>2.1</v>
      </c>
      <c r="E32" s="28">
        <v>1.5</v>
      </c>
      <c r="F32" s="28">
        <f>AVERAGE(D32:E32)</f>
        <v>1.8</v>
      </c>
      <c r="G32" s="30">
        <v>2600</v>
      </c>
      <c r="H32" s="32">
        <f>0.1/F32</f>
        <v>0.05555555555555556</v>
      </c>
      <c r="I32" s="66">
        <f>'Лист 1 - Tаблица 1'!S32</f>
        <v>0.05582787777777778</v>
      </c>
    </row>
    <row r="33" ht="18.9" customHeight="1">
      <c r="A33" s="67"/>
      <c r="B33" s="40">
        <v>17</v>
      </c>
      <c r="C33" s="40">
        <v>1</v>
      </c>
      <c r="D33" s="40">
        <v>1.9</v>
      </c>
      <c r="E33" s="40">
        <v>2.1</v>
      </c>
      <c r="F33" s="40">
        <f>AVERAGE(D33:E33)</f>
        <v>2</v>
      </c>
      <c r="G33" s="41">
        <v>2600</v>
      </c>
      <c r="H33" s="43">
        <f>0.1/F33</f>
        <v>0.05</v>
      </c>
      <c r="I33" s="68">
        <f>'Лист 1 - Tаблица 1'!S33</f>
        <v>0.06406464334705077</v>
      </c>
    </row>
    <row r="34" ht="18.9" customHeight="1">
      <c r="A34" s="67"/>
      <c r="B34" s="40">
        <v>18</v>
      </c>
      <c r="C34" s="40">
        <v>1</v>
      </c>
      <c r="D34" s="40">
        <v>2</v>
      </c>
      <c r="E34" s="40">
        <v>1.9</v>
      </c>
      <c r="F34" s="40">
        <f>AVERAGE(D34:E34)</f>
        <v>1.95</v>
      </c>
      <c r="G34" s="41">
        <v>2600</v>
      </c>
      <c r="H34" s="43">
        <f>0.1/F34</f>
        <v>0.05128205128205129</v>
      </c>
      <c r="I34" s="68">
        <f>'Лист 1 - Tаблица 1'!S34</f>
        <v>0.06346643333333332</v>
      </c>
    </row>
    <row r="35" ht="18.9" customHeight="1">
      <c r="A35" s="67"/>
      <c r="B35" s="40">
        <v>16</v>
      </c>
      <c r="C35" s="40">
        <v>2</v>
      </c>
      <c r="D35" s="40">
        <v>1.8</v>
      </c>
      <c r="E35" s="40">
        <v>1.9</v>
      </c>
      <c r="F35" s="40">
        <f>AVERAGE(D35:E35)</f>
        <v>1.85</v>
      </c>
      <c r="G35" s="41">
        <v>7700</v>
      </c>
      <c r="H35" s="43">
        <f>0.1/F35</f>
        <v>0.05405405405405406</v>
      </c>
      <c r="I35" s="68">
        <f>'Лист 1 - Tаблица 1'!S35</f>
        <v>0.0650217901234568</v>
      </c>
    </row>
    <row r="36" ht="18.9" customHeight="1">
      <c r="A36" s="67"/>
      <c r="B36" s="40">
        <v>17</v>
      </c>
      <c r="C36" s="40">
        <v>2</v>
      </c>
      <c r="D36" s="40">
        <v>2.3</v>
      </c>
      <c r="E36" s="40">
        <v>1.4</v>
      </c>
      <c r="F36" s="40">
        <f>AVERAGE(D36:E36)</f>
        <v>1.85</v>
      </c>
      <c r="G36" s="41">
        <v>7700</v>
      </c>
      <c r="H36" s="43">
        <f>0.1/F36</f>
        <v>0.05405405405405406</v>
      </c>
      <c r="I36" s="68">
        <f>'Лист 1 - Tаблица 1'!S36</f>
        <v>0.04425545590277777</v>
      </c>
    </row>
    <row r="37" ht="19.1" customHeight="1">
      <c r="A37" s="69"/>
      <c r="B37" s="51">
        <v>18</v>
      </c>
      <c r="C37" s="51">
        <v>2</v>
      </c>
      <c r="D37" s="51">
        <v>2.1</v>
      </c>
      <c r="E37" s="51">
        <v>1.9</v>
      </c>
      <c r="F37" s="51">
        <f>AVERAGE(D37:E37)</f>
        <v>2</v>
      </c>
      <c r="G37" s="52">
        <v>7700</v>
      </c>
      <c r="H37" s="54">
        <f>0.1/F37</f>
        <v>0.05</v>
      </c>
      <c r="I37" s="70">
        <f>'Лист 1 - Tаблица 1'!S37</f>
        <v>0.06014515586419753</v>
      </c>
    </row>
  </sheetData>
  <mergeCells count="9">
    <mergeCell ref="A6:A9"/>
    <mergeCell ref="A26:A31"/>
    <mergeCell ref="A18:A21"/>
    <mergeCell ref="A14:A15"/>
    <mergeCell ref="A10:A13"/>
    <mergeCell ref="A32:A37"/>
    <mergeCell ref="A22:A25"/>
    <mergeCell ref="A2:A5"/>
    <mergeCell ref="A16:A17"/>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F37"/>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4.85156" style="71" customWidth="1"/>
    <col min="2" max="2" width="9.85156" style="71" customWidth="1"/>
    <col min="3" max="3" width="7.85156" style="71" customWidth="1"/>
    <col min="4" max="5" width="7.5" style="71" customWidth="1"/>
    <col min="6" max="6" width="8.5" style="71" customWidth="1"/>
    <col min="7" max="256" width="16.3516" style="71" customWidth="1"/>
  </cols>
  <sheetData>
    <row r="1" ht="30.3" customHeight="1">
      <c r="A1" t="s" s="21">
        <v>17</v>
      </c>
      <c r="B1" t="s" s="22">
        <v>21</v>
      </c>
      <c r="C1" t="s" s="23">
        <v>22</v>
      </c>
      <c r="D1" t="s" s="23">
        <v>37</v>
      </c>
      <c r="E1" t="s" s="23">
        <v>38</v>
      </c>
      <c r="F1" t="s" s="23">
        <v>39</v>
      </c>
    </row>
    <row r="2" ht="19.1" customHeight="1">
      <c r="A2" s="65">
        <v>20</v>
      </c>
      <c r="B2" s="28">
        <v>1</v>
      </c>
      <c r="C2" s="28">
        <v>1</v>
      </c>
      <c r="D2" s="28">
        <f>'Лист 1 - Tаблица 1'!V2</f>
        <v>0.03423178021422122</v>
      </c>
      <c r="E2" s="28">
        <f>'Лист 1 - Tаблица 1'!W2</f>
        <v>0.001277352539475106</v>
      </c>
      <c r="F2" s="28">
        <f>'Лист 1 - Tаблица 1'!X2</f>
        <v>0.09999175901587436</v>
      </c>
    </row>
    <row r="3" ht="18.9" customHeight="1">
      <c r="A3" s="67"/>
      <c r="B3" s="40">
        <v>2</v>
      </c>
      <c r="C3" s="40">
        <v>1</v>
      </c>
      <c r="D3" s="40">
        <f>'Лист 1 - Tаблица 1'!V3</f>
        <v>0.03237476003938541</v>
      </c>
      <c r="E3" s="40">
        <f>'Лист 1 - Tаблица 1'!W3</f>
        <v>0.001237435272616509</v>
      </c>
      <c r="F3" s="40">
        <f>'Лист 1 - Tаблица 1'!X3</f>
        <v>0.09999226602954614</v>
      </c>
    </row>
    <row r="4" ht="18.9" customHeight="1">
      <c r="A4" s="67"/>
      <c r="B4" s="40">
        <v>1</v>
      </c>
      <c r="C4" s="40">
        <v>2</v>
      </c>
      <c r="D4" s="40">
        <f>'Лист 1 - Tаблица 1'!V4</f>
        <v>0.03765596415699934</v>
      </c>
      <c r="E4" s="40">
        <f>'Лист 1 - Tаблица 1'!W4</f>
        <v>0.0006778073548259882</v>
      </c>
      <c r="F4" s="40">
        <f>'Лист 1 - Tаблица 1'!X4</f>
        <v>0.09999623440358429</v>
      </c>
    </row>
    <row r="5" ht="19.1" customHeight="1">
      <c r="A5" s="69"/>
      <c r="B5" s="51">
        <v>2</v>
      </c>
      <c r="C5" s="51">
        <v>2</v>
      </c>
      <c r="D5" s="51">
        <f>'Лист 1 - Tаблица 1'!V5</f>
        <v>0.02879323243864762</v>
      </c>
      <c r="E5" s="51">
        <f>'Лист 1 - Tаблица 1'!W5</f>
        <v>0.0005674666226450133</v>
      </c>
      <c r="F5" s="51">
        <f>'Лист 1 - Tаблица 1'!X5</f>
        <v>0.0999973606203598</v>
      </c>
    </row>
    <row r="6" ht="19.1" customHeight="1">
      <c r="A6" s="65">
        <v>25</v>
      </c>
      <c r="B6" s="28">
        <v>3</v>
      </c>
      <c r="C6" s="28">
        <v>1</v>
      </c>
      <c r="D6" s="28">
        <f>'Лист 1 - Tаблица 1'!V6</f>
        <v>0.03161746406751776</v>
      </c>
      <c r="E6" s="28">
        <f>'Лист 1 - Tаблица 1'!W6</f>
        <v>0.001197950583002617</v>
      </c>
      <c r="F6" s="28">
        <f>'Лист 1 - Tаблица 1'!X6</f>
        <v>0.09999273969343635</v>
      </c>
    </row>
    <row r="7" ht="18.9" customHeight="1">
      <c r="A7" s="67"/>
      <c r="B7" s="40">
        <v>4</v>
      </c>
      <c r="C7" s="40">
        <v>1</v>
      </c>
      <c r="D7" s="40">
        <f>'Лист 1 - Tаблица 1'!V7</f>
        <v>0.0361200297608464</v>
      </c>
      <c r="E7" s="40">
        <f>'Лист 1 - Tаблица 1'!W7</f>
        <v>0.001275237717389883</v>
      </c>
      <c r="F7" s="40">
        <f>'Лист 1 - Tаблица 1'!X7</f>
        <v>0.0999917726598878</v>
      </c>
    </row>
    <row r="8" ht="18.9" customHeight="1">
      <c r="A8" s="67"/>
      <c r="B8" s="40">
        <v>3</v>
      </c>
      <c r="C8" s="40">
        <v>2</v>
      </c>
      <c r="D8" s="40">
        <f>'Лист 1 - Tаблица 1'!V8</f>
        <v>0.04887081935593961</v>
      </c>
      <c r="E8" s="40">
        <f>'Лист 1 - Tаблица 1'!W8</f>
        <v>0.0007391711427585865</v>
      </c>
      <c r="F8" s="40">
        <f>'Лист 1 - Tаблица 1'!X8</f>
        <v>0.09999552017489237</v>
      </c>
    </row>
    <row r="9" ht="19.1" customHeight="1">
      <c r="A9" s="69"/>
      <c r="B9" s="51">
        <v>4</v>
      </c>
      <c r="C9" s="51">
        <v>2</v>
      </c>
      <c r="D9" s="51">
        <f>'Лист 1 - Tаблица 1'!V9</f>
        <v>0.02597034624544408</v>
      </c>
      <c r="E9" s="51">
        <f>'Лист 1 - Tаблица 1'!W9</f>
        <v>0.0004782872100202619</v>
      </c>
      <c r="F9" s="51">
        <f>'Лист 1 - Tаблица 1'!X9</f>
        <v>0.09999812436388227</v>
      </c>
    </row>
    <row r="10" ht="19.1" customHeight="1">
      <c r="A10" s="65">
        <v>30</v>
      </c>
      <c r="B10" s="28">
        <v>5</v>
      </c>
      <c r="C10" s="28">
        <v>1</v>
      </c>
      <c r="D10" s="28">
        <f>'Лист 1 - Tаблица 1'!V10</f>
        <v>0.09297094378784775</v>
      </c>
      <c r="E10" s="28">
        <f>'Лист 1 - Tаблица 1'!W10</f>
        <v>0.002077211920000709</v>
      </c>
      <c r="F10" s="28">
        <f>'Лист 1 - Tаблица 1'!X10</f>
        <v>0.09997813461136841</v>
      </c>
    </row>
    <row r="11" ht="18.9" customHeight="1">
      <c r="A11" s="67"/>
      <c r="B11" s="40">
        <v>6</v>
      </c>
      <c r="C11" s="40">
        <v>1</v>
      </c>
      <c r="D11" s="40">
        <f>'Лист 1 - Tаблица 1'!V11</f>
        <v>0.107833405683097</v>
      </c>
      <c r="E11" s="40">
        <f>'Лист 1 - Tаблица 1'!W11</f>
        <v>0.002192612582222971</v>
      </c>
      <c r="F11" s="40">
        <f>'Лист 1 - Tаблица 1'!X11</f>
        <v>0.0999756376379753</v>
      </c>
    </row>
    <row r="12" ht="18.9" customHeight="1">
      <c r="A12" s="67"/>
      <c r="B12" s="40">
        <v>5</v>
      </c>
      <c r="C12" s="40">
        <v>2</v>
      </c>
      <c r="D12" s="40">
        <f>'Лист 1 - Tаблица 1'!V12</f>
        <v>0.1133564711150918</v>
      </c>
      <c r="E12" s="40">
        <f>'Лист 1 - Tаблица 1'!W12</f>
        <v>0.001108374384236453</v>
      </c>
      <c r="F12" s="40">
        <f>'Лист 1 - Tаблица 1'!X12</f>
        <v>0.09998992386923422</v>
      </c>
    </row>
    <row r="13" ht="19.1" customHeight="1">
      <c r="A13" s="69"/>
      <c r="B13" s="51">
        <v>6</v>
      </c>
      <c r="C13" s="51">
        <v>2</v>
      </c>
      <c r="D13" s="51">
        <f>'Лист 1 - Tаблица 1'!V13</f>
        <v>0.08377863259355516</v>
      </c>
      <c r="E13" s="51">
        <f>'Лист 1 - Tаблица 1'!W13</f>
        <v>0.0009378552482000758</v>
      </c>
      <c r="F13" s="51">
        <f>'Лист 1 - Tаблица 1'!X13</f>
        <v>0.09999278572886</v>
      </c>
    </row>
    <row r="14" ht="19.1" customHeight="1">
      <c r="A14" s="65">
        <v>35.4</v>
      </c>
      <c r="B14" s="28">
        <v>7</v>
      </c>
      <c r="C14" s="28">
        <v>1</v>
      </c>
      <c r="D14" s="28">
        <f>'Лист 1 - Tаблица 1'!V14</f>
        <v>0.1715543694891627</v>
      </c>
      <c r="E14" s="28">
        <f>'Лист 1 - Tаблица 1'!W14</f>
        <v>0.002774415386571959</v>
      </c>
      <c r="F14" s="28">
        <f>'Лист 1 - Tаблица 1'!X14</f>
        <v>0.0999609237269497</v>
      </c>
    </row>
    <row r="15" ht="19.1" customHeight="1">
      <c r="A15" s="69"/>
      <c r="B15" s="51">
        <v>8</v>
      </c>
      <c r="C15" s="51">
        <v>2</v>
      </c>
      <c r="D15" s="51">
        <f>'Лист 1 - Tаблица 1'!V15</f>
        <v>0.4794785695418085</v>
      </c>
      <c r="E15" s="51">
        <f>'Лист 1 - Tаблица 1'!W15</f>
        <v>0.002014475934533292</v>
      </c>
      <c r="F15" s="51">
        <f>'Лист 1 - Tаблица 1'!X15</f>
        <v>0.09996670287711515</v>
      </c>
    </row>
    <row r="16" ht="19.1" customHeight="1">
      <c r="A16" s="65">
        <v>35</v>
      </c>
      <c r="B16" s="28">
        <v>7</v>
      </c>
      <c r="C16" s="28">
        <v>1</v>
      </c>
      <c r="D16" s="28">
        <f>'Лист 1 - Tаблица 1'!V16</f>
        <v>0.1691857288566785</v>
      </c>
      <c r="E16" s="28">
        <f>'Лист 1 - Tаблица 1'!W16</f>
        <v>0.002755377578574184</v>
      </c>
      <c r="F16" s="28">
        <f>'Лист 1 - Tаблица 1'!X16</f>
        <v>0.09996146325064931</v>
      </c>
    </row>
    <row r="17" ht="19.1" customHeight="1">
      <c r="A17" s="69"/>
      <c r="B17" s="51">
        <v>8</v>
      </c>
      <c r="C17" s="51">
        <v>2</v>
      </c>
      <c r="D17" s="51">
        <f>'Лист 1 - Tаблица 1'!V17</f>
        <v>0.1218791549711922</v>
      </c>
      <c r="E17" s="51">
        <f>'Лист 1 - Tаблица 1'!W17</f>
        <v>0.001015659624759935</v>
      </c>
      <c r="F17" s="51">
        <f>'Лист 1 - Tаблица 1'!X17</f>
        <v>0.09999153616979367</v>
      </c>
    </row>
    <row r="18" ht="19.1" customHeight="1">
      <c r="A18" s="65">
        <v>40</v>
      </c>
      <c r="B18" s="28">
        <v>9</v>
      </c>
      <c r="C18" s="28">
        <v>1</v>
      </c>
      <c r="D18" s="28">
        <f>'Лист 1 - Tаблица 1'!V18</f>
        <v>0.3240812889606995</v>
      </c>
      <c r="E18" s="28">
        <f>'Лист 1 - Tаблица 1'!W18</f>
        <v>0.003856567338632324</v>
      </c>
      <c r="F18" s="28">
        <f>'Лист 1 - Tаблица 1'!X18</f>
        <v>0.09992438103257585</v>
      </c>
    </row>
    <row r="19" ht="18.9" customHeight="1">
      <c r="A19" s="67"/>
      <c r="B19" s="40">
        <v>10</v>
      </c>
      <c r="C19" s="40">
        <v>1</v>
      </c>
      <c r="D19" s="40">
        <f>'Лист 1 - Tаблица 1'!V19</f>
        <v>0.3431448941936818</v>
      </c>
      <c r="E19" s="40">
        <f>'Лист 1 - Tаблица 1'!W19</f>
        <v>0.003856567338632323</v>
      </c>
      <c r="F19" s="40">
        <f>'Лист 1 - Tаблица 1'!X19</f>
        <v>0.09992438103257585</v>
      </c>
    </row>
    <row r="20" ht="18.9" customHeight="1">
      <c r="A20" s="67"/>
      <c r="B20" s="40">
        <v>9</v>
      </c>
      <c r="C20" s="40">
        <v>2</v>
      </c>
      <c r="D20" s="40">
        <f>'Лист 1 - Tаблица 1'!V20</f>
        <v>0.1342558199897966</v>
      </c>
      <c r="E20" s="40">
        <f>'Лист 1 - Tаблица 1'!W20</f>
        <v>0.001107610514915822</v>
      </c>
      <c r="F20" s="40">
        <f>'Лист 1 - Tаблица 1'!X20</f>
        <v>0.09998993081350079</v>
      </c>
    </row>
    <row r="21" ht="19.1" customHeight="1">
      <c r="A21" s="69"/>
      <c r="B21" s="51">
        <v>10</v>
      </c>
      <c r="C21" s="51">
        <v>2</v>
      </c>
      <c r="D21" s="51">
        <f>'Лист 1 - Tаблица 1'!V21</f>
        <v>0.7166188999553401</v>
      </c>
      <c r="E21" s="51">
        <f>'Лист 1 - Tаблица 1'!W21</f>
        <v>0.002412616963182978</v>
      </c>
      <c r="F21" s="51">
        <f>'Лист 1 - Tаблица 1'!X21</f>
        <v>0.09995222540666963</v>
      </c>
    </row>
    <row r="22" ht="19.1" customHeight="1">
      <c r="A22" s="65">
        <v>45</v>
      </c>
      <c r="B22" s="28">
        <v>11</v>
      </c>
      <c r="C22" s="28">
        <v>1</v>
      </c>
      <c r="D22" s="28">
        <f>'Лист 1 - Tаблица 1'!V22</f>
        <v>0.5622106489193563</v>
      </c>
      <c r="E22" s="28">
        <f>'Лист 1 - Tаблица 1'!W22</f>
        <v>0.005034908700322233</v>
      </c>
      <c r="F22" s="28">
        <f>'Лист 1 - Tаблица 1'!X22</f>
        <v>0.09987089977691482</v>
      </c>
    </row>
    <row r="23" ht="18.9" customHeight="1">
      <c r="A23" s="67"/>
      <c r="B23" s="40">
        <v>12</v>
      </c>
      <c r="C23" s="40">
        <v>1</v>
      </c>
      <c r="D23" s="40">
        <f>'Лист 1 - Tаблица 1'!V23</f>
        <v>0.8434769729921272</v>
      </c>
      <c r="E23" s="40">
        <f>'Лист 1 - Tаблица 1'!W23</f>
        <v>0.005454484425349088</v>
      </c>
      <c r="F23" s="40">
        <f>'Лист 1 - Tаблица 1'!X23</f>
        <v>0.09984848654374032</v>
      </c>
    </row>
    <row r="24" ht="18.9" customHeight="1">
      <c r="A24" s="67"/>
      <c r="B24" s="40">
        <v>11</v>
      </c>
      <c r="C24" s="40">
        <v>2</v>
      </c>
      <c r="D24" s="40">
        <f>'Лист 1 - Tаблица 1'!V24</f>
        <v>0.8100440603215512</v>
      </c>
      <c r="E24" s="40">
        <f>'Лист 1 - Tаблица 1'!W24</f>
        <v>0.003007288573943757</v>
      </c>
      <c r="F24" s="40">
        <f>'Лист 1 - Tаблица 1'!X24</f>
        <v>0.09992574596113719</v>
      </c>
    </row>
    <row r="25" ht="19.1" customHeight="1">
      <c r="A25" s="69"/>
      <c r="B25" s="51">
        <v>12</v>
      </c>
      <c r="C25" s="51">
        <v>2</v>
      </c>
      <c r="D25" s="51">
        <f>'Лист 1 - Tаблица 1'!V25</f>
        <v>0.6588469933598798</v>
      </c>
      <c r="E25" s="51">
        <f>'Лист 1 - Tаблица 1'!W25</f>
        <v>0.00221445794990404</v>
      </c>
      <c r="F25" s="51">
        <f>'Лист 1 - Tаблица 1'!X25</f>
        <v>0.09995973712818358</v>
      </c>
    </row>
    <row r="26" ht="19.1" customHeight="1">
      <c r="A26" s="65">
        <v>50</v>
      </c>
      <c r="B26" s="28">
        <v>13</v>
      </c>
      <c r="C26" s="28">
        <v>1</v>
      </c>
      <c r="D26" s="28">
        <f>'Лист 1 - Tаблица 1'!V26</f>
        <v>1.180602268808788</v>
      </c>
      <c r="E26" s="28">
        <f>'Лист 1 - Tаблица 1'!W26</f>
        <v>0.007260703953174044</v>
      </c>
      <c r="F26" s="28">
        <f>'Лист 1 - Tаблица 1'!X26</f>
        <v>0.09973108503877134</v>
      </c>
    </row>
    <row r="27" ht="18.9" customHeight="1">
      <c r="A27" s="67"/>
      <c r="B27" s="40">
        <v>14</v>
      </c>
      <c r="C27" s="40">
        <v>1</v>
      </c>
      <c r="D27" s="40">
        <f>'Лист 1 - Tаблица 1'!V27</f>
        <v>1.509373802052129</v>
      </c>
      <c r="E27" s="40">
        <f>'Лист 1 - Tаблица 1'!W27</f>
        <v>0.008342085393008476</v>
      </c>
      <c r="F27" s="40">
        <f>'Лист 1 - Tаблица 1'!X27</f>
        <v>0.09964501764285072</v>
      </c>
    </row>
    <row r="28" ht="18.9" customHeight="1">
      <c r="A28" s="67"/>
      <c r="B28" s="40">
        <v>15</v>
      </c>
      <c r="C28" s="40">
        <v>1</v>
      </c>
      <c r="D28" s="40">
        <f>'Лист 1 - Tаблица 1'!V28</f>
        <v>1.445587066007709</v>
      </c>
      <c r="E28" s="40">
        <f>'Лист 1 - Tаблица 1'!W28</f>
        <v>0.008001592111661191</v>
      </c>
      <c r="F28" s="40">
        <f>'Лист 1 - Tаблица 1'!X28</f>
        <v>0.09967340440360566</v>
      </c>
    </row>
    <row r="29" ht="18.9" customHeight="1">
      <c r="A29" s="67"/>
      <c r="B29" s="40">
        <v>13</v>
      </c>
      <c r="C29" s="40">
        <v>2</v>
      </c>
      <c r="D29" s="40">
        <f>'Лист 1 - Tаблица 1'!V29</f>
        <v>1.341633573038532</v>
      </c>
      <c r="E29" s="40">
        <f>'Лист 1 - Tаблица 1'!W29</f>
        <v>0.003689492325855963</v>
      </c>
      <c r="F29" s="40">
        <f>'Лист 1 - Tаблица 1'!X29</f>
        <v>0.0998881972022468</v>
      </c>
    </row>
    <row r="30" ht="18.9" customHeight="1">
      <c r="A30" s="67"/>
      <c r="B30" s="40">
        <v>14</v>
      </c>
      <c r="C30" s="40">
        <v>2</v>
      </c>
      <c r="D30" s="40">
        <f>'Лист 1 - Tаблица 1'!V30</f>
        <v>1.628684929814537</v>
      </c>
      <c r="E30" s="40">
        <f>'Лист 1 - Tаблица 1'!W30</f>
        <v>0.004198387819077475</v>
      </c>
      <c r="F30" s="40">
        <f>'Лист 1 - Tаблица 1'!X30</f>
        <v>0.09985522800623871</v>
      </c>
    </row>
    <row r="31" ht="19.1" customHeight="1">
      <c r="A31" s="69"/>
      <c r="B31" s="51">
        <v>15</v>
      </c>
      <c r="C31" s="51">
        <v>2</v>
      </c>
      <c r="D31" s="51">
        <f>'Лист 1 - Tаблица 1'!V31</f>
        <v>1.948051948051948</v>
      </c>
      <c r="E31" s="51">
        <f>'Лист 1 - Tаблица 1'!W31</f>
        <v>0.00487012987012987</v>
      </c>
      <c r="F31" s="51">
        <f>'Лист 1 - Tаблица 1'!X31</f>
        <v>0.09980519480519481</v>
      </c>
    </row>
    <row r="32" ht="19.1" customHeight="1">
      <c r="A32" s="65">
        <v>55</v>
      </c>
      <c r="B32" s="28">
        <v>16</v>
      </c>
      <c r="C32" s="28">
        <v>1</v>
      </c>
      <c r="D32" s="28">
        <f>'Лист 1 - Tаблица 1'!V32</f>
        <v>2.652000424320069</v>
      </c>
      <c r="E32" s="28">
        <f>'Лист 1 - Tаблица 1'!W32</f>
        <v>0.01087320173971228</v>
      </c>
      <c r="F32" s="28">
        <f>'Лист 1 - Tаблица 1'!X32</f>
        <v>0.09939593323668265</v>
      </c>
    </row>
    <row r="33" ht="18.9" customHeight="1">
      <c r="A33" s="67"/>
      <c r="B33" s="40">
        <v>17</v>
      </c>
      <c r="C33" s="40">
        <v>1</v>
      </c>
      <c r="D33" s="40">
        <f>'Лист 1 - Tаблица 1'!V33</f>
        <v>2.113750418200067</v>
      </c>
      <c r="E33" s="40">
        <f>'Лист 1 - Tаблица 1'!W33</f>
        <v>0.009785881565741051</v>
      </c>
      <c r="F33" s="40">
        <f>'Лист 1 - Tаблица 1'!X33</f>
        <v>0.09951070592171295</v>
      </c>
    </row>
    <row r="34" ht="18.9" customHeight="1">
      <c r="A34" s="67"/>
      <c r="B34" s="40">
        <v>18</v>
      </c>
      <c r="C34" s="40">
        <v>1</v>
      </c>
      <c r="D34" s="40">
        <f>'Лист 1 - Tаблица 1'!V34</f>
        <v>2.205890462832585</v>
      </c>
      <c r="E34" s="40">
        <f>'Лист 1 - Tаблица 1'!W34</f>
        <v>0.01003680160588826</v>
      </c>
      <c r="F34" s="40">
        <f>'Лист 1 - Tаблица 1'!X34</f>
        <v>0.09948529222533906</v>
      </c>
    </row>
    <row r="35" ht="18.9" customHeight="1">
      <c r="A35" s="67"/>
      <c r="B35" s="40">
        <v>16</v>
      </c>
      <c r="C35" s="40">
        <v>2</v>
      </c>
      <c r="D35" s="40">
        <f>'Лист 1 - Tаблица 1'!V35</f>
        <v>3.200590259249607</v>
      </c>
      <c r="E35" s="40">
        <f>'Лист 1 - Tаблица 1'!W35</f>
        <v>0.006578991088457524</v>
      </c>
      <c r="F35" s="40">
        <f>'Лист 1 - Tаблица 1'!X35</f>
        <v>0.0996443788600834</v>
      </c>
    </row>
    <row r="36" ht="18.9" customHeight="1">
      <c r="A36" s="67"/>
      <c r="B36" s="40">
        <v>17</v>
      </c>
      <c r="C36" s="40">
        <v>2</v>
      </c>
      <c r="D36" s="40">
        <f>'Лист 1 - Tаблица 1'!V36</f>
        <v>3.879503344544979</v>
      </c>
      <c r="E36" s="40">
        <f>'Лист 1 - Tаблица 1'!W36</f>
        <v>0.006578991088457525</v>
      </c>
      <c r="F36" s="40">
        <f>'Лист 1 - Tаблица 1'!X36</f>
        <v>0.09964437886008339</v>
      </c>
    </row>
    <row r="37" ht="19.1" customHeight="1">
      <c r="A37" s="69"/>
      <c r="B37" s="51">
        <v>18</v>
      </c>
      <c r="C37" s="51">
        <v>2</v>
      </c>
      <c r="D37" s="51">
        <f>'Лист 1 - Tаблица 1'!V37</f>
        <v>2.960545989805887</v>
      </c>
      <c r="E37" s="51">
        <f>'Лист 1 - Tаблица 1'!W37</f>
        <v>0.006085566756823211</v>
      </c>
      <c r="F37" s="51">
        <f>'Лист 1 - Tаблица 1'!X37</f>
        <v>0.09969572166215884</v>
      </c>
    </row>
  </sheetData>
  <mergeCells count="9">
    <mergeCell ref="A6:A9"/>
    <mergeCell ref="A26:A31"/>
    <mergeCell ref="A18:A21"/>
    <mergeCell ref="A14:A15"/>
    <mergeCell ref="A10:A13"/>
    <mergeCell ref="A32:A37"/>
    <mergeCell ref="A22:A25"/>
    <mergeCell ref="A2:A5"/>
    <mergeCell ref="A16:A17"/>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D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6" style="72" customWidth="1"/>
    <col min="2" max="2" width="4.85156" style="72" customWidth="1"/>
    <col min="3" max="3" width="6.67188" style="72" customWidth="1"/>
    <col min="4" max="4" width="5.35156" style="72" customWidth="1"/>
    <col min="5" max="256" width="16.3516" style="72" customWidth="1"/>
  </cols>
  <sheetData>
    <row r="1" ht="19.5" customHeight="1">
      <c r="A1" t="s" s="23">
        <v>42</v>
      </c>
      <c r="B1" t="s" s="23">
        <v>43</v>
      </c>
      <c r="C1" t="s" s="23">
        <v>44</v>
      </c>
      <c r="D1" t="s" s="25">
        <v>45</v>
      </c>
    </row>
    <row r="2" ht="19.3" customHeight="1">
      <c r="A2" s="73">
        <f>'Лист 1 - Tаблица 1'!AB2</f>
        <v>3.412969283276451</v>
      </c>
      <c r="B2" s="74">
        <f>'Лист 1 - Tаблица 1'!AC2</f>
        <v>0.03412969283276451</v>
      </c>
      <c r="C2" s="75">
        <f>'Лист 1 - Tаблица 1'!AD2</f>
        <v>-0.6468743153610909</v>
      </c>
      <c r="D2" s="76">
        <f>'Лист 1 - Tаблица 1'!AE2</f>
        <v>0.1809144744737102</v>
      </c>
    </row>
    <row r="3" ht="19.3" customHeight="1">
      <c r="A3" s="73">
        <f>'Лист 1 - Tаблица 1'!AB6</f>
        <v>3.355704697986577</v>
      </c>
      <c r="B3" s="74">
        <f>'Лист 1 - Tаблица 1'!AC6</f>
        <v>0.02684563758389261</v>
      </c>
      <c r="C3" s="75">
        <f>'Лист 1 - Tаблица 1'!AD6</f>
        <v>-0.8194001096349123</v>
      </c>
      <c r="D3" s="76">
        <f>'Лист 1 - Tаблица 1'!AE6</f>
        <v>0.1399542257036249</v>
      </c>
    </row>
    <row r="4" ht="19.3" customHeight="1">
      <c r="A4" s="73">
        <f>'Лист 1 - Tаблица 1'!AB10</f>
        <v>3.3003300330033</v>
      </c>
      <c r="B4" s="74">
        <f>'Лист 1 - Tаблица 1'!AC10</f>
        <v>0.022002200220022</v>
      </c>
      <c r="C4" s="75">
        <f>'Лист 1 - Tаблица 1'!AD10</f>
        <v>-1.286554401824087</v>
      </c>
      <c r="D4" s="76">
        <f>'Лист 1 - Tаблица 1'!AE10</f>
        <v>0.05319104046314681</v>
      </c>
    </row>
    <row r="5" ht="19.3" customHeight="1">
      <c r="A5" s="73">
        <f>'Лист 1 - Tаблица 1'!AB14</f>
        <v>3.24254215304799</v>
      </c>
      <c r="B5" s="74">
        <f>'Лист 1 - Tаблица 1'!AC14</f>
        <v>0.01831944719236153</v>
      </c>
      <c r="C5" s="75">
        <f>'Лист 1 - Tаблица 1'!AD14</f>
        <v>-1.891320830108623</v>
      </c>
      <c r="D5" s="76">
        <f>'Лист 1 - Tаблица 1'!AE14</f>
        <v>0.03861826799177704</v>
      </c>
    </row>
    <row r="6" ht="19.3" customHeight="1">
      <c r="A6" s="73">
        <f>'Лист 1 - Tаблица 1'!AB16</f>
        <v>3.246753246753247</v>
      </c>
      <c r="B6" s="74">
        <f>'Лист 1 - Tаблица 1'!AC16</f>
        <v>0.01855287569573284</v>
      </c>
      <c r="C6" s="75">
        <f>'Лист 1 - Tаблица 1'!AD16</f>
        <v>-1.648098511332514</v>
      </c>
      <c r="D6" s="76">
        <f>'Лист 1 - Tаблица 1'!AE16</f>
        <v>0.02755305897734949</v>
      </c>
    </row>
    <row r="7" ht="19.3" customHeight="1">
      <c r="A7" s="73">
        <f>'Лист 1 - Tаблица 1'!AB18</f>
        <v>3.194888178913738</v>
      </c>
      <c r="B7" s="74">
        <f>'Лист 1 - Tаблица 1'!AC18</f>
        <v>0.01597444089456869</v>
      </c>
      <c r="C7" s="28">
        <f>'Лист 1 - Tаблица 1'!AD18</f>
        <v>-1.979951068094367</v>
      </c>
      <c r="D7" s="76">
        <f>'Лист 1 - Tаблица 1'!AE18</f>
        <v>0.02803680338186968</v>
      </c>
    </row>
    <row r="8" ht="19.3" customHeight="1">
      <c r="A8" s="73">
        <f>'Лист 1 - Tаблица 1'!AB22</f>
        <v>3.144654088050315</v>
      </c>
      <c r="B8" s="74">
        <f>'Лист 1 - Tаблица 1'!AC22</f>
        <v>0.01397624039133473</v>
      </c>
      <c r="C8" s="40">
        <f>'Лист 1 - Tаблица 1'!AD22</f>
        <v>-2.444732011683628</v>
      </c>
      <c r="D8" s="36">
        <f>'Лист 1 - Tаблица 1'!AE22</f>
        <v>0.01709110737754893</v>
      </c>
    </row>
    <row r="9" ht="19.3" customHeight="1">
      <c r="A9" s="73">
        <f>'Лист 1 - Tаблица 1'!AB26</f>
        <v>3.095975232198143</v>
      </c>
      <c r="B9" s="29">
        <f>'Лист 1 - Tаблица 1'!AC26</f>
        <v>0.01238390092879257</v>
      </c>
      <c r="C9" s="40">
        <f>'Лист 1 - Tаблица 1'!AD26</f>
        <v>-2.618682043042453</v>
      </c>
      <c r="D9" s="77">
        <f>'Лист 1 - Tаблица 1'!AE26</f>
        <v>0.01556751778610845</v>
      </c>
    </row>
    <row r="10" ht="19.1" customHeight="1">
      <c r="A10" s="35">
        <f>'Лист 1 - Tаблица 1'!AB32</f>
        <v>3.048780487804878</v>
      </c>
      <c r="B10" s="78">
        <f>'Лист 1 - Tаблица 1'!AC32</f>
        <v>0.01108647450110865</v>
      </c>
      <c r="C10" s="40">
        <f>'Лист 1 - Tаблица 1'!AD32</f>
        <v>-2.833666270290803</v>
      </c>
      <c r="D10" s="77">
        <f>'Лист 1 - Tаблица 1'!AE32</f>
        <v>0.01535561090073855</v>
      </c>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D37"/>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6" style="79" customWidth="1"/>
    <col min="2" max="2" width="4.85156" style="79" customWidth="1"/>
    <col min="3" max="3" width="6.67188" style="79" customWidth="1"/>
    <col min="4" max="4" width="5.35156" style="79" customWidth="1"/>
    <col min="5" max="256" width="16.3516" style="79" customWidth="1"/>
  </cols>
  <sheetData>
    <row r="1" ht="19.5" customHeight="1">
      <c r="A1" t="s" s="23">
        <v>42</v>
      </c>
      <c r="B1" t="s" s="23">
        <v>43</v>
      </c>
      <c r="C1" t="s" s="23">
        <v>44</v>
      </c>
      <c r="D1" t="s" s="25">
        <v>45</v>
      </c>
    </row>
    <row r="2" ht="8.35" customHeight="1">
      <c r="A2" s="35">
        <f>'Лист 1 - Tаблица 1'!AB2</f>
        <v>3.412969283276451</v>
      </c>
      <c r="B2" s="29">
        <f>'Лист 1 - Tаблица 1'!AC2</f>
        <v>0.03412969283276451</v>
      </c>
      <c r="C2" s="28">
        <f>'Лист 1 - Tаблица 1'!AD2</f>
        <v>-0.6468743153610909</v>
      </c>
      <c r="D2" s="36">
        <f>'Лист 1 - Tаблица 1'!AE2</f>
        <v>0.1809144744737102</v>
      </c>
    </row>
    <row r="3" ht="8" customHeight="1">
      <c r="A3" s="80"/>
      <c r="B3" s="39"/>
      <c r="C3" s="39"/>
      <c r="D3" s="47"/>
    </row>
    <row r="4" ht="8" customHeight="1">
      <c r="A4" s="80"/>
      <c r="B4" s="39"/>
      <c r="C4" s="39"/>
      <c r="D4" s="47"/>
    </row>
    <row r="5" ht="8.35" customHeight="1">
      <c r="A5" s="81"/>
      <c r="B5" s="50"/>
      <c r="C5" s="50"/>
      <c r="D5" s="58"/>
    </row>
    <row r="6" ht="8.35" customHeight="1">
      <c r="A6" s="35">
        <f>'Лист 1 - Tаблица 1'!AB6</f>
        <v>3.355704697986577</v>
      </c>
      <c r="B6" s="29">
        <f>'Лист 1 - Tаблица 1'!AC6</f>
        <v>0.02684563758389261</v>
      </c>
      <c r="C6" s="28">
        <f>'Лист 1 - Tаблица 1'!AD6</f>
        <v>-0.8194001096349123</v>
      </c>
      <c r="D6" s="36">
        <f>'Лист 1 - Tаблица 1'!AE6</f>
        <v>0.1399542257036249</v>
      </c>
    </row>
    <row r="7" ht="8" customHeight="1">
      <c r="A7" s="80"/>
      <c r="B7" s="39"/>
      <c r="C7" s="39"/>
      <c r="D7" s="47"/>
    </row>
    <row r="8" ht="8" customHeight="1">
      <c r="A8" s="80"/>
      <c r="B8" s="39"/>
      <c r="C8" s="39"/>
      <c r="D8" s="47"/>
    </row>
    <row r="9" ht="8.35" customHeight="1">
      <c r="A9" s="81"/>
      <c r="B9" s="50"/>
      <c r="C9" s="50"/>
      <c r="D9" s="58"/>
    </row>
    <row r="10" ht="8.35" customHeight="1">
      <c r="A10" s="35">
        <f>'Лист 1 - Tаблица 1'!AB10</f>
        <v>3.3003300330033</v>
      </c>
      <c r="B10" s="29">
        <f>'Лист 1 - Tаблица 1'!AC10</f>
        <v>0.022002200220022</v>
      </c>
      <c r="C10" s="28">
        <f>'Лист 1 - Tаблица 1'!AD10</f>
        <v>-1.286554401824087</v>
      </c>
      <c r="D10" s="36">
        <f>'Лист 1 - Tаблица 1'!AE10</f>
        <v>0.05319104046314681</v>
      </c>
    </row>
    <row r="11" ht="8" customHeight="1">
      <c r="A11" s="80"/>
      <c r="B11" s="39"/>
      <c r="C11" s="39"/>
      <c r="D11" s="47"/>
    </row>
    <row r="12" ht="8" customHeight="1">
      <c r="A12" s="80"/>
      <c r="B12" s="39"/>
      <c r="C12" s="39"/>
      <c r="D12" s="47"/>
    </row>
    <row r="13" ht="8.35" customHeight="1">
      <c r="A13" s="81"/>
      <c r="B13" s="50"/>
      <c r="C13" s="50"/>
      <c r="D13" s="58"/>
    </row>
    <row r="14" ht="8.35" customHeight="1">
      <c r="A14" s="35">
        <f>'Лист 1 - Tаблица 1'!AB14</f>
        <v>3.24254215304799</v>
      </c>
      <c r="B14" s="29">
        <f>'Лист 1 - Tаблица 1'!AC14</f>
        <v>0.01831944719236153</v>
      </c>
      <c r="C14" s="28">
        <f>'Лист 1 - Tаблица 1'!AD14</f>
        <v>-1.891320830108623</v>
      </c>
      <c r="D14" s="36">
        <f>'Лист 1 - Tаблица 1'!AE14</f>
        <v>0.03861826799177704</v>
      </c>
    </row>
    <row r="15" ht="10.55" customHeight="1">
      <c r="A15" s="81"/>
      <c r="B15" s="50"/>
      <c r="C15" s="50"/>
      <c r="D15" s="58"/>
    </row>
    <row r="16" ht="8.35" customHeight="1">
      <c r="A16" s="35">
        <f>'Лист 1 - Tаблица 1'!AB16</f>
        <v>3.246753246753247</v>
      </c>
      <c r="B16" s="29">
        <f>'Лист 1 - Tаблица 1'!AC16</f>
        <v>0.01855287569573284</v>
      </c>
      <c r="C16" s="28">
        <f>'Лист 1 - Tаблица 1'!AD16</f>
        <v>-1.648098511332514</v>
      </c>
      <c r="D16" s="36">
        <f>'Лист 1 - Tаблица 1'!AE16</f>
        <v>0.02755305897734949</v>
      </c>
    </row>
    <row r="17" ht="10.55" customHeight="1">
      <c r="A17" s="81"/>
      <c r="B17" s="50"/>
      <c r="C17" s="50"/>
      <c r="D17" s="58"/>
    </row>
    <row r="18" ht="8.35" customHeight="1">
      <c r="A18" s="35">
        <f>'Лист 1 - Tаблица 1'!AB18</f>
        <v>3.194888178913738</v>
      </c>
      <c r="B18" s="29">
        <f>'Лист 1 - Tаблица 1'!AC18</f>
        <v>0.01597444089456869</v>
      </c>
      <c r="C18" s="28">
        <f>'Лист 1 - Tаблица 1'!AD18</f>
        <v>-1.979951068094367</v>
      </c>
      <c r="D18" s="36">
        <f>'Лист 1 - Tаблица 1'!AE18</f>
        <v>0.02803680338186968</v>
      </c>
    </row>
    <row r="19" ht="8" customHeight="1">
      <c r="A19" s="80"/>
      <c r="B19" s="39"/>
      <c r="C19" s="39"/>
      <c r="D19" s="47"/>
    </row>
    <row r="20" ht="8" customHeight="1">
      <c r="A20" s="80"/>
      <c r="B20" s="39"/>
      <c r="C20" s="39"/>
      <c r="D20" s="47"/>
    </row>
    <row r="21" ht="8.35" customHeight="1">
      <c r="A21" s="81"/>
      <c r="B21" s="50"/>
      <c r="C21" s="50"/>
      <c r="D21" s="58"/>
    </row>
    <row r="22" ht="8.35" customHeight="1">
      <c r="A22" s="35">
        <f>'Лист 1 - Tаблица 1'!AB22</f>
        <v>3.144654088050315</v>
      </c>
      <c r="B22" s="29">
        <f>'Лист 1 - Tаблица 1'!AC22</f>
        <v>0.01397624039133473</v>
      </c>
      <c r="C22" s="28">
        <f>'Лист 1 - Tаблица 1'!AD22</f>
        <v>-2.444732011683628</v>
      </c>
      <c r="D22" s="36">
        <f>'Лист 1 - Tаблица 1'!AE22</f>
        <v>0.01709110737754893</v>
      </c>
    </row>
    <row r="23" ht="8" customHeight="1">
      <c r="A23" s="80"/>
      <c r="B23" s="39"/>
      <c r="C23" s="39"/>
      <c r="D23" s="47"/>
    </row>
    <row r="24" ht="8" customHeight="1">
      <c r="A24" s="80"/>
      <c r="B24" s="39"/>
      <c r="C24" s="39"/>
      <c r="D24" s="47"/>
    </row>
    <row r="25" ht="8.35" customHeight="1">
      <c r="A25" s="81"/>
      <c r="B25" s="50"/>
      <c r="C25" s="50"/>
      <c r="D25" s="58"/>
    </row>
    <row r="26" ht="8.35" customHeight="1">
      <c r="A26" s="35">
        <f>'Лист 1 - Tаблица 1'!AB26</f>
        <v>3.095975232198143</v>
      </c>
      <c r="B26" s="29">
        <f>'Лист 1 - Tаблица 1'!AC26</f>
        <v>0.01238390092879257</v>
      </c>
      <c r="C26" s="28">
        <f>'Лист 1 - Tаблица 1'!AD26</f>
        <v>-2.618682043042453</v>
      </c>
      <c r="D26" s="36">
        <f>'Лист 1 - Tаблица 1'!AE26</f>
        <v>0.01556751778610845</v>
      </c>
    </row>
    <row r="27" ht="8" customHeight="1">
      <c r="A27" s="80"/>
      <c r="B27" s="39"/>
      <c r="C27" s="39"/>
      <c r="D27" s="47"/>
    </row>
    <row r="28" ht="8" customHeight="1">
      <c r="A28" s="80"/>
      <c r="B28" s="39"/>
      <c r="C28" s="39"/>
      <c r="D28" s="47"/>
    </row>
    <row r="29" ht="8" customHeight="1">
      <c r="A29" s="81"/>
      <c r="B29" s="50"/>
      <c r="C29" s="50"/>
      <c r="D29" s="58"/>
    </row>
    <row r="30" ht="8" customHeight="1">
      <c r="A30" s="82"/>
      <c r="B30" s="82"/>
      <c r="C30" s="82"/>
      <c r="D30" s="83"/>
    </row>
    <row r="31" ht="8.35" customHeight="1">
      <c r="A31" s="81"/>
      <c r="B31" s="39"/>
      <c r="C31" s="39"/>
      <c r="D31" s="47"/>
    </row>
    <row r="32" ht="8.35" customHeight="1">
      <c r="A32" s="35">
        <f>'Лист 1 - Tаблица 1'!AB32</f>
        <v>3.048780487804878</v>
      </c>
      <c r="B32" s="78">
        <f>'Лист 1 - Tаблица 1'!AC32</f>
        <v>0.01108647450110865</v>
      </c>
      <c r="C32" s="40">
        <f>'Лист 1 - Tаблица 1'!AD32</f>
        <v>-2.833666270290803</v>
      </c>
      <c r="D32" s="77">
        <f>'Лист 1 - Tаблица 1'!AE32</f>
        <v>0.01535561090073855</v>
      </c>
    </row>
    <row r="33" ht="8" customHeight="1">
      <c r="A33" s="80"/>
      <c r="B33" s="39"/>
      <c r="C33" s="39"/>
      <c r="D33" s="47"/>
    </row>
    <row r="34" ht="8" customHeight="1">
      <c r="A34" s="80"/>
      <c r="B34" s="39"/>
      <c r="C34" s="39"/>
      <c r="D34" s="47"/>
    </row>
    <row r="35" ht="8" customHeight="1">
      <c r="A35" s="81"/>
      <c r="B35" s="50"/>
      <c r="C35" s="50"/>
      <c r="D35" s="58"/>
    </row>
    <row r="36" ht="8" customHeight="1">
      <c r="A36" s="82"/>
      <c r="B36" s="82"/>
      <c r="C36" s="82"/>
      <c r="D36" s="83"/>
    </row>
    <row r="37" ht="8.15" customHeight="1">
      <c r="A37" s="80"/>
      <c r="B37" s="39"/>
      <c r="C37" s="39"/>
      <c r="D37" s="47"/>
    </row>
  </sheetData>
  <mergeCells count="36">
    <mergeCell ref="A2:A5"/>
    <mergeCell ref="A14:A15"/>
    <mergeCell ref="A6:A9"/>
    <mergeCell ref="A26:A31"/>
    <mergeCell ref="A16:A17"/>
    <mergeCell ref="A18:A21"/>
    <mergeCell ref="A10:A13"/>
    <mergeCell ref="A32:A37"/>
    <mergeCell ref="A22:A25"/>
    <mergeCell ref="B2:B5"/>
    <mergeCell ref="B14:B15"/>
    <mergeCell ref="B6:B9"/>
    <mergeCell ref="B26:B31"/>
    <mergeCell ref="B16:B17"/>
    <mergeCell ref="B18:B21"/>
    <mergeCell ref="B10:B13"/>
    <mergeCell ref="B32:B37"/>
    <mergeCell ref="B22:B25"/>
    <mergeCell ref="C2:C5"/>
    <mergeCell ref="C14:C15"/>
    <mergeCell ref="C6:C9"/>
    <mergeCell ref="C26:C31"/>
    <mergeCell ref="C16:C17"/>
    <mergeCell ref="C18:C21"/>
    <mergeCell ref="C10:C13"/>
    <mergeCell ref="C32:C37"/>
    <mergeCell ref="C22:C25"/>
    <mergeCell ref="D2:D5"/>
    <mergeCell ref="D14:D15"/>
    <mergeCell ref="D6:D9"/>
    <mergeCell ref="D26:D31"/>
    <mergeCell ref="D16:D17"/>
    <mergeCell ref="D18:D21"/>
    <mergeCell ref="D10:D13"/>
    <mergeCell ref="D32:D37"/>
    <mergeCell ref="D22:D25"/>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