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olors2.xml" ContentType="application/vnd.ms-office.chartcolorstyl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https://d.docs.live.net/b566d95faa460c8a/"/>
    </mc:Choice>
  </mc:AlternateContent>
  <xr:revisionPtr revIDLastSave="0" documentId="0812A015122157D4B0958DA9D7961983197B5661" xr6:coauthVersionLast="14" xr6:coauthVersionMax="14" xr10:uidLastSave="{00000000-0000-0000-0000-000000000000}"/>
  <bookViews>
    <workbookView xWindow="0" yWindow="0" windowWidth="25600" windowHeight="16000" tabRatio="500" activeTab="1" xr2:uid="{00000000-000D-0000-FFFF-FFFF00000000}"/>
  </bookViews>
  <sheets>
    <sheet name="Прецессия" sheetId="1" r:id="rId1"/>
    <sheet name="Момент инерции" sheetId="3" r:id="rId2"/>
    <sheet name="Осциллограф" sheetId="2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K36" i="1"/>
  <c r="J11" i="1"/>
  <c r="K37" i="1"/>
  <c r="J16" i="1"/>
  <c r="K38" i="1"/>
  <c r="J21" i="1"/>
  <c r="K39" i="1"/>
  <c r="E26" i="1"/>
  <c r="J26" i="1"/>
  <c r="K40" i="1"/>
  <c r="K34" i="1"/>
  <c r="C6" i="3"/>
  <c r="G2" i="3"/>
  <c r="C3" i="3"/>
  <c r="C4" i="3"/>
  <c r="C5" i="3"/>
  <c r="D3" i="3"/>
  <c r="C8" i="3"/>
  <c r="C9" i="3"/>
  <c r="C10" i="3"/>
  <c r="D8" i="3"/>
  <c r="G3" i="3"/>
  <c r="H3" i="1"/>
  <c r="I3" i="1"/>
  <c r="H4" i="1"/>
  <c r="I4" i="1"/>
  <c r="H5" i="1"/>
  <c r="I5" i="1"/>
  <c r="H6" i="1"/>
  <c r="I6" i="1"/>
  <c r="H7" i="1"/>
  <c r="I7" i="1"/>
  <c r="L3" i="1"/>
  <c r="B13" i="3"/>
  <c r="C13" i="3"/>
  <c r="H11" i="1"/>
  <c r="I11" i="1"/>
  <c r="H12" i="1"/>
  <c r="I12" i="1"/>
  <c r="L11" i="1"/>
  <c r="B14" i="3"/>
  <c r="C14" i="3"/>
  <c r="H16" i="1"/>
  <c r="I16" i="1"/>
  <c r="H17" i="1"/>
  <c r="I17" i="1"/>
  <c r="L16" i="1"/>
  <c r="B15" i="3"/>
  <c r="C15" i="3"/>
  <c r="H21" i="1"/>
  <c r="I21" i="1"/>
  <c r="H22" i="1"/>
  <c r="I22" i="1"/>
  <c r="L21" i="1"/>
  <c r="B16" i="3"/>
  <c r="C16" i="3"/>
  <c r="H26" i="1"/>
  <c r="I26" i="1"/>
  <c r="H27" i="1"/>
  <c r="I27" i="1"/>
  <c r="L26" i="1"/>
  <c r="B17" i="3"/>
  <c r="C17" i="3"/>
  <c r="C19" i="3"/>
  <c r="M34" i="1"/>
  <c r="E19" i="3"/>
  <c r="E20" i="3"/>
  <c r="E21" i="3"/>
  <c r="E22" i="3"/>
  <c r="E23" i="3"/>
  <c r="D19" i="3"/>
  <c r="G6" i="3"/>
  <c r="G7" i="3"/>
  <c r="N11" i="1"/>
  <c r="N12" i="1"/>
  <c r="M11" i="1"/>
  <c r="F14" i="3"/>
  <c r="D14" i="3"/>
  <c r="N16" i="1"/>
  <c r="N17" i="1"/>
  <c r="M16" i="1"/>
  <c r="F15" i="3"/>
  <c r="D15" i="3"/>
  <c r="N21" i="1"/>
  <c r="N22" i="1"/>
  <c r="M21" i="1"/>
  <c r="F16" i="3"/>
  <c r="D16" i="3"/>
  <c r="N26" i="1"/>
  <c r="N27" i="1"/>
  <c r="M26" i="1"/>
  <c r="F17" i="3"/>
  <c r="D17" i="3"/>
  <c r="N3" i="1"/>
  <c r="N4" i="1"/>
  <c r="N5" i="1"/>
  <c r="N6" i="1"/>
  <c r="N7" i="1"/>
  <c r="M3" i="1"/>
  <c r="F13" i="3"/>
  <c r="D13" i="3"/>
  <c r="B5" i="2"/>
  <c r="B4" i="2"/>
  <c r="Q16" i="1"/>
  <c r="B34" i="1"/>
  <c r="A32" i="1"/>
  <c r="Q3" i="1"/>
  <c r="C36" i="1"/>
  <c r="C35" i="1"/>
  <c r="C34" i="1"/>
  <c r="C33" i="1"/>
  <c r="C32" i="1"/>
  <c r="Q26" i="1"/>
  <c r="B36" i="1"/>
  <c r="Q21" i="1"/>
  <c r="B35" i="1"/>
  <c r="Q11" i="1"/>
  <c r="B33" i="1"/>
  <c r="B32" i="1"/>
  <c r="A36" i="1"/>
  <c r="A35" i="1"/>
  <c r="A34" i="1"/>
  <c r="A33" i="1"/>
  <c r="K26" i="1"/>
  <c r="P27" i="1"/>
  <c r="P26" i="1"/>
  <c r="O26" i="1"/>
  <c r="K21" i="1"/>
  <c r="P22" i="1"/>
  <c r="P21" i="1"/>
  <c r="O21" i="1"/>
  <c r="K16" i="1"/>
  <c r="P17" i="1"/>
  <c r="P16" i="1"/>
  <c r="K11" i="1"/>
  <c r="O16" i="1"/>
  <c r="P12" i="1"/>
  <c r="P11" i="1"/>
  <c r="O11" i="1"/>
  <c r="K3" i="1"/>
  <c r="P3" i="1"/>
  <c r="P4" i="1"/>
  <c r="P5" i="1"/>
  <c r="P6" i="1"/>
  <c r="P7" i="1"/>
  <c r="O3" i="1"/>
</calcChain>
</file>

<file path=xl/sharedStrings.xml><?xml version="1.0" encoding="utf-8"?>
<sst xmlns="http://schemas.openxmlformats.org/spreadsheetml/2006/main" count="111" uniqueCount="41">
  <si>
    <t>1 груз</t>
  </si>
  <si>
    <t>Время</t>
  </si>
  <si>
    <t>Масса</t>
  </si>
  <si>
    <t>№ эксперимента</t>
  </si>
  <si>
    <t xml:space="preserve">Время опускания </t>
  </si>
  <si>
    <t>H1</t>
  </si>
  <si>
    <t>H2</t>
  </si>
  <si>
    <t>Кол-во оборотов</t>
  </si>
  <si>
    <t>Частота (Гц)</t>
  </si>
  <si>
    <t>Ω, рад/сек</t>
  </si>
  <si>
    <t>Средняя частота</t>
  </si>
  <si>
    <t>Средняя прецессия</t>
  </si>
  <si>
    <t>Скорость опускания рычага, м/с</t>
  </si>
  <si>
    <t>Погрешность прецессии</t>
  </si>
  <si>
    <t>Разности квадратов</t>
  </si>
  <si>
    <t>Погрешность частоты</t>
  </si>
  <si>
    <t>2 груз</t>
  </si>
  <si>
    <t>Момент силы</t>
  </si>
  <si>
    <t>3 груз</t>
  </si>
  <si>
    <t>4 груз</t>
  </si>
  <si>
    <t>5 груз</t>
  </si>
  <si>
    <t>Данные для графика</t>
  </si>
  <si>
    <t>№</t>
  </si>
  <si>
    <t>T</t>
  </si>
  <si>
    <t>f</t>
  </si>
  <si>
    <t>Кол-во колебаний</t>
  </si>
  <si>
    <t>T,c</t>
  </si>
  <si>
    <t>среднее</t>
  </si>
  <si>
    <t>Цилиндр</t>
  </si>
  <si>
    <t>Ротор</t>
  </si>
  <si>
    <t>I0</t>
  </si>
  <si>
    <t>Iц</t>
  </si>
  <si>
    <t>m, г</t>
  </si>
  <si>
    <t>w, рад/с</t>
  </si>
  <si>
    <t>q(w) рад/с</t>
  </si>
  <si>
    <t>Погрешность Iц</t>
  </si>
  <si>
    <t>Погрешность I0</t>
  </si>
  <si>
    <t>Погрешности омеги</t>
  </si>
  <si>
    <t>wср</t>
  </si>
  <si>
    <t>Средняя угловая скорость опускания</t>
  </si>
  <si>
    <t>Угловая скорость опускания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</si>
</sst>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/>
    <xf numFmtId="0" fontId="0" fillId="0" borderId="26" xfId="0" applyBorder="1"/>
    <xf numFmtId="0" fontId="0" fillId="0" borderId="26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0" xfId="0" applyBorder="1"/>
    <xf numFmtId="0" fontId="0" fillId="0" borderId="37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Прецессия!$C$32:$C$36</c:f>
                <c:numCache>
                  <c:formatCode>General</c:formatCode>
                  <c:ptCount val="5"/>
                  <c:pt idx="0">
                    <c:v>6.6553851645934748E-5</c:v>
                  </c:pt>
                  <c:pt idx="1">
                    <c:v>8.5826283211774129E-5</c:v>
                  </c:pt>
                  <c:pt idx="2">
                    <c:v>4.2269895503920657E-4</c:v>
                  </c:pt>
                  <c:pt idx="3">
                    <c:v>1.1575051624881927E-4</c:v>
                  </c:pt>
                  <c:pt idx="4">
                    <c:v>1.0844970186582592E-4</c:v>
                  </c:pt>
                </c:numCache>
              </c:numRef>
            </c:plus>
            <c:minus>
              <c:numRef>
                <c:f>Прецессия!$C$32:$C$36</c:f>
                <c:numCache>
                  <c:formatCode>General</c:formatCode>
                  <c:ptCount val="5"/>
                  <c:pt idx="0">
                    <c:v>6.6553851645934748E-5</c:v>
                  </c:pt>
                  <c:pt idx="1">
                    <c:v>8.5826283211774129E-5</c:v>
                  </c:pt>
                  <c:pt idx="2">
                    <c:v>4.2269895503920657E-4</c:v>
                  </c:pt>
                  <c:pt idx="3">
                    <c:v>1.1575051624881927E-4</c:v>
                  </c:pt>
                  <c:pt idx="4">
                    <c:v>1.0844970186582592E-4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Прецессия!$B$32:$B$36</c:f>
              <c:numCache>
                <c:formatCode>General</c:formatCode>
                <c:ptCount val="5"/>
                <c:pt idx="0">
                  <c:v>6.7032000000000008E-2</c:v>
                </c:pt>
                <c:pt idx="1">
                  <c:v>0.107016</c:v>
                </c:pt>
                <c:pt idx="2">
                  <c:v>0.16228800000000002</c:v>
                </c:pt>
                <c:pt idx="3">
                  <c:v>0.25636799999999998</c:v>
                </c:pt>
                <c:pt idx="4">
                  <c:v>0.38690400000000003</c:v>
                </c:pt>
              </c:numCache>
            </c:numRef>
          </c:xVal>
          <c:yVal>
            <c:numRef>
              <c:f>Прецессия!$A$32:$A$36</c:f>
              <c:numCache>
                <c:formatCode>General</c:formatCode>
                <c:ptCount val="5"/>
                <c:pt idx="0">
                  <c:v>2.9783598047265769E-2</c:v>
                </c:pt>
                <c:pt idx="1">
                  <c:v>4.8160542104188658E-2</c:v>
                </c:pt>
                <c:pt idx="2">
                  <c:v>7.1817783623165335E-2</c:v>
                </c:pt>
                <c:pt idx="3">
                  <c:v>0.11499287650609738</c:v>
                </c:pt>
                <c:pt idx="4">
                  <c:v>0.17402562159403834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0D-BD46-8C8F-D0681D2C2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69008"/>
        <c:axId val="395398288"/>
      </c:scatterChart>
      <c:valAx>
        <c:axId val="43806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398288"/>
        <c:crosses val="autoZero"/>
        <c:crossBetween val="midCat"/>
      </c:valAx>
      <c:valAx>
        <c:axId val="3953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06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09488295245899E-2"/>
          <c:y val="7.6632302663965493E-2"/>
          <c:w val="0.89484967779142899"/>
          <c:h val="0.84528282515651099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Осциллограф!$B$2:$B$5</c:f>
              <c:numCache>
                <c:formatCode>General</c:formatCode>
                <c:ptCount val="4"/>
                <c:pt idx="0">
                  <c:v>37</c:v>
                </c:pt>
                <c:pt idx="1">
                  <c:v>90</c:v>
                </c:pt>
                <c:pt idx="2">
                  <c:v>154</c:v>
                </c:pt>
                <c:pt idx="3">
                  <c:v>223</c:v>
                </c:pt>
              </c:numCache>
            </c:numRef>
          </c:xVal>
          <c:yVal>
            <c:numRef>
              <c:f>Осциллограф!$C$2:$C$5</c:f>
              <c:numCache>
                <c:formatCode>General</c:formatCode>
                <c:ptCount val="4"/>
                <c:pt idx="0">
                  <c:v>443</c:v>
                </c:pt>
                <c:pt idx="1">
                  <c:v>426</c:v>
                </c:pt>
                <c:pt idx="2">
                  <c:v>404.4</c:v>
                </c:pt>
                <c:pt idx="3">
                  <c:v>382.4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B-A448-BB65-CDBDD256E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295440"/>
        <c:axId val="479423568"/>
      </c:scatterChart>
      <c:valAx>
        <c:axId val="4442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423568"/>
        <c:crosses val="autoZero"/>
        <c:crossBetween val="midCat"/>
      </c:valAx>
      <c:valAx>
        <c:axId val="4794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29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16045</xdr:colOff>
      <xdr:row>31</xdr:row>
      <xdr:rowOff>2458</xdr:rowOff>
    </xdr:from>
    <xdr:to>
      <xdr:col>9</xdr:col>
      <xdr:colOff>1758461</xdr:colOff>
      <xdr:row>59</xdr:row>
      <xdr:rowOff>153517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60960</xdr:rowOff>
    </xdr:from>
    <xdr:to>
      <xdr:col>11</xdr:col>
      <xdr:colOff>139700</xdr:colOff>
      <xdr:row>27</xdr:row>
      <xdr:rowOff>88900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opLeftCell="I12" zoomScaleNormal="116" zoomScalePageLayoutView="116" workbookViewId="0" xr3:uid="{AEA406A1-0E4B-5B11-9CD5-51D6E497D94C}">
      <selection activeCell="M34" sqref="M34"/>
    </sheetView>
  </sheetViews>
  <sheetFormatPr defaultColWidth="11" defaultRowHeight="15" x14ac:dyDescent="0.2"/>
  <cols>
    <col min="1" max="1" width="18.375" customWidth="1"/>
    <col min="3" max="3" width="15.125" customWidth="1"/>
    <col min="4" max="4" width="7.5" customWidth="1"/>
    <col min="5" max="5" width="15.5" customWidth="1"/>
    <col min="6" max="6" width="9.875" customWidth="1"/>
    <col min="8" max="8" width="11.625" customWidth="1"/>
    <col min="9" max="9" width="13.375" customWidth="1"/>
    <col min="10" max="10" width="29.375" customWidth="1"/>
    <col min="11" max="11" width="15.375" customWidth="1"/>
    <col min="12" max="12" width="17.625" customWidth="1"/>
    <col min="13" max="13" width="21.5" customWidth="1"/>
    <col min="14" max="14" width="17.875" customWidth="1"/>
    <col min="15" max="15" width="20.375" customWidth="1"/>
    <col min="16" max="16" width="12.5" bestFit="1" customWidth="1"/>
    <col min="17" max="17" width="12.875" customWidth="1"/>
  </cols>
  <sheetData>
    <row r="1" spans="1:17" ht="15.75" thickBot="1" x14ac:dyDescent="0.25">
      <c r="A1" t="s">
        <v>0</v>
      </c>
    </row>
    <row r="2" spans="1:17" ht="15.75" thickBot="1" x14ac:dyDescent="0.25">
      <c r="A2" s="18" t="s">
        <v>3</v>
      </c>
      <c r="B2" s="19" t="s">
        <v>1</v>
      </c>
      <c r="C2" s="19" t="s">
        <v>7</v>
      </c>
      <c r="D2" s="20" t="s">
        <v>2</v>
      </c>
      <c r="E2" s="18" t="s">
        <v>4</v>
      </c>
      <c r="F2" s="19" t="s">
        <v>5</v>
      </c>
      <c r="G2" s="20" t="s">
        <v>6</v>
      </c>
      <c r="H2" s="21" t="s">
        <v>8</v>
      </c>
      <c r="I2" s="26" t="s">
        <v>9</v>
      </c>
      <c r="J2" s="27" t="s">
        <v>12</v>
      </c>
      <c r="K2" s="28" t="s">
        <v>10</v>
      </c>
      <c r="L2" s="29" t="s">
        <v>11</v>
      </c>
      <c r="M2" s="9" t="s">
        <v>13</v>
      </c>
      <c r="N2" s="7" t="s">
        <v>14</v>
      </c>
      <c r="O2" s="9" t="s">
        <v>15</v>
      </c>
      <c r="Q2" s="25" t="s">
        <v>17</v>
      </c>
    </row>
    <row r="3" spans="1:17" ht="15.75" thickBot="1" x14ac:dyDescent="0.25">
      <c r="A3" s="12">
        <v>1</v>
      </c>
      <c r="B3" s="13">
        <v>207.72</v>
      </c>
      <c r="C3" s="13">
        <v>1</v>
      </c>
      <c r="D3" s="14">
        <v>5.7000000000000002E-2</v>
      </c>
      <c r="E3" s="15">
        <v>208.35</v>
      </c>
      <c r="F3" s="16">
        <v>12.5</v>
      </c>
      <c r="G3" s="17">
        <v>11</v>
      </c>
      <c r="H3" s="22">
        <f>C3/B3</f>
        <v>4.8141729250914689E-3</v>
      </c>
      <c r="I3" s="23">
        <f>2*PI()*H3</f>
        <v>3.024834058915649E-2</v>
      </c>
      <c r="J3" s="24">
        <f>(F3*0.01-G3*0.01)/E3</f>
        <v>7.1994240460763133E-5</v>
      </c>
      <c r="K3" s="4">
        <f>AVERAGE(H3:H7)</f>
        <v>4.740206852284469E-3</v>
      </c>
      <c r="L3" s="8">
        <f>AVERAGE(I3:I7)</f>
        <v>2.9783598047265769E-2</v>
      </c>
      <c r="M3" s="11">
        <f>SQRT(1/MAX(A3:A7)/(MAX(A3:A7)-1)*SUM(N3:N7))</f>
        <v>1.331077032918695E-4</v>
      </c>
      <c r="N3">
        <f>(I3-$L$3)^2</f>
        <v>2.1598563024304802E-7</v>
      </c>
      <c r="O3" s="11">
        <f>SQRT(1/MAX(A3:A7)/(MAX(A3:A7)-1)*SUM(P3:P7))</f>
        <v>2.1184748942510347E-5</v>
      </c>
      <c r="P3">
        <f>(H3-$K$3)^2</f>
        <v>5.4709799264904211E-9</v>
      </c>
      <c r="Q3" s="11">
        <f>D3*9.8*0.12</f>
        <v>6.7032000000000008E-2</v>
      </c>
    </row>
    <row r="4" spans="1:17" x14ac:dyDescent="0.2">
      <c r="A4" s="2">
        <v>2</v>
      </c>
      <c r="B4" s="1">
        <v>210.15</v>
      </c>
      <c r="C4" s="1">
        <v>1</v>
      </c>
      <c r="D4" s="3">
        <v>5.7000000000000002E-2</v>
      </c>
      <c r="H4" s="23">
        <f t="shared" ref="H4:H7" si="0">C4/B4</f>
        <v>4.7585058291696406E-3</v>
      </c>
      <c r="I4" s="10">
        <f t="shared" ref="I4:I7" si="1">2*PI()*H4</f>
        <v>2.9898573909967099E-2</v>
      </c>
      <c r="N4">
        <f t="shared" ref="N4:N7" si="2">(I4-$L$3)^2</f>
        <v>1.3219449003915158E-8</v>
      </c>
      <c r="P4">
        <f t="shared" ref="P4:P7" si="3">(H4-$K$3)^2</f>
        <v>3.3485255504404591E-10</v>
      </c>
    </row>
    <row r="5" spans="1:17" x14ac:dyDescent="0.2">
      <c r="A5" s="2">
        <v>3</v>
      </c>
      <c r="B5" s="1">
        <v>211.9</v>
      </c>
      <c r="C5" s="1">
        <v>1</v>
      </c>
      <c r="D5" s="3">
        <v>5.7000000000000002E-2</v>
      </c>
      <c r="H5" s="23">
        <f t="shared" si="0"/>
        <v>4.7192071731949033E-3</v>
      </c>
      <c r="I5" s="10">
        <f t="shared" si="1"/>
        <v>2.9651653172154725E-2</v>
      </c>
      <c r="N5">
        <f t="shared" si="2"/>
        <v>1.7409450068069144E-8</v>
      </c>
      <c r="P5">
        <f t="shared" si="3"/>
        <v>4.4098652186474185E-10</v>
      </c>
    </row>
    <row r="6" spans="1:17" x14ac:dyDescent="0.2">
      <c r="A6" s="2">
        <v>4</v>
      </c>
      <c r="B6" s="1">
        <v>212.12</v>
      </c>
      <c r="C6" s="1">
        <v>1</v>
      </c>
      <c r="D6" s="3">
        <v>5.7000000000000002E-2</v>
      </c>
      <c r="H6" s="23">
        <f t="shared" si="0"/>
        <v>4.7143126532151608E-3</v>
      </c>
      <c r="I6" s="10">
        <f t="shared" si="1"/>
        <v>2.9620899996132311E-2</v>
      </c>
      <c r="N6">
        <f t="shared" si="2"/>
        <v>2.6470655842625281E-8</v>
      </c>
      <c r="P6">
        <f t="shared" si="3"/>
        <v>6.7050954544096051E-10</v>
      </c>
    </row>
    <row r="7" spans="1:17" ht="15.75" thickBot="1" x14ac:dyDescent="0.25">
      <c r="A7" s="4">
        <v>5</v>
      </c>
      <c r="B7" s="5">
        <v>213</v>
      </c>
      <c r="C7" s="5">
        <v>1</v>
      </c>
      <c r="D7" s="6">
        <v>5.7000000000000002E-2</v>
      </c>
      <c r="H7" s="24">
        <f t="shared" si="0"/>
        <v>4.6948356807511738E-3</v>
      </c>
      <c r="I7" s="11">
        <f t="shared" si="1"/>
        <v>2.9498522568918245E-2</v>
      </c>
      <c r="N7">
        <f t="shared" si="2"/>
        <v>8.1268028355069626E-8</v>
      </c>
      <c r="P7">
        <f t="shared" si="3"/>
        <v>2.0585432063036932E-9</v>
      </c>
    </row>
    <row r="9" spans="1:17" ht="15.75" thickBot="1" x14ac:dyDescent="0.25">
      <c r="A9" t="s">
        <v>16</v>
      </c>
    </row>
    <row r="10" spans="1:17" ht="15.75" thickBot="1" x14ac:dyDescent="0.25">
      <c r="A10" s="18" t="s">
        <v>3</v>
      </c>
      <c r="B10" s="19" t="s">
        <v>1</v>
      </c>
      <c r="C10" s="19" t="s">
        <v>7</v>
      </c>
      <c r="D10" s="31" t="s">
        <v>2</v>
      </c>
      <c r="E10" s="18" t="s">
        <v>4</v>
      </c>
      <c r="F10" s="19" t="s">
        <v>5</v>
      </c>
      <c r="G10" s="20" t="s">
        <v>6</v>
      </c>
      <c r="H10" s="21" t="s">
        <v>8</v>
      </c>
      <c r="I10" s="25" t="s">
        <v>9</v>
      </c>
      <c r="J10" s="27" t="s">
        <v>12</v>
      </c>
      <c r="K10" s="28" t="s">
        <v>10</v>
      </c>
      <c r="L10" s="29" t="s">
        <v>11</v>
      </c>
      <c r="M10" s="9" t="s">
        <v>13</v>
      </c>
      <c r="N10" s="7" t="s">
        <v>14</v>
      </c>
      <c r="O10" s="9" t="s">
        <v>15</v>
      </c>
      <c r="Q10" s="25" t="s">
        <v>17</v>
      </c>
    </row>
    <row r="11" spans="1:17" ht="15.75" thickBot="1" x14ac:dyDescent="0.25">
      <c r="A11" s="12">
        <v>1</v>
      </c>
      <c r="B11" s="13">
        <v>130</v>
      </c>
      <c r="C11" s="13">
        <v>1</v>
      </c>
      <c r="D11" s="32">
        <v>9.0999999999999998E-2</v>
      </c>
      <c r="E11" s="15">
        <v>130.43</v>
      </c>
      <c r="F11" s="16">
        <v>12.5</v>
      </c>
      <c r="G11" s="17">
        <v>11</v>
      </c>
      <c r="H11" s="22">
        <f>C11/B11</f>
        <v>7.6923076923076927E-3</v>
      </c>
      <c r="I11" s="10">
        <f>2*PI()*H11</f>
        <v>4.8332194670612207E-2</v>
      </c>
      <c r="J11" s="24">
        <f>(F11*0.01-G11*0.01)/E11</f>
        <v>1.1500421682128343E-4</v>
      </c>
      <c r="K11" s="4">
        <f>AVERAGE(H11:H12)</f>
        <v>7.664988337866975E-3</v>
      </c>
      <c r="L11" s="8">
        <f>AVERAGE(I11:I12)</f>
        <v>4.8160542104188658E-2</v>
      </c>
      <c r="M11" s="11">
        <f>SQRT(1/MAX(A11:A15)/(MAX(A11:A15)-1)*SUM(N11:N15))</f>
        <v>1.7165256642354826E-4</v>
      </c>
      <c r="N11">
        <f>(I11-$L$11)^2</f>
        <v>2.9464603559790647E-8</v>
      </c>
      <c r="O11" s="11">
        <f>SQRT(1/MAX(A11:A15)/(MAX(A11:A15)-1)*SUM(P11:P15))</f>
        <v>2.7319354440717269E-5</v>
      </c>
      <c r="P11">
        <f>(H11-$K$11)^2</f>
        <v>7.4634712705756207E-10</v>
      </c>
      <c r="Q11" s="11">
        <f>D11*9.8*0.12</f>
        <v>0.107016</v>
      </c>
    </row>
    <row r="12" spans="1:17" ht="15.75" thickBot="1" x14ac:dyDescent="0.25">
      <c r="A12" s="4">
        <v>2</v>
      </c>
      <c r="B12" s="5">
        <v>130.93</v>
      </c>
      <c r="C12" s="5">
        <v>1</v>
      </c>
      <c r="D12" s="6">
        <v>9.0999999999999998E-2</v>
      </c>
      <c r="H12" s="24">
        <f t="shared" ref="H12" si="4">C12/B12</f>
        <v>7.6376689834262582E-3</v>
      </c>
      <c r="I12" s="11">
        <f t="shared" ref="I12:I17" si="5">2*PI()*H12</f>
        <v>4.798888953776511E-2</v>
      </c>
      <c r="N12">
        <f t="shared" ref="N12" si="6">(I12-$L$11)^2</f>
        <v>2.9464603559790647E-8</v>
      </c>
      <c r="P12">
        <f>(H12-$K$11)^2</f>
        <v>7.4634712705751461E-10</v>
      </c>
    </row>
    <row r="13" spans="1:17" x14ac:dyDescent="0.2">
      <c r="A13" s="30"/>
      <c r="B13" s="30"/>
      <c r="C13" s="30"/>
      <c r="D13" s="30"/>
      <c r="E13" s="30"/>
      <c r="F13" s="30"/>
      <c r="G13" s="30"/>
      <c r="H13" s="30"/>
      <c r="I13" s="30"/>
    </row>
    <row r="14" spans="1:17" ht="15.75" thickBot="1" x14ac:dyDescent="0.25">
      <c r="A14" t="s">
        <v>18</v>
      </c>
    </row>
    <row r="15" spans="1:17" ht="15.75" thickBot="1" x14ac:dyDescent="0.25">
      <c r="A15" s="18" t="s">
        <v>3</v>
      </c>
      <c r="B15" s="19" t="s">
        <v>1</v>
      </c>
      <c r="C15" s="19" t="s">
        <v>7</v>
      </c>
      <c r="D15" s="31" t="s">
        <v>2</v>
      </c>
      <c r="E15" s="18" t="s">
        <v>4</v>
      </c>
      <c r="F15" s="19" t="s">
        <v>5</v>
      </c>
      <c r="G15" s="20" t="s">
        <v>6</v>
      </c>
      <c r="H15" s="21" t="s">
        <v>8</v>
      </c>
      <c r="I15" s="25" t="s">
        <v>9</v>
      </c>
      <c r="J15" s="27" t="s">
        <v>12</v>
      </c>
      <c r="K15" s="28" t="s">
        <v>10</v>
      </c>
      <c r="L15" s="29" t="s">
        <v>11</v>
      </c>
      <c r="M15" s="9" t="s">
        <v>13</v>
      </c>
      <c r="N15" s="7" t="s">
        <v>14</v>
      </c>
      <c r="O15" s="9" t="s">
        <v>15</v>
      </c>
      <c r="Q15" s="25" t="s">
        <v>17</v>
      </c>
    </row>
    <row r="16" spans="1:17" ht="15.75" thickBot="1" x14ac:dyDescent="0.25">
      <c r="A16" s="12">
        <v>1</v>
      </c>
      <c r="B16" s="13">
        <v>88.53</v>
      </c>
      <c r="C16" s="13">
        <v>1</v>
      </c>
      <c r="D16" s="32">
        <v>0.13800000000000001</v>
      </c>
      <c r="E16" s="15">
        <v>108.19</v>
      </c>
      <c r="F16" s="16">
        <v>12.5</v>
      </c>
      <c r="G16" s="17">
        <v>11</v>
      </c>
      <c r="H16" s="22">
        <f>C16/B16</f>
        <v>1.1295606009262396E-2</v>
      </c>
      <c r="I16" s="10">
        <f>2*PI()*H16</f>
        <v>7.0972385713086922E-2</v>
      </c>
      <c r="J16" s="24">
        <f>(F16*0.01-G16*0.01)/E16</f>
        <v>1.3864497643035399E-4</v>
      </c>
      <c r="K16" s="4">
        <f>AVERAGE(H16:H17)</f>
        <v>1.1430155265530931E-2</v>
      </c>
      <c r="L16" s="8">
        <f>AVERAGE(I16:I17)</f>
        <v>7.1817783623165335E-2</v>
      </c>
      <c r="M16" s="11">
        <f>SQRT(1/MAX(A16:A17)/(MAX(A16:A17)-1)*SUM(N16:N17))</f>
        <v>8.4539791007841314E-4</v>
      </c>
      <c r="N16">
        <f>(I16-$L$16)^2</f>
        <v>7.1469762636494868E-7</v>
      </c>
      <c r="O16" s="11">
        <f>SQRT(1/MAX(A16:A20)/(MAX(A16:A20)-1)*SUM(P16:P20))</f>
        <v>1.3454925626853621E-4</v>
      </c>
      <c r="P16">
        <f>(H16-$K$16)^2</f>
        <v>1.8103502362415995E-8</v>
      </c>
      <c r="Q16" s="11">
        <f>D16*9.8*0.12</f>
        <v>0.16228800000000002</v>
      </c>
    </row>
    <row r="17" spans="1:17" ht="15.75" thickBot="1" x14ac:dyDescent="0.25">
      <c r="A17" s="4">
        <v>2</v>
      </c>
      <c r="B17" s="5">
        <v>86.47</v>
      </c>
      <c r="C17" s="5">
        <v>1</v>
      </c>
      <c r="D17" s="33">
        <v>0.13800000000000001</v>
      </c>
      <c r="H17" s="24">
        <f t="shared" ref="H17" si="7">C17/B17</f>
        <v>1.1564704521799469E-2</v>
      </c>
      <c r="I17" s="11">
        <f t="shared" si="5"/>
        <v>7.2663181533243748E-2</v>
      </c>
      <c r="N17">
        <f>(I17-$L$16)^2</f>
        <v>7.1469762636494868E-7</v>
      </c>
      <c r="P17">
        <f>(H17-$K$16)^2</f>
        <v>1.8103502362416465E-8</v>
      </c>
    </row>
    <row r="19" spans="1:17" ht="15.75" thickBot="1" x14ac:dyDescent="0.25">
      <c r="A19" t="s">
        <v>19</v>
      </c>
    </row>
    <row r="20" spans="1:17" ht="15.75" thickBot="1" x14ac:dyDescent="0.25">
      <c r="A20" s="18" t="s">
        <v>3</v>
      </c>
      <c r="B20" s="19" t="s">
        <v>1</v>
      </c>
      <c r="C20" s="19" t="s">
        <v>7</v>
      </c>
      <c r="D20" s="31" t="s">
        <v>2</v>
      </c>
      <c r="E20" s="18" t="s">
        <v>4</v>
      </c>
      <c r="F20" s="19" t="s">
        <v>5</v>
      </c>
      <c r="G20" s="20" t="s">
        <v>6</v>
      </c>
      <c r="H20" s="21" t="s">
        <v>8</v>
      </c>
      <c r="I20" s="25" t="s">
        <v>9</v>
      </c>
      <c r="J20" s="27" t="s">
        <v>12</v>
      </c>
      <c r="K20" s="28" t="s">
        <v>10</v>
      </c>
      <c r="L20" s="29" t="s">
        <v>11</v>
      </c>
      <c r="M20" s="9" t="s">
        <v>13</v>
      </c>
      <c r="N20" s="7" t="s">
        <v>14</v>
      </c>
      <c r="O20" s="9" t="s">
        <v>15</v>
      </c>
      <c r="Q20" s="25" t="s">
        <v>17</v>
      </c>
    </row>
    <row r="21" spans="1:17" ht="15.75" thickBot="1" x14ac:dyDescent="0.25">
      <c r="A21" s="12">
        <v>1</v>
      </c>
      <c r="B21" s="13">
        <v>54.53</v>
      </c>
      <c r="C21" s="13">
        <v>1</v>
      </c>
      <c r="D21" s="32">
        <v>0.218</v>
      </c>
      <c r="E21" s="15">
        <v>120.56</v>
      </c>
      <c r="F21" s="16">
        <v>12.5</v>
      </c>
      <c r="G21" s="17">
        <v>11</v>
      </c>
      <c r="H21" s="22">
        <f>C21/B21</f>
        <v>1.8338529249954154E-2</v>
      </c>
      <c r="I21" s="10">
        <f>2*PI()*H21</f>
        <v>0.11522437753859502</v>
      </c>
      <c r="J21" s="24">
        <f>(F21*0.01-G21*0.01)/E21</f>
        <v>1.2441937624419375E-4</v>
      </c>
      <c r="K21" s="4">
        <f>AVERAGE(H21:H22)</f>
        <v>1.8301684716301277E-2</v>
      </c>
      <c r="L21" s="8">
        <f>AVERAGE(I21:I22)</f>
        <v>0.11499287650609738</v>
      </c>
      <c r="M21" s="11">
        <f>SQRT(1/MAX(A21:A22)/(MAX(A21:A22)-1)*SUM(N21:N22))</f>
        <v>2.3150103249763854E-4</v>
      </c>
      <c r="N21">
        <f>(I21-$L$21)^2</f>
        <v>5.3592728047472691E-8</v>
      </c>
      <c r="O21" s="11">
        <f>SQRT(1/MAX(A21:A25)/(MAX(A21:A25)-1)*SUM(P21:P25))</f>
        <v>3.6844533652876515E-5</v>
      </c>
      <c r="P21">
        <f>(H21-$K$21)^2</f>
        <v>1.35751966009795E-9</v>
      </c>
      <c r="Q21" s="11">
        <f>D21*9.8*0.12</f>
        <v>0.25636799999999998</v>
      </c>
    </row>
    <row r="22" spans="1:17" ht="15.75" thickBot="1" x14ac:dyDescent="0.25">
      <c r="A22" s="4">
        <v>2</v>
      </c>
      <c r="B22" s="5">
        <v>54.75</v>
      </c>
      <c r="C22" s="5">
        <v>1</v>
      </c>
      <c r="D22" s="33">
        <v>0.218</v>
      </c>
      <c r="H22" s="24">
        <f t="shared" ref="H22" si="8">C22/B22</f>
        <v>1.8264840182648401E-2</v>
      </c>
      <c r="I22" s="11">
        <f t="shared" ref="I22" si="9">2*PI()*H22</f>
        <v>0.11476137547359974</v>
      </c>
      <c r="N22">
        <f>(I22-$L$21)^2</f>
        <v>5.3592728047472691E-8</v>
      </c>
      <c r="P22">
        <f>(H22-$K$21)^2</f>
        <v>1.35751966009795E-9</v>
      </c>
    </row>
    <row r="24" spans="1:17" ht="15.75" thickBot="1" x14ac:dyDescent="0.25">
      <c r="A24" t="s">
        <v>20</v>
      </c>
    </row>
    <row r="25" spans="1:17" ht="15.75" thickBot="1" x14ac:dyDescent="0.25">
      <c r="A25" s="18" t="s">
        <v>3</v>
      </c>
      <c r="B25" s="19" t="s">
        <v>1</v>
      </c>
      <c r="C25" s="19" t="s">
        <v>7</v>
      </c>
      <c r="D25" s="31" t="s">
        <v>2</v>
      </c>
      <c r="E25" s="18" t="s">
        <v>4</v>
      </c>
      <c r="F25" s="19" t="s">
        <v>5</v>
      </c>
      <c r="G25" s="20" t="s">
        <v>6</v>
      </c>
      <c r="H25" s="21" t="s">
        <v>8</v>
      </c>
      <c r="I25" s="25" t="s">
        <v>9</v>
      </c>
      <c r="J25" s="27" t="s">
        <v>12</v>
      </c>
      <c r="K25" s="28" t="s">
        <v>10</v>
      </c>
      <c r="L25" s="29" t="s">
        <v>11</v>
      </c>
      <c r="M25" s="9" t="s">
        <v>13</v>
      </c>
      <c r="N25" s="7" t="s">
        <v>14</v>
      </c>
      <c r="O25" s="9" t="s">
        <v>15</v>
      </c>
      <c r="Q25" s="25" t="s">
        <v>17</v>
      </c>
    </row>
    <row r="26" spans="1:17" ht="15.75" thickBot="1" x14ac:dyDescent="0.25">
      <c r="A26" s="12">
        <v>1</v>
      </c>
      <c r="B26" s="13">
        <v>36.06</v>
      </c>
      <c r="C26" s="13">
        <v>1</v>
      </c>
      <c r="D26" s="32">
        <v>0.32900000000000001</v>
      </c>
      <c r="E26" s="15">
        <f>2*B26</f>
        <v>72.12</v>
      </c>
      <c r="F26" s="16">
        <v>12.5</v>
      </c>
      <c r="G26" s="17">
        <v>11</v>
      </c>
      <c r="H26" s="22">
        <f>C26/B26</f>
        <v>2.7731558513588463E-2</v>
      </c>
      <c r="I26" s="10">
        <f>2*PI()*H26</f>
        <v>0.17424252099776999</v>
      </c>
      <c r="J26" s="24">
        <f>(F26*0.01-G26*0.01)/E26</f>
        <v>2.0798668885191346E-4</v>
      </c>
      <c r="K26" s="4">
        <f>AVERAGE(H26:H27)</f>
        <v>2.7697037901330886E-2</v>
      </c>
      <c r="L26" s="8">
        <f>AVERAGE(I26:I27)</f>
        <v>0.17402562159403834</v>
      </c>
      <c r="M26" s="11">
        <f>SQRT(1/MAX(A26:A27)/(MAX(A26:A27)-1)*SUM(N26:N27))</f>
        <v>2.1689940373165184E-4</v>
      </c>
      <c r="N26">
        <f>(I26-$L$26)^2</f>
        <v>4.7045351339146107E-8</v>
      </c>
      <c r="O26" s="11">
        <f>SQRT(1/MAX(A26:A30)/(MAX(A26:A30)-1)*SUM(P26:P30))</f>
        <v>3.452061225757766E-5</v>
      </c>
      <c r="P26">
        <f>(H26-$K$26)^2</f>
        <v>1.1916726706380209E-9</v>
      </c>
      <c r="Q26" s="11">
        <f>D26*9.8*0.12</f>
        <v>0.38690400000000003</v>
      </c>
    </row>
    <row r="27" spans="1:17" ht="15.75" thickBot="1" x14ac:dyDescent="0.25">
      <c r="A27" s="4">
        <v>2</v>
      </c>
      <c r="B27" s="5">
        <v>36.15</v>
      </c>
      <c r="C27" s="5">
        <v>1</v>
      </c>
      <c r="D27" s="32">
        <v>0.32900000000000001</v>
      </c>
      <c r="H27" s="24">
        <f t="shared" ref="H27" si="10">C27/B27</f>
        <v>2.7662517289073308E-2</v>
      </c>
      <c r="I27" s="11">
        <f t="shared" ref="I27" si="11">2*PI()*H27</f>
        <v>0.17380872219030669</v>
      </c>
      <c r="N27">
        <f>(I27-$L$26)^2</f>
        <v>4.7045351339146107E-8</v>
      </c>
      <c r="P27">
        <f>(H27-$K$26)^2</f>
        <v>1.1916726706380209E-9</v>
      </c>
    </row>
    <row r="31" spans="1:17" x14ac:dyDescent="0.2">
      <c r="A31" t="s">
        <v>21</v>
      </c>
    </row>
    <row r="32" spans="1:17" x14ac:dyDescent="0.2">
      <c r="A32">
        <f>L3</f>
        <v>2.9783598047265769E-2</v>
      </c>
      <c r="B32">
        <f>Q3</f>
        <v>6.7032000000000008E-2</v>
      </c>
      <c r="C32">
        <f>M3/2</f>
        <v>6.6553851645934748E-5</v>
      </c>
    </row>
    <row r="33" spans="1:13" x14ac:dyDescent="0.2">
      <c r="A33">
        <f>L11</f>
        <v>4.8160542104188658E-2</v>
      </c>
      <c r="B33">
        <f>Q11</f>
        <v>0.107016</v>
      </c>
      <c r="C33">
        <f>M11/2</f>
        <v>8.5826283211774129E-5</v>
      </c>
      <c r="K33" t="s">
        <v>39</v>
      </c>
    </row>
    <row r="34" spans="1:13" x14ac:dyDescent="0.2">
      <c r="A34">
        <f>L16</f>
        <v>7.1817783623165335E-2</v>
      </c>
      <c r="B34">
        <f>Q16</f>
        <v>0.16228800000000002</v>
      </c>
      <c r="C34">
        <f>M16/2</f>
        <v>4.2269895503920657E-4</v>
      </c>
      <c r="K34">
        <f>AVERAGE(K36:K40)</f>
        <v>1.0967491646808464E-3</v>
      </c>
      <c r="M34">
        <f>K34*'Момент инерции'!C19*'Момент инерции'!G3</f>
        <v>2.4534510183258891E-3</v>
      </c>
    </row>
    <row r="35" spans="1:13" x14ac:dyDescent="0.2">
      <c r="A35">
        <f>L21</f>
        <v>0.11499287650609738</v>
      </c>
      <c r="B35">
        <f>Q21</f>
        <v>0.25636799999999998</v>
      </c>
      <c r="C35">
        <f>M21/2</f>
        <v>1.1575051624881927E-4</v>
      </c>
      <c r="K35" t="s">
        <v>40</v>
      </c>
    </row>
    <row r="36" spans="1:13" x14ac:dyDescent="0.2">
      <c r="A36">
        <f>L26</f>
        <v>0.17402562159403834</v>
      </c>
      <c r="B36">
        <f>Q26</f>
        <v>0.38690400000000003</v>
      </c>
      <c r="C36">
        <f>M26/2</f>
        <v>1.0844970186582592E-4</v>
      </c>
      <c r="K36">
        <f>J3/0.12</f>
        <v>5.9995200383969284E-4</v>
      </c>
    </row>
    <row r="37" spans="1:13" x14ac:dyDescent="0.2">
      <c r="K37">
        <f>J11/0.12</f>
        <v>9.583684735106953E-4</v>
      </c>
    </row>
    <row r="38" spans="1:13" x14ac:dyDescent="0.2">
      <c r="K38">
        <f>J16/0.12</f>
        <v>1.1553748035862833E-3</v>
      </c>
    </row>
    <row r="39" spans="1:13" x14ac:dyDescent="0.2">
      <c r="K39">
        <f>J21/0.12</f>
        <v>1.0368281353682813E-3</v>
      </c>
    </row>
    <row r="40" spans="1:13" x14ac:dyDescent="0.2">
      <c r="K40">
        <f>J26/0.12</f>
        <v>1.733222407099279E-3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F1" zoomScale="125" workbookViewId="0" xr3:uid="{958C4451-9541-5A59-BF78-D2F731DF1C81}">
      <selection activeCell="E19" sqref="E19"/>
    </sheetView>
  </sheetViews>
  <sheetFormatPr defaultColWidth="11" defaultRowHeight="15" x14ac:dyDescent="0.2"/>
  <cols>
    <col min="2" max="2" width="16.625" customWidth="1"/>
    <col min="6" max="6" width="14.875" customWidth="1"/>
    <col min="7" max="7" width="12.5" bestFit="1" customWidth="1"/>
  </cols>
  <sheetData>
    <row r="1" spans="1:7" ht="15.75" thickBot="1" x14ac:dyDescent="0.25">
      <c r="A1" t="s">
        <v>29</v>
      </c>
    </row>
    <row r="2" spans="1:7" ht="15.75" thickBot="1" x14ac:dyDescent="0.25">
      <c r="A2" s="41" t="s">
        <v>1</v>
      </c>
      <c r="B2" s="37" t="s">
        <v>25</v>
      </c>
      <c r="C2" s="19" t="s">
        <v>26</v>
      </c>
      <c r="D2" s="31" t="s">
        <v>27</v>
      </c>
      <c r="F2" t="s">
        <v>31</v>
      </c>
      <c r="G2">
        <f>1/8*B6*C6*C6</f>
        <v>1.2343323286250001E-3</v>
      </c>
    </row>
    <row r="3" spans="1:7" x14ac:dyDescent="0.2">
      <c r="A3" s="42">
        <v>72.900000000000006</v>
      </c>
      <c r="B3" s="38">
        <v>15</v>
      </c>
      <c r="C3" s="13">
        <f>A3/B3</f>
        <v>4.8600000000000003</v>
      </c>
      <c r="D3" s="43">
        <f>AVERAGE(C3:C5)</f>
        <v>4.8600000000000003</v>
      </c>
      <c r="F3" t="s">
        <v>30</v>
      </c>
      <c r="G3">
        <f>G2*(D3^2/D8^2)</f>
        <v>7.7557940640820687E-4</v>
      </c>
    </row>
    <row r="4" spans="1:7" x14ac:dyDescent="0.2">
      <c r="A4" s="10">
        <v>73</v>
      </c>
      <c r="B4" s="39">
        <v>15</v>
      </c>
      <c r="C4" s="1">
        <f t="shared" ref="C4:C5" si="0">A4/B4</f>
        <v>4.8666666666666663</v>
      </c>
      <c r="D4" s="44"/>
    </row>
    <row r="5" spans="1:7" ht="15.75" thickBot="1" x14ac:dyDescent="0.25">
      <c r="A5" s="11">
        <v>72.8</v>
      </c>
      <c r="B5" s="40">
        <v>15</v>
      </c>
      <c r="C5" s="5">
        <f t="shared" si="0"/>
        <v>4.8533333333333335</v>
      </c>
      <c r="D5" s="45"/>
    </row>
    <row r="6" spans="1:7" ht="15.75" thickBot="1" x14ac:dyDescent="0.25">
      <c r="A6" t="s">
        <v>28</v>
      </c>
      <c r="B6" s="7">
        <v>1.6189</v>
      </c>
      <c r="C6">
        <f>0.0781</f>
        <v>7.8100000000000003E-2</v>
      </c>
      <c r="F6" t="s">
        <v>35</v>
      </c>
      <c r="G6">
        <f>G2*SQRT((0.0005/B6)^2+2*(0.0001/C6)^2)</f>
        <v>2.2673739202399267E-6</v>
      </c>
    </row>
    <row r="7" spans="1:7" ht="15.75" thickBot="1" x14ac:dyDescent="0.25">
      <c r="A7" s="41" t="s">
        <v>1</v>
      </c>
      <c r="B7" s="37" t="s">
        <v>25</v>
      </c>
      <c r="C7" s="19" t="s">
        <v>26</v>
      </c>
      <c r="D7" s="31" t="s">
        <v>27</v>
      </c>
      <c r="F7" t="s">
        <v>36</v>
      </c>
      <c r="G7">
        <f>G3*SQRT((G6/G2)^2+2*(0.2/D3)^2+2*(0.2/D8)^2)</f>
        <v>5.7615621024598157E-5</v>
      </c>
    </row>
    <row r="8" spans="1:7" x14ac:dyDescent="0.2">
      <c r="A8" s="42">
        <v>91.5</v>
      </c>
      <c r="B8" s="38">
        <v>15</v>
      </c>
      <c r="C8" s="13">
        <f>A8/B8</f>
        <v>6.1</v>
      </c>
      <c r="D8" s="43">
        <f>AVERAGE(C8:C10)</f>
        <v>6.1311111111111103</v>
      </c>
    </row>
    <row r="9" spans="1:7" x14ac:dyDescent="0.2">
      <c r="A9" s="10">
        <v>92.2</v>
      </c>
      <c r="B9" s="39">
        <v>15</v>
      </c>
      <c r="C9" s="1">
        <f t="shared" ref="C9:C10" si="1">A9/B9</f>
        <v>6.1466666666666665</v>
      </c>
      <c r="D9" s="44"/>
    </row>
    <row r="10" spans="1:7" ht="15.75" thickBot="1" x14ac:dyDescent="0.25">
      <c r="A10" s="11">
        <v>92.2</v>
      </c>
      <c r="B10" s="40">
        <v>15</v>
      </c>
      <c r="C10" s="5">
        <f t="shared" si="1"/>
        <v>6.1466666666666665</v>
      </c>
      <c r="D10" s="45"/>
    </row>
    <row r="11" spans="1:7" ht="15.75" thickBot="1" x14ac:dyDescent="0.25"/>
    <row r="12" spans="1:7" x14ac:dyDescent="0.2">
      <c r="A12" s="34" t="s">
        <v>32</v>
      </c>
      <c r="B12" s="35" t="s">
        <v>9</v>
      </c>
      <c r="C12" s="35" t="s">
        <v>33</v>
      </c>
      <c r="D12" s="36" t="s">
        <v>34</v>
      </c>
      <c r="F12" t="s">
        <v>37</v>
      </c>
    </row>
    <row r="13" spans="1:7" x14ac:dyDescent="0.2">
      <c r="A13" s="2">
        <v>5.7000000000000002E-2</v>
      </c>
      <c r="B13" s="1">
        <f>Прецессия!L3</f>
        <v>2.9783598047265769E-2</v>
      </c>
      <c r="C13" s="1">
        <f>A13*9.8*0.12/$G$3/B13</f>
        <v>2901.8753030101307</v>
      </c>
      <c r="D13" s="3">
        <f>C13*SQRT(($G$7/$G$3)^2+(F13/B13)^2)</f>
        <v>215.96194299280398</v>
      </c>
      <c r="F13">
        <f>Прецессия!M3</f>
        <v>1.331077032918695E-4</v>
      </c>
    </row>
    <row r="14" spans="1:7" x14ac:dyDescent="0.2">
      <c r="A14" s="2">
        <v>9.0999999999999998E-2</v>
      </c>
      <c r="B14" s="1">
        <f>Прецессия!L11</f>
        <v>4.8160542104188658E-2</v>
      </c>
      <c r="C14" s="1">
        <f t="shared" ref="C14:C17" si="2">A14*9.8*0.12/$G$3/B14</f>
        <v>2865.0425637863227</v>
      </c>
      <c r="D14" s="3">
        <f t="shared" ref="D14:D17" si="3">C14*SQRT(($G$7/$G$3)^2+(F14/B14)^2)</f>
        <v>213.08080928587015</v>
      </c>
      <c r="F14">
        <f>Прецессия!M11</f>
        <v>1.7165256642354826E-4</v>
      </c>
    </row>
    <row r="15" spans="1:7" x14ac:dyDescent="0.2">
      <c r="A15" s="2">
        <v>0.13800000000000001</v>
      </c>
      <c r="B15" s="1">
        <f>Прецессия!L16</f>
        <v>7.1817783623165335E-2</v>
      </c>
      <c r="C15" s="1">
        <f t="shared" si="2"/>
        <v>2913.5880084310811</v>
      </c>
      <c r="D15" s="3">
        <f t="shared" si="3"/>
        <v>219.14277386856207</v>
      </c>
      <c r="F15">
        <f>Прецессия!M16</f>
        <v>8.4539791007841314E-4</v>
      </c>
    </row>
    <row r="16" spans="1:7" x14ac:dyDescent="0.2">
      <c r="A16" s="2">
        <v>0.218</v>
      </c>
      <c r="B16" s="1">
        <f>Прецессия!L21</f>
        <v>0.11499287650609738</v>
      </c>
      <c r="C16" s="1">
        <f t="shared" si="2"/>
        <v>2874.5284316800744</v>
      </c>
      <c r="D16" s="3">
        <f t="shared" si="3"/>
        <v>213.61906146420077</v>
      </c>
      <c r="F16">
        <f>Прецессия!M21</f>
        <v>2.3150103249763854E-4</v>
      </c>
    </row>
    <row r="17" spans="1:6" ht="15.75" thickBot="1" x14ac:dyDescent="0.25">
      <c r="A17" s="4">
        <v>0.32900000000000001</v>
      </c>
      <c r="B17" s="5">
        <f>Прецессия!L26</f>
        <v>0.17402562159403834</v>
      </c>
      <c r="C17" s="5">
        <f t="shared" si="2"/>
        <v>2866.5779576694877</v>
      </c>
      <c r="D17" s="3">
        <f t="shared" si="3"/>
        <v>212.98001418257519</v>
      </c>
      <c r="F17">
        <f>Прецессия!M26</f>
        <v>2.1689940373165184E-4</v>
      </c>
    </row>
    <row r="19" spans="1:6" x14ac:dyDescent="0.2">
      <c r="B19" t="s">
        <v>38</v>
      </c>
      <c r="C19">
        <f>AVERAGE(C13:C17)</f>
        <v>2884.322452915419</v>
      </c>
      <c r="D19">
        <f>SQRT((1/20)*SUM(E19:E23))</f>
        <v>9.8668114768886372</v>
      </c>
      <c r="E19">
        <f>(C13-$C$19)^2</f>
        <v>308.10254644741809</v>
      </c>
    </row>
    <row r="20" spans="1:6" x14ac:dyDescent="0.2">
      <c r="E20">
        <f t="shared" ref="E20:E23" si="4">(C14-$C$19)^2</f>
        <v>371.71412483024642</v>
      </c>
    </row>
    <row r="21" spans="1:6" x14ac:dyDescent="0.2">
      <c r="E21">
        <f t="shared" si="4"/>
        <v>856.47273964029876</v>
      </c>
    </row>
    <row r="22" spans="1:6" x14ac:dyDescent="0.2">
      <c r="E22">
        <f t="shared" si="4"/>
        <v>95.922851958381827</v>
      </c>
    </row>
    <row r="23" spans="1:6" x14ac:dyDescent="0.2">
      <c r="E23">
        <f t="shared" si="4"/>
        <v>314.86711153288121</v>
      </c>
    </row>
  </sheetData>
  <mergeCells count="2">
    <mergeCell ref="D3:D5"/>
    <mergeCell ref="D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opLeftCell="D7" zoomScale="125" workbookViewId="0" xr3:uid="{842E5F09-E766-5B8D-85AF-A39847EA96FD}">
      <selection activeCell="I36" sqref="I36"/>
    </sheetView>
  </sheetViews>
  <sheetFormatPr defaultColWidth="11" defaultRowHeight="15" x14ac:dyDescent="0.2"/>
  <sheetData>
    <row r="1" spans="1:3" ht="15.75" thickBot="1" x14ac:dyDescent="0.25">
      <c r="A1" s="41" t="s">
        <v>22</v>
      </c>
      <c r="B1" s="37" t="s">
        <v>23</v>
      </c>
      <c r="C1" s="31" t="s">
        <v>24</v>
      </c>
    </row>
    <row r="2" spans="1:3" x14ac:dyDescent="0.2">
      <c r="A2" s="42">
        <v>1</v>
      </c>
      <c r="B2" s="38">
        <v>37</v>
      </c>
      <c r="C2" s="32">
        <v>443</v>
      </c>
    </row>
    <row r="3" spans="1:3" x14ac:dyDescent="0.2">
      <c r="A3" s="10">
        <v>2</v>
      </c>
      <c r="B3" s="39">
        <v>90</v>
      </c>
      <c r="C3" s="3">
        <v>426</v>
      </c>
    </row>
    <row r="4" spans="1:3" x14ac:dyDescent="0.2">
      <c r="A4" s="10">
        <v>3</v>
      </c>
      <c r="B4" s="39">
        <f>2*60+34</f>
        <v>154</v>
      </c>
      <c r="C4" s="3">
        <v>404.4</v>
      </c>
    </row>
    <row r="5" spans="1:3" ht="15.75" thickBot="1" x14ac:dyDescent="0.25">
      <c r="A5" s="11">
        <v>4</v>
      </c>
      <c r="B5" s="40">
        <f>3*60+43</f>
        <v>223</v>
      </c>
      <c r="C5" s="6">
        <v>382.4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Прецессия</vt:lpstr>
      <vt:lpstr>Момент инерции</vt:lpstr>
      <vt:lpstr>Осциллограф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2016-11-27T16:26:59Z</dcterms:created>
  <dcterms:modified xsi:type="dcterms:W3CDTF">2016-11-30T00:03:17Z</dcterms:modified>
</cp:coreProperties>
</file>