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harts/chart3.xml" ContentType="application/vnd.openxmlformats-officedocument.drawingml.chart+xml"/>
  <Override PartName="/xl/charts/chart4.xml" ContentType="application/vnd.openxmlformats-officedocument.drawingml.chart+xml"/>
  <Override PartName="/xl/charts/chart6.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5.xml" ContentType="application/vnd.openxmlformats-officedocument.drawing+xml"/>
  <Override PartName="/xl/drawings/drawing7.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4.xml" ContentType="application/vnd.openxmlformats-officedocument.drawing+xml"/>
  <Override PartName="/xl/drawings/drawing6.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comments3.xml" ContentType="application/vnd.openxmlformats-officedocument.spreadsheetml.comments+xml"/>
  <Override PartName="/xl/comments2.xml" ContentType="application/vnd.openxmlformats-officedocument.spreadsheetml.comments+xml"/>
  <Override PartName="/xl/comments4.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TCO Inputs" state="visible" r:id="rId3"/>
    <sheet sheetId="2" name="TCO Advanced Inputs" state="visible" r:id="rId4"/>
    <sheet sheetId="3" name="TCO Outputs" state="visible" r:id="rId5"/>
    <sheet sheetId="4" name="Oversubscription with batteries" state="visible" r:id="rId6"/>
    <sheet sheetId="5" name="Validation" state="visible" r:id="rId7"/>
    <sheet sheetId="6" name="Utils" state="visible" r:id="rId8"/>
    <sheet sheetId="7" name="Server Power" state="visible" r:id="rId9"/>
  </sheets>
  <definedNames>
    <definedName name="OversubScalingOptions">Utils!$A$7:$A$9</definedName>
    <definedName name="OversubscriptionLevel">Utils!$A$2:$A$4</definedName>
    <definedName name="OversubscriptionMethod">Utils!$A$12:$A$13</definedName>
    <definedName name="BatteryType">Utils!$A$16:$A$17</definedName>
    <definedName name="OversubscriptionScaling">Utils!$A$7:$A$11</definedName>
  </definedNames>
  <calcPr/>
</workbook>
</file>

<file path=xl/comments1.xml><?xml version="1.0" encoding="utf-8"?>
<comments xmlns="http://schemas.openxmlformats.org/spreadsheetml/2006/main">
  <authors>
    <author/>
  </authors>
  <commentList>
    <comment ref="A10" authorId="0">
      <text>
        <t xml:space="preserve">IT required power
Renge: 100K-30MW
</t>
      </text>
    </comment>
    <comment ref="A11" authorId="0">
      <text>
        <t xml:space="preserve">Determines number of racks
Range: 2K - 6K</t>
      </text>
    </comment>
    <comment ref="A12" authorId="0">
      <text>
        <t xml:space="preserve">Range: 10-60 Sqft</t>
      </text>
    </comment>
    <comment ref="D12" authorId="0">
      <text>
        <t xml:space="preserve">We assume 20, 2u servers max per rack
</t>
      </text>
    </comment>
    <comment ref="A13" authorId="0">
      <text>
        <t xml:space="preserve">Linear depreciation
Range:6-15 years</t>
      </text>
    </comment>
    <comment ref="A14" authorId="0">
      <text>
        <t xml:space="preserve">Power Usage Effectiveness 
Range: 1.0-5.0</t>
      </text>
    </comment>
    <comment ref="A15" authorId="0">
      <text>
        <t xml:space="preserve">Range: &gt; 0</t>
      </text>
    </comment>
    <comment ref="A16" authorId="0">
      <text>
        <t xml:space="preserve">Linear depreciation
Range: 1-15</t>
      </text>
    </comment>
    <comment ref="A17" authorId="0">
      <text>
        <t xml:space="preserve">Average server utilization
(Affects Oversubscription with batteries tab)
Range: 0-1.0</t>
      </text>
    </comment>
    <comment ref="A18" authorId="0">
      <text>
        <t xml:space="preserve">Peak measurable (not nameplate)
Range: &gt; Server Idle Power</t>
      </text>
    </comment>
    <comment ref="A19" authorId="0">
      <text>
        <t xml:space="preserve">Idle server power 
Range: &gt; 0</t>
      </text>
    </comment>
    <comment ref="A20" authorId="0">
      <text>
        <t xml:space="preserve">Range: 0-1.0 ($/kWh)
Default based on Duke utility contract. 
[http://www.duke-energy.com/pdfs/scscheduleopt.pdf]</t>
      </text>
    </comment>
    <comment ref="A21" authorId="0">
      <text>
        <t xml:space="preserve">Range: &gt;= 0
Premium based on peak sustained power for 30mins over the course of a month</t>
      </text>
    </comment>
    <comment ref="A22" authorId="0">
      <text>
        <t xml:space="preserve">Percentage of extra servers accomodated under same power infrastructure. 
See TCO output tab for associated savings. To estimate a reasonable number using batteries see Oversubscription with batteries tab.
Range: 0-50%</t>
      </text>
    </comment>
    <comment ref="A23" authorId="0">
      <text>
        <t xml:space="preserve">Oversubsription at lower power levels is more beneficial. 
Pdu level oversubscription includes extra rack costs.
Cluster level oversubscription includes extra PDU and rack costs.
</t>
      </text>
    </comment>
    <comment ref="A24" authorId="0">
      <text>
        <t xml:space="preserve">Battery oversubscription includes increase in UPS cost. 
Other does not include any additional cost (free)</t>
      </text>
    </comment>
  </commentList>
</comments>
</file>

<file path=xl/comments2.xml><?xml version="1.0" encoding="utf-8"?>
<comments xmlns="http://schemas.openxmlformats.org/spreadsheetml/2006/main">
  <authors>
    <author/>
  </authors>
  <commentList>
    <comment ref="B11" authorId="0">
      <text>
        <t xml:space="preserve">All these values are extracted from the the Advanced Inputs of the APC online TCO calculator, for the "Legacy System". For more info see http://www.apc.com/tools/isx/tco/</t>
      </text>
    </comment>
    <comment ref="D11" authorId="0">
      <text>
        <t xml:space="preserve">This factors change according to the level of oversubscription. Can be set manually, according to the assumptions of oversubscription</t>
      </text>
    </comment>
    <comment ref="A12" authorId="0">
      <text>
        <t xml:space="preserve">This is the centralized UPS cost. We ignore it since we focus on distributed UPS.</t>
      </text>
    </comment>
    <comment ref="A60" authorId="0">
      <text>
        <t xml:space="preserve">Gets discrete values according to critical capacity
crit.cap &lt; 1MW  --&gt; cost = 0
1MW &lt; crit.cap &lt; 20MW --&gt; cost = 1.86M $
20MW &lt; crit.cap  --&gt; cost = 2.01M $
Estimated for a 115kV -&gt; 12.5 kV converting substation.
[Electric Power Substation Capital Costs, www.osti.gov/bridge/product.biblio.jsp?osti_id=645480]
</t>
      </text>
    </comment>
  </commentList>
</comments>
</file>

<file path=xl/comments3.xml><?xml version="1.0" encoding="utf-8"?>
<comments xmlns="http://schemas.openxmlformats.org/spreadsheetml/2006/main">
  <authors>
    <author/>
  </authors>
  <commentList>
    <comment ref="A3" authorId="0">
      <text>
        <t xml:space="preserve">Space cost without CLEAINING</t>
      </text>
    </comment>
    <comment ref="G3" authorId="0">
      <text>
        <t xml:space="preserve">Space cost without CLEAINING</t>
      </text>
    </comment>
    <comment ref="A4" authorId="0">
      <text>
        <t xml:space="preserve">Estimated as the cost of per server lead acid batteries (2$/Ah x 3.2Ah)</t>
      </text>
    </comment>
    <comment ref="G4" authorId="0">
      <text>
        <t xml:space="preserve">Estimated as the cost of per server LFP batteries (5$/Ah x 40 Ah)</t>
      </text>
    </comment>
    <comment ref="A5" authorId="0">
      <text>
        <t xml:space="preserve">Power Infrastructure with Electical Substation cost, without centralized UPS</t>
      </text>
    </comment>
    <comment ref="G5" authorId="0">
      <text>
        <t xml:space="preserve">Power Infrastructure with Electical Substation cost, without centralized UPS</t>
      </text>
    </comment>
    <comment ref="A8" authorId="0">
      <text>
        <t xml:space="preserve">Includes service and lighting</t>
      </text>
    </comment>
    <comment ref="G8" authorId="0">
      <text>
        <t xml:space="preserve">Includes service and lighting</t>
      </text>
    </comment>
    <comment ref="A10" authorId="0">
      <text>
        <t xml:space="preserve">Estimated as 5% of server cost [L.Barroso et al. "The Datacenter as a Computer...", Google book]
</t>
      </text>
    </comment>
    <comment ref="G10" authorId="0">
      <text>
        <t xml:space="preserve">Estimated as 5% of server cost [L.Barroso et al. "The Datacenter as a Computer...", Google book]
</t>
      </text>
    </comment>
    <comment ref="G18" authorId="0">
      <text>
        <t xml:space="preserve">Space cost without CLEAINING</t>
      </text>
    </comment>
    <comment ref="G19" authorId="0">
      <text>
        <t xml:space="preserve">Estimated as the cost of per server lead acid batteries</t>
      </text>
    </comment>
    <comment ref="G20" authorId="0">
      <text>
        <t xml:space="preserve">Power Infrastructure with Electical Substation cost, without centralized UPS</t>
      </text>
    </comment>
    <comment ref="G23" authorId="0">
      <text>
        <t xml:space="preserve">Includes service and lighting</t>
      </text>
    </comment>
    <comment ref="G25" authorId="0">
      <text>
        <t xml:space="preserve">Estimated as 5% of server cost [L.Barroso et al. "The Datacenter as a Computer...", Google book]
</t>
      </text>
    </comment>
  </commentList>
</comments>
</file>

<file path=xl/comments4.xml><?xml version="1.0" encoding="utf-8"?>
<comments xmlns="http://schemas.openxmlformats.org/spreadsheetml/2006/main">
  <authors>
    <author/>
  </authors>
  <commentList>
    <comment ref="A8" authorId="0">
      <text>
        <t xml:space="preserve">The graph demonstrates the daily pattern of the load.
Power = idle power + utilization * (peak power - idle power)
(see TCO inputs sheet)</t>
      </text>
    </comment>
    <comment ref="A11" authorId="0">
      <text>
        <t xml:space="preserve">Must be smaller than Max Peak Reduction</t>
      </text>
    </comment>
    <comment ref="F13" authorId="0">
      <text>
        <t xml:space="preserve">The Ah is estimated based on required discharge energy. 
We account for discharge properties (peukert's law), DoD and capacity loss throughout lifetime. 
Finally we scale it to 20h-rating.</t>
      </text>
    </comment>
  </commentList>
</comments>
</file>

<file path=xl/comments5.xml><?xml version="1.0" encoding="utf-8"?>
<comments xmlns="http://schemas.openxmlformats.org/spreadsheetml/2006/main">
  <authors>
    <author/>
  </authors>
  <commentList>
    <comment ref="A1" authorId="0">
      <text>
        <t xml:space="preserve">To validate run APC TCO calculator (http://www.apc.com/tools/isx/tco/) with:
- Design Power Rating(W): 10,000,000
- Starting Load - % of Design Power: 100
- Ending Load - % of Design Power: 100
- Average Rack Power (Watts/Rack): 4000
- % of Infrastructure Design Life when Ending Load is reached: 100
- Electricity Cost ($/kw-hr): 0.00000000001 (very small to be ignored, we estimate it separately according to utility contract)
- The rest are the default values
It will complain with 4 alerts, click ok, it is fine...
Click the results and select the Infrastructure Cost breakdown "Alternative Report"
The "System TCO by Category" should match in all components except for PowerEQ. This is because in the APC calculator they assume an "unknown" 
non-linear factor that effectively significantly reduces PowerEQ costs for critical capacity &gt; 2MW. We assume that PowerEQ scales linearly.  
Also note that the centralized UPS components are ignored (replaced by the battery cost of distributed UPS, in the TCO Outputs analysis) 
</t>
      </text>
    </comment>
    <comment ref="A2" authorId="0">
      <text>
        <t xml:space="preserve">Includes: Power Distribution whips, PDUs, backroomswitch gear, generator, UPS, batteries</t>
      </text>
    </comment>
    <comment ref="A3" authorId="0">
      <text>
        <t xml:space="preserve">Includes: CRAC etc</t>
      </text>
    </comment>
    <comment ref="A4" authorId="0">
      <text>
        <t xml:space="preserve">Includes: enginnering and labor for everything</t>
      </text>
    </comment>
    <comment ref="A6" authorId="0">
      <text>
        <t xml:space="preserve">Includdes: Racks, datacables</t>
      </text>
    </comment>
    <comment ref="A7" authorId="0">
      <text>
        <t xml:space="preserve">Includes Lease, fireprotection, raisedfloor, Cleaning for room and raised floor
</t>
      </text>
    </comment>
    <comment ref="A8" authorId="0">
      <text>
        <t xml:space="preserve">Includes only system monitors</t>
      </text>
    </comment>
    <comment ref="A9" authorId="0">
      <text>
        <t xml:space="preserve">Includes: project internal and external management</t>
      </text>
    </comment>
    <comment ref="A10" authorId="0">
      <text>
        <t xml:space="preserve">Includes: Lighting</t>
      </text>
    </comment>
    <comment ref="A15" authorId="0">
      <text>
        <t xml:space="preserve">This is approximately 10$/W of critical capacity for infrastructure costs which is in the correct range based on ["The Datacenter as a Computer", Barosso et al.]  
</t>
      </text>
    </comment>
  </commentList>
</comments>
</file>

<file path=xl/sharedStrings.xml><?xml version="1.0" encoding="utf-8"?>
<sst xmlns="http://schemas.openxmlformats.org/spreadsheetml/2006/main">
  <si>
    <t>Released under: FreeBSD</t>
  </si>
  <si>
    <t>Author: Vasileios Kontorinis (bkontorinis@gmail.com)</t>
  </si>
  <si>
    <t>Date: 05/16/2012</t>
  </si>
  <si>
    <t>Comments: If you use these models please cite the paper "Managing Distributed UPS Energy for Effective Power Capping in Data Centers", V.Kontorinis et al. ISCA 2012.</t>
  </si>
  <si>
    <t>                   Also send an email to bkontorinis@gmail.com so that we can track who is using the models.</t>
  </si>
  <si>
    <t>Compatibility: Microsoft Excel v.2007, 2010(Windows), 2011(Mac)</t>
  </si>
  <si>
    <t>Version: 1.0</t>
  </si>
  <si>
    <t>Description</t>
  </si>
  <si>
    <t>Inputs</t>
  </si>
  <si>
    <t>Estimated Values</t>
  </si>
  <si>
    <t>Critical capacity (W)</t>
  </si>
  <si>
    <t>Number of Servers</t>
  </si>
  <si>
    <t>Average Rack Power (W)</t>
  </si>
  <si>
    <t>Number of Servers with oversubscription</t>
  </si>
  <si>
    <t>Rack Footage (Sqft)</t>
  </si>
  <si>
    <t>Servers per Rack</t>
  </si>
  <si>
    <t>lifetime - DC Depreciation Time (years)</t>
  </si>
  <si>
    <t>Servers per Rack with oversubscription</t>
  </si>
  <si>
    <t>PUE</t>
  </si>
  <si>
    <t>Total Racks</t>
  </si>
  <si>
    <t>Server Cost ($)</t>
  </si>
  <si>
    <t>Total Racks with oversubscription</t>
  </si>
  <si>
    <t>Server Depreciation Time (years)</t>
  </si>
  <si>
    <t>Average server power</t>
  </si>
  <si>
    <t>Server Utilization</t>
  </si>
  <si>
    <t>Server Peak Power (W)</t>
  </si>
  <si>
    <t>Server Idle Power (W)</t>
  </si>
  <si>
    <t>Electricity Cost ($/kWh)</t>
  </si>
  <si>
    <t>Peak Power Cost ($/kW)</t>
  </si>
  <si>
    <t>Degree of over-subscription (extra servers)</t>
  </si>
  <si>
    <t>Level of over-subscription </t>
  </si>
  <si>
    <t>Rack</t>
  </si>
  <si>
    <t>Oversubscription Method</t>
  </si>
  <si>
    <t>Batteries</t>
  </si>
  <si>
    <t>TCO</t>
  </si>
  <si>
    <t>server cost</t>
  </si>
  <si>
    <t>server peak power</t>
  </si>
  <si>
    <t>total servers</t>
  </si>
  <si>
    <t>perf factor</t>
  </si>
  <si>
    <t>server total perf</t>
  </si>
  <si>
    <t>perf / TCO</t>
  </si>
  <si>
    <t>improv perf/TCO</t>
  </si>
  <si>
    <t>total cost</t>
  </si>
  <si>
    <t>power supply (W)</t>
  </si>
  <si>
    <t>machine with CPU only</t>
  </si>
  <si>
    <t>http://www.newegg.com/Product/Product.aspx?Item=N82E16883103863</t>
  </si>
  <si>
    <t>machine with CPU + GPU</t>
  </si>
  <si>
    <t>configuration</t>
  </si>
  <si>
    <t>TCO</t>
  </si>
  <si>
    <t>server cost</t>
  </si>
  <si>
    <t>server peak power</t>
  </si>
  <si>
    <t>total servers</t>
  </si>
  <si>
    <t>perf factor</t>
  </si>
  <si>
    <t>server total perf</t>
  </si>
  <si>
    <t>perf / TCO</t>
  </si>
  <si>
    <t>improv perf/TCO</t>
  </si>
  <si>
    <t>improv perf</t>
  </si>
  <si>
    <t>http://www.newegg.com/Product/Product.aspx?Item=N82E16883103853</t>
  </si>
  <si>
    <t>CPU only server</t>
  </si>
  <si>
    <t>CPU+GPU server</t>
  </si>
  <si>
    <t>Legend</t>
  </si>
  <si>
    <t>per watt</t>
  </si>
  <si>
    <t>per Sqft</t>
  </si>
  <si>
    <t>per Rack</t>
  </si>
  <si>
    <t>Materials</t>
  </si>
  <si>
    <t>Mat_</t>
  </si>
  <si>
    <t>Labor</t>
  </si>
  <si>
    <t>Lab_</t>
  </si>
  <si>
    <t>Engineering</t>
  </si>
  <si>
    <t>Eng_</t>
  </si>
  <si>
    <t>Cost per (Watt/Sqft/rack)</t>
  </si>
  <si>
    <t>Oversubscription scaling</t>
  </si>
  <si>
    <t>Oversubscription Factor</t>
  </si>
  <si>
    <t>TCO($)</t>
  </si>
  <si>
    <t>TCO with oversubscription($)</t>
  </si>
  <si>
    <t>Mat_UPS_perWatt</t>
  </si>
  <si>
    <t>Scales with Critical capacity</t>
  </si>
  <si>
    <t>Mat_Battery_perWatt</t>
  </si>
  <si>
    <t>Scales with Critical capacity</t>
  </si>
  <si>
    <t>Lab_UPSBattery_perWatt</t>
  </si>
  <si>
    <t>Scales with Critical capacity</t>
  </si>
  <si>
    <t>Eng_UPS_perWatt</t>
  </si>
  <si>
    <t>Scales with Critical capacity</t>
  </si>
  <si>
    <t>Mat_Generator_perWatt</t>
  </si>
  <si>
    <t>Scales with Critical capacity</t>
  </si>
  <si>
    <t>Eng_Generator_perWatt</t>
  </si>
  <si>
    <t>Scales with Critical capacity</t>
  </si>
  <si>
    <t>Lab_Generator_perWatt</t>
  </si>
  <si>
    <t>Scales with Critical capacity</t>
  </si>
  <si>
    <t>Mat_BackRoomSwitchGear_perWatt</t>
  </si>
  <si>
    <t>Scales with Critical capacity</t>
  </si>
  <si>
    <t>Lab_BackRoomSwitchGear_perWatt</t>
  </si>
  <si>
    <t>Scales with Critical capacity</t>
  </si>
  <si>
    <t>Eng_BackRoomSwitchGear_perWatt</t>
  </si>
  <si>
    <t>Scales with Critical capacity</t>
  </si>
  <si>
    <t>Mat_PowerDistributionUnits_perWatt</t>
  </si>
  <si>
    <t>Lab_PowerDistributionUnits_perWatt</t>
  </si>
  <si>
    <t>Eng_PowerDistributionUnits_perWatt</t>
  </si>
  <si>
    <t>Mat_Cooling_perWatt</t>
  </si>
  <si>
    <t>Scales with Critical capacity</t>
  </si>
  <si>
    <t>Lab_Cooling_perWatt</t>
  </si>
  <si>
    <t>Scales with Critical capacity</t>
  </si>
  <si>
    <t>Eng_Cooling_perWatt</t>
  </si>
  <si>
    <t>Scales with Critical capacity</t>
  </si>
  <si>
    <t>Mat_FireDetectionSuppression_perSqft</t>
  </si>
  <si>
    <t>Lab_FireDetectionSuppression_perSqft</t>
  </si>
  <si>
    <t>Eng_FireDetectionSuppression_perSqft</t>
  </si>
  <si>
    <t>Mat_RaisedFloor_perSqft</t>
  </si>
  <si>
    <t>Lab_RaisedFloor_perSqft</t>
  </si>
  <si>
    <t>Eng_RaisedFloor_perSqft</t>
  </si>
  <si>
    <t>Eng_GeneralBuilding_perSqft</t>
  </si>
  <si>
    <t>Mat_RackEnclosure_perRack</t>
  </si>
  <si>
    <t>Mat_RackPowerDistributionWhips_perRack</t>
  </si>
  <si>
    <t>Lab_RackPowerDistributionWhips_perRack</t>
  </si>
  <si>
    <t>Mat_RackDataCable_perRack</t>
  </si>
  <si>
    <t>Lab_RackDataCable_perRack</t>
  </si>
  <si>
    <t>Mat_SystemMonitoringCost_perSqft</t>
  </si>
  <si>
    <t>Mat_InternalExternalProjectMgmt_perSqft</t>
  </si>
  <si>
    <t>Mat_SpaceLeasing_perSqft</t>
  </si>
  <si>
    <t>Mat_RaisedFloorCleaning_perSqft</t>
  </si>
  <si>
    <t>Mat_RoomCleaning_perSqft</t>
  </si>
  <si>
    <t>Mat_CoolingService_perWatt</t>
  </si>
  <si>
    <t>Scales with Critical capacity</t>
  </si>
  <si>
    <t>Mat_UPSBatteryService_perWatt</t>
  </si>
  <si>
    <t>Scales with Critical capacity</t>
  </si>
  <si>
    <t>Mat_GeneratorService_perWatt</t>
  </si>
  <si>
    <t>Scales with Critical capacity</t>
  </si>
  <si>
    <t>Mat_AncillaryService_perWatt</t>
  </si>
  <si>
    <t>Scales with Critical capacity</t>
  </si>
  <si>
    <t>Mat_PowerDistributionUnitsService_perWatt</t>
  </si>
  <si>
    <t>Scales with Critical capacity</t>
  </si>
  <si>
    <t>Lighting_WattsperSqft</t>
  </si>
  <si>
    <t>Scales with Critical capacity</t>
  </si>
  <si>
    <t>Electrical Substation Cost</t>
  </si>
  <si>
    <t>Scales with Critical capacity</t>
  </si>
  <si>
    <t>CracSizingvsLoad</t>
  </si>
  <si>
    <t>Total</t>
  </si>
  <si>
    <t>GeneratorSizingvsLoad</t>
  </si>
  <si>
    <t>Costs grouped according to how they scale</t>
  </si>
  <si>
    <t>per watt</t>
  </si>
  <si>
    <t>per sqft</t>
  </si>
  <si>
    <t>per rack </t>
  </si>
  <si>
    <t>lighting</t>
  </si>
  <si>
    <t>Total Cost of Ownership NO Oversubscription (Distributed LA UPS)</t>
  </si>
  <si>
    <t>Total Cost of Ownership WITH Oversubscription</t>
  </si>
  <si>
    <t>TCO</t>
  </si>
  <si>
    <t>TCO/Month</t>
  </si>
  <si>
    <t>TCO/Month/server</t>
  </si>
  <si>
    <t>Trend with server oversubscription</t>
  </si>
  <si>
    <t>TCO oversub.</t>
  </si>
  <si>
    <t>TCO/Month</t>
  </si>
  <si>
    <t>TCO/Month/server</t>
  </si>
  <si>
    <t>Facility Space</t>
  </si>
  <si>
    <t>Decreasing</t>
  </si>
  <si>
    <t>Facility Space</t>
  </si>
  <si>
    <t>UPS</t>
  </si>
  <si>
    <t>Constant</t>
  </si>
  <si>
    <t>UPS LFP</t>
  </si>
  <si>
    <t>Power Infrastructure</t>
  </si>
  <si>
    <t>Decreasing</t>
  </si>
  <si>
    <t>Power Infrastructure</t>
  </si>
  <si>
    <t>Cooling Infrastructure</t>
  </si>
  <si>
    <t>Decreasing</t>
  </si>
  <si>
    <t>Cooling Infrastructure w PCM</t>
  </si>
  <si>
    <t>Rest</t>
  </si>
  <si>
    <t>Decreasing</t>
  </si>
  <si>
    <t>Rest</t>
  </si>
  <si>
    <t>DC opex</t>
  </si>
  <si>
    <t>Decreasing</t>
  </si>
  <si>
    <t>DC opex</t>
  </si>
  <si>
    <t>Server Depreciation</t>
  </si>
  <si>
    <t>Constant</t>
  </si>
  <si>
    <t>Server Depreciation</t>
  </si>
  <si>
    <t>Server Opex</t>
  </si>
  <si>
    <t>Constant</t>
  </si>
  <si>
    <t>Server Opex</t>
  </si>
  <si>
    <t>PUE overhead</t>
  </si>
  <si>
    <t>Constant</t>
  </si>
  <si>
    <t>PUE overhead</t>
  </si>
  <si>
    <t>Utility Energy</t>
  </si>
  <si>
    <t>Constant</t>
  </si>
  <si>
    <t>Utility Energy</t>
  </si>
  <si>
    <t>Utility Peak</t>
  </si>
  <si>
    <t>Decreasing</t>
  </si>
  <si>
    <t>Utility Peak</t>
  </si>
  <si>
    <t>total</t>
  </si>
  <si>
    <t>total</t>
  </si>
  <si>
    <t>Savings</t>
  </si>
  <si>
    <t>Relative TCO Breakdown</t>
  </si>
  <si>
    <t>Relative TCO/server Breakdown</t>
  </si>
  <si>
    <t>Relative Breakdown</t>
  </si>
  <si>
    <t>Relative TCO/server Breakdown</t>
  </si>
  <si>
    <t>Facility Space</t>
  </si>
  <si>
    <t>UPS</t>
  </si>
  <si>
    <t>Power Infrastructure</t>
  </si>
  <si>
    <t>Cooling Infrastructure w PCM</t>
  </si>
  <si>
    <t>Rest</t>
  </si>
  <si>
    <t>DC opex</t>
  </si>
  <si>
    <t>Server Depreciation</t>
  </si>
  <si>
    <t>Server Opex</t>
  </si>
  <si>
    <t>PUE overhead</t>
  </si>
  <si>
    <t>Utility Energy</t>
  </si>
  <si>
    <t>Utility Peak</t>
  </si>
  <si>
    <t>Savings</t>
  </si>
  <si>
    <t>total</t>
  </si>
  <si>
    <t>total</t>
  </si>
  <si>
    <t>Trend with server oversubscription</t>
  </si>
  <si>
    <t>Decreasing</t>
  </si>
  <si>
    <t>Constant</t>
  </si>
  <si>
    <t> </t>
  </si>
  <si>
    <t>Description</t>
  </si>
  <si>
    <t>Inputs</t>
  </si>
  <si>
    <t>Estimated</t>
  </si>
  <si>
    <t>Hour</t>
  </si>
  <si>
    <t>No Shaving</t>
  </si>
  <si>
    <t>With Shaving</t>
  </si>
  <si>
    <t>Battery depr. time (months)</t>
  </si>
  <si>
    <t>Battery Type</t>
  </si>
  <si>
    <t>LFP</t>
  </si>
  <si>
    <t>Imax (A)</t>
  </si>
  <si>
    <t>Battery Voltage</t>
  </si>
  <si>
    <t>Sever PSU efficiency</t>
  </si>
  <si>
    <t>No shaving</t>
  </si>
  <si>
    <t>With Shaving</t>
  </si>
  <si>
    <t>Worload Specific</t>
  </si>
  <si>
    <t>High Pulse Height</t>
  </si>
  <si>
    <t>Peak Pulse Width (h)</t>
  </si>
  <si>
    <t>Low Pulse Height</t>
  </si>
  <si>
    <t>Peak Pulse Height</t>
  </si>
  <si>
    <t>Targeted Peak Reduction</t>
  </si>
  <si>
    <t>Max Peak Reduction</t>
  </si>
  <si>
    <t>Discharges per day</t>
  </si>
  <si>
    <t>Required Battery Capacity (Ah)</t>
  </si>
  <si>
    <t>Battery Type Specific</t>
  </si>
  <si>
    <t>UPS cost per server ($)</t>
  </si>
  <si>
    <t>Battery Cost ($/Ah)</t>
  </si>
  <si>
    <t>UPS depreciation / month ($)</t>
  </si>
  <si>
    <t>Peukert's exponent</t>
  </si>
  <si>
    <t>Allowed Oversubscription</t>
  </si>
  <si>
    <t>DoD goal</t>
  </si>
  <si>
    <t>Service life (months)</t>
  </si>
  <si>
    <t>Battery Efficiency</t>
  </si>
  <si>
    <t>DoD</t>
  </si>
  <si>
    <t>Rech.cycles</t>
  </si>
  <si>
    <t>Analysis</t>
  </si>
  <si>
    <t>Capacity Size Limit (Ah)</t>
  </si>
  <si>
    <t>Peak Width</t>
  </si>
  <si>
    <t>Targeted Peak Reduction</t>
  </si>
  <si>
    <t>APC Calculator -- VALIDATION</t>
  </si>
  <si>
    <t>PowerEQ</t>
  </si>
  <si>
    <t>CoolingEQ</t>
  </si>
  <si>
    <t>EngInstLab</t>
  </si>
  <si>
    <t>Service</t>
  </si>
  <si>
    <t>RacksEnclos</t>
  </si>
  <si>
    <t>Space</t>
  </si>
  <si>
    <t>SysMon</t>
  </si>
  <si>
    <t>ProjMan</t>
  </si>
  <si>
    <t>Lighting</t>
  </si>
  <si>
    <t>Total infrastructure costs (no Lighting)</t>
  </si>
  <si>
    <t>Infrastructure costs+ Dist.UPS + Substation Cost</t>
  </si>
  <si>
    <t>Oversubscription Level Options</t>
  </si>
  <si>
    <t>License Information:</t>
  </si>
  <si>
    <t>Rack</t>
  </si>
  <si>
    <t>Copyright (c) 2012, Vasileios Kontorinis</t>
  </si>
  <si>
    <t>PDU</t>
  </si>
  <si>
    <t>All rights reserved.</t>
  </si>
  <si>
    <t>Cluster</t>
  </si>
  <si>
    <t>Redistribution and use in source and binary forms, with or without modification, are permitted provided that the following conditions are met:</t>
  </si>
  <si>
    <t>Oversubscription Scaling Options</t>
  </si>
  <si>
    <t>Scales with Critical capacity</t>
  </si>
  <si>
    <t>Redistributions of source code must retain the above copyright notice, this list of conditions and the following disclaimer.</t>
  </si>
  <si>
    <t>Scales with Server Power</t>
  </si>
  <si>
    <t>Redistributions in binary form must reproduce the above copyright notice, this list of conditions and the following disclaimer in the documentation and/or other materials provided with the distribution.</t>
  </si>
  <si>
    <t>Custom</t>
  </si>
  <si>
    <t>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</si>
  <si>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Oversubscription Method</t>
  </si>
  <si>
    <t>Batteries</t>
  </si>
  <si>
    <t>Other</t>
  </si>
  <si>
    <t>Battery Type</t>
  </si>
  <si>
    <t>LFP</t>
  </si>
  <si>
    <t>LA</t>
  </si>
  <si>
    <t>LFP</t>
  </si>
  <si>
    <t>LA</t>
  </si>
  <si>
    <t>Battery Cost ($/Ah)</t>
  </si>
  <si>
    <t>Peukert's exponent</t>
  </si>
  <si>
    <t>DoD goal</t>
  </si>
  <si>
    <t>Service life (months)</t>
  </si>
  <si>
    <t>Battery Efficiency</t>
  </si>
  <si>
    <t>DoD</t>
  </si>
  <si>
    <t>LFP rech.cycles</t>
  </si>
  <si>
    <t>LA rech.cycles</t>
  </si>
  <si>
    <t>Inlet Temperature (F)</t>
  </si>
  <si>
    <t>Power</t>
  </si>
  <si>
    <t>Inlet Temperature (In Centigrade)</t>
  </si>
  <si>
    <t>Normzlied Server Power</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</si>
</sst>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quot;$&quot;#,##0.00"/>
    <numFmt numFmtId="165" formatCode="&quot;$&quot;#,##0.00"/>
    <numFmt numFmtId="166" formatCode="[$$-409]#,##0;[Red]\-[$$-409]#,##0"/>
    <numFmt numFmtId="167" formatCode="[$$-409]#,##0.00;[Red]\-[$$-409]#,##0.00"/>
    <numFmt numFmtId="168" formatCode="[$$-409]#,##0.00;[Red][$$-409]#,##0.00"/>
    <numFmt numFmtId="169" formatCode="[$$-409]#,##0;[Red]\-[$$-409]#,##0"/>
    <numFmt numFmtId="170" formatCode="[$$-409]#,##0;[Red]\-[$$-409]#,##0"/>
    <numFmt numFmtId="171" formatCode="0.0"/>
    <numFmt numFmtId="172" formatCode="0.0%"/>
    <numFmt numFmtId="173" formatCode="0.0%"/>
    <numFmt numFmtId="174" formatCode="0.0"/>
    <numFmt numFmtId="175" formatCode="0.0%"/>
    <numFmt numFmtId="176" formatCode="0.0"/>
  </numFmts>
  <fonts count="60">
    <font>
      <sz val="10.0"/>
      <name val="Arial"/>
    </font>
    <font>
      <b/>
      <sz val="10.0"/>
      <name val="Arial"/>
    </font>
    <font>
      <b/>
      <sz val="10.0"/>
      <name val="Arial"/>
    </font>
    <font>
      <sz val="10.0"/>
      <name val="Arial"/>
    </font>
    <font>
      <sz val="10.0"/>
      <name val="Arial"/>
    </font>
    <font>
      <sz val="10.0"/>
      <name val="Arial"/>
    </font>
    <font>
      <b/>
      <sz val="10.0"/>
      <color rgb="FFFF0000"/>
      <name val="Arial"/>
    </font>
    <font>
      <b/>
      <sz val="10.0"/>
      <color rgb="FFFF0000"/>
      <name val="Arial"/>
    </font>
    <font>
      <sz val="10.0"/>
      <name val="Arial"/>
    </font>
    <font>
      <b/>
      <sz val="10.0"/>
      <color rgb="FFFF0000"/>
      <name val="Arial"/>
    </font>
    <font>
      <sz val="10.0"/>
      <name val="Arial"/>
    </font>
    <font>
      <sz val="10.0"/>
      <name val="Arial"/>
    </font>
    <font>
      <b/>
      <sz val="10.0"/>
      <name val="Arial"/>
    </font>
    <font>
      <b/>
    </font>
    <font>
      <sz val="10.0"/>
      <name val="Arial"/>
    </font>
    <font/>
    <font>
      <sz val="10.0"/>
      <name val="Arial"/>
    </font>
    <font>
      <sz val="10.0"/>
      <name val="Arial"/>
    </font>
    <font>
      <b/>
      <sz val="10.0"/>
      <color rgb="FFCC0000"/>
      <name val="Arial"/>
    </font>
    <font>
      <b/>
      <sz val="10.0"/>
      <color rgb="FF0000FF"/>
      <name val="Arial"/>
    </font>
    <font>
      <sz val="10.0"/>
    </font>
    <font>
      <sz val="13.0"/>
      <color rgb="FF222222"/>
    </font>
    <font>
      <sz val="10.0"/>
      <color rgb="FF4D4D4D"/>
    </font>
    <font>
      <sz val="10.0"/>
    </font>
    <font>
      <sz val="13.0"/>
      <color rgb="FF222222"/>
    </font>
    <font>
      <b/>
      <sz val="10.0"/>
      <name val="Arial"/>
    </font>
    <font>
      <b/>
      <sz val="10.0"/>
      <color rgb="FFFF0000"/>
      <name val="Arial"/>
    </font>
    <font>
      <b/>
      <sz val="10.0"/>
      <color rgb="FF9900FF"/>
      <name val="Arial"/>
    </font>
    <font>
      <b/>
      <sz val="10.0"/>
      <color rgb="FF9900FF"/>
      <name val="Arial"/>
    </font>
    <font>
      <b/>
      <sz val="10.0"/>
      <color rgb="FFFF0000"/>
      <name val="Arial"/>
    </font>
    <font>
      <b/>
      <sz val="10.0"/>
      <color rgb="FFFF0000"/>
      <name val="Arial"/>
    </font>
    <font>
      <b/>
      <sz val="10.0"/>
      <color rgb="FF0000FF"/>
      <name val="Arial"/>
    </font>
    <font>
      <u/>
      <sz val="10.0"/>
      <name val="Arial"/>
    </font>
    <font>
      <sz val="10.0"/>
      <name val="Arial"/>
    </font>
    <font>
      <sz val="10.0"/>
      <name val="Arial"/>
    </font>
    <font>
      <sz val="10.0"/>
      <name val="Arial"/>
    </font>
    <font>
      <sz val="10.0"/>
      <name val="Arial"/>
    </font>
    <font>
      <sz val="10.0"/>
      <name val="Arial"/>
    </font>
    <font>
      <sz val="10.0"/>
      <name val="Arial"/>
    </font>
    <font>
      <sz val="10.0"/>
      <name val="Arial"/>
    </font>
    <font>
      <sz val="10.0"/>
      <name val="Arial"/>
    </font>
    <font>
      <sz val="10.0"/>
      <name val="Arial"/>
    </font>
    <font>
      <sz val="10.0"/>
      <name val="Arial"/>
    </font>
    <font>
      <sz val="10.0"/>
      <name val="Arial"/>
    </font>
    <font>
      <sz val="10.0"/>
      <name val="Arial"/>
    </font>
    <font>
      <sz val="10.0"/>
      <name val="Arial"/>
    </font>
    <font>
      <sz val="10.0"/>
      <name val="Arial"/>
    </font>
    <font>
      <sz val="10.0"/>
      <name val="Arial"/>
    </font>
    <font>
      <sz val="10.0"/>
      <name val="Arial"/>
    </font>
    <font>
      <b/>
      <sz val="10.0"/>
      <color rgb="FFFF0000"/>
      <name val="Arial"/>
    </font>
    <font>
      <sz val="10.0"/>
      <name val="Arial"/>
    </font>
    <font>
      <b/>
      <sz val="10.0"/>
      <name val="Arial"/>
    </font>
    <font>
      <sz val="10.0"/>
      <name val="Arial"/>
    </font>
    <font>
      <sz val="10.0"/>
      <name val="Arial"/>
    </font>
    <font>
      <sz val="10.0"/>
      <name val="Arial"/>
    </font>
    <font>
      <sz val="10.0"/>
      <name val="Arial"/>
    </font>
    <font>
      <sz val="10.0"/>
      <name val="Arial"/>
    </font>
    <font>
      <sz val="10.0"/>
      <name val="Arial"/>
    </font>
    <font>
      <sz val="10.0"/>
      <name val="Arial"/>
    </font>
    <font>
      <sz val="10.0"/>
      <name val="Arial"/>
    </font>
  </fonts>
  <fills count="9">
    <fill>
      <patternFill patternType="none"/>
    </fill>
    <fill>
      <patternFill patternType="lightGray"/>
    </fill>
    <fill>
      <patternFill patternType="none"/>
    </fill>
    <fill>
      <patternFill patternType="solid">
        <fgColor rgb="FFF0F3F6"/>
        <bgColor rgb="FFF0F3F6"/>
      </patternFill>
    </fill>
    <fill>
      <patternFill patternType="solid">
        <fgColor rgb="FFFFFFFF"/>
        <bgColor rgb="FFFFFFFF"/>
      </patternFill>
    </fill>
    <fill>
      <patternFill patternType="solid">
        <fgColor rgb="FFE6FF00"/>
        <bgColor rgb="FFE6FF00"/>
      </patternFill>
    </fill>
    <fill>
      <patternFill patternType="solid">
        <fgColor rgb="FF23FF23"/>
        <bgColor rgb="FF23FF23"/>
      </patternFill>
    </fill>
    <fill>
      <patternFill patternType="solid">
        <fgColor rgb="FFFFCC99"/>
        <bgColor rgb="FFFFCC99"/>
      </patternFill>
    </fill>
    <fill>
      <patternFill patternType="solid">
        <fgColor rgb="FFFFFF00"/>
        <bgColor rgb="FFFFFF00"/>
      </patternFill>
    </fill>
  </fills>
  <borders count="16">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right/>
      <top/>
      <bottom/>
    </border>
    <border>
      <left/>
      <right/>
      <top/>
      <bottom/>
    </border>
    <border>
      <left/>
      <right/>
      <top/>
      <bottom/>
    </border>
    <border>
      <left/>
      <right/>
      <top/>
      <bottom/>
    </border>
    <border>
      <left/>
      <right/>
      <top/>
      <bottom/>
    </border>
    <border>
      <left/>
      <right/>
      <top/>
      <bottom/>
    </border>
    <border>
      <left/>
      <right/>
      <top/>
      <bottom/>
    </border>
    <border>
      <left/>
      <right/>
      <top/>
      <bottom/>
    </border>
  </borders>
  <cellStyleXfs count="1">
    <xf fillId="0" numFmtId="0" borderId="0" fontId="0"/>
  </cellStyleXfs>
  <cellXfs count="60">
    <xf fillId="0" numFmtId="0" borderId="0" fontId="0"/>
    <xf fillId="2" xfId="0" numFmtId="0" borderId="1" applyFont="1" fontId="1"/>
    <xf fillId="2" xfId="0" numFmtId="1" borderId="1" applyFont="1" fontId="2" applyNumberFormat="1"/>
    <xf fillId="2" xfId="0" numFmtId="0" borderId="1" applyFont="1" fontId="3"/>
    <xf fillId="2" xfId="0" numFmtId="1" borderId="1" applyFont="1" fontId="4" applyNumberFormat="1"/>
    <xf applyAlignment="1" fillId="2" xfId="0" numFmtId="3" borderId="1" applyFont="1" fontId="5" applyNumberFormat="1">
      <alignment/>
    </xf>
    <xf fillId="2" xfId="0" numFmtId="1" borderId="1" applyFont="1" fontId="6" applyNumberFormat="1"/>
    <xf fillId="2" xfId="0" numFmtId="0" borderId="1" applyFont="1" fontId="7"/>
    <xf applyAlignment="1" fillId="2" xfId="0" numFmtId="0" borderId="1" applyFont="1" fontId="8">
      <alignment/>
    </xf>
    <xf applyAlignment="1" fillId="2" xfId="0" numFmtId="0" borderId="1" applyFont="1" fontId="9">
      <alignment/>
    </xf>
    <xf applyAlignment="1" fillId="2" xfId="0" numFmtId="9" borderId="1" applyFont="1" fontId="10" applyNumberFormat="1">
      <alignment/>
    </xf>
    <xf applyAlignment="1" fillId="2" xfId="0" numFmtId="11" borderId="1" applyFont="1" fontId="11" applyNumberFormat="1">
      <alignment/>
    </xf>
    <xf applyAlignment="1" fillId="2" xfId="0" numFmtId="0" borderId="1" applyFont="1" fontId="12">
      <alignment/>
    </xf>
    <xf applyAlignment="1" fillId="2" xfId="0" numFmtId="0" borderId="1" applyFont="1" fontId="13">
      <alignment wrapText="1"/>
    </xf>
    <xf fillId="2" xfId="0" numFmtId="4" borderId="1" applyFont="1" fontId="14" applyNumberFormat="1"/>
    <xf applyAlignment="1" fillId="2" xfId="0" numFmtId="0" borderId="1" applyFont="1" fontId="15">
      <alignment wrapText="1"/>
    </xf>
    <xf applyAlignment="1" fillId="2" xfId="0" numFmtId="4" borderId="1" applyFont="1" fontId="16" applyNumberFormat="1">
      <alignment/>
    </xf>
    <xf fillId="2" xfId="0" numFmtId="11" borderId="1" applyFont="1" fontId="17" applyNumberFormat="1"/>
    <xf applyAlignment="1" fillId="2" xfId="0" numFmtId="4" borderId="1" applyFont="1" fontId="18" applyNumberFormat="1">
      <alignment/>
    </xf>
    <xf fillId="2" xfId="0" numFmtId="4" borderId="1" applyFont="1" fontId="19" applyNumberFormat="1"/>
    <xf applyAlignment="1" fillId="2" xfId="0" numFmtId="0" borderId="1" applyFont="1" fontId="20">
      <alignment wrapText="1"/>
    </xf>
    <xf applyAlignment="1" fillId="2" xfId="0" numFmtId="164" borderId="1" applyFont="1" fontId="21" applyNumberFormat="1">
      <alignment horizontal="right" wrapText="1"/>
    </xf>
    <xf applyAlignment="1" fillId="3" xfId="0" numFmtId="0" borderId="1" applyFont="1" fontId="22" applyFill="1">
      <alignment horizontal="right" wrapText="1"/>
    </xf>
    <xf applyAlignment="1" fillId="2" xfId="0" numFmtId="0" borderId="1" applyFont="1" fontId="23">
      <alignment wrapText="1"/>
    </xf>
    <xf applyAlignment="1" fillId="4" xfId="0" numFmtId="165" borderId="1" applyFont="1" fontId="24" applyNumberFormat="1" applyFill="1">
      <alignment horizontal="right" wrapText="1"/>
    </xf>
    <xf applyAlignment="1" fillId="2" xfId="0" numFmtId="1" borderId="1" applyFont="1" fontId="25" applyNumberFormat="1">
      <alignment horizontal="right"/>
    </xf>
    <xf applyAlignment="1" fillId="2" xfId="0" numFmtId="4" borderId="1" applyFont="1" fontId="26" applyNumberFormat="1">
      <alignment/>
    </xf>
    <xf fillId="2" xfId="0" numFmtId="11" borderId="1" applyFont="1" fontId="27" applyNumberFormat="1"/>
    <xf applyAlignment="1" fillId="2" xfId="0" numFmtId="4" borderId="1" applyFont="1" fontId="28" applyNumberFormat="1">
      <alignment/>
    </xf>
    <xf fillId="2" xfId="0" numFmtId="11" borderId="1" applyFont="1" fontId="29" applyNumberFormat="1"/>
    <xf fillId="2" xfId="0" numFmtId="4" borderId="1" applyFont="1" fontId="30" applyNumberFormat="1"/>
    <xf fillId="2" xfId="0" numFmtId="11" borderId="1" applyFont="1" fontId="31" applyNumberFormat="1"/>
    <xf fillId="2" xfId="0" numFmtId="0" borderId="1" applyFont="1" fontId="32"/>
    <xf applyBorder="1" fillId="2" xfId="0" numFmtId="0" borderId="2" applyFont="1" fontId="33"/>
    <xf applyBorder="1" fillId="5" xfId="0" numFmtId="1" borderId="3" applyFont="1" fontId="34" applyNumberFormat="1" applyFill="1"/>
    <xf applyBorder="1" fillId="6" xfId="0" numFmtId="1" borderId="4" applyFont="1" fontId="35" applyNumberFormat="1" applyFill="1"/>
    <xf applyBorder="1" fillId="7" xfId="0" numFmtId="1" borderId="5" applyFont="1" fontId="36" applyNumberFormat="1" applyFill="1"/>
    <xf applyBorder="1" fillId="2" xfId="0" numFmtId="1" borderId="6" applyFont="1" fontId="37" applyNumberFormat="1"/>
    <xf applyBorder="1" fillId="8" xfId="0" numFmtId="0" borderId="7" applyFont="1" fontId="38" applyFill="1"/>
    <xf applyBorder="1" applyAlignment="1" fillId="8" xfId="0" numFmtId="2" borderId="8" applyFont="1" fontId="39" applyNumberFormat="1">
      <alignment/>
    </xf>
    <xf fillId="2" xfId="0" numFmtId="166" borderId="1" applyFont="1" fontId="40" applyNumberFormat="1"/>
    <xf fillId="2" xfId="0" numFmtId="2" borderId="1" applyFont="1" fontId="41" applyNumberFormat="1"/>
    <xf applyBorder="1" fillId="6" xfId="0" numFmtId="0" borderId="9" applyFont="1" fontId="42"/>
    <xf applyBorder="1" applyAlignment="1" fillId="6" xfId="0" numFmtId="0" borderId="10" applyFont="1" fontId="43">
      <alignment/>
    </xf>
    <xf applyBorder="1" fillId="7" xfId="0" numFmtId="0" borderId="11" applyFont="1" fontId="44"/>
    <xf applyBorder="1" applyAlignment="1" fillId="7" xfId="0" numFmtId="0" borderId="12" applyFont="1" fontId="45">
      <alignment/>
    </xf>
    <xf fillId="2" xfId="0" numFmtId="167" borderId="1" applyFont="1" fontId="46" applyNumberFormat="1"/>
    <xf fillId="2" xfId="0" numFmtId="168" borderId="1" applyFont="1" fontId="47" applyNumberFormat="1"/>
    <xf applyAlignment="1" fillId="2" xfId="0" numFmtId="169" borderId="1" applyFont="1" fontId="48" applyNumberFormat="1">
      <alignment/>
    </xf>
    <xf fillId="2" xfId="0" numFmtId="170" borderId="1" applyFont="1" fontId="49" applyNumberFormat="1"/>
    <xf fillId="2" xfId="0" numFmtId="10" borderId="1" applyFont="1" fontId="50" applyNumberFormat="1"/>
    <xf applyBorder="1" fillId="8" xfId="0" numFmtId="10" borderId="13" applyFont="1" fontId="51" applyNumberFormat="1"/>
    <xf fillId="2" xfId="0" numFmtId="171" borderId="1" applyFont="1" fontId="52" applyNumberFormat="1"/>
    <xf fillId="2" xfId="0" numFmtId="9" borderId="1" applyFont="1" fontId="53" applyNumberFormat="1"/>
    <xf applyAlignment="1" fillId="2" xfId="0" numFmtId="172" borderId="1" applyFont="1" fontId="54" applyNumberFormat="1">
      <alignment/>
    </xf>
    <xf fillId="2" xfId="0" numFmtId="173" borderId="1" applyFont="1" fontId="55" applyNumberFormat="1"/>
    <xf applyBorder="1" fillId="8" xfId="0" numFmtId="174" borderId="14" applyFont="1" fontId="56" applyNumberFormat="1"/>
    <xf applyBorder="1" fillId="8" xfId="0" numFmtId="175" borderId="15" applyFont="1" fontId="57" applyNumberFormat="1"/>
    <xf applyAlignment="1" fillId="2" xfId="0" numFmtId="176" borderId="1" applyFont="1" fontId="58" applyNumberFormat="1">
      <alignment/>
    </xf>
    <xf applyAlignment="1" fillId="2" xfId="0" numFmtId="0" borderId="1" applyFont="1" fontId="59">
      <alignment vertical="center" horizontal="center"/>
    </xf>
  </cellXfs>
  <cellStyles count="1">
    <cellStyle builtinId="0" name="Normal" xfId="0"/>
  </cellStyles>
  <dxfs count="1">
    <dxf>
      <font>
        <color rgb="FF9C0006"/>
      </font>
      <fill>
        <patternFill patternType="solid">
          <fgColor rgb="FFFFC7CE"/>
          <bgColor rgb="FFFFC7CE"/>
        </patternFill>
      </fill>
      <alignment/>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2200">
                <a:solidFill>
                  <a:srgbClr val="000000"/>
                </a:solidFill>
              </a:defRPr>
            </a:pPr>
            <a:r>
              <a:t>Comparision between CPU vs CPU+GPU server classes</a:t>
            </a:r>
          </a:p>
        </c:rich>
      </c:tx>
      <c:overlay val="0"/>
    </c:title>
    <c:plotArea>
      <c:layout/>
      <c:barChart>
        <c:barDir val="col"/>
        <c:ser>
          <c:idx val="0"/>
          <c:order val="0"/>
          <c:tx>
            <c:strRef>
              <c:f>'TCO Inputs'!$L$35</c:f>
            </c:strRef>
          </c:tx>
          <c:spPr>
            <a:solidFill>
              <a:srgbClr val="4684EE"/>
            </a:solidFill>
          </c:spPr>
          <c:cat>
            <c:strRef>
              <c:f>'TCO Inputs'!$I$36:$I$45</c:f>
            </c:strRef>
          </c:cat>
          <c:val>
            <c:numRef>
              <c:f>'TCO Inputs'!$L$36:$L$45</c:f>
            </c:numRef>
          </c:val>
        </c:ser>
        <c:axId val="1577317554"/>
        <c:axId val="1931853950"/>
      </c:barChart>
      <c:catAx>
        <c:axId val="1577317554"/>
        <c:scaling>
          <c:orientation val="minMax"/>
        </c:scaling>
        <c:delete val="0"/>
        <c:axPos val="b"/>
        <c:title>
          <c:tx>
            <c:rich>
              <a:bodyPr/>
              <a:lstStyle/>
              <a:p>
                <a:pPr>
                  <a:defRPr b="1" sz="2200" i="1">
                    <a:solidFill>
                      <a:srgbClr val="222222"/>
                    </a:solidFill>
                  </a:defRPr>
                </a:pPr>
                <a:r>
                  <a:t>Server performance factor</a:t>
                </a:r>
              </a:p>
            </c:rich>
          </c:tx>
          <c:overlay val="0"/>
        </c:title>
        <c:txPr>
          <a:bodyPr/>
          <a:lstStyle/>
          <a:p>
            <a:pPr>
              <a:defRPr sz="2200">
                <a:solidFill>
                  <a:srgbClr val="222222"/>
                </a:solidFill>
              </a:defRPr>
            </a:pPr>
          </a:p>
        </c:txPr>
        <c:crossAx val="1931853950"/>
      </c:catAx>
      <c:valAx>
        <c:axId val="1931853950"/>
        <c:scaling>
          <c:orientation val="minMax"/>
        </c:scaling>
        <c:delete val="0"/>
        <c:axPos val="l"/>
        <c:majorGridlines>
          <c:spPr>
            <a:ln>
              <a:solidFill>
                <a:srgbClr val="B7B7B7"/>
              </a:solidFill>
            </a:ln>
          </c:spPr>
        </c:majorGridlines>
        <c:title>
          <c:tx>
            <c:rich>
              <a:bodyPr/>
              <a:lstStyle/>
              <a:p>
                <a:pPr>
                  <a:defRPr b="1" sz="2200" i="1">
                    <a:solidFill>
                      <a:srgbClr val="222222"/>
                    </a:solidFill>
                  </a:defRPr>
                </a:pPr>
                <a:r>
                  <a:t>Perf / TCO improvement</a:t>
                </a:r>
              </a:p>
            </c:rich>
          </c:tx>
          <c:overlay val="0"/>
        </c:title>
        <c:numFmt sourceLinked="1" formatCode="General"/>
        <c:tickLblPos val="nextTo"/>
        <c:spPr>
          <a:ln w="47625">
            <a:noFill/>
          </a:ln>
        </c:spPr>
        <c:txPr>
          <a:bodyPr/>
          <a:lstStyle/>
          <a:p>
            <a:pPr>
              <a:defRPr sz="2200">
                <a:solidFill>
                  <a:srgbClr val="222222"/>
                </a:solidFill>
              </a:defRPr>
            </a:pPr>
          </a:p>
        </c:txPr>
        <c:crossAx val="1577317554"/>
      </c:valAx>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2200">
                <a:solidFill>
                  <a:srgbClr val="000000"/>
                </a:solidFill>
              </a:defRPr>
            </a:pPr>
            <a:r>
              <a:t>Performance improvement of CPU+GPU server vs CPU server</a:t>
            </a:r>
          </a:p>
        </c:rich>
      </c:tx>
      <c:overlay val="0"/>
    </c:title>
    <c:plotArea>
      <c:layout/>
      <c:barChart>
        <c:barDir val="col"/>
        <c:ser>
          <c:idx val="0"/>
          <c:order val="0"/>
          <c:tx>
            <c:strRef>
              <c:f>'TCO Inputs'!$M$35</c:f>
            </c:strRef>
          </c:tx>
          <c:spPr>
            <a:solidFill>
              <a:srgbClr val="4684EE"/>
            </a:solidFill>
          </c:spPr>
          <c:cat>
            <c:strRef>
              <c:f>'TCO Inputs'!$I$36:$I$45</c:f>
            </c:strRef>
          </c:cat>
          <c:val>
            <c:numRef>
              <c:f>'TCO Inputs'!$M$36:$M$45</c:f>
            </c:numRef>
          </c:val>
        </c:ser>
        <c:axId val="631680594"/>
        <c:axId val="337768957"/>
      </c:barChart>
      <c:catAx>
        <c:axId val="631680594"/>
        <c:scaling>
          <c:orientation val="minMax"/>
        </c:scaling>
        <c:delete val="0"/>
        <c:axPos val="b"/>
        <c:title>
          <c:tx>
            <c:rich>
              <a:bodyPr/>
              <a:lstStyle/>
              <a:p>
                <a:pPr>
                  <a:defRPr b="1" sz="2200" i="1">
                    <a:solidFill>
                      <a:srgbClr val="222222"/>
                    </a:solidFill>
                  </a:defRPr>
                </a:pPr>
                <a:r>
                  <a:t>Server performance factor</a:t>
                </a:r>
              </a:p>
            </c:rich>
          </c:tx>
          <c:overlay val="0"/>
        </c:title>
        <c:txPr>
          <a:bodyPr/>
          <a:lstStyle/>
          <a:p>
            <a:pPr>
              <a:defRPr sz="2200">
                <a:solidFill>
                  <a:srgbClr val="222222"/>
                </a:solidFill>
              </a:defRPr>
            </a:pPr>
          </a:p>
        </c:txPr>
        <c:crossAx val="337768957"/>
      </c:catAx>
      <c:valAx>
        <c:axId val="337768957"/>
        <c:scaling>
          <c:orientation val="minMax"/>
        </c:scaling>
        <c:delete val="0"/>
        <c:axPos val="l"/>
        <c:majorGridlines>
          <c:spPr>
            <a:ln>
              <a:solidFill>
                <a:srgbClr val="B7B7B7"/>
              </a:solidFill>
            </a:ln>
          </c:spPr>
        </c:majorGridlines>
        <c:title>
          <c:tx>
            <c:rich>
              <a:bodyPr/>
              <a:lstStyle/>
              <a:p>
                <a:pPr>
                  <a:defRPr b="1" sz="2200" i="1">
                    <a:solidFill>
                      <a:srgbClr val="222222"/>
                    </a:solidFill>
                  </a:defRPr>
                </a:pPr>
                <a:r>
                  <a:t>Performance Improvement</a:t>
                </a:r>
              </a:p>
            </c:rich>
          </c:tx>
          <c:overlay val="0"/>
        </c:title>
        <c:numFmt sourceLinked="1" formatCode="General"/>
        <c:tickLblPos val="nextTo"/>
        <c:spPr>
          <a:ln w="47625">
            <a:noFill/>
          </a:ln>
        </c:spPr>
        <c:txPr>
          <a:bodyPr/>
          <a:lstStyle/>
          <a:p>
            <a:pPr>
              <a:defRPr sz="2200" i="0">
                <a:solidFill>
                  <a:srgbClr val="222222"/>
                </a:solidFill>
              </a:defRPr>
            </a:pPr>
          </a:p>
        </c:txPr>
        <c:crossAx val="631680594"/>
      </c:valAx>
    </c:plotArea>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TCO / server breakdown NO PCM</a:t>
            </a:r>
          </a:p>
        </c:rich>
      </c:tx>
      <c:overlay val="0"/>
    </c:title>
    <c:plotArea>
      <c:layout>
        <c:manualLayout>
          <c:xMode val="edge"/>
          <c:yMode val="edge"/>
          <c:x val="0.202765820390547"/>
          <c:y val="0.220306484810445"/>
          <c:w val="0.55802512638805"/>
          <c:h val="0.759275474356503"/>
        </c:manualLayout>
      </c:layout>
      <c:pieChart>
        <c:varyColors val="1"/>
        <c:ser>
          <c:idx val="0"/>
          <c:order val="0"/>
          <c:dPt>
            <c:idx val="0"/>
            <c:spPr>
              <a:solidFill>
                <a:srgbClr val="4684EE"/>
              </a:solidFill>
              <a:ln w="25400" cmpd="sng">
                <a:solidFill>
                  <a:srgbClr val="FFFFFF"/>
                </a:solidFill>
              </a:ln>
            </c:spPr>
          </c:dPt>
          <c:dPt>
            <c:idx val="1"/>
            <c:spPr>
              <a:solidFill>
                <a:srgbClr val="DC3912"/>
              </a:solidFill>
              <a:ln w="25400" cmpd="sng">
                <a:solidFill>
                  <a:srgbClr val="FFFFFF"/>
                </a:solidFill>
              </a:ln>
            </c:spPr>
          </c:dPt>
          <c:dPt>
            <c:idx val="2"/>
            <c:spPr>
              <a:solidFill>
                <a:srgbClr val="FF9900"/>
              </a:solidFill>
              <a:ln w="25400" cmpd="sng">
                <a:solidFill>
                  <a:srgbClr val="FFFFFF"/>
                </a:solidFill>
              </a:ln>
            </c:spPr>
          </c:dPt>
          <c:dPt>
            <c:idx val="3"/>
            <c:spPr>
              <a:solidFill>
                <a:srgbClr val="008000"/>
              </a:solidFill>
              <a:ln w="25400" cmpd="sng">
                <a:solidFill>
                  <a:srgbClr val="FFFFFF"/>
                </a:solidFill>
              </a:ln>
            </c:spPr>
          </c:dPt>
          <c:dPt>
            <c:idx val="4"/>
            <c:spPr>
              <a:solidFill>
                <a:srgbClr val="666666"/>
              </a:solidFill>
              <a:ln w="25400" cmpd="sng">
                <a:solidFill>
                  <a:srgbClr val="FFFFFF"/>
                </a:solidFill>
              </a:ln>
            </c:spPr>
          </c:dPt>
          <c:dPt>
            <c:idx val="5"/>
            <c:spPr>
              <a:solidFill>
                <a:srgbClr val="4942CC"/>
              </a:solidFill>
              <a:ln w="25400" cmpd="sng">
                <a:solidFill>
                  <a:srgbClr val="FFFFFF"/>
                </a:solidFill>
              </a:ln>
            </c:spPr>
          </c:dPt>
          <c:dPt>
            <c:idx val="6"/>
            <c:spPr>
              <a:solidFill>
                <a:srgbClr val="CB4AC5"/>
              </a:solidFill>
              <a:ln w="25400" cmpd="sng">
                <a:solidFill>
                  <a:srgbClr val="FFFFFF"/>
                </a:solidFill>
              </a:ln>
            </c:spPr>
          </c:dPt>
          <c:dPt>
            <c:idx val="7"/>
            <c:spPr>
              <a:solidFill>
                <a:srgbClr val="D6AE00"/>
              </a:solidFill>
              <a:ln w="25400" cmpd="sng">
                <a:solidFill>
                  <a:srgbClr val="FFFFFF"/>
                </a:solidFill>
              </a:ln>
            </c:spPr>
          </c:dPt>
          <c:dPt>
            <c:idx val="8"/>
            <c:spPr>
              <a:solidFill>
                <a:srgbClr val="336699"/>
              </a:solidFill>
              <a:ln w="25400" cmpd="sng">
                <a:solidFill>
                  <a:srgbClr val="FFFFFF"/>
                </a:solidFill>
              </a:ln>
            </c:spPr>
          </c:dPt>
          <c:dPt>
            <c:idx val="9"/>
            <c:spPr>
              <a:solidFill>
                <a:srgbClr val="DD4477"/>
              </a:solidFill>
              <a:ln w="25400" cmpd="sng">
                <a:solidFill>
                  <a:srgbClr val="FFFFFF"/>
                </a:solidFill>
              </a:ln>
            </c:spPr>
          </c:dPt>
          <c:dPt>
            <c:idx val="10"/>
            <c:spPr>
              <a:solidFill>
                <a:srgbClr val="AAAA11"/>
              </a:solidFill>
              <a:ln w="25400" cmpd="sng">
                <a:solidFill>
                  <a:srgbClr val="FFFFFF"/>
                </a:solidFill>
              </a:ln>
            </c:spPr>
          </c:dPt>
          <c:dPt>
            <c:idx val="11"/>
            <c:spPr>
              <a:solidFill>
                <a:srgbClr val="66AA00"/>
              </a:solidFill>
              <a:ln w="25400" cmpd="sng">
                <a:solidFill>
                  <a:srgbClr val="FFFFFF"/>
                </a:solidFill>
              </a:ln>
            </c:spPr>
          </c:dPt>
          <c:dPt>
            <c:idx val="12"/>
            <c:spPr>
              <a:solidFill>
                <a:srgbClr val="888888"/>
              </a:solidFill>
              <a:ln w="25400" cmpd="sng">
                <a:solidFill>
                  <a:srgbClr val="FFFFFF"/>
                </a:solidFill>
              </a:ln>
            </c:spPr>
          </c:dPt>
          <c:dPt>
            <c:idx val="13"/>
            <c:spPr>
              <a:solidFill>
                <a:srgbClr val="994499"/>
              </a:solidFill>
              <a:ln w="25400" cmpd="sng">
                <a:solidFill>
                  <a:srgbClr val="FFFFFF"/>
                </a:solidFill>
              </a:ln>
            </c:spPr>
          </c:dPt>
          <c:dPt>
            <c:idx val="14"/>
            <c:spPr>
              <a:solidFill>
                <a:srgbClr val="DD5511"/>
              </a:solidFill>
              <a:ln w="25400" cmpd="sng">
                <a:solidFill>
                  <a:srgbClr val="FFFFFF"/>
                </a:solidFill>
              </a:ln>
            </c:spPr>
          </c:dPt>
          <c:dPt>
            <c:idx val="15"/>
            <c:spPr>
              <a:solidFill>
                <a:srgbClr val="22AA99"/>
              </a:solidFill>
              <a:ln w="25400" cmpd="sng">
                <a:solidFill>
                  <a:srgbClr val="FFFFFF"/>
                </a:solidFill>
              </a:ln>
            </c:spPr>
          </c:dPt>
          <c:dPt>
            <c:idx val="16"/>
            <c:spPr>
              <a:solidFill>
                <a:srgbClr val="999999"/>
              </a:solidFill>
              <a:ln w="25400" cmpd="sng">
                <a:solidFill>
                  <a:srgbClr val="FFFFFF"/>
                </a:solidFill>
              </a:ln>
            </c:spPr>
          </c:dPt>
          <c:dPt>
            <c:idx val="17"/>
            <c:spPr>
              <a:solidFill>
                <a:srgbClr val="705770"/>
              </a:solidFill>
              <a:ln w="25400" cmpd="sng">
                <a:solidFill>
                  <a:srgbClr val="FFFFFF"/>
                </a:solidFill>
              </a:ln>
            </c:spPr>
          </c:dPt>
          <c:dPt>
            <c:idx val="18"/>
            <c:spPr>
              <a:solidFill>
                <a:srgbClr val="109618"/>
              </a:solidFill>
              <a:ln w="25400" cmpd="sng">
                <a:solidFill>
                  <a:srgbClr val="FFFFFF"/>
                </a:solidFill>
              </a:ln>
            </c:spPr>
          </c:dPt>
          <c:dPt>
            <c:idx val="19"/>
            <c:spPr>
              <a:solidFill>
                <a:srgbClr val="A32929"/>
              </a:solidFill>
              <a:ln w="25400" cmpd="sng">
                <a:solidFill>
                  <a:srgbClr val="FFFFFF"/>
                </a:solidFill>
              </a:ln>
            </c:spPr>
          </c:dPt>
          <c:dLbls>
            <c:showLegendKey val="0"/>
            <c:showVal val="0"/>
            <c:showCatName val="0"/>
            <c:showSerName val="0"/>
            <c:showPercent val="1"/>
            <c:showBubbleSize val="0"/>
            <c:showLeaderLines val="1"/>
          </c:dLbls>
          <c:cat>
            <c:strRef>
              <c:f>'TCO Outputs'!$A$18:$A$28</c:f>
            </c:strRef>
          </c:cat>
          <c:val>
            <c:numRef>
              <c:f>'TCO Outputs'!$D$18:$D$28</c:f>
            </c:numRef>
          </c:val>
        </c:ser>
        <c:dLbls>
          <c:showLegendKey val="0"/>
          <c:showVal val="0"/>
          <c:showCatName val="0"/>
          <c:showSerName val="0"/>
          <c:showPercent val="0"/>
          <c:showBubbleSize val="0"/>
        </c:dLbls>
        <c:firstSliceAng val="0"/>
      </c:pieChart>
    </c:plotArea>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TCO / server breakdown WITH PCM</a:t>
            </a:r>
          </a:p>
        </c:rich>
      </c:tx>
      <c:overlay val="0"/>
    </c:title>
    <c:plotArea>
      <c:layout>
        <c:manualLayout>
          <c:xMode val="edge"/>
          <c:yMode val="edge"/>
          <c:x val="0.199331865454644"/>
          <c:y val="0.200034901042775"/>
          <c:w val="0.589158452100608"/>
          <c:h val="0.776483507129176"/>
        </c:manualLayout>
      </c:layout>
      <c:pieChart>
        <c:varyColors val="1"/>
        <c:ser>
          <c:idx val="0"/>
          <c:order val="0"/>
          <c:dPt>
            <c:idx val="0"/>
            <c:spPr>
              <a:solidFill>
                <a:srgbClr val="4684EE"/>
              </a:solidFill>
              <a:ln w="25400" cmpd="sng">
                <a:solidFill>
                  <a:srgbClr val="FFFFFF"/>
                </a:solidFill>
              </a:ln>
            </c:spPr>
          </c:dPt>
          <c:dPt>
            <c:idx val="1"/>
            <c:spPr>
              <a:solidFill>
                <a:srgbClr val="DC3912"/>
              </a:solidFill>
              <a:ln w="25400" cmpd="sng">
                <a:solidFill>
                  <a:srgbClr val="FFFFFF"/>
                </a:solidFill>
              </a:ln>
            </c:spPr>
          </c:dPt>
          <c:dPt>
            <c:idx val="2"/>
            <c:spPr>
              <a:solidFill>
                <a:srgbClr val="FF9900"/>
              </a:solidFill>
              <a:ln w="25400" cmpd="sng">
                <a:solidFill>
                  <a:srgbClr val="FFFFFF"/>
                </a:solidFill>
              </a:ln>
            </c:spPr>
          </c:dPt>
          <c:dPt>
            <c:idx val="3"/>
            <c:spPr>
              <a:solidFill>
                <a:srgbClr val="008000"/>
              </a:solidFill>
              <a:ln w="25400" cmpd="sng">
                <a:solidFill>
                  <a:srgbClr val="FFFFFF"/>
                </a:solidFill>
              </a:ln>
            </c:spPr>
          </c:dPt>
          <c:dPt>
            <c:idx val="4"/>
            <c:spPr>
              <a:solidFill>
                <a:srgbClr val="666666"/>
              </a:solidFill>
              <a:ln w="25400" cmpd="sng">
                <a:solidFill>
                  <a:srgbClr val="FFFFFF"/>
                </a:solidFill>
              </a:ln>
            </c:spPr>
          </c:dPt>
          <c:dPt>
            <c:idx val="5"/>
            <c:spPr>
              <a:solidFill>
                <a:srgbClr val="4942CC"/>
              </a:solidFill>
              <a:ln w="25400" cmpd="sng">
                <a:solidFill>
                  <a:srgbClr val="FFFFFF"/>
                </a:solidFill>
              </a:ln>
            </c:spPr>
          </c:dPt>
          <c:dPt>
            <c:idx val="6"/>
            <c:spPr>
              <a:solidFill>
                <a:srgbClr val="CB4AC5"/>
              </a:solidFill>
              <a:ln w="25400" cmpd="sng">
                <a:solidFill>
                  <a:srgbClr val="FFFFFF"/>
                </a:solidFill>
              </a:ln>
            </c:spPr>
          </c:dPt>
          <c:dPt>
            <c:idx val="7"/>
            <c:spPr>
              <a:solidFill>
                <a:srgbClr val="D6AE00"/>
              </a:solidFill>
              <a:ln w="25400" cmpd="sng">
                <a:solidFill>
                  <a:srgbClr val="FFFFFF"/>
                </a:solidFill>
              </a:ln>
            </c:spPr>
          </c:dPt>
          <c:dPt>
            <c:idx val="8"/>
            <c:spPr>
              <a:solidFill>
                <a:srgbClr val="336699"/>
              </a:solidFill>
              <a:ln w="25400" cmpd="sng">
                <a:solidFill>
                  <a:srgbClr val="FFFFFF"/>
                </a:solidFill>
              </a:ln>
            </c:spPr>
          </c:dPt>
          <c:dPt>
            <c:idx val="9"/>
            <c:spPr>
              <a:solidFill>
                <a:srgbClr val="DD4477"/>
              </a:solidFill>
              <a:ln w="25400" cmpd="sng">
                <a:solidFill>
                  <a:srgbClr val="FFFFFF"/>
                </a:solidFill>
              </a:ln>
            </c:spPr>
          </c:dPt>
          <c:dPt>
            <c:idx val="10"/>
            <c:spPr>
              <a:solidFill>
                <a:srgbClr val="AAAA11"/>
              </a:solidFill>
              <a:ln w="25400" cmpd="sng">
                <a:solidFill>
                  <a:srgbClr val="FFFFFF"/>
                </a:solidFill>
              </a:ln>
            </c:spPr>
          </c:dPt>
          <c:dPt>
            <c:idx val="11"/>
            <c:spPr>
              <a:solidFill>
                <a:srgbClr val="66AA00"/>
              </a:solidFill>
              <a:ln w="25400" cmpd="sng">
                <a:solidFill>
                  <a:srgbClr val="FFFFFF"/>
                </a:solidFill>
              </a:ln>
            </c:spPr>
          </c:dPt>
          <c:dPt>
            <c:idx val="12"/>
            <c:spPr>
              <a:solidFill>
                <a:srgbClr val="888888"/>
              </a:solidFill>
              <a:ln w="25400" cmpd="sng">
                <a:solidFill>
                  <a:srgbClr val="FFFFFF"/>
                </a:solidFill>
              </a:ln>
            </c:spPr>
          </c:dPt>
          <c:dPt>
            <c:idx val="13"/>
            <c:spPr>
              <a:solidFill>
                <a:srgbClr val="994499"/>
              </a:solidFill>
              <a:ln w="25400" cmpd="sng">
                <a:solidFill>
                  <a:srgbClr val="FFFFFF"/>
                </a:solidFill>
              </a:ln>
            </c:spPr>
          </c:dPt>
          <c:dPt>
            <c:idx val="14"/>
            <c:spPr>
              <a:solidFill>
                <a:srgbClr val="DD5511"/>
              </a:solidFill>
              <a:ln w="25400" cmpd="sng">
                <a:solidFill>
                  <a:srgbClr val="FFFFFF"/>
                </a:solidFill>
              </a:ln>
            </c:spPr>
          </c:dPt>
          <c:dPt>
            <c:idx val="15"/>
            <c:spPr>
              <a:solidFill>
                <a:srgbClr val="22AA99"/>
              </a:solidFill>
              <a:ln w="25400" cmpd="sng">
                <a:solidFill>
                  <a:srgbClr val="FFFFFF"/>
                </a:solidFill>
              </a:ln>
            </c:spPr>
          </c:dPt>
          <c:dPt>
            <c:idx val="16"/>
            <c:spPr>
              <a:solidFill>
                <a:srgbClr val="999999"/>
              </a:solidFill>
              <a:ln w="25400" cmpd="sng">
                <a:solidFill>
                  <a:srgbClr val="FFFFFF"/>
                </a:solidFill>
              </a:ln>
            </c:spPr>
          </c:dPt>
          <c:dPt>
            <c:idx val="17"/>
            <c:spPr>
              <a:solidFill>
                <a:srgbClr val="705770"/>
              </a:solidFill>
              <a:ln w="25400" cmpd="sng">
                <a:solidFill>
                  <a:srgbClr val="FFFFFF"/>
                </a:solidFill>
              </a:ln>
            </c:spPr>
          </c:dPt>
          <c:dPt>
            <c:idx val="18"/>
            <c:spPr>
              <a:solidFill>
                <a:srgbClr val="109618"/>
              </a:solidFill>
              <a:ln w="25400" cmpd="sng">
                <a:solidFill>
                  <a:srgbClr val="FFFFFF"/>
                </a:solidFill>
              </a:ln>
            </c:spPr>
          </c:dPt>
          <c:dPt>
            <c:idx val="19"/>
            <c:spPr>
              <a:solidFill>
                <a:srgbClr val="A32929"/>
              </a:solidFill>
              <a:ln w="25400" cmpd="sng">
                <a:solidFill>
                  <a:srgbClr val="FFFFFF"/>
                </a:solidFill>
              </a:ln>
            </c:spPr>
          </c:dPt>
          <c:dLbls>
            <c:showLegendKey val="0"/>
            <c:showVal val="0"/>
            <c:showCatName val="0"/>
            <c:showSerName val="0"/>
            <c:showPercent val="1"/>
            <c:showBubbleSize val="0"/>
            <c:showLeaderLines val="1"/>
          </c:dLbls>
          <c:cat>
            <c:strRef>
              <c:f>'TCO Outputs'!$G$18:$G$29</c:f>
            </c:strRef>
          </c:cat>
          <c:val>
            <c:numRef>
              <c:f>'TCO Outputs'!$J$18:$J$29</c:f>
            </c:numRef>
          </c:val>
        </c:ser>
        <c:dLbls>
          <c:showLegendKey val="0"/>
          <c:showVal val="0"/>
          <c:showCatName val="0"/>
          <c:showSerName val="0"/>
          <c:showPercent val="0"/>
          <c:showBubbleSize val="0"/>
        </c:dLbls>
        <c:firstSliceAng val="0"/>
      </c:pieChart>
    </c:plotArea>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96013343864435"/>
          <c:y val="0.051400554097404495"/>
          <c:w val="0.769360890574278"/>
          <c:h val="0.763175123942841"/>
        </c:manualLayout>
      </c:layout>
      <c:lineChart>
        <c:ser>
          <c:idx val="0"/>
          <c:order val="0"/>
          <c:tx>
            <c:strRef>
              <c:f>'Oversubscription with batteries'!$N$2</c:f>
            </c:strRef>
          </c:tx>
          <c:spPr>
            <a:ln w="25400" cmpd="sng">
              <a:solidFill>
                <a:srgbClr val="4F81BD"/>
              </a:solidFill>
            </a:ln>
          </c:spPr>
          <c:marker>
            <c:symbol val="none"/>
          </c:marker>
          <c:cat>
            <c:strRef>
              <c:f>'Oversubscription with batteries'!$M$3:$M$26</c:f>
            </c:strRef>
          </c:cat>
          <c:val>
            <c:numRef>
              <c:f>'Oversubscription with batteries'!$N$3:$N$26</c:f>
            </c:numRef>
          </c:val>
          <c:smooth val="0"/>
        </c:ser>
        <c:ser>
          <c:idx val="1"/>
          <c:order val="1"/>
          <c:tx>
            <c:strRef>
              <c:f>'Oversubscription with batteries'!$O$2</c:f>
            </c:strRef>
          </c:tx>
          <c:spPr>
            <a:ln w="25400" cmpd="sng">
              <a:solidFill>
                <a:srgbClr val="8064A2"/>
              </a:solidFill>
            </a:ln>
          </c:spPr>
          <c:marker>
            <c:symbol val="none"/>
          </c:marker>
          <c:cat>
            <c:strRef>
              <c:f>'Oversubscription with batteries'!$M$3:$M$26</c:f>
            </c:strRef>
          </c:cat>
          <c:val>
            <c:numRef>
              <c:f>'Oversubscription with batteries'!$O$3:$O$26</c:f>
            </c:numRef>
          </c:val>
          <c:smooth val="0"/>
        </c:ser>
        <c:axId val="2140708673"/>
        <c:axId val="1391422351"/>
      </c:lineChart>
      <c:catAx>
        <c:axId val="2140708673"/>
        <c:scaling>
          <c:orientation val="minMax"/>
        </c:scaling>
        <c:delete val="0"/>
        <c:axPos val="b"/>
        <c:title>
          <c:tx>
            <c:rich>
              <a:bodyPr/>
              <a:lstStyle/>
              <a:p>
                <a:pPr>
                  <a:defRPr/>
                </a:pPr>
                <a:r>
                  <a:t>Hours of the day</a:t>
                </a:r>
              </a:p>
            </c:rich>
          </c:tx>
          <c:overlay val="0"/>
        </c:title>
        <c:txPr>
          <a:bodyPr/>
          <a:lstStyle/>
          <a:p>
            <a:pPr>
              <a:defRPr/>
            </a:pPr>
          </a:p>
        </c:txPr>
        <c:crossAx val="1391422351"/>
      </c:catAx>
      <c:valAx>
        <c:axId val="1391422351"/>
        <c:scaling>
          <c:orientation val="minMax"/>
        </c:scaling>
        <c:delete val="0"/>
        <c:axPos val="l"/>
        <c:majorGridlines>
          <c:spPr>
            <a:ln>
              <a:solidFill>
                <a:srgbClr val="B7B7B7"/>
              </a:solidFill>
            </a:ln>
          </c:spPr>
        </c:majorGridlines>
        <c:title>
          <c:tx>
            <c:rich>
              <a:bodyPr/>
              <a:lstStyle/>
              <a:p>
                <a:pPr>
                  <a:defRPr/>
                </a:pPr>
                <a:r>
                  <a:t>Server Power (W)</a:t>
                </a:r>
              </a:p>
            </c:rich>
          </c:tx>
          <c:overlay val="0"/>
        </c:title>
        <c:numFmt sourceLinked="1" formatCode="General"/>
        <c:tickLblPos val="nextTo"/>
        <c:spPr>
          <a:ln w="47625">
            <a:noFill/>
          </a:ln>
        </c:spPr>
        <c:txPr>
          <a:bodyPr/>
          <a:lstStyle/>
          <a:p>
            <a:pPr>
              <a:defRPr/>
            </a:pPr>
          </a:p>
        </c:txPr>
        <c:crossAx val="2140708673"/>
      </c:valAx>
    </c:plotArea>
    <c:legend>
      <c:legendPos val="t"/>
      <c:overlay val="0"/>
    </c:legend>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Normalized Power vs Temperature</a:t>
            </a:r>
          </a:p>
        </c:rich>
      </c:tx>
      <c:overlay val="0"/>
    </c:title>
    <c:plotArea>
      <c:layout/>
      <c:lineChart>
        <c:varyColors val="0"/>
        <c:ser>
          <c:idx val="0"/>
          <c:order val="0"/>
          <c:spPr>
            <a:ln w="25400" cmpd="sng">
              <a:solidFill>
                <a:srgbClr val="C0504D"/>
              </a:solidFill>
            </a:ln>
          </c:spPr>
          <c:marker>
            <c:symbol val="none"/>
          </c:marker>
          <c:cat>
            <c:strRef>
              <c:f>'Server Power'!$H$14:$H$23</c:f>
            </c:strRef>
          </c:cat>
          <c:val>
            <c:numRef>
              <c:f>'Server Power'!$I$14:$I$23</c:f>
            </c:numRef>
          </c:val>
          <c:smooth val="0"/>
        </c:ser>
        <c:axId val="263507354"/>
        <c:axId val="233960666"/>
      </c:lineChart>
      <c:catAx>
        <c:axId val="263507354"/>
        <c:scaling>
          <c:orientation val="minMax"/>
        </c:scaling>
        <c:delete val="0"/>
        <c:axPos val="b"/>
        <c:txPr>
          <a:bodyPr/>
          <a:lstStyle/>
          <a:p>
            <a:pPr>
              <a:defRPr/>
            </a:pPr>
          </a:p>
        </c:txPr>
        <c:crossAx val="233960666"/>
      </c:catAx>
      <c:valAx>
        <c:axId val="233960666"/>
        <c:scaling>
          <c:orientation val="minMax"/>
        </c:scaling>
        <c:delete val="0"/>
        <c:axPos val="l"/>
        <c:majorGridlines>
          <c:spPr>
            <a:ln>
              <a:solidFill>
                <a:srgbClr val="B7B7B7"/>
              </a:solidFill>
            </a:ln>
          </c:spPr>
        </c:majorGridlines>
        <c:numFmt sourceLinked="1" formatCode="General"/>
        <c:tickLblPos val="nextTo"/>
        <c:spPr>
          <a:ln w="47625">
            <a:noFill/>
          </a:ln>
        </c:spPr>
        <c:txPr>
          <a:bodyPr/>
          <a:lstStyle/>
          <a:p>
            <a:pPr>
              <a:defRPr/>
            </a:pPr>
          </a:p>
        </c:txPr>
        <c:crossAx val="263507354"/>
      </c:valAx>
    </c:plotArea>
  </c:chart>
</c:chartSpace>
</file>

<file path=xl/drawings/_rels/drawing1.xml.rels><?xml version="1.0" encoding="UTF-8" standalone="yes"?><Relationships xmlns="http://schemas.openxmlformats.org/package/2006/relationships"><Relationship Target="../charts/chart2.xml" Type="http://schemas.openxmlformats.org/officeDocument/2006/relationships/chart" Id="rId2"/><Relationship Target="../charts/chart1.xml" Type="http://schemas.openxmlformats.org/officeDocument/2006/relationships/chart" Id="rId1"/></Relationships>
</file>

<file path=xl/drawings/_rels/drawing3.xml.rels><?xml version="1.0" encoding="UTF-8" standalone="yes"?><Relationships xmlns="http://schemas.openxmlformats.org/package/2006/relationships"><Relationship Target="../charts/chart4.xml" Type="http://schemas.openxmlformats.org/officeDocument/2006/relationships/chart" Id="rId2"/><Relationship Target="../charts/chart3.xml" Type="http://schemas.openxmlformats.org/officeDocument/2006/relationships/chart" Id="rId1"/></Relationships>
</file>

<file path=xl/drawings/_rels/drawing4.xml.rels><?xml version="1.0" encoding="UTF-8" standalone="yes"?><Relationships xmlns="http://schemas.openxmlformats.org/package/2006/relationships"><Relationship Target="../charts/chart5.xml" Type="http://schemas.openxmlformats.org/officeDocument/2006/relationships/chart" Id="rId1"/></Relationships>
</file>

<file path=xl/drawings/_rels/drawing7.xml.rels><?xml version="1.0" encoding="UTF-8" standalone="yes"?><Relationships xmlns="http://schemas.openxmlformats.org/package/2006/relationships"><Relationship Target="../charts/chart6.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7124700" x="1038225"/>
    <xdr:ext cy="3990975" cx="8753475"/>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absoluteAnchor>
  <xdr:absoluteAnchor>
    <xdr:pos y="7210425" x="10429875"/>
    <xdr:ext cy="4210050" cx="9010650"/>
    <xdr:graphicFrame>
      <xdr:nvGraphicFramePr>
        <xdr:cNvPr id="2" name="Chart 2"/>
        <xdr:cNvGraphicFramePr/>
      </xdr:nvGraphicFramePr>
      <xdr:xfrm>
        <a:off y="0" x="0"/>
        <a:ext cy="0" cx="0"/>
      </xdr:xfrm>
      <a:graphic>
        <a:graphicData uri="http://schemas.openxmlformats.org/drawingml/2006/chart">
          <c:chart r:id="rId2"/>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6181725" x="133350"/>
    <xdr:ext cy="4867275" cx="5505450"/>
    <xdr:graphicFrame>
      <xdr:nvGraphicFramePr>
        <xdr:cNvPr id="3" name="Chart 3"/>
        <xdr:cNvGraphicFramePr/>
      </xdr:nvGraphicFramePr>
      <xdr:xfrm>
        <a:off y="0" x="0"/>
        <a:ext cy="0" cx="0"/>
      </xdr:xfrm>
      <a:graphic>
        <a:graphicData uri="http://schemas.openxmlformats.org/drawingml/2006/chart">
          <c:chart r:id="rId1"/>
        </a:graphicData>
      </a:graphic>
    </xdr:graphicFrame>
    <xdr:clientData fLocksWithSheet="0"/>
  </xdr:absoluteAnchor>
  <xdr:absoluteAnchor>
    <xdr:pos y="6248400" x="5886450"/>
    <xdr:ext cy="4924425" cx="5495925"/>
    <xdr:graphicFrame>
      <xdr:nvGraphicFramePr>
        <xdr:cNvPr id="4" name="Chart 4"/>
        <xdr:cNvGraphicFramePr/>
      </xdr:nvGraphicFramePr>
      <xdr:xfrm>
        <a:off y="0" x="0"/>
        <a:ext cy="0" cx="0"/>
      </xdr:xfrm>
      <a:graphic>
        <a:graphicData uri="http://schemas.openxmlformats.org/drawingml/2006/chart">
          <c:chart r:id="rId2"/>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2781300" x="3467100"/>
    <xdr:ext cy="2571750" cx="3848100"/>
    <xdr:graphicFrame>
      <xdr:nvGraphicFramePr>
        <xdr:cNvPr id="5" name="Chart 5"/>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3971925" x="4514850"/>
    <xdr:ext cy="3895725" cx="4857750"/>
    <xdr:graphicFrame>
      <xdr:nvGraphicFramePr>
        <xdr:cNvPr id="6" name="Chart 6"/>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Target="../drawings/drawing1.xml" Type="http://schemas.openxmlformats.org/officeDocument/2006/relationships/drawing" Id="rId2"/><Relationship Target="../comments1.xml" Type="http://schemas.openxmlformats.org/officeDocument/2006/relationships/comments" Id="rId1"/><Relationship Target="../drawings/vmlDrawing1.vml" Type="http://schemas.openxmlformats.org/officeDocument/2006/relationships/vmlDrawing" Id="rId3"/></Relationships>
</file>

<file path=xl/worksheets/_rels/sheet2.xml.rels><?xml version="1.0" encoding="UTF-8" standalone="yes"?><Relationships xmlns="http://schemas.openxmlformats.org/package/2006/relationships"><Relationship Target="../drawings/drawing2.xml" Type="http://schemas.openxmlformats.org/officeDocument/2006/relationships/drawing" Id="rId2"/><Relationship Target="../comments2.xml" Type="http://schemas.openxmlformats.org/officeDocument/2006/relationships/comments" Id="rId1"/><Relationship Target="../drawings/vmlDrawing2.vml" Type="http://schemas.openxmlformats.org/officeDocument/2006/relationships/vmlDrawing" Id="rId3"/></Relationships>
</file>

<file path=xl/worksheets/_rels/sheet3.xml.rels><?xml version="1.0" encoding="UTF-8" standalone="yes"?><Relationships xmlns="http://schemas.openxmlformats.org/package/2006/relationships"><Relationship Target="../drawings/drawing3.xml" Type="http://schemas.openxmlformats.org/officeDocument/2006/relationships/drawing" Id="rId2"/><Relationship Target="../comments3.xml" Type="http://schemas.openxmlformats.org/officeDocument/2006/relationships/comments" Id="rId1"/><Relationship Target="../drawings/vmlDrawing3.vml" Type="http://schemas.openxmlformats.org/officeDocument/2006/relationships/vmlDrawing" Id="rId3"/></Relationships>
</file>

<file path=xl/worksheets/_rels/sheet4.xml.rels><?xml version="1.0" encoding="UTF-8" standalone="yes"?><Relationships xmlns="http://schemas.openxmlformats.org/package/2006/relationships"><Relationship Target="../drawings/drawing4.xml" Type="http://schemas.openxmlformats.org/officeDocument/2006/relationships/drawing" Id="rId2"/><Relationship Target="../comments4.xml" Type="http://schemas.openxmlformats.org/officeDocument/2006/relationships/comments" Id="rId1"/><Relationship Target="../drawings/vmlDrawing4.vml" Type="http://schemas.openxmlformats.org/officeDocument/2006/relationships/vmlDrawing" Id="rId3"/></Relationships>
</file>

<file path=xl/worksheets/_rels/sheet5.xml.rels><?xml version="1.0" encoding="UTF-8" standalone="yes"?><Relationships xmlns="http://schemas.openxmlformats.org/package/2006/relationships"><Relationship Target="../drawings/drawing5.xml" Type="http://schemas.openxmlformats.org/officeDocument/2006/relationships/drawing" Id="rId2"/><Relationship Target="../comments5.xml" Type="http://schemas.openxmlformats.org/officeDocument/2006/relationships/comments" Id="rId1"/><Relationship Target="../drawings/vmlDrawing5.vml" Type="http://schemas.openxmlformats.org/officeDocument/2006/relationships/vmlDrawing" Id="rId3"/></Relationships>
</file>

<file path=xl/worksheets/_rels/sheet6.xml.rels><?xml version="1.0" encoding="UTF-8" standalone="yes"?><Relationships xmlns="http://schemas.openxmlformats.org/package/2006/relationships"><Relationship Target="../drawings/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drawing7.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58.57"/>
    <col min="2" customWidth="1" max="2" width="12.71"/>
    <col min="3" customWidth="1" max="3" width="11.43"/>
    <col min="4" customWidth="1" max="4" width="33.43"/>
    <col min="5" customWidth="1" max="5" width="19.71"/>
    <col min="6" customWidth="1" max="7" width="11.43"/>
    <col min="8" customWidth="1" max="14" width="19.29"/>
  </cols>
  <sheetData>
    <row customHeight="1" r="1" ht="12.0">
      <c t="s" s="1" r="A1">
        <v>0</v>
      </c>
      <c s="1" r="B1"/>
      <c s="1" r="C1"/>
      <c s="2" r="D1"/>
      <c s="1" r="E1"/>
      <c s="3" r="H1"/>
      <c s="3" r="I1"/>
      <c s="3" r="J1"/>
      <c s="3" r="K1"/>
      <c s="3" r="L1"/>
      <c s="3" r="M1"/>
      <c s="3" r="N1"/>
    </row>
    <row customHeight="1" r="2" ht="12.0">
      <c t="s" s="1" r="A2">
        <v>1</v>
      </c>
      <c s="1" r="B2"/>
      <c s="1" r="C2"/>
      <c s="2" r="D2"/>
      <c s="1" r="E2"/>
      <c s="3" r="H2"/>
      <c s="3" r="I2"/>
      <c s="3" r="J2"/>
      <c s="3" r="K2"/>
      <c s="3" r="L2"/>
      <c s="3" r="M2"/>
      <c s="3" r="N2"/>
    </row>
    <row customHeight="1" r="3" ht="12.0">
      <c t="s" s="1" r="A3">
        <v>2</v>
      </c>
      <c s="1" r="B3"/>
      <c s="1" r="C3"/>
      <c s="2" r="D3"/>
      <c s="1" r="E3"/>
      <c s="3" r="H3"/>
      <c s="3" r="I3"/>
      <c s="3" r="J3"/>
      <c s="3" r="K3"/>
      <c s="3" r="L3"/>
      <c s="3" r="M3"/>
      <c s="3" r="N3"/>
    </row>
    <row customHeight="1" r="4" ht="12.0">
      <c t="s" s="1" r="A4">
        <v>3</v>
      </c>
      <c s="1" r="B4"/>
      <c s="1" r="C4"/>
      <c s="2" r="D4"/>
      <c s="1" r="E4"/>
      <c s="3" r="H4"/>
      <c s="3" r="I4"/>
      <c s="3" r="J4"/>
      <c s="3" r="K4"/>
      <c s="3" r="L4"/>
      <c s="3" r="M4"/>
      <c s="3" r="N4"/>
    </row>
    <row customHeight="1" r="5" ht="12.0">
      <c t="s" s="1" r="A5">
        <v>4</v>
      </c>
      <c s="1" r="B5"/>
      <c s="1" r="C5"/>
      <c s="2" r="D5"/>
      <c s="1" r="E5"/>
      <c s="3" r="H5"/>
      <c s="3" r="I5"/>
      <c s="3" r="J5"/>
      <c s="3" r="K5"/>
      <c s="3" r="L5"/>
      <c s="3" r="M5"/>
      <c s="3" r="N5"/>
    </row>
    <row customHeight="1" r="6" ht="12.0">
      <c t="s" s="1" r="A6">
        <v>5</v>
      </c>
      <c s="3" r="B6"/>
      <c s="4" r="D6"/>
      <c s="3" r="E6"/>
      <c s="3" r="H6"/>
      <c s="3" r="I6"/>
      <c s="3" r="J6"/>
      <c s="3" r="K6"/>
      <c s="3" r="L6"/>
      <c s="3" r="M6"/>
      <c s="3" r="N6"/>
    </row>
    <row customHeight="1" r="7" ht="12.0">
      <c t="s" s="1" r="A7">
        <v>6</v>
      </c>
      <c s="3" r="B7"/>
      <c s="4" r="D7"/>
      <c s="3" r="E7"/>
      <c s="3" r="H7"/>
      <c s="3" r="I7"/>
      <c s="3" r="J7"/>
      <c s="3" r="K7"/>
      <c s="3" r="L7"/>
      <c s="3" r="M7"/>
      <c s="3" r="N7"/>
    </row>
    <row customHeight="1" r="8" ht="12.0">
      <c s="3" r="A8"/>
      <c s="3" r="B8"/>
      <c s="4" r="D8"/>
      <c s="3" r="E8"/>
      <c s="3" r="H8"/>
      <c s="3" r="I8"/>
      <c s="3" r="J8"/>
      <c s="3" r="K8"/>
      <c s="3" r="L8"/>
      <c s="3" r="M8"/>
      <c s="3" r="N8"/>
    </row>
    <row customHeight="1" r="9" ht="12.0">
      <c t="s" s="1" r="A9">
        <v>7</v>
      </c>
      <c t="s" s="1" r="B9">
        <v>8</v>
      </c>
      <c s="2" r="D9"/>
      <c t="s" s="2" r="E9">
        <v>9</v>
      </c>
      <c s="3" r="H9"/>
      <c s="3" r="I9"/>
      <c s="3" r="J9"/>
      <c s="3" r="K9"/>
      <c s="3" r="L9"/>
      <c s="3" r="M9"/>
      <c s="3" r="N9"/>
    </row>
    <row customHeight="1" r="10" ht="12.0">
      <c t="s" s="3" r="A10">
        <v>10</v>
      </c>
      <c s="5" r="B10">
        <v>1.0E7</v>
      </c>
      <c t="s" s="6" r="D10">
        <v>11</v>
      </c>
      <c t="str" s="7" r="E10">
        <f>FLOOR(B10/B18,100)</f>
        <v>33300</v>
      </c>
      <c s="3" r="H10"/>
      <c s="3" r="I10"/>
      <c s="3" r="J10"/>
      <c s="3" r="K10"/>
      <c s="3" r="L10"/>
      <c s="3" r="M10"/>
      <c s="3" r="N10"/>
    </row>
    <row customHeight="1" r="11" ht="12.0">
      <c t="s" s="3" r="A11">
        <v>12</v>
      </c>
      <c s="5" r="B11">
        <v>4000.0</v>
      </c>
      <c t="s" s="4" r="D11">
        <v>13</v>
      </c>
      <c t="str" s="3" r="E11">
        <f>E10*1.09</f>
        <v>36297</v>
      </c>
      <c s="3" r="H11"/>
      <c s="3" r="I11"/>
      <c s="3" r="J11"/>
      <c s="3" r="K11"/>
      <c s="3" r="L11"/>
      <c s="3" r="M11"/>
      <c s="3" r="N11"/>
    </row>
    <row customHeight="1" r="12" ht="12.0">
      <c t="s" s="3" r="A12">
        <v>14</v>
      </c>
      <c s="8" r="B12">
        <v>30.0</v>
      </c>
      <c t="s" s="4" r="D12">
        <v>15</v>
      </c>
      <c t="str" s="3" r="E12">
        <f>FLOOR(B11/E16,1)</f>
        <v>17</v>
      </c>
      <c s="3" r="H12"/>
      <c s="3" r="I12"/>
      <c s="3" r="J12"/>
      <c s="3" r="K12"/>
      <c s="3" r="L12"/>
      <c s="3" r="M12"/>
      <c s="3" r="N12"/>
    </row>
    <row customHeight="1" r="13" ht="12.0">
      <c t="s" s="3" r="A13">
        <v>16</v>
      </c>
      <c s="8" r="B13">
        <v>10.0</v>
      </c>
      <c t="s" s="4" r="D13">
        <v>17</v>
      </c>
      <c t="str" s="3" r="E13">
        <f>IF(B23="Rack",CEILING(E12*(1+B22),1),E12)</f>
        <v>17</v>
      </c>
      <c s="3" r="H13"/>
      <c s="3" r="I13"/>
      <c s="3" r="J13"/>
      <c s="3" r="K13"/>
      <c s="3" r="L13"/>
      <c s="3" r="M13"/>
      <c s="3" r="N13"/>
    </row>
    <row customHeight="1" r="14" ht="12.0">
      <c t="s" s="3" r="A14">
        <v>18</v>
      </c>
      <c s="8" r="B14">
        <v>1.12</v>
      </c>
      <c t="s" s="4" r="D14">
        <v>19</v>
      </c>
      <c t="str" s="3" r="E14">
        <f>$B$10/$B$11</f>
        <v>2500</v>
      </c>
      <c s="3" r="H14"/>
      <c s="3" r="I14"/>
      <c s="3" r="J14"/>
      <c s="3" r="K14"/>
      <c s="3" r="L14"/>
      <c s="3" r="M14"/>
      <c s="3" r="N14"/>
    </row>
    <row customHeight="1" r="15" ht="12.0">
      <c t="s" s="7" r="A15">
        <v>20</v>
      </c>
      <c s="9" r="B15">
        <v>798.0</v>
      </c>
      <c t="s" s="4" r="D15">
        <v>21</v>
      </c>
      <c t="str" s="3" r="E15">
        <f>IF(OR(B23="PDU",B23="Cluster"),CEILING(E14*(1+B22),1),E14)</f>
        <v>2500</v>
      </c>
      <c s="3" r="H15"/>
      <c s="3" r="I15"/>
      <c s="3" r="J15"/>
      <c s="3" r="K15"/>
      <c s="3" r="L15"/>
      <c s="3" r="M15"/>
      <c s="3" r="N15"/>
    </row>
    <row customHeight="1" r="16" ht="12.0">
      <c t="s" s="3" r="A16">
        <v>22</v>
      </c>
      <c s="8" r="B16">
        <v>4.0</v>
      </c>
      <c t="s" s="4" r="D16">
        <v>23</v>
      </c>
      <c t="str" s="3" r="E16">
        <f>B19+(B18-B19)*B17</f>
        <v>231.25</v>
      </c>
      <c s="3" r="H16"/>
      <c s="3" r="I16"/>
      <c s="3" r="J16"/>
      <c s="3" r="K16"/>
      <c s="3" r="L16"/>
      <c s="3" r="M16"/>
      <c s="3" r="N16"/>
    </row>
    <row customHeight="1" r="17" ht="12.0">
      <c t="s" s="3" r="A17">
        <v>24</v>
      </c>
      <c s="10" r="B17">
        <v>0.45</v>
      </c>
      <c s="4" r="D17"/>
      <c s="3" r="E17"/>
      <c s="3" r="H17"/>
      <c s="3" r="I17"/>
      <c s="3" r="J17"/>
      <c s="3" r="K17"/>
      <c s="3" r="L17"/>
      <c s="3" r="M17"/>
      <c s="3" r="N17"/>
    </row>
    <row customHeight="1" r="18" ht="12.0">
      <c t="s" s="7" r="A18">
        <v>25</v>
      </c>
      <c s="9" r="B18">
        <v>300.0</v>
      </c>
      <c s="4" r="D18"/>
      <c s="3" r="E18"/>
      <c s="3" r="H18"/>
      <c s="3" r="I18"/>
      <c s="3" r="J18"/>
      <c s="3" r="K18"/>
      <c s="3" r="L18"/>
      <c s="3" r="M18"/>
      <c s="3" r="N18"/>
    </row>
    <row customHeight="1" r="19" ht="12.0">
      <c t="s" s="3" r="A19">
        <v>26</v>
      </c>
      <c s="8" r="B19">
        <v>175.0</v>
      </c>
      <c s="4" r="D19"/>
      <c s="3" r="E19"/>
      <c s="3" r="H19"/>
      <c s="3" r="I19"/>
      <c s="3" r="J19"/>
      <c s="3" r="K19"/>
      <c s="3" r="L19"/>
      <c s="3" r="M19"/>
      <c s="3" r="N19"/>
    </row>
    <row customHeight="1" r="20" ht="12.0">
      <c t="s" s="3" r="A20">
        <v>27</v>
      </c>
      <c s="11" r="B20">
        <v>0.047</v>
      </c>
      <c s="4" r="D20"/>
      <c s="3" r="E20"/>
      <c s="3" r="H20"/>
      <c s="3" r="I20"/>
      <c s="3" r="J20"/>
      <c s="3" r="K20"/>
      <c s="3" r="L20"/>
      <c s="3" r="M20"/>
      <c s="3" r="N20"/>
    </row>
    <row customHeight="1" r="21" ht="12.0">
      <c t="s" s="3" r="A21">
        <v>28</v>
      </c>
      <c s="8" r="B21">
        <v>12.0</v>
      </c>
      <c s="4" r="D21"/>
      <c s="3" r="E21"/>
      <c s="3" r="H21"/>
      <c s="3" r="I21"/>
      <c s="3" r="J21"/>
      <c s="3" r="K21"/>
      <c s="3" r="L21"/>
      <c s="3" r="M21"/>
      <c s="3" r="N21"/>
    </row>
    <row customHeight="1" r="22" ht="12.0">
      <c t="s" s="3" r="A22">
        <v>29</v>
      </c>
      <c s="10" r="B22">
        <v>0.0</v>
      </c>
      <c s="4" r="D22"/>
      <c s="3" r="E22"/>
      <c s="3" r="H22"/>
      <c s="3" r="I22"/>
      <c s="3" r="J22"/>
      <c s="3" r="K22"/>
      <c s="3" r="L22"/>
      <c s="3" r="M22"/>
      <c s="3" r="N22"/>
    </row>
    <row customHeight="1" r="23" ht="12.0">
      <c t="s" s="3" r="A23">
        <v>30</v>
      </c>
      <c t="s" s="3" r="B23">
        <v>31</v>
      </c>
      <c s="4" r="D23"/>
      <c s="3" r="E23"/>
      <c s="3" r="H23"/>
      <c s="3" r="I23"/>
      <c s="3" r="J23"/>
      <c s="3" r="K23"/>
      <c s="3" r="L23"/>
      <c s="3" r="M23"/>
      <c s="3" r="N23"/>
    </row>
    <row customHeight="1" r="24" ht="12.0">
      <c t="s" s="3" r="A24">
        <v>32</v>
      </c>
      <c t="s" s="3" r="B24">
        <v>33</v>
      </c>
      <c s="4" r="D24"/>
      <c s="3" r="E24"/>
      <c s="3" r="H24"/>
      <c s="3" r="I24"/>
      <c s="3" r="J24"/>
      <c s="3" r="K24"/>
      <c s="3" r="L24"/>
      <c s="3" r="M24"/>
      <c s="3" r="N24"/>
    </row>
    <row customHeight="1" r="25" ht="12.0">
      <c s="3" r="A25"/>
      <c s="3" r="B25"/>
      <c s="4" r="D25"/>
      <c s="3" r="E25"/>
      <c s="3" r="H25"/>
      <c s="3" r="I25"/>
      <c s="3" r="J25"/>
      <c s="3" r="K25"/>
      <c s="3" r="L25"/>
      <c s="3" r="M25"/>
      <c s="3" r="N25"/>
    </row>
    <row customHeight="1" r="26" ht="12.0">
      <c s="3" r="A26"/>
      <c s="3" r="B26"/>
      <c s="4" r="D26"/>
      <c t="s" s="12" r="E26">
        <v>34</v>
      </c>
      <c t="s" s="13" r="F26">
        <v>35</v>
      </c>
      <c t="s" s="13" r="G26">
        <v>36</v>
      </c>
      <c t="s" s="12" r="H26">
        <v>37</v>
      </c>
      <c t="s" s="12" r="I26">
        <v>38</v>
      </c>
      <c t="s" s="12" r="J26">
        <v>39</v>
      </c>
      <c t="s" s="12" r="K26">
        <v>40</v>
      </c>
      <c t="s" s="12" r="L26">
        <v>41</v>
      </c>
      <c s="12" r="M26"/>
      <c s="12" r="N26"/>
    </row>
    <row customHeight="1" r="27" ht="12.0">
      <c s="3" r="A27"/>
      <c s="3" r="B27"/>
      <c s="4" r="D27"/>
      <c s="14" r="E27">
        <v>2.1853733184E8</v>
      </c>
      <c s="15" r="F27">
        <v>798.0</v>
      </c>
      <c s="15" r="G27">
        <v>300.0</v>
      </c>
      <c s="14" r="H27">
        <v>33300.0</v>
      </c>
      <c s="16" r="I27">
        <v>1.0</v>
      </c>
      <c t="str" s="14" r="J27">
        <f>H27*I27</f>
        <v>33,300.00</v>
      </c>
      <c t="str" s="17" r="K27">
        <f>J27/E27</f>
        <v>1.52E-04</v>
      </c>
      <c s="11" r="L27">
        <v>1.0</v>
      </c>
      <c s="11" r="M27"/>
      <c s="11" r="N27"/>
    </row>
    <row customHeight="1" r="28" ht="12.0">
      <c s="3" r="A28"/>
      <c s="3" r="B28"/>
      <c s="4" r="D28"/>
      <c s="14" r="E28">
        <v>2.0355074120000002E8</v>
      </c>
      <c s="15" r="F28">
        <v>1159.0</v>
      </c>
      <c s="15" r="G28">
        <v>500.0</v>
      </c>
      <c s="14" r="H28">
        <v>20000.0</v>
      </c>
      <c s="18" r="I28">
        <v>2.0</v>
      </c>
      <c t="str" s="14" r="J28">
        <f>H28*I28</f>
        <v>40,000.00</v>
      </c>
      <c t="str" s="17" r="K28">
        <f>J28/E28</f>
        <v>1.97E-04</v>
      </c>
      <c t="str" s="19" r="L28">
        <f>K28/$K$35</f>
        <v>1.29</v>
      </c>
      <c s="19" r="M28"/>
      <c s="19" r="N28"/>
    </row>
    <row customHeight="1" r="29" ht="12.0">
      <c s="3" r="A29"/>
      <c s="3" r="B29"/>
      <c s="4" r="D29"/>
      <c s="3" r="E29"/>
      <c s="3" r="H29"/>
      <c s="3" r="I29"/>
      <c s="3" r="J29"/>
      <c s="3" r="K29"/>
      <c s="3" r="L29"/>
      <c s="3" r="M29"/>
      <c s="3" r="N29"/>
    </row>
    <row customHeight="1" r="30" ht="12.0">
      <c s="20" r="A30"/>
      <c t="s" s="20" r="B30">
        <v>42</v>
      </c>
      <c t="s" s="20" r="C30">
        <v>43</v>
      </c>
      <c s="4" r="D30"/>
      <c s="3" r="E30"/>
      <c t="str" s="3" r="H30">
        <f>H27/H28</f>
        <v>1.665</v>
      </c>
      <c s="3" r="I30"/>
      <c t="str" s="3" r="J30">
        <f>J28/J27</f>
        <v>1.201201201</v>
      </c>
      <c t="str" s="3" r="K30">
        <f>K28/K27</f>
        <v>1.29E+00</v>
      </c>
      <c s="3" r="L30"/>
      <c s="3" r="M30"/>
      <c s="3" r="N30"/>
    </row>
    <row customHeight="1" r="31" ht="12.0">
      <c t="s" s="20" r="A31">
        <v>44</v>
      </c>
      <c s="21" r="B31">
        <v>798.0</v>
      </c>
      <c s="22" r="C31">
        <v>300.0</v>
      </c>
      <c s="4" r="D31"/>
      <c s="3" r="E31"/>
      <c s="3" r="H31"/>
      <c s="3" r="I31"/>
      <c s="3" r="J31"/>
      <c s="3" r="K31"/>
      <c s="3" r="L31"/>
      <c s="3" r="M31"/>
      <c s="3" r="N31"/>
    </row>
    <row customHeight="1" r="32" ht="12.0">
      <c t="s" s="23" r="A32">
        <v>45</v>
      </c>
      <c s="23" r="B32"/>
      <c s="23" r="C32"/>
      <c s="4" r="D32"/>
      <c s="3" r="E32"/>
      <c s="3" r="H32"/>
      <c s="3" r="I32"/>
      <c s="3" r="J32"/>
      <c s="3" r="K32"/>
      <c s="3" r="L32"/>
      <c s="3" r="M32"/>
      <c s="3" r="N32"/>
    </row>
    <row customHeight="1" r="33" ht="12.0">
      <c s="20" r="A33"/>
      <c s="23" r="B33"/>
      <c s="23" r="C33"/>
      <c s="4" r="D33"/>
      <c s="3" r="E33"/>
      <c s="3" r="H33"/>
      <c s="3" r="I33"/>
      <c s="3" r="J33"/>
      <c s="3" r="K33"/>
      <c s="3" r="L33"/>
      <c s="3" r="M33"/>
      <c s="3" r="N33"/>
    </row>
    <row customHeight="1" r="34" ht="12.0">
      <c t="s" s="20" r="A34">
        <v>46</v>
      </c>
      <c s="24" r="B34">
        <v>1159.99</v>
      </c>
      <c s="22" r="C34">
        <v>500.0</v>
      </c>
      <c t="s" s="25" r="D34">
        <v>47</v>
      </c>
      <c t="s" s="12" r="E34">
        <v>48</v>
      </c>
      <c t="s" s="13" r="F34">
        <v>49</v>
      </c>
      <c t="s" s="13" r="G34">
        <v>50</v>
      </c>
      <c t="s" s="12" r="H34">
        <v>51</v>
      </c>
      <c t="s" s="12" r="I34">
        <v>52</v>
      </c>
      <c t="s" s="12" r="J34">
        <v>53</v>
      </c>
      <c t="s" s="12" r="K34">
        <v>54</v>
      </c>
      <c t="s" s="12" r="L34">
        <v>55</v>
      </c>
      <c t="s" s="12" r="M34">
        <v>56</v>
      </c>
      <c s="12" r="N34"/>
    </row>
    <row customHeight="1" r="35" ht="12.0">
      <c t="s" s="23" r="A35">
        <v>57</v>
      </c>
      <c s="23" r="B35"/>
      <c s="23" r="C35"/>
      <c t="s" s="25" r="D35">
        <v>58</v>
      </c>
      <c s="14" r="E35">
        <v>2.1853733184E8</v>
      </c>
      <c s="15" r="F35">
        <v>798.0</v>
      </c>
      <c s="15" r="G35">
        <v>300.0</v>
      </c>
      <c s="14" r="H35">
        <v>33300.0</v>
      </c>
      <c s="26" r="I35">
        <v>1.0</v>
      </c>
      <c t="str" s="14" r="J35">
        <f>H35*I35</f>
        <v>33,300.00</v>
      </c>
      <c t="str" s="27" r="K35">
        <f>J35/E35</f>
        <v>1.52E-04</v>
      </c>
      <c s="28" r="L35">
        <v>1.0</v>
      </c>
      <c s="28" r="M35">
        <v>1.0</v>
      </c>
      <c s="28" r="N35"/>
    </row>
    <row customHeight="1" r="36" ht="12.0">
      <c s="20" r="A36"/>
      <c s="23" r="B36"/>
      <c s="23" r="C36"/>
      <c t="s" s="25" r="D36">
        <v>59</v>
      </c>
      <c s="14" r="E36">
        <v>2.0355074120000002E8</v>
      </c>
      <c s="15" r="F36">
        <v>1159.0</v>
      </c>
      <c s="15" r="G36">
        <v>500.0</v>
      </c>
      <c s="14" r="H36">
        <v>20000.0</v>
      </c>
      <c s="26" r="I36">
        <v>1.0</v>
      </c>
      <c t="str" s="14" r="J36">
        <f>H36*I36</f>
        <v>20,000.00</v>
      </c>
      <c t="str" s="29" r="K36">
        <f>J36/E36</f>
        <v>9.83E-05</v>
      </c>
      <c t="str" s="30" r="L36">
        <f>K36/$K$35</f>
        <v>0.64</v>
      </c>
      <c t="str" s="30" r="M36">
        <f>J36/$J$35</f>
        <v>0.60</v>
      </c>
      <c s="30" r="N36"/>
    </row>
    <row customHeight="1" r="37" ht="12.0">
      <c s="3" r="A37"/>
      <c s="3" r="B37"/>
      <c s="4" r="D37"/>
      <c s="14" r="E37">
        <v>2.0355074120000002E8</v>
      </c>
      <c s="15" r="F37">
        <v>1159.0</v>
      </c>
      <c s="15" r="G37">
        <v>500.0</v>
      </c>
      <c s="14" r="H37">
        <v>20000.0</v>
      </c>
      <c s="26" r="I37">
        <v>2.0</v>
      </c>
      <c t="str" s="14" r="J37">
        <f>H37*I37</f>
        <v>40,000.00</v>
      </c>
      <c t="str" s="31" r="K37">
        <f>J37/E37</f>
        <v>1.97E-04</v>
      </c>
      <c t="str" s="19" r="L37">
        <f>K37/$K$35</f>
        <v>1.29</v>
      </c>
      <c t="str" s="19" r="M37">
        <f>J37/$J$35</f>
        <v>1.20</v>
      </c>
      <c s="30" r="N37"/>
    </row>
    <row customHeight="1" r="38" ht="12.0">
      <c s="3" r="A38"/>
      <c s="3" r="B38"/>
      <c s="4" r="D38"/>
      <c s="14" r="E38">
        <v>2.0355074120000002E8</v>
      </c>
      <c s="15" r="F38">
        <v>1159.0</v>
      </c>
      <c s="15" r="G38">
        <v>500.0</v>
      </c>
      <c s="14" r="H38">
        <v>20000.0</v>
      </c>
      <c s="26" r="I38">
        <v>3.0</v>
      </c>
      <c t="str" s="14" r="J38">
        <f>H38*I38</f>
        <v>60,000.00</v>
      </c>
      <c t="str" s="17" r="K38">
        <f>J38/E38</f>
        <v>2.95E-04</v>
      </c>
      <c t="str" s="19" r="L38">
        <f>K38/$K$35</f>
        <v>1.93</v>
      </c>
      <c t="str" s="19" r="M38">
        <f>J38/$J$35</f>
        <v>1.80</v>
      </c>
      <c s="30" r="N38"/>
    </row>
    <row customHeight="1" r="39" ht="12.0">
      <c s="32" r="A39"/>
      <c s="3" r="B39"/>
      <c s="4" r="D39"/>
      <c s="14" r="E39">
        <v>2.0355074120000002E8</v>
      </c>
      <c s="15" r="F39">
        <v>1159.0</v>
      </c>
      <c s="15" r="G39">
        <v>500.0</v>
      </c>
      <c s="14" r="H39">
        <v>20000.0</v>
      </c>
      <c s="26" r="I39">
        <v>4.0</v>
      </c>
      <c t="str" s="14" r="J39">
        <f>H39*I39</f>
        <v>80,000.00</v>
      </c>
      <c t="str" s="17" r="K39">
        <f>J39/E39</f>
        <v>3.93E-04</v>
      </c>
      <c t="str" s="19" r="L39">
        <f>K39/$K$35</f>
        <v>2.58</v>
      </c>
      <c t="str" s="19" r="M39">
        <f>J39/$J$35</f>
        <v>2.40</v>
      </c>
      <c s="30" r="N39"/>
    </row>
    <row customHeight="1" r="40" ht="12.0">
      <c s="32" r="A40"/>
      <c s="3" r="B40"/>
      <c s="4" r="D40"/>
      <c s="14" r="E40">
        <v>2.0355074120000002E8</v>
      </c>
      <c s="15" r="F40">
        <v>1159.0</v>
      </c>
      <c s="15" r="G40">
        <v>500.0</v>
      </c>
      <c s="14" r="H40">
        <v>20000.0</v>
      </c>
      <c s="26" r="I40">
        <v>5.0</v>
      </c>
      <c t="str" s="14" r="J40">
        <f>H40*I40</f>
        <v>100,000.00</v>
      </c>
      <c t="str" s="17" r="K40">
        <f>J40/E40</f>
        <v>4.91E-04</v>
      </c>
      <c t="str" s="19" r="L40">
        <f>K40/$K$35</f>
        <v>3.22</v>
      </c>
      <c t="str" s="19" r="M40">
        <f>J40/$J$35</f>
        <v>3.00</v>
      </c>
      <c s="30" r="N40"/>
    </row>
    <row customHeight="1" r="41" ht="12.0">
      <c s="32" r="A41"/>
      <c s="3" r="B41"/>
      <c s="4" r="D41"/>
      <c s="14" r="E41">
        <v>2.0355074120000002E8</v>
      </c>
      <c s="15" r="F41">
        <v>1159.0</v>
      </c>
      <c s="15" r="G41">
        <v>500.0</v>
      </c>
      <c s="14" r="H41">
        <v>20000.0</v>
      </c>
      <c s="26" r="I41">
        <v>6.0</v>
      </c>
      <c t="str" s="14" r="J41">
        <f>H41*I41</f>
        <v>120,000.00</v>
      </c>
      <c t="str" s="17" r="K41">
        <f>J41/E41</f>
        <v>5.90E-04</v>
      </c>
      <c t="str" s="19" r="L41">
        <f>K41/$K$35</f>
        <v>3.87</v>
      </c>
      <c t="str" s="19" r="M41">
        <f>J41/$J$35</f>
        <v>3.60</v>
      </c>
      <c s="30" r="N41"/>
    </row>
    <row customHeight="1" r="42" ht="12.0">
      <c s="32" r="A42"/>
      <c s="3" r="B42"/>
      <c s="4" r="D42"/>
      <c s="14" r="E42">
        <v>2.0355074120000002E8</v>
      </c>
      <c s="15" r="F42">
        <v>1159.0</v>
      </c>
      <c s="15" r="G42">
        <v>500.0</v>
      </c>
      <c s="14" r="H42">
        <v>20000.0</v>
      </c>
      <c s="26" r="I42">
        <v>7.0</v>
      </c>
      <c t="str" s="14" r="J42">
        <f>H42*I42</f>
        <v>140,000.00</v>
      </c>
      <c t="str" s="17" r="K42">
        <f>J42/E42</f>
        <v>6.88E-04</v>
      </c>
      <c t="str" s="19" r="L42">
        <f>K42/$K$35</f>
        <v>4.51</v>
      </c>
      <c t="str" s="19" r="M42">
        <f>J42/$J$35</f>
        <v>4.20</v>
      </c>
      <c s="30" r="N42"/>
    </row>
    <row customHeight="1" r="43" ht="12.0">
      <c s="32" r="A43"/>
      <c s="3" r="B43"/>
      <c s="4" r="D43"/>
      <c s="14" r="E43">
        <v>2.0355074120000002E8</v>
      </c>
      <c s="15" r="F43">
        <v>1159.0</v>
      </c>
      <c s="15" r="G43">
        <v>500.0</v>
      </c>
      <c s="14" r="H43">
        <v>20000.0</v>
      </c>
      <c s="26" r="I43">
        <v>8.0</v>
      </c>
      <c t="str" s="14" r="J43">
        <f>H43*I43</f>
        <v>160,000.00</v>
      </c>
      <c t="str" s="17" r="K43">
        <f>J43/E43</f>
        <v>7.86E-04</v>
      </c>
      <c t="str" s="19" r="L43">
        <f>K43/$K$35</f>
        <v>5.16</v>
      </c>
      <c t="str" s="19" r="M43">
        <f>J43/$J$35</f>
        <v>4.80</v>
      </c>
      <c s="30" r="N43"/>
    </row>
    <row customHeight="1" r="44" ht="12.0">
      <c s="32" r="A44"/>
      <c s="3" r="B44"/>
      <c s="4" r="D44"/>
      <c s="14" r="E44">
        <v>2.0355074120000002E8</v>
      </c>
      <c s="15" r="F44">
        <v>1159.0</v>
      </c>
      <c s="15" r="G44">
        <v>500.0</v>
      </c>
      <c s="14" r="H44">
        <v>20000.0</v>
      </c>
      <c s="26" r="I44">
        <v>9.0</v>
      </c>
      <c t="str" s="14" r="J44">
        <f>H44*I44</f>
        <v>180,000.00</v>
      </c>
      <c t="str" s="17" r="K44">
        <f>J44/E44</f>
        <v>8.84E-04</v>
      </c>
      <c t="str" s="19" r="L44">
        <f>K44/$K$35</f>
        <v>5.80</v>
      </c>
      <c t="str" s="19" r="M44">
        <f>J44/$J$35</f>
        <v>5.41</v>
      </c>
      <c s="30" r="N44"/>
    </row>
    <row customHeight="1" r="45" ht="12.0">
      <c s="32" r="A45"/>
      <c s="3" r="B45"/>
      <c s="4" r="D45"/>
      <c s="14" r="E45">
        <v>2.0355074120000002E8</v>
      </c>
      <c s="15" r="F45">
        <v>1159.0</v>
      </c>
      <c s="15" r="G45">
        <v>500.0</v>
      </c>
      <c s="14" r="H45">
        <v>20000.0</v>
      </c>
      <c s="26" r="I45">
        <v>10.0</v>
      </c>
      <c t="str" s="14" r="J45">
        <f>H45*I45</f>
        <v>200,000.00</v>
      </c>
      <c t="str" s="17" r="K45">
        <f>J45/E45</f>
        <v>9.83E-04</v>
      </c>
      <c t="str" s="19" r="L45">
        <f>K45/$K$35</f>
        <v>6.45</v>
      </c>
      <c t="str" s="19" r="M45">
        <f>J45/$J$35</f>
        <v>6.01</v>
      </c>
      <c s="30" r="N45"/>
    </row>
    <row customHeight="1" r="46" ht="12.0">
      <c s="32" r="A46"/>
      <c s="3" r="B46"/>
      <c s="4" r="D46"/>
      <c s="3" r="E46"/>
      <c s="3" r="H46"/>
      <c s="18" r="I46"/>
      <c s="3" r="J46"/>
      <c s="3" r="K46"/>
      <c s="3" r="L46"/>
      <c s="3" r="M46"/>
      <c s="3" r="N46"/>
    </row>
    <row customHeight="1" r="47" ht="12.0">
      <c s="32" r="A47"/>
      <c s="3" r="B47"/>
      <c s="4" r="D47"/>
      <c s="3" r="E47"/>
      <c s="3" r="H47"/>
      <c s="16" r="I47"/>
      <c s="3" r="J47"/>
      <c s="3" r="K47"/>
      <c s="3" r="L47"/>
      <c s="3" r="M47"/>
      <c s="3" r="N47"/>
    </row>
    <row customHeight="1" r="48" ht="12.0">
      <c s="32" r="A48"/>
      <c s="3" r="B48"/>
      <c s="4" r="D48"/>
      <c s="3" r="E48"/>
      <c s="3" r="H48"/>
      <c s="18" r="I48"/>
      <c s="3" r="J48"/>
      <c s="3" r="K48"/>
      <c s="3" r="L48"/>
      <c s="3" r="M48"/>
      <c s="3" r="N48"/>
    </row>
    <row customHeight="1" r="49" ht="12.0">
      <c s="32" r="A49"/>
      <c s="3" r="B49"/>
      <c s="4" r="D49"/>
      <c s="3" r="E49"/>
      <c s="3" r="H49"/>
      <c s="16" r="I49"/>
      <c s="3" r="J49"/>
      <c s="3" r="K49"/>
      <c s="3" r="L49"/>
      <c s="3" r="M49"/>
      <c s="3" r="N49"/>
    </row>
    <row customHeight="1" r="50" ht="12.0">
      <c s="32" r="A50"/>
      <c s="3" r="B50"/>
      <c s="4" r="D50"/>
      <c s="3" r="E50"/>
      <c s="3" r="I50"/>
      <c s="3" r="J50"/>
      <c s="3" r="K50"/>
      <c s="3" r="L50"/>
      <c s="3" r="M50"/>
      <c s="3" r="N50"/>
    </row>
    <row customHeight="1" r="51" ht="12.0">
      <c s="32" r="A51"/>
      <c s="3" r="B51"/>
      <c s="4" r="D51"/>
      <c s="3" r="E51"/>
      <c s="3" r="H51"/>
      <c s="3" r="J51"/>
      <c s="3" r="K51"/>
      <c s="3" r="L51"/>
      <c s="3" r="M51"/>
      <c s="3" r="N51"/>
    </row>
    <row customHeight="1" r="52" ht="12.0">
      <c s="32" r="A52"/>
      <c s="3" r="B52"/>
      <c s="4" r="D52"/>
      <c s="3" r="E52"/>
      <c s="3" r="H52"/>
      <c s="3" r="J52"/>
      <c s="3" r="K52"/>
      <c s="3" r="L52"/>
      <c s="3" r="M52"/>
      <c s="3" r="N52"/>
    </row>
    <row customHeight="1" r="53" ht="12.0">
      <c s="32" r="A53"/>
      <c s="3" r="B53"/>
      <c s="4" r="D53"/>
      <c s="3" r="E53"/>
      <c s="3" r="H53"/>
      <c s="3" r="I53"/>
      <c s="3" r="J53"/>
      <c s="3" r="K53"/>
      <c s="3" r="L53"/>
      <c s="3" r="M53"/>
      <c s="3" r="N53"/>
    </row>
    <row customHeight="1" r="54" ht="12.0">
      <c s="32" r="A54"/>
      <c s="3" r="B54"/>
      <c s="4" r="D54"/>
      <c s="3" r="E54"/>
      <c s="3" r="H54"/>
      <c s="3" r="I54"/>
      <c s="3" r="J54"/>
      <c s="3" r="K54"/>
      <c s="3" r="L54"/>
      <c s="3" r="M54"/>
      <c s="3" r="N54"/>
    </row>
    <row customHeight="1" r="55" ht="12.0">
      <c s="32" r="A55"/>
      <c s="3" r="B55"/>
      <c s="4" r="D55"/>
      <c s="3" r="E55"/>
      <c s="3" r="H55"/>
      <c s="3" r="I55"/>
      <c s="3" r="J55"/>
      <c s="3" r="K55"/>
      <c s="3" r="L55"/>
      <c s="3" r="M55"/>
      <c s="3" r="N55"/>
    </row>
    <row customHeight="1" r="56" ht="12.0">
      <c s="32" r="A56"/>
      <c s="3" r="B56"/>
      <c s="4" r="D56"/>
      <c s="3" r="E56"/>
      <c s="3" r="H56"/>
      <c s="3" r="I56"/>
      <c s="3" r="J56"/>
      <c s="3" r="K56"/>
      <c s="3" r="L56"/>
      <c s="3" r="M56"/>
      <c s="3" r="N56"/>
    </row>
    <row customHeight="1" r="57" ht="12.0">
      <c s="32" r="A57"/>
      <c s="3" r="B57"/>
      <c s="4" r="D57"/>
      <c s="3" r="E57"/>
      <c s="3" r="H57"/>
      <c s="3" r="I57"/>
      <c s="3" r="J57"/>
      <c s="3" r="K57"/>
      <c s="3" r="L57"/>
      <c s="3" r="M57"/>
      <c s="3" r="N57"/>
    </row>
    <row customHeight="1" r="58" ht="12.0">
      <c s="32" r="A58"/>
      <c s="3" r="B58"/>
      <c s="4" r="D58"/>
      <c s="3" r="E58"/>
      <c s="3" r="H58"/>
      <c s="3" r="I58"/>
      <c s="3" r="J58"/>
      <c s="3" r="K58"/>
      <c s="3" r="L58"/>
      <c s="3" r="M58"/>
      <c s="3" r="N58"/>
    </row>
    <row customHeight="1" r="59" ht="12.0">
      <c s="32" r="A59"/>
      <c s="3" r="B59"/>
      <c s="4" r="D59"/>
      <c s="3" r="E59"/>
      <c s="3" r="H59"/>
      <c s="3" r="I59"/>
      <c s="3" r="J59"/>
      <c s="3" r="K59"/>
      <c s="3" r="L59"/>
      <c s="3" r="M59"/>
      <c s="3" r="N59"/>
    </row>
    <row customHeight="1" r="60" ht="12.0">
      <c s="32" r="A60"/>
      <c s="3" r="B60"/>
      <c s="4" r="D60"/>
      <c s="3" r="E60"/>
      <c s="3" r="H60"/>
      <c s="3" r="I60"/>
      <c s="3" r="J60"/>
      <c s="3" r="K60"/>
      <c s="3" r="L60"/>
      <c s="3" r="M60"/>
      <c s="3" r="N60"/>
    </row>
    <row customHeight="1" r="61" ht="12.0">
      <c s="32" r="A61"/>
      <c s="3" r="B61"/>
      <c s="4" r="D61"/>
      <c s="3" r="E61"/>
      <c s="3" r="H61"/>
      <c s="3" r="I61"/>
      <c s="3" r="J61"/>
      <c s="3" r="K61"/>
      <c s="3" r="L61"/>
      <c s="3" r="M61"/>
      <c s="3" r="N61"/>
    </row>
    <row customHeight="1" r="62" ht="12.0">
      <c s="32" r="A62"/>
      <c s="3" r="B62"/>
      <c s="4" r="D62"/>
      <c s="3" r="E62"/>
      <c s="3" r="H62"/>
      <c s="3" r="I62"/>
      <c s="3" r="J62"/>
      <c s="3" r="K62"/>
      <c s="3" r="L62"/>
      <c s="3" r="M62"/>
      <c s="3" r="N62"/>
    </row>
    <row customHeight="1" r="63" ht="12.0">
      <c s="32" r="A63"/>
      <c s="3" r="B63"/>
      <c s="4" r="D63"/>
      <c s="3" r="E63"/>
      <c s="3" r="H63"/>
      <c s="3" r="I63"/>
      <c s="3" r="J63"/>
      <c s="3" r="K63"/>
      <c s="3" r="L63"/>
      <c s="3" r="M63"/>
      <c s="3" r="N63"/>
    </row>
    <row customHeight="1" r="64" ht="12.0">
      <c s="32" r="A64"/>
      <c s="3" r="B64"/>
      <c s="4" r="D64"/>
      <c s="3" r="E64"/>
      <c s="3" r="H64"/>
      <c s="3" r="I64"/>
      <c s="3" r="J64"/>
      <c s="3" r="K64"/>
      <c s="3" r="L64"/>
      <c s="3" r="M64"/>
      <c s="3" r="N64"/>
    </row>
    <row customHeight="1" r="65" ht="12.0">
      <c s="32" r="A65"/>
      <c s="3" r="B65"/>
      <c s="4" r="D65"/>
      <c s="3" r="E65"/>
      <c s="3" r="H65"/>
      <c s="3" r="I65"/>
      <c s="3" r="J65"/>
      <c s="3" r="K65"/>
      <c s="3" r="L65"/>
      <c s="3" r="M65"/>
      <c s="3" r="N65"/>
    </row>
    <row customHeight="1" r="66" ht="12.0">
      <c s="32" r="A66"/>
      <c s="3" r="B66"/>
      <c s="4" r="D66"/>
      <c s="3" r="E66"/>
      <c s="3" r="H66"/>
      <c s="3" r="I66"/>
      <c s="3" r="J66"/>
      <c s="3" r="K66"/>
      <c s="3" r="L66"/>
      <c s="3" r="M66"/>
      <c s="3" r="N66"/>
    </row>
    <row customHeight="1" r="67" ht="12.0">
      <c s="32" r="A67"/>
      <c s="3" r="B67"/>
      <c s="4" r="D67"/>
      <c s="3" r="E67"/>
      <c s="3" r="H67"/>
      <c s="3" r="I67"/>
      <c s="3" r="J67"/>
      <c s="3" r="K67"/>
      <c s="3" r="L67"/>
      <c s="3" r="M67"/>
      <c s="3" r="N67"/>
    </row>
    <row customHeight="1" r="68" ht="12.0">
      <c s="32" r="A68"/>
      <c s="3" r="B68"/>
      <c s="4" r="D68"/>
      <c s="3" r="E68"/>
      <c s="3" r="H68"/>
      <c s="3" r="I68"/>
      <c s="3" r="J68"/>
      <c s="3" r="K68"/>
      <c s="3" r="L68"/>
      <c s="3" r="M68"/>
      <c s="3" r="N68"/>
    </row>
    <row customHeight="1" r="69" ht="12.0">
      <c s="32" r="A69"/>
      <c s="3" r="B69"/>
      <c s="4" r="D69"/>
      <c s="3" r="E69"/>
      <c s="3" r="H69"/>
      <c s="3" r="I69"/>
      <c s="3" r="J69"/>
      <c s="3" r="K69"/>
      <c s="3" r="L69"/>
      <c s="3" r="M69"/>
      <c s="3" r="N69"/>
    </row>
    <row customHeight="1" r="70" ht="12.0">
      <c s="32" r="A70"/>
      <c s="3" r="B70"/>
      <c s="4" r="D70"/>
      <c s="3" r="E70"/>
      <c s="3" r="H70"/>
      <c s="3" r="I70"/>
      <c s="3" r="J70"/>
      <c s="3" r="K70"/>
      <c s="3" r="L70"/>
      <c s="3" r="M70"/>
      <c s="3" r="N70"/>
    </row>
    <row customHeight="1" r="71" ht="12.0">
      <c s="32" r="A71"/>
      <c s="3" r="B71"/>
      <c s="4" r="D71"/>
      <c s="3" r="E71"/>
      <c s="3" r="H71"/>
      <c s="3" r="I71"/>
      <c s="3" r="J71"/>
      <c s="3" r="K71"/>
      <c s="3" r="L71"/>
      <c s="3" r="M71"/>
      <c s="3" r="N71"/>
    </row>
    <row customHeight="1" r="72" ht="12.0">
      <c s="32" r="A72"/>
      <c s="3" r="B72"/>
      <c s="4" r="D72"/>
      <c s="3" r="E72"/>
      <c s="3" r="H72"/>
      <c s="3" r="I72"/>
      <c s="3" r="J72"/>
      <c s="3" r="K72"/>
      <c s="3" r="L72"/>
      <c s="3" r="M72"/>
      <c s="3" r="N72"/>
    </row>
    <row customHeight="1" r="73" ht="12.0">
      <c s="32" r="A73"/>
      <c s="3" r="B73"/>
      <c s="4" r="D73"/>
      <c s="3" r="E73"/>
      <c s="3" r="H73"/>
      <c s="3" r="I73"/>
      <c s="3" r="J73"/>
      <c s="3" r="K73"/>
      <c s="3" r="L73"/>
      <c s="3" r="M73"/>
      <c s="3" r="N73"/>
    </row>
    <row customHeight="1" r="74" ht="12.0">
      <c s="32" r="A74"/>
      <c s="3" r="B74"/>
      <c s="4" r="D74"/>
      <c s="3" r="E74"/>
      <c s="3" r="H74"/>
      <c s="3" r="I74"/>
      <c s="3" r="J74"/>
      <c s="3" r="K74"/>
      <c s="3" r="L74"/>
      <c s="3" r="M74"/>
      <c s="3" r="N74"/>
    </row>
    <row customHeight="1" r="75" ht="12.0">
      <c s="32" r="A75"/>
      <c s="3" r="B75"/>
      <c s="4" r="D75"/>
      <c s="3" r="E75"/>
      <c s="3" r="H75"/>
      <c s="3" r="I75"/>
      <c s="3" r="J75"/>
      <c s="3" r="K75"/>
      <c s="3" r="L75"/>
      <c s="3" r="M75"/>
      <c s="3" r="N75"/>
    </row>
    <row customHeight="1" r="76" ht="12.0">
      <c s="32" r="A76"/>
      <c s="3" r="B76"/>
      <c s="4" r="D76"/>
      <c s="3" r="E76"/>
      <c s="3" r="H76"/>
      <c s="3" r="I76"/>
      <c s="3" r="J76"/>
      <c s="3" r="K76"/>
      <c s="3" r="L76"/>
      <c s="3" r="M76"/>
      <c s="3" r="N76"/>
    </row>
    <row customHeight="1" r="77" ht="12.0">
      <c s="32" r="A77"/>
      <c s="3" r="B77"/>
      <c s="4" r="D77"/>
      <c s="3" r="E77"/>
      <c s="3" r="H77"/>
      <c s="3" r="I77"/>
      <c s="3" r="J77"/>
      <c s="3" r="K77"/>
      <c s="3" r="L77"/>
      <c s="3" r="M77"/>
      <c s="3" r="N77"/>
    </row>
    <row customHeight="1" r="78" ht="12.0">
      <c s="32" r="A78"/>
      <c s="3" r="B78"/>
      <c s="4" r="D78"/>
      <c s="3" r="E78"/>
      <c s="3" r="H78"/>
      <c s="3" r="I78"/>
      <c s="3" r="J78"/>
      <c s="3" r="K78"/>
      <c s="3" r="L78"/>
      <c s="3" r="M78"/>
      <c s="3" r="N78"/>
    </row>
    <row customHeight="1" r="79" ht="12.0">
      <c s="32" r="A79"/>
      <c s="3" r="B79"/>
      <c s="4" r="D79"/>
      <c s="3" r="E79"/>
      <c s="3" r="H79"/>
      <c s="3" r="I79"/>
      <c s="3" r="J79"/>
      <c s="3" r="K79"/>
      <c s="3" r="L79"/>
      <c s="3" r="M79"/>
      <c s="3" r="N79"/>
    </row>
  </sheetData>
  <conditionalFormatting sqref="E12:E13">
    <cfRule priority="1" type="cellIs" operator="greaterThan" stopIfTrue="1" dxfId="0">
      <formula>20</formula>
    </cfRule>
  </conditionalFormatting>
  <dataValidations>
    <dataValidation showErrorMessage="1" sqref="B10" type="decimal">
      <formula1>100000.0</formula1>
      <formula2>3.0E7</formula2>
    </dataValidation>
    <dataValidation showErrorMessage="1" sqref="B11" type="decimal">
      <formula1>2000.0</formula1>
      <formula2>6000.0</formula2>
    </dataValidation>
    <dataValidation showErrorMessage="1" sqref="B12" type="decimal">
      <formula1>10.0</formula1>
      <formula2>60.0</formula2>
    </dataValidation>
    <dataValidation showErrorMessage="1" sqref="B13" type="decimal">
      <formula1>6.0</formula1>
      <formula2>15.0</formula2>
    </dataValidation>
    <dataValidation showErrorMessage="1" sqref="B14" type="decimal">
      <formula1>1.0</formula1>
      <formula2>5.0</formula2>
    </dataValidation>
    <dataValidation showErrorMessage="1" sqref="B15" type="decimal" operator="greaterThanOrEqual">
      <formula1>0.0</formula1>
    </dataValidation>
    <dataValidation showErrorMessage="1" sqref="B16" type="decimal">
      <formula1>1.0</formula1>
      <formula2>15.0</formula2>
    </dataValidation>
    <dataValidation showErrorMessage="1" sqref="B17" type="decimal">
      <formula1>0.0</formula1>
      <formula2>1.0</formula2>
    </dataValidation>
    <dataValidation showErrorMessage="1" sqref="B18" type="decimal" operator="greaterThan">
      <formula1>B19</formula1>
    </dataValidation>
    <dataValidation showErrorMessage="1" sqref="B19" type="decimal" operator="greaterThanOrEqual">
      <formula1>0.0</formula1>
    </dataValidation>
    <dataValidation showErrorMessage="1" sqref="B20" type="decimal">
      <formula1>0.0</formula1>
      <formula2>1.0</formula2>
    </dataValidation>
    <dataValidation showErrorMessage="1" sqref="B21" type="decimal" operator="greaterThan">
      <formula1>0.0</formula1>
    </dataValidation>
    <dataValidation showErrorMessage="1" sqref="B22" type="decimal">
      <formula1>0.0</formula1>
      <formula2>0.5</formula2>
    </dataValidation>
    <dataValidation showErrorMessage="1" sqref="B23" type="list">
      <formula1>OversubscriptionLevel</formula1>
    </dataValidation>
    <dataValidation showErrorMessage="1" sqref="B24" type="list">
      <formula1>OversubscriptionMethod</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48.29"/>
    <col min="2" customWidth="1" max="3" width="11.43"/>
    <col min="4" customWidth="1" max="4" width="25.0"/>
    <col min="5" customWidth="1" max="5" width="15.43"/>
    <col min="6" customWidth="1" max="6" width="11.43"/>
    <col min="7" customWidth="1" max="7" width="12.14"/>
    <col min="8" customWidth="1" max="8" width="25.0"/>
  </cols>
  <sheetData>
    <row customHeight="1" r="1" ht="12.0">
      <c t="s" s="1" r="A1">
        <v>60</v>
      </c>
      <c s="3" r="D1"/>
      <c s="3" r="E1"/>
      <c s="3" r="G1"/>
      <c s="3" r="H1"/>
    </row>
    <row customHeight="1" r="2" ht="12.0">
      <c t="s" s="33" r="A2">
        <v>61</v>
      </c>
      <c s="34" r="B2"/>
      <c s="3" r="D2"/>
      <c s="3" r="E2"/>
      <c s="3" r="G2"/>
      <c s="3" r="H2"/>
    </row>
    <row customHeight="1" r="3" ht="12.0">
      <c t="s" s="33" r="A3">
        <v>62</v>
      </c>
      <c s="35" r="B3"/>
      <c s="3" r="D3"/>
      <c s="3" r="E3"/>
      <c s="3" r="G3"/>
      <c s="3" r="H3"/>
    </row>
    <row customHeight="1" r="4" ht="12.0">
      <c t="s" s="33" r="A4">
        <v>63</v>
      </c>
      <c s="36" r="B4"/>
      <c s="3" r="D4"/>
      <c s="3" r="E4"/>
      <c s="3" r="G4"/>
      <c s="3" r="H4"/>
    </row>
    <row customHeight="1" r="5" ht="12.0">
      <c t="s" s="33" r="A5">
        <v>64</v>
      </c>
      <c t="s" s="37" r="B5">
        <v>65</v>
      </c>
      <c s="3" r="D5"/>
      <c s="3" r="E5"/>
      <c s="3" r="G5"/>
      <c s="3" r="H5"/>
    </row>
    <row customHeight="1" r="6" ht="12.0">
      <c t="s" s="33" r="A6">
        <v>66</v>
      </c>
      <c t="s" s="37" r="B6">
        <v>67</v>
      </c>
      <c s="3" r="D6"/>
      <c s="3" r="E6"/>
      <c s="3" r="G6"/>
      <c s="3" r="H6"/>
    </row>
    <row customHeight="1" r="7" ht="12.0">
      <c t="s" s="33" r="A7">
        <v>68</v>
      </c>
      <c t="s" s="37" r="B7">
        <v>69</v>
      </c>
      <c s="3" r="D7"/>
      <c s="3" r="E7"/>
      <c s="3" r="G7"/>
      <c s="3" r="H7"/>
    </row>
    <row customHeight="1" r="8" ht="12.0">
      <c s="3" r="A8"/>
      <c s="3" r="D8"/>
      <c s="3" r="E8"/>
      <c s="3" r="G8"/>
      <c s="3" r="H8"/>
    </row>
    <row customHeight="1" r="9" ht="12.0">
      <c s="3" r="A9"/>
      <c s="3" r="D9"/>
      <c s="3" r="E9"/>
      <c s="3" r="G9"/>
      <c s="3" r="H9"/>
    </row>
    <row customHeight="1" r="10" ht="12.0">
      <c s="3" r="A10"/>
      <c s="3" r="D10"/>
      <c s="3" r="E10"/>
      <c s="3" r="G10"/>
      <c s="3" r="H10"/>
    </row>
    <row customHeight="1" r="11" ht="12.0">
      <c s="3" r="A11"/>
      <c t="s" s="3" r="B11">
        <v>70</v>
      </c>
      <c t="s" s="3" r="D11">
        <v>71</v>
      </c>
      <c t="s" s="3" r="E11">
        <v>72</v>
      </c>
      <c t="s" s="4" r="G11">
        <v>73</v>
      </c>
      <c t="s" s="3" r="H11">
        <v>74</v>
      </c>
    </row>
    <row customHeight="1" r="12" ht="12.0">
      <c t="s" s="38" r="A12">
        <v>75</v>
      </c>
      <c s="39" r="B12">
        <v>0.23</v>
      </c>
      <c t="s" s="3" r="D12">
        <v>76</v>
      </c>
      <c t="str" s="3" r="E12">
        <f>IF(D12="Scales with Critical capacity", 1,  IF(D12="Scales with Server Power", 1+'TCO Inputs'!$B$22, "Enter VALUE!!"))</f>
        <v>1</v>
      </c>
      <c t="str" s="40" r="G12">
        <f>B12*'TCO Inputs'!$B$10</f>
        <v>$2,300,000</v>
      </c>
      <c t="str" s="40" r="H12">
        <f>B12*'TCO Inputs'!$B$10*E12</f>
        <v>$2,300,000</v>
      </c>
    </row>
    <row customHeight="1" r="13" ht="12.0">
      <c t="s" s="38" r="A13">
        <v>77</v>
      </c>
      <c s="39" r="B13">
        <v>0.15</v>
      </c>
      <c t="s" s="3" r="D13">
        <v>78</v>
      </c>
      <c t="str" s="3" r="E13">
        <f>IF(D13="Scales with Critical capacity", 1,  IF(D13="Scales with Server Power", 1+'TCO Inputs'!$B$22, "Enter VALUE!!"))</f>
        <v>1</v>
      </c>
      <c t="str" s="40" r="G13">
        <f>B13*'TCO Inputs'!$B$10</f>
        <v>$1,500,000</v>
      </c>
      <c t="str" s="40" r="H13">
        <f>B13*'TCO Inputs'!$B$10*E13</f>
        <v>$1,500,000</v>
      </c>
    </row>
    <row customHeight="1" r="14" ht="12.0">
      <c t="s" s="38" r="A14">
        <v>79</v>
      </c>
      <c s="39" r="B14">
        <v>0.1</v>
      </c>
      <c t="s" s="3" r="D14">
        <v>80</v>
      </c>
      <c t="str" s="3" r="E14">
        <f>IF(D14="Scales with Critical capacity", 1,  IF(D14="Scales with Server Power", 1+'TCO Inputs'!$B$22, "Enter VALUE!!"))</f>
        <v>1</v>
      </c>
      <c t="str" s="40" r="G14">
        <f>B14*'TCO Inputs'!$B$10</f>
        <v>$1,000,000</v>
      </c>
      <c t="str" s="40" r="H14">
        <f>B14*'TCO Inputs'!$B$10*E14</f>
        <v>$1,000,000</v>
      </c>
    </row>
    <row customHeight="1" r="15" ht="12.0">
      <c t="s" s="38" r="A15">
        <v>81</v>
      </c>
      <c s="39" r="B15">
        <v>0.2</v>
      </c>
      <c t="s" s="3" r="D15">
        <v>82</v>
      </c>
      <c t="str" s="3" r="E15">
        <f>IF(D15="Scales with Critical capacity", 1,  IF(D15="Scales with Server Power", 1+'TCO Inputs'!$B$22, "Enter VALUE!!"))</f>
        <v>1</v>
      </c>
      <c t="str" s="40" r="G15">
        <f>B15*'TCO Inputs'!$B$10</f>
        <v>$2,000,000</v>
      </c>
      <c t="str" s="40" r="H15">
        <f>B15*'TCO Inputs'!$B$10*E15</f>
        <v>$2,000,000</v>
      </c>
    </row>
    <row customHeight="1" r="16" ht="12.0">
      <c s="3" r="A16"/>
      <c s="41" r="B16"/>
      <c s="3" r="D16"/>
      <c s="3" r="E16"/>
      <c s="40" r="G16"/>
      <c s="40" r="H16"/>
    </row>
    <row customHeight="1" r="17" ht="12.0">
      <c t="s" s="38" r="A17">
        <v>83</v>
      </c>
      <c s="39" r="B17">
        <v>0.45</v>
      </c>
      <c t="s" s="3" r="D17">
        <v>84</v>
      </c>
      <c t="str" s="3" r="E17">
        <f>IF(D17="Scales with Critical capacity", 1,  IF(D17="Scales with Server Power", 1+'TCO Inputs'!$B$22, "Enter VALUE!!"))</f>
        <v>1</v>
      </c>
      <c t="str" s="40" r="G17">
        <f>B17*'TCO Inputs'!$B$10*'TCO Advanced Inputs'!$B$63</f>
        <v>$12,150,000</v>
      </c>
      <c t="str" s="40" r="H17">
        <f>B17*'TCO Inputs'!$B$10*'TCO Advanced Inputs'!$B$63*E17</f>
        <v>$12,150,000</v>
      </c>
    </row>
    <row customHeight="1" r="18" ht="12.0">
      <c t="s" s="38" r="A18">
        <v>85</v>
      </c>
      <c s="39" r="B18">
        <v>0.07</v>
      </c>
      <c t="s" s="3" r="D18">
        <v>86</v>
      </c>
      <c t="str" s="3" r="E18">
        <f>IF(D18="Scales with Critical capacity", 1,  IF(D18="Scales with Server Power", 1+'TCO Inputs'!$B$22, "Enter VALUE!!"))</f>
        <v>1</v>
      </c>
      <c t="str" s="40" r="G18">
        <f>B18*'TCO Inputs'!$B$10*'TCO Advanced Inputs'!$B$63</f>
        <v>$1,890,000</v>
      </c>
      <c t="str" s="40" r="H18">
        <f>B18*'TCO Inputs'!$B$10*'TCO Advanced Inputs'!$B$63*E18</f>
        <v>$1,890,000</v>
      </c>
    </row>
    <row customHeight="1" r="19" ht="12.0">
      <c t="s" s="38" r="A19">
        <v>87</v>
      </c>
      <c s="39" r="B19">
        <v>0.1</v>
      </c>
      <c t="s" s="3" r="D19">
        <v>88</v>
      </c>
      <c t="str" s="3" r="E19">
        <f>IF(D19="Scales with Critical capacity", 1,  IF(D19="Scales with Server Power", 1+'TCO Inputs'!$B$22, "Enter VALUE!!"))</f>
        <v>1</v>
      </c>
      <c t="str" s="40" r="G19">
        <f>B19*'TCO Inputs'!$B$10*'TCO Advanced Inputs'!$B$63</f>
        <v>$2,700,000</v>
      </c>
      <c t="str" s="40" r="H19">
        <f>B19*'TCO Inputs'!$B$10*'TCO Advanced Inputs'!$B$63*E19</f>
        <v>$2,700,000</v>
      </c>
    </row>
    <row customHeight="1" r="20" ht="12.0">
      <c s="3" r="A20"/>
      <c s="41" r="B20"/>
      <c s="3" r="D20"/>
      <c s="3" r="E20"/>
      <c s="40" r="G20"/>
      <c s="40" r="H20"/>
    </row>
    <row customHeight="1" r="21" ht="12.0">
      <c t="s" s="38" r="A21">
        <v>89</v>
      </c>
      <c s="39" r="B21">
        <v>0.23</v>
      </c>
      <c t="s" s="3" r="D21">
        <v>90</v>
      </c>
      <c t="str" s="3" r="E21">
        <f>IF(D21="Scales with Critical capacity", 1,  IF(D21="Scales with Server Power", 1+'TCO Inputs'!$B$22, "Enter VALUE!!"))</f>
        <v>1</v>
      </c>
      <c t="str" s="40" r="G21">
        <f>B21*'TCO Inputs'!$B$10</f>
        <v>$2,300,000</v>
      </c>
      <c t="str" s="40" r="H21">
        <f>B21*'TCO Inputs'!$B$10*E21</f>
        <v>$2,300,000</v>
      </c>
    </row>
    <row customHeight="1" r="22" ht="12.0">
      <c t="s" s="38" r="A22">
        <v>91</v>
      </c>
      <c s="39" r="B22">
        <v>0.1</v>
      </c>
      <c t="s" s="3" r="D22">
        <v>92</v>
      </c>
      <c t="str" s="3" r="E22">
        <f>IF(D22="Scales with Critical capacity", 1,  IF(D22="Scales with Server Power", 1+'TCO Inputs'!$B$22, "Enter VALUE!!"))</f>
        <v>1</v>
      </c>
      <c t="str" s="40" r="G22">
        <f>B22*'TCO Inputs'!$B$10</f>
        <v>$1,000,000</v>
      </c>
      <c t="str" s="40" r="H22">
        <f>B22*'TCO Inputs'!$B$10*E22</f>
        <v>$1,000,000</v>
      </c>
    </row>
    <row customHeight="1" r="23" ht="12.0">
      <c t="s" s="38" r="A23">
        <v>93</v>
      </c>
      <c s="39" r="B23">
        <v>0.08</v>
      </c>
      <c t="s" s="3" r="D23">
        <v>94</v>
      </c>
      <c t="str" s="3" r="E23">
        <f>IF(D23="Scales with Critical capacity", 1,  IF(D23="Scales with Server Power", 1+'TCO Inputs'!$B$22, "Enter VALUE!!"))</f>
        <v>1</v>
      </c>
      <c t="str" s="40" r="G23">
        <f>B23*'TCO Inputs'!$B$10</f>
        <v>$800,000</v>
      </c>
      <c t="str" s="40" r="H23">
        <f>B23*'TCO Inputs'!$B$10*E23</f>
        <v>$800,000</v>
      </c>
    </row>
    <row customHeight="1" r="24" ht="12.0">
      <c s="3" r="A24"/>
      <c s="41" r="B24"/>
      <c s="3" r="D24"/>
      <c s="3" r="E24"/>
      <c s="40" r="G24"/>
      <c s="40" r="H24"/>
    </row>
    <row customHeight="1" r="25" ht="12.0">
      <c t="s" s="38" r="A25">
        <v>95</v>
      </c>
      <c s="39" r="B25">
        <v>0.2</v>
      </c>
      <c t="str" s="3" r="D25">
        <f>IF('TCO Inputs'!$B$23="Cluster","Scales with Server Power","Scales with Critical capacity")</f>
        <v>Scales with Critical capacity</v>
      </c>
      <c t="str" s="3" r="E25">
        <f>IF(D25="Scales with Critical capacity", 1,  IF(D25="Scales with Server Power", 1+'TCO Inputs'!$B$22, "Enter VALUE!!"))</f>
        <v>1</v>
      </c>
      <c t="str" s="40" r="G25">
        <f>B25*'TCO Inputs'!$B$10</f>
        <v>$2,000,000</v>
      </c>
      <c t="str" s="40" r="H25">
        <f>B25*'TCO Inputs'!$B$10*E25</f>
        <v>$2,000,000</v>
      </c>
    </row>
    <row customHeight="1" r="26" ht="12.0">
      <c t="s" s="38" r="A26">
        <v>96</v>
      </c>
      <c s="39" r="B26">
        <v>0.1</v>
      </c>
      <c t="str" s="3" r="D26">
        <f>IF('TCO Inputs'!$B$23="Cluster","Scales with Server Power","Scales with Critical capacity")</f>
        <v>Scales with Critical capacity</v>
      </c>
      <c t="str" s="3" r="E26">
        <f>IF(D26="Scales with Critical capacity", 1,  IF(D26="Scales with Server Power", 1+'TCO Inputs'!$B$22, "Enter VALUE!!"))</f>
        <v>1</v>
      </c>
      <c t="str" s="40" r="G26">
        <f>B26*'TCO Inputs'!$B$10</f>
        <v>$1,000,000</v>
      </c>
      <c t="str" s="40" r="H26">
        <f>B26*'TCO Inputs'!$B$10*E26</f>
        <v>$1,000,000</v>
      </c>
    </row>
    <row customHeight="1" r="27" ht="12.0">
      <c t="s" s="38" r="A27">
        <v>97</v>
      </c>
      <c s="39" r="B27">
        <v>0.14</v>
      </c>
      <c t="str" s="3" r="D27">
        <f>IF('TCO Inputs'!$B$23="Cluster","Scales with Server Power","Scales with Critical capacity")</f>
        <v>Scales with Critical capacity</v>
      </c>
      <c t="str" s="3" r="E27">
        <f>IF(D27="Scales with Critical capacity", 1,  IF(D27="Scales with Server Power", 1+'TCO Inputs'!$B$22, "Enter VALUE!!"))</f>
        <v>1</v>
      </c>
      <c t="str" s="40" r="G27">
        <f>B27*'TCO Inputs'!$B$10</f>
        <v>$1,400,000</v>
      </c>
      <c t="str" s="40" r="H27">
        <f>B27*'TCO Inputs'!$B$10*E27</f>
        <v>$1,400,000</v>
      </c>
    </row>
    <row customHeight="1" r="28" ht="12.0">
      <c s="3" r="A28"/>
      <c s="41" r="B28"/>
      <c s="3" r="D28"/>
      <c s="3" r="E28"/>
      <c s="40" r="G28"/>
      <c s="40" r="H28"/>
    </row>
    <row customHeight="1" r="29" ht="12.0">
      <c t="s" s="38" r="A29">
        <v>98</v>
      </c>
      <c s="39" r="B29">
        <v>0.7</v>
      </c>
      <c t="s" s="3" r="D29">
        <v>99</v>
      </c>
      <c t="str" s="3" r="E29">
        <f>IF(D29="Scales with Critical capacity", 1,  IF(D29="Scales with Server Power", 1+'TCO Inputs'!$B$22, "Enter VALUE!!"))</f>
        <v>1</v>
      </c>
      <c t="str" s="40" r="G29">
        <f>B29*'TCO Inputs'!$B$10*'TCO Advanced Inputs'!$B$62</f>
        <v>$8,400,000</v>
      </c>
      <c t="str" s="40" r="H29">
        <f>B29*'TCO Inputs'!$B$10*'TCO Advanced Inputs'!$B$62*E29</f>
        <v>$8,400,000</v>
      </c>
    </row>
    <row customHeight="1" r="30" ht="12.0">
      <c t="s" s="38" r="A30">
        <v>100</v>
      </c>
      <c s="39" r="B30">
        <v>0.4</v>
      </c>
      <c t="s" s="3" r="D30">
        <v>101</v>
      </c>
      <c t="str" s="3" r="E30">
        <f>IF(D30="Scales with Critical capacity", 1,  IF(D30="Scales with Server Power", 1+'TCO Inputs'!$B$22, "Enter VALUE!!"))</f>
        <v>1</v>
      </c>
      <c t="str" s="40" r="G30">
        <f>B30*'TCO Inputs'!$B$10*'TCO Advanced Inputs'!$B$62</f>
        <v>$4,800,000</v>
      </c>
      <c t="str" s="40" r="H30">
        <f>B30*'TCO Inputs'!$B$10*'TCO Advanced Inputs'!$B$62*E30</f>
        <v>$4,800,000</v>
      </c>
    </row>
    <row customHeight="1" r="31" ht="12.0">
      <c t="s" s="38" r="A31">
        <v>102</v>
      </c>
      <c s="39" r="B31">
        <v>0.15</v>
      </c>
      <c t="s" s="3" r="D31">
        <v>103</v>
      </c>
      <c t="str" s="3" r="E31">
        <f>IF(D31="Scales with Critical capacity", 1,  IF(D31="Scales with Server Power", 1+'TCO Inputs'!$B$22, "Enter VALUE!!"))</f>
        <v>1</v>
      </c>
      <c t="str" s="40" r="G31">
        <f>B31*'TCO Inputs'!$B$10*'TCO Advanced Inputs'!$B$62</f>
        <v>$1,800,000</v>
      </c>
      <c t="str" s="40" r="H31">
        <f>B31*'TCO Inputs'!$B$10*'TCO Advanced Inputs'!$B$62*E31</f>
        <v>$1,800,000</v>
      </c>
    </row>
    <row customHeight="1" r="32" ht="12.0">
      <c s="3" r="A32"/>
      <c s="3" r="D32"/>
      <c s="3" r="E32"/>
      <c s="40" r="G32"/>
      <c s="40" r="H32"/>
    </row>
    <row customHeight="1" r="33" ht="12.0">
      <c t="s" s="42" r="A33">
        <v>104</v>
      </c>
      <c s="43" r="B33">
        <v>40.0</v>
      </c>
      <c t="str" s="3" r="D33">
        <f>IF(OR('TCO Inputs'!$B$23="Cluster",'TCO Inputs'!$B$23="PDU"),"Scales with Server Power","Scales with Critical capacity")</f>
        <v>Scales with Critical capacity</v>
      </c>
      <c t="str" s="3" r="E33">
        <f>IF(D33="Scales with Critical capacity", 1,  IF(D33="Scales with Server Power", 1+'TCO Inputs'!$B$22, "Enter VALUE!!"))</f>
        <v>1</v>
      </c>
      <c t="str" s="40" r="G33">
        <f>B33*'TCO Inputs'!$B$10/'TCO Inputs'!$B$11*'TCO Inputs'!$B$12</f>
        <v>$3,000,000</v>
      </c>
      <c t="str" s="40" r="H33">
        <f>B33*'TCO Inputs'!$B$10/'TCO Inputs'!$B$11*'TCO Inputs'!$B$12*E33</f>
        <v>$3,000,000</v>
      </c>
    </row>
    <row customHeight="1" r="34" ht="12.0">
      <c t="s" s="42" r="A34">
        <v>105</v>
      </c>
      <c s="43" r="B34">
        <v>10.0</v>
      </c>
      <c t="str" s="3" r="D34">
        <f>IF(OR('TCO Inputs'!$B$23="Cluster",'TCO Inputs'!$B$23="PDU"),"Scales with Server Power","Scales with Critical capacity")</f>
        <v>Scales with Critical capacity</v>
      </c>
      <c t="str" s="3" r="E34">
        <f>IF(D34="Scales with Critical capacity", 1,  IF(D34="Scales with Server Power", 1+'TCO Inputs'!$B$22, "Enter VALUE!!"))</f>
        <v>1</v>
      </c>
      <c t="str" s="40" r="G34">
        <f>B34*'TCO Inputs'!$B$10/'TCO Inputs'!$B$11*'TCO Inputs'!$B$12</f>
        <v>$750,000</v>
      </c>
      <c t="str" s="40" r="H34">
        <f>B34*'TCO Inputs'!$B$10/'TCO Inputs'!$B$11*'TCO Inputs'!$B$12*E34</f>
        <v>$750,000</v>
      </c>
    </row>
    <row customHeight="1" r="35" ht="12.0">
      <c t="s" s="42" r="A35">
        <v>106</v>
      </c>
      <c s="43" r="B35">
        <v>4.0</v>
      </c>
      <c t="str" s="3" r="D35">
        <f>IF(OR('TCO Inputs'!$B$23="Cluster",'TCO Inputs'!$B$23="PDU"),"Scales with Server Power","Scales with Critical capacity")</f>
        <v>Scales with Critical capacity</v>
      </c>
      <c t="str" s="3" r="E35">
        <f>IF(D35="Scales with Critical capacity", 1,  IF(D35="Scales with Server Power", 1+'TCO Inputs'!$B$22, "Enter VALUE!!"))</f>
        <v>1</v>
      </c>
      <c t="str" s="40" r="G35">
        <f>B35*'TCO Inputs'!$B$10/'TCO Inputs'!$B$11*'TCO Inputs'!$B$12</f>
        <v>$300,000</v>
      </c>
      <c t="str" s="40" r="H35">
        <f>B35*'TCO Inputs'!$B$10/'TCO Inputs'!$B$11*'TCO Inputs'!$B$12*E35</f>
        <v>$300,000</v>
      </c>
    </row>
    <row customHeight="1" r="36" ht="12.0">
      <c s="3" r="A36"/>
      <c s="3" r="D36"/>
      <c s="3" r="E36"/>
      <c s="40" r="G36"/>
      <c s="40" r="H36"/>
    </row>
    <row customHeight="1" r="37" ht="12.0">
      <c t="s" s="42" r="A37">
        <v>107</v>
      </c>
      <c s="43" r="B37">
        <v>15.0</v>
      </c>
      <c t="str" s="3" r="D37">
        <f>IF(OR('TCO Inputs'!$B$23="Cluster",'TCO Inputs'!$B$23="PDU"),"Scales with Server Power","Scales with Critical capacity")</f>
        <v>Scales with Critical capacity</v>
      </c>
      <c t="str" s="3" r="E37">
        <f>IF(D37="Scales with Critical capacity", 1,  IF(D37="Scales with Server Power", 1+'TCO Inputs'!$B$22, "Enter VALUE!!"))</f>
        <v>1</v>
      </c>
      <c t="str" s="40" r="G37">
        <f>B37*'TCO Inputs'!$B$10/'TCO Inputs'!$B$11*'TCO Inputs'!$B$12</f>
        <v>$1,125,000</v>
      </c>
      <c t="str" s="40" r="H37">
        <f>B37*'TCO Inputs'!$B$10/'TCO Inputs'!$B$11*'TCO Inputs'!$B$12*E37</f>
        <v>$1,125,000</v>
      </c>
    </row>
    <row customHeight="1" r="38" ht="12.0">
      <c t="s" s="42" r="A38">
        <v>108</v>
      </c>
      <c s="43" r="B38">
        <v>15.0</v>
      </c>
      <c t="str" s="3" r="D38">
        <f>IF(OR('TCO Inputs'!$B$23="Cluster",'TCO Inputs'!$B$23="PDU"),"Scales with Server Power","Scales with Critical capacity")</f>
        <v>Scales with Critical capacity</v>
      </c>
      <c t="str" s="3" r="E38">
        <f>IF(D38="Scales with Critical capacity", 1,  IF(D38="Scales with Server Power", 1+'TCO Inputs'!$B$22, "Enter VALUE!!"))</f>
        <v>1</v>
      </c>
      <c t="str" s="40" r="G38">
        <f>B38*'TCO Inputs'!$B$10/'TCO Inputs'!$B$11*'TCO Inputs'!$B$12</f>
        <v>$1,125,000</v>
      </c>
      <c t="str" s="40" r="H38">
        <f>B38*'TCO Inputs'!$B$10/'TCO Inputs'!$B$11*'TCO Inputs'!$B$12*E38</f>
        <v>$1,125,000</v>
      </c>
    </row>
    <row customHeight="1" r="39" ht="12.0">
      <c t="s" s="42" r="A39">
        <v>109</v>
      </c>
      <c s="43" r="B39">
        <v>7.0</v>
      </c>
      <c t="str" s="3" r="D39">
        <f>IF(OR('TCO Inputs'!$B$23="Cluster",'TCO Inputs'!$B$23="PDU"),"Scales with Server Power","Scales with Critical capacity")</f>
        <v>Scales with Critical capacity</v>
      </c>
      <c t="str" s="3" r="E39">
        <f>IF(D39="Scales with Critical capacity", 1,  IF(D39="Scales with Server Power", 1+'TCO Inputs'!$B$22, "Enter VALUE!!"))</f>
        <v>1</v>
      </c>
      <c t="str" s="40" r="G39">
        <f>B39*'TCO Inputs'!$B$10/'TCO Inputs'!$B$11*'TCO Inputs'!$B$12</f>
        <v>$525,000</v>
      </c>
      <c t="str" s="40" r="H39">
        <f>B39*'TCO Inputs'!$B$10/'TCO Inputs'!$B$11*'TCO Inputs'!$B$12*E39</f>
        <v>$525,000</v>
      </c>
    </row>
    <row customHeight="1" r="40" ht="12.0">
      <c s="3" r="A40"/>
      <c s="3" r="D40"/>
      <c s="3" r="E40"/>
      <c s="40" r="G40"/>
      <c s="40" r="H40"/>
    </row>
    <row customHeight="1" r="41" ht="12.0">
      <c t="s" s="42" r="A41">
        <v>110</v>
      </c>
      <c s="43" r="B41">
        <v>15.0</v>
      </c>
      <c t="str" s="3" r="D41">
        <f>IF(OR('TCO Inputs'!$B$23="Cluster",'TCO Inputs'!$B$23="PDU"),"Scales with Server Power","Scales with Critical capacity")</f>
        <v>Scales with Critical capacity</v>
      </c>
      <c t="str" s="3" r="E41">
        <f>IF(D41="Scales with Critical capacity", 1,  IF(D41="Scales with Server Power", 1+'TCO Inputs'!$B$22, "Enter VALUE!!"))</f>
        <v>1</v>
      </c>
      <c t="str" s="40" r="G41">
        <f>B41*'TCO Inputs'!$B$10/'TCO Inputs'!$B$11*'TCO Inputs'!$B$12</f>
        <v>$1,125,000</v>
      </c>
      <c t="str" s="40" r="H41">
        <f>B41*'TCO Inputs'!$B$10/'TCO Inputs'!$B$11*'TCO Inputs'!$B$12*E41</f>
        <v>$1,125,000</v>
      </c>
    </row>
    <row customHeight="1" r="42" ht="12.0">
      <c s="3" r="A42"/>
      <c s="3" r="D42"/>
      <c s="3" r="E42"/>
      <c s="40" r="G42"/>
      <c s="40" r="H42"/>
    </row>
    <row customHeight="1" r="43" ht="12.0">
      <c t="s" s="44" r="A43">
        <v>111</v>
      </c>
      <c s="45" r="B43">
        <v>2000.0</v>
      </c>
      <c t="str" s="3" r="D43">
        <f>IF(OR('TCO Inputs'!$B$23="Cluster",'TCO Inputs'!$B$23="PDU"),"Scales with Server Power","Scales with Critical capacity")</f>
        <v>Scales with Critical capacity</v>
      </c>
      <c t="str" s="3" r="E43">
        <f>IF(D43="Scales with Critical capacity", 1,  IF(D43="Scales with Server Power", 1+'TCO Inputs'!$B$22, "Enter VALUE!!"))</f>
        <v>1</v>
      </c>
      <c t="str" s="40" r="G43">
        <f>B43*'TCO Inputs'!$B$10/'TCO Inputs'!$B$11</f>
        <v>$5,000,000</v>
      </c>
      <c t="str" s="40" r="H43">
        <f>B43*'TCO Inputs'!$B$10/'TCO Inputs'!$B$11*E43</f>
        <v>$5,000,000</v>
      </c>
    </row>
    <row customHeight="1" r="44" ht="12.0">
      <c t="s" s="44" r="A44">
        <v>112</v>
      </c>
      <c s="45" r="B44">
        <v>800.0</v>
      </c>
      <c t="str" s="3" r="D44">
        <f>IF(OR('TCO Inputs'!$B$23="Cluster",'TCO Inputs'!$B$23="PDU"),"Scales with Server Power","Scales with Critical capacity")</f>
        <v>Scales with Critical capacity</v>
      </c>
      <c t="str" s="3" r="E44">
        <f>IF(D44="Scales with Critical capacity", 1,  IF(D44="Scales with Server Power", 1+'TCO Inputs'!$B$22, "Enter VALUE!!"))</f>
        <v>1</v>
      </c>
      <c t="str" s="40" r="G44">
        <f>B44*'TCO Inputs'!$B$10/'TCO Inputs'!$B$11</f>
        <v>$2,000,000</v>
      </c>
      <c t="str" s="40" r="H44">
        <f>B44*'TCO Inputs'!$B$10/'TCO Inputs'!$B$11*E44</f>
        <v>$2,000,000</v>
      </c>
    </row>
    <row customHeight="1" r="45" ht="12.0">
      <c t="s" s="44" r="A45">
        <v>113</v>
      </c>
      <c s="45" r="B45">
        <v>200.0</v>
      </c>
      <c t="str" s="3" r="D45">
        <f>IF(OR('TCO Inputs'!$B$23="Cluster",'TCO Inputs'!$B$23="PDU"),"Scales with Server Power","Scales with Critical capacity")</f>
        <v>Scales with Critical capacity</v>
      </c>
      <c t="str" s="3" r="E45">
        <f>IF(D45="Scales with Critical capacity", 1,  IF(D45="Scales with Server Power", 1+'TCO Inputs'!$B$22, "Enter VALUE!!"))</f>
        <v>1</v>
      </c>
      <c t="str" s="40" r="G45">
        <f>B45*'TCO Inputs'!$B$10/'TCO Inputs'!$B$11</f>
        <v>$500,000</v>
      </c>
      <c t="str" s="40" r="H45">
        <f>B45*'TCO Inputs'!$B$10/'TCO Inputs'!$B$11*E45</f>
        <v>$500,000</v>
      </c>
    </row>
    <row customHeight="1" r="46" ht="12.0">
      <c t="s" s="44" r="A46">
        <v>114</v>
      </c>
      <c s="45" r="B46">
        <v>75.0</v>
      </c>
      <c t="str" s="3" r="D46">
        <f>IF(OR('TCO Inputs'!$B$23="Cluster",'TCO Inputs'!$B$23="PDU"),"Scales with Server Power","Scales with Critical capacity")</f>
        <v>Scales with Critical capacity</v>
      </c>
      <c t="str" s="3" r="E46">
        <f>IF(D46="Scales with Critical capacity", 1,  IF(D46="Scales with Server Power", 1+'TCO Inputs'!$B$22, "Enter VALUE!!"))</f>
        <v>1</v>
      </c>
      <c t="str" s="40" r="G46">
        <f>B46*'TCO Inputs'!$B$10/'TCO Inputs'!$B$11</f>
        <v>$187,500</v>
      </c>
      <c t="str" s="40" r="H46">
        <f>B46*'TCO Inputs'!$B$10/'TCO Inputs'!$B$11*E46</f>
        <v>$187,500</v>
      </c>
    </row>
    <row customHeight="1" r="47" ht="12.0">
      <c t="s" s="44" r="A47">
        <v>115</v>
      </c>
      <c s="45" r="B47">
        <v>125.0</v>
      </c>
      <c t="str" s="3" r="D47">
        <f>IF(OR('TCO Inputs'!$B$23="Cluster",'TCO Inputs'!$B$23="PDU"),"Scales with Server Power","Scales with Critical capacity")</f>
        <v>Scales with Critical capacity</v>
      </c>
      <c t="str" s="3" r="E47">
        <f>IF(D47="Scales with Critical capacity", 1,  IF(D47="Scales with Server Power", 1+'TCO Inputs'!$B$22, "Enter VALUE!!"))</f>
        <v>1</v>
      </c>
      <c t="str" s="40" r="G47">
        <f>B47*'TCO Inputs'!$B$10/'TCO Inputs'!$B$11</f>
        <v>$312,500</v>
      </c>
      <c t="str" s="40" r="H47">
        <f>B47*'TCO Inputs'!$B$10/'TCO Inputs'!$B$11*E47</f>
        <v>$312,500</v>
      </c>
    </row>
    <row customHeight="1" r="48" ht="12.0">
      <c s="3" r="A48"/>
      <c s="3" r="D48"/>
      <c s="3" r="E48"/>
      <c s="40" r="G48"/>
      <c s="40" r="H48"/>
    </row>
    <row customHeight="1" r="49" ht="12.0">
      <c t="s" s="42" r="A49">
        <v>116</v>
      </c>
      <c s="43" r="B49">
        <v>6.75</v>
      </c>
      <c t="str" s="3" r="D49">
        <f>IF(OR('TCO Inputs'!$B$23="Cluster",'TCO Inputs'!$B$23="PDU"),"Scales with Server Power","Scales with Critical capacity")</f>
        <v>Scales with Critical capacity</v>
      </c>
      <c t="str" s="3" r="E49">
        <f>IF(D49="Scales with Critical capacity", 1,  IF(D49="Scales with Server Power", 1+'TCO Inputs'!$B$22, "Enter VALUE!!"))</f>
        <v>1</v>
      </c>
      <c t="str" s="40" r="G49">
        <f>B49*'TCO Inputs'!$B$10/'TCO Inputs'!$B$11*'TCO Inputs'!$B$12</f>
        <v>$506,250</v>
      </c>
      <c t="str" s="40" r="H49">
        <f>B49*'TCO Inputs'!$B$10/'TCO Inputs'!$B$11*'TCO Inputs'!$B$12*E49</f>
        <v>$506,250</v>
      </c>
    </row>
    <row customHeight="1" r="50" ht="12.0">
      <c t="s" s="42" r="A50">
        <v>117</v>
      </c>
      <c s="43" r="B50">
        <v>26.0</v>
      </c>
      <c t="str" s="3" r="D50">
        <f>IF(OR('TCO Inputs'!$B$23="Cluster",'TCO Inputs'!$B$23="PDU"),"Scales with Server Power","Scales with Critical capacity")</f>
        <v>Scales with Critical capacity</v>
      </c>
      <c t="str" s="3" r="E50">
        <f>IF(D50="Scales with Critical capacity", 1,  IF(D50="Scales with Server Power", 1+'TCO Inputs'!$B$22, "Enter VALUE!!"))</f>
        <v>1</v>
      </c>
      <c t="str" s="40" r="G50">
        <f>B50*'TCO Inputs'!$B$10/'TCO Inputs'!$B$11*'TCO Inputs'!$B$12</f>
        <v>$1,950,000</v>
      </c>
      <c t="str" s="40" r="H50">
        <f>B50*'TCO Inputs'!$B$10/'TCO Inputs'!$B$11*'TCO Inputs'!$B$12*E50</f>
        <v>$1,950,000</v>
      </c>
    </row>
    <row customHeight="1" r="51" ht="12.0">
      <c t="s" s="42" r="A51">
        <v>118</v>
      </c>
      <c s="43" r="B51">
        <v>10.0</v>
      </c>
      <c t="str" s="3" r="D51">
        <f>IF(OR('TCO Inputs'!$B$23="Cluster",'TCO Inputs'!$B$23="PDU"),"Scales with Server Power","Scales with Critical capacity")</f>
        <v>Scales with Critical capacity</v>
      </c>
      <c t="str" s="3" r="E51">
        <f>IF(D51="Scales with Critical capacity", 1,  IF(D51="Scales with Server Power", 1+'TCO Inputs'!$B$22, "Enter VALUE!!"))</f>
        <v>1</v>
      </c>
      <c t="str" s="40" r="G51">
        <f>B51*'TCO Inputs'!$B$10/'TCO Inputs'!$B$11*'TCO Inputs'!$B$12*'TCO Inputs'!$B$13</f>
        <v>$7,500,000</v>
      </c>
      <c t="str" s="40" r="H51">
        <f>B51*'TCO Inputs'!$B$10/'TCO Inputs'!$B$11*'TCO Inputs'!$B$12*'TCO Inputs'!$B$13*E51</f>
        <v>$7,500,000</v>
      </c>
    </row>
    <row customHeight="1" r="52" ht="12.0">
      <c t="s" s="42" r="A52">
        <v>119</v>
      </c>
      <c s="43" r="B52">
        <v>1.0</v>
      </c>
      <c t="str" s="3" r="D52">
        <f>IF(OR('TCO Inputs'!$B$23="Cluster",'TCO Inputs'!$B$23="PDU"),"Scales with Server Power","Scales with Critical capacity")</f>
        <v>Scales with Critical capacity</v>
      </c>
      <c t="str" s="3" r="E52">
        <f>IF(D52="Scales with Critical capacity", 1,  IF(D52="Scales with Server Power", 1+'TCO Inputs'!$B$22, "Enter VALUE!!"))</f>
        <v>1</v>
      </c>
      <c t="str" s="40" r="G52">
        <f>B52*'TCO Inputs'!$B$10/'TCO Inputs'!$B$11*'TCO Inputs'!$B$12*'TCO Inputs'!$B$13</f>
        <v>$750,000</v>
      </c>
      <c t="str" s="40" r="H52">
        <f>B52*'TCO Inputs'!$B$10/'TCO Inputs'!$B$11*'TCO Inputs'!$B$12*'TCO Inputs'!$B$13*E52</f>
        <v>$750,000</v>
      </c>
    </row>
    <row customHeight="1" r="53" ht="12.0">
      <c t="s" s="42" r="A53">
        <v>120</v>
      </c>
      <c s="43" r="B53">
        <v>0.75</v>
      </c>
      <c t="str" s="3" r="D53">
        <f>IF(OR('TCO Inputs'!$B$23="Cluster",'TCO Inputs'!$B$23="PDU"),"Scales with Server Power","Scales with Critical capacity")</f>
        <v>Scales with Critical capacity</v>
      </c>
      <c t="str" s="3" r="E53">
        <f>IF(D53="Scales with Critical capacity", 1,  IF(D53="Scales with Server Power", 1+'TCO Inputs'!$B$22, "Enter VALUE!!"))</f>
        <v>1</v>
      </c>
      <c t="str" s="40" r="G53">
        <f>B53*'TCO Inputs'!$B$10/'TCO Inputs'!$B$11*'TCO Inputs'!$B$12*'TCO Inputs'!$B$13</f>
        <v>$562,500</v>
      </c>
      <c t="str" s="40" r="H53">
        <f>B53*'TCO Inputs'!$B$10/'TCO Inputs'!$B$11*'TCO Inputs'!$B$12*'TCO Inputs'!$B$13*E53</f>
        <v>$562,500</v>
      </c>
    </row>
    <row customHeight="1" r="54" ht="12.0">
      <c t="s" s="38" r="A54">
        <v>121</v>
      </c>
      <c s="39" r="B54">
        <v>0.09</v>
      </c>
      <c t="s" s="3" r="D54">
        <v>122</v>
      </c>
      <c t="str" s="3" r="E54">
        <f>IF(D54="Scales with Critical capacity", 1,  IF(D54="Scales with Server Power", 1+'TCO Inputs'!$B$22, "Enter VALUE!!"))</f>
        <v>1</v>
      </c>
      <c t="str" s="40" r="G54">
        <f>B54*'TCO Inputs'!$B$10*'TCO Advanced Inputs'!$B$62*'TCO Inputs'!$B$13</f>
        <v>$10,800,000</v>
      </c>
      <c t="str" s="40" r="H54">
        <f>B54*'TCO Inputs'!$B$10*'TCO Advanced Inputs'!$B$62*'TCO Inputs'!$B$13*E54</f>
        <v>$10,800,000</v>
      </c>
    </row>
    <row customHeight="1" r="55" ht="12.0">
      <c t="s" s="38" r="A55">
        <v>123</v>
      </c>
      <c s="39" r="B55">
        <v>0.05</v>
      </c>
      <c t="s" s="3" r="D55">
        <v>124</v>
      </c>
      <c t="str" s="3" r="E55">
        <f>IF(D55="Scales with Critical capacity", 1,  IF(D55="Scales with Server Power", 1+'TCO Inputs'!$B$22, "Enter VALUE!!"))</f>
        <v>1</v>
      </c>
      <c t="str" s="40" r="G55">
        <f>B55*'TCO Inputs'!$B$10*'TCO Inputs'!$B$13</f>
        <v>$5,000,000</v>
      </c>
      <c t="str" s="40" r="H55">
        <f>B55*'TCO Inputs'!$B$10*'TCO Inputs'!$B$13*E55</f>
        <v>$5,000,000</v>
      </c>
    </row>
    <row customHeight="1" r="56" ht="12.0">
      <c t="s" s="38" r="A56">
        <v>125</v>
      </c>
      <c s="39" r="B56">
        <v>0.02</v>
      </c>
      <c t="s" s="3" r="D56">
        <v>126</v>
      </c>
      <c t="str" s="3" r="E56">
        <f>IF(D56="Scales with Critical capacity", 1,  IF(D56="Scales with Server Power", 1+'TCO Inputs'!$B$22, "Enter VALUE!!"))</f>
        <v>1</v>
      </c>
      <c t="str" s="40" r="G56">
        <f>B56*'TCO Inputs'!$B$10*'TCO Advanced Inputs'!$B$63*'TCO Inputs'!$B$13</f>
        <v>$5,400,000</v>
      </c>
      <c t="str" s="40" r="H56">
        <f>B56*'TCO Inputs'!$B$10*'TCO Advanced Inputs'!$B$63*'TCO Inputs'!$B$13*E56</f>
        <v>$5,400,000</v>
      </c>
    </row>
    <row customHeight="1" r="57" ht="12.0">
      <c t="s" s="38" r="A57">
        <v>127</v>
      </c>
      <c s="39" r="B57">
        <v>0.0149999999999999</v>
      </c>
      <c t="s" s="3" r="D57">
        <v>128</v>
      </c>
      <c t="str" s="3" r="E57">
        <f>IF(D57="Scales with Critical capacity", 1,  IF(D57="Scales with Server Power", 1+'TCO Inputs'!$B$22, "Enter VALUE!!"))</f>
        <v>1</v>
      </c>
      <c t="str" s="40" r="G57">
        <f>B57*'TCO Inputs'!$B$10*'TCO Inputs'!$B$13</f>
        <v>$1,500,000</v>
      </c>
      <c t="str" s="40" r="H57">
        <f>B57*'TCO Inputs'!$B$10*'TCO Inputs'!$B$13*E57</f>
        <v>$1,500,000</v>
      </c>
    </row>
    <row customHeight="1" r="58" ht="12.0">
      <c t="s" s="38" r="A58">
        <v>129</v>
      </c>
      <c s="39" r="B58">
        <v>0.01</v>
      </c>
      <c t="s" s="3" r="D58">
        <v>130</v>
      </c>
      <c t="str" s="3" r="E58">
        <f>IF(D58="Scales with Critical capacity", 1,  IF(D58="Scales with Server Power", 1+'TCO Inputs'!$B$22, "Enter VALUE!!"))</f>
        <v>1</v>
      </c>
      <c t="str" s="40" r="G58">
        <f>B58*'TCO Inputs'!$B$10*'TCO Inputs'!$B$13</f>
        <v>$1,000,000</v>
      </c>
      <c t="str" s="40" r="H58">
        <f>B58*'TCO Inputs'!$B$10*'TCO Inputs'!$B$13*E58</f>
        <v>$1,000,000</v>
      </c>
    </row>
    <row customHeight="1" r="59" ht="12.0">
      <c t="s" s="3" r="A59">
        <v>131</v>
      </c>
      <c s="8" r="B59">
        <v>2.0</v>
      </c>
      <c t="s" s="3" r="D59">
        <v>132</v>
      </c>
      <c t="str" s="3" r="E59">
        <f>IF(D59="Scales with Critical capacity", 1,  IF(D59="Scales with Server Power", 1+'TCO Inputs'!$B$22, "Enter VALUE!!"))</f>
        <v>1</v>
      </c>
      <c t="str" s="40" r="G59">
        <f>B59*'TCO Inputs'!$B$10/'TCO Inputs'!$B$11*'TCO Inputs'!$B$12*'TCO Inputs'!$B$13*360*24/1000*'TCO Inputs'!$B$20</f>
        <v>$609,120</v>
      </c>
      <c t="str" s="40" r="H59">
        <f>B59*'TCO Inputs'!$B$10/'TCO Inputs'!$B$11*'TCO Inputs'!$B$12*'TCO Inputs'!$B$13*360*24/1000*'TCO Inputs'!$B$20*E59</f>
        <v>$609,120</v>
      </c>
    </row>
    <row customHeight="1" r="60" ht="12.0">
      <c t="s" s="3" r="A60">
        <v>133</v>
      </c>
      <c t="s" s="3" r="D60">
        <v>134</v>
      </c>
      <c t="str" s="3" r="E60">
        <f>IF(D60="Scales with Critical capacity", 1,  IF(D60="Scales with Server Power", 1+'TCO Inputs'!$B$22, "Enter VALUE!!"))</f>
        <v>1</v>
      </c>
      <c t="str" s="40" r="G60">
        <f>IF('TCO Inputs'!B10 &lt; 1000000, 0, IF('TCO Inputs'!B10 &lt; 25000000, 1860000, 2010000))</f>
        <v>$1,860,000</v>
      </c>
      <c t="str" s="40" r="H60">
        <f>IF('TCO Inputs'!B10 &lt; 1000000, 0, IF('TCO Inputs'!B10 &lt; 25000000, 1860000, 2010000))</f>
        <v>$1,860,000</v>
      </c>
    </row>
    <row customHeight="1" r="61" ht="12.0">
      <c s="3" r="A61"/>
      <c s="3" r="D61"/>
      <c s="3" r="E61"/>
      <c s="40" r="G61"/>
      <c s="3" r="H61"/>
    </row>
    <row customHeight="1" r="62" ht="12.0">
      <c t="s" s="3" r="A62">
        <v>135</v>
      </c>
      <c s="8" r="B62">
        <v>1.2</v>
      </c>
      <c s="3" r="D62"/>
      <c s="3" r="E62"/>
      <c t="s" s="3" r="F62">
        <v>136</v>
      </c>
      <c t="str" s="40" r="G62">
        <f>SUM(G12:G60)</f>
        <v>$100,427,870</v>
      </c>
      <c s="3" r="H62"/>
    </row>
    <row customHeight="1" r="63" ht="12.0">
      <c t="s" s="3" r="A63">
        <v>137</v>
      </c>
      <c s="8" r="B63">
        <v>2.7</v>
      </c>
      <c s="3" r="D63"/>
      <c s="3" r="E63"/>
      <c s="3" r="G63"/>
      <c s="3" r="H63"/>
    </row>
    <row customHeight="1" r="64" ht="12.0">
      <c s="3" r="A64"/>
      <c s="3" r="D64"/>
      <c s="3" r="E64"/>
      <c s="3" r="G64"/>
      <c s="3" r="H64"/>
    </row>
    <row customHeight="1" r="65" ht="12.0">
      <c s="3" r="A65"/>
      <c s="3" r="D65"/>
      <c s="3" r="E65"/>
      <c s="3" r="G65"/>
      <c s="3" r="H65"/>
    </row>
    <row customHeight="1" r="66" ht="12.0">
      <c t="s" s="1" r="A66">
        <v>138</v>
      </c>
      <c s="40" r="B66"/>
      <c s="3" r="D66"/>
      <c s="3" r="E66"/>
      <c s="3" r="G66"/>
      <c s="3" r="H66"/>
    </row>
    <row customHeight="1" r="67" ht="12.0">
      <c t="s" s="3" r="A67">
        <v>139</v>
      </c>
      <c t="str" s="40" r="B67">
        <f>SUM('TCO Advanced Inputs'!G12:G31,'TCO Advanced Inputs'!G54:G58)</f>
        <v>$70,740,000</v>
      </c>
      <c s="3" r="D67"/>
      <c s="3" r="E67"/>
      <c s="3" r="G67"/>
      <c s="3" r="H67"/>
    </row>
    <row customHeight="1" r="68" ht="12.0">
      <c t="s" s="3" r="A68">
        <v>140</v>
      </c>
      <c t="str" s="40" r="B68">
        <f>SUM('TCO Advanced Inputs'!G33:G41,'TCO Advanced Inputs'!G49:G53)</f>
        <v>$19,218,750</v>
      </c>
      <c s="3" r="D68"/>
      <c s="3" r="E68"/>
      <c s="3" r="G68"/>
      <c s="3" r="H68"/>
    </row>
    <row customHeight="1" r="69" ht="12.0">
      <c t="s" s="3" r="A69">
        <v>141</v>
      </c>
      <c t="str" s="40" r="B69">
        <f>SUM('TCO Advanced Inputs'!G43:G47)</f>
        <v>$8,000,000</v>
      </c>
      <c s="3" r="D69"/>
      <c s="3" r="E69"/>
      <c s="3" r="G69"/>
      <c s="3" r="H69"/>
    </row>
    <row customHeight="1" r="70" ht="12.0">
      <c t="s" s="3" r="A70">
        <v>142</v>
      </c>
      <c t="str" s="40" r="B70">
        <f>'TCO Advanced Inputs'!G59</f>
        <v>$609,120</v>
      </c>
      <c s="3" r="D70"/>
      <c s="3" r="E70"/>
      <c s="3" r="G70"/>
      <c s="3" r="H70"/>
    </row>
    <row customHeight="1" r="71" ht="12.0">
      <c s="3" r="A71"/>
      <c s="40" r="B71"/>
      <c s="3" r="D71"/>
      <c s="3" r="E71"/>
      <c s="3" r="G71"/>
      <c s="3" r="H71"/>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19.43"/>
    <col min="2" customWidth="1" max="2" width="13.43"/>
    <col min="3" customWidth="1" max="3" width="16.43"/>
    <col min="4" customWidth="1" max="4" width="15.43"/>
    <col min="5" customWidth="1" max="5" width="14.86"/>
    <col min="6" customWidth="1" max="7" width="11.43"/>
    <col min="8" customWidth="1" max="8" width="15.29"/>
    <col min="9" customWidth="1" max="11" width="11.43"/>
    <col min="12" customWidth="1" max="12" width="26.71"/>
  </cols>
  <sheetData>
    <row customHeight="1" r="1" ht="12.0">
      <c t="s" s="2" r="A1">
        <v>143</v>
      </c>
      <c s="3" r="B1"/>
      <c s="3" r="C1"/>
      <c s="3" r="D1"/>
      <c s="3" r="E1"/>
      <c t="s" s="1" r="G1">
        <v>144</v>
      </c>
      <c s="3" r="H1"/>
      <c s="3" r="L1"/>
    </row>
    <row customHeight="1" r="2" ht="12.0">
      <c s="2" r="A2"/>
      <c t="s" s="3" r="B2">
        <v>145</v>
      </c>
      <c t="s" s="3" r="C2">
        <v>146</v>
      </c>
      <c t="s" s="3" r="D2">
        <v>147</v>
      </c>
      <c t="s" s="3" r="E2">
        <v>148</v>
      </c>
      <c t="s" s="3" r="H2">
        <v>149</v>
      </c>
      <c t="s" s="3" r="I2">
        <v>150</v>
      </c>
      <c t="s" s="3" r="J2">
        <v>151</v>
      </c>
      <c s="3" r="L2"/>
    </row>
    <row customHeight="1" r="3" ht="12.0">
      <c t="s" s="4" r="A3">
        <v>152</v>
      </c>
      <c t="str" s="40" r="B3">
        <f>Validation!B7-'TCO Advanced Inputs'!G52-'TCO Advanced Inputs'!G53</f>
        <v>$11,625,000</v>
      </c>
      <c t="str" s="40" r="C3">
        <f>B3/'TCO Inputs'!$B$13/12</f>
        <v>$96,875</v>
      </c>
      <c t="str" s="46" r="D3">
        <f>B3/'TCO Inputs'!$E$10/12/'TCO Inputs'!$B$13</f>
        <v>$2.91</v>
      </c>
      <c t="s" s="3" r="E3">
        <v>153</v>
      </c>
      <c t="s" s="3" r="G3">
        <v>154</v>
      </c>
      <c t="str" s="47" r="H3">
        <f>SUM('TCO Advanced Inputs'!H51+'TCO Advanced Inputs'!H33+'TCO Advanced Inputs'!H52+'TCO Advanced Inputs'!H53+'TCO Advanced Inputs'!H37)-'TCO Advanced Inputs'!H52-'TCO Advanced Inputs'!H53</f>
        <v>$11,625,000.00</v>
      </c>
      <c t="str" s="40" r="I3">
        <f>H3/'TCO Inputs'!$B$13/12</f>
        <v>$96,875</v>
      </c>
      <c t="str" s="46" r="J3">
        <f>H3/'TCO Inputs'!$E$11/12/'TCO Inputs'!$B$13</f>
        <v>$2.67</v>
      </c>
      <c s="3" r="L3"/>
    </row>
    <row customHeight="1" r="4" ht="12.0">
      <c t="s" s="4" r="A4">
        <v>155</v>
      </c>
      <c t="str" s="40" r="B4">
        <f>2*3.2*'TCO Inputs'!E10*'TCO Inputs'!B13/'TCO Inputs'!B16</f>
        <v>$532,800</v>
      </c>
      <c t="str" s="40" r="C4">
        <f>B4/'TCO Inputs'!$B$13/12</f>
        <v>$4,440</v>
      </c>
      <c t="str" s="46" r="D4">
        <f>B4/'TCO Inputs'!$E$10/12/'TCO Inputs'!$B$13</f>
        <v>$0.13</v>
      </c>
      <c t="s" s="3" r="E4">
        <v>156</v>
      </c>
      <c t="s" s="3" r="G4">
        <v>157</v>
      </c>
      <c s="48" r="H4">
        <v>456000.0</v>
      </c>
      <c t="str" s="40" r="I4">
        <f>H4/'TCO Inputs'!$B$13/12</f>
        <v>$3,800</v>
      </c>
      <c t="str" s="46" r="J4">
        <f>H4/'TCO Inputs'!$E$11/12/'TCO Inputs'!$B$13</f>
        <v>$0.10</v>
      </c>
      <c s="3" r="L4"/>
    </row>
    <row customHeight="1" r="5" ht="12.0">
      <c t="s" s="4" r="A5">
        <v>158</v>
      </c>
      <c t="str" s="40" r="B5">
        <f>Validation!B2-'TCO Advanced Inputs'!G12-'TCO Advanced Inputs'!G13+'TCO Advanced Inputs'!G60</f>
        <v>$20,310,000</v>
      </c>
      <c t="str" s="40" r="C5">
        <f>B5/'TCO Inputs'!$B$13/12</f>
        <v>$169,250</v>
      </c>
      <c t="str" s="46" r="D5">
        <f>B5/'TCO Inputs'!$E$10/12/'TCO Inputs'!$B$13</f>
        <v>$5.08</v>
      </c>
      <c t="s" s="3" r="E5">
        <v>159</v>
      </c>
      <c t="s" s="3" r="G5">
        <v>160</v>
      </c>
      <c t="str" s="47" r="H5">
        <f>SUM('TCO Advanced Inputs'!H44,'TCO Advanced Inputs'!H25,'TCO Advanced Inputs'!H21,'TCO Advanced Inputs'!H17,'TCO Advanced Inputs'!H12,'TCO Advanced Inputs'!H13) -'TCO Advanced Inputs'!H12-'TCO Advanced Inputs'!H13+'TCO Advanced Inputs'!H60</f>
        <v>$20,310,000.00</v>
      </c>
      <c t="str" s="40" r="I5">
        <f>H5/'TCO Inputs'!$B$13/12</f>
        <v>$169,250</v>
      </c>
      <c t="str" s="46" r="J5">
        <f>H5/'TCO Inputs'!$E$11/12/'TCO Inputs'!$B$13</f>
        <v>$4.66</v>
      </c>
      <c s="3" r="L5"/>
    </row>
    <row customHeight="1" r="6" ht="12.0">
      <c t="s" s="4" r="A6">
        <v>161</v>
      </c>
      <c t="str" s="40" r="B6">
        <f>Validation!B3</f>
        <v>$8,400,000</v>
      </c>
      <c t="str" s="40" r="C6">
        <f>B6/'TCO Inputs'!$B$13/12</f>
        <v>$70,000</v>
      </c>
      <c t="str" s="46" r="D6">
        <f>B6/'TCO Inputs'!$E$10/12/'TCO Inputs'!$B$13</f>
        <v>$2.10</v>
      </c>
      <c t="s" s="3" r="E6">
        <v>162</v>
      </c>
      <c t="s" s="3" r="G6">
        <v>163</v>
      </c>
      <c t="str" s="47" r="H6">
        <f>SUM('TCO Advanced Inputs'!H29 + 300000)</f>
        <v>$8,700,000.00</v>
      </c>
      <c t="str" s="40" r="I6">
        <f>H6/'TCO Inputs'!$B$13/12</f>
        <v>$72,500</v>
      </c>
      <c t="str" s="46" r="J6">
        <f>H6/'TCO Inputs'!$E$11/12/'TCO Inputs'!$B$13</f>
        <v>$2.00</v>
      </c>
      <c s="3" r="L6"/>
    </row>
    <row customHeight="1" r="7" ht="12.0">
      <c t="s" s="4" r="A7">
        <v>164</v>
      </c>
      <c t="str" s="40" r="B7">
        <f>SUM(Validation!B8,Validation!B4,Validation!B6,Validation!B9)</f>
        <v>$30,671,250</v>
      </c>
      <c t="str" s="40" r="C7">
        <f>B7/'TCO Inputs'!$B$13/12</f>
        <v>$255,594</v>
      </c>
      <c t="str" s="46" r="D7">
        <f>B7/'TCO Inputs'!$E$10/12/'TCO Inputs'!$B$13</f>
        <v>$7.68</v>
      </c>
      <c t="s" s="3" r="E7">
        <v>165</v>
      </c>
      <c t="s" s="3" r="G7">
        <v>166</v>
      </c>
      <c t="str" s="47" r="H7">
        <f>SUM('TCO Advanced Inputs'!H41,'TCO Advanced Inputs'!H45,'TCO Advanced Inputs'!H30,'TCO Advanced Inputs'!H31,'TCO Advanced Inputs'!H47,'TCO Advanced Inputs'!H38,'TCO Advanced Inputs'!H39,'TCO Advanced Inputs'!H34,'TCO Advanced Inputs'!H35,'TCO Advanced Inputs'!H26,'TCO Advanced Inputs'!H27,'TCO Advanced Inputs'!H22,'TCO Advanced Inputs'!H23,'TCO Advanced Inputs'!H18,'TCO Advanced Inputs'!H19,'TCO Advanced Inputs'!H14,'TCO Advanced Inputs'!H15)+ SUM('TCO Advanced Inputs'!H43,'TCO Advanced Inputs'!H46) + SUM('TCO Advanced Inputs'!H49) + SUM('TCO Advanced Inputs'!H50)</f>
        <v>$30,671,250.00</v>
      </c>
      <c t="str" s="40" r="I7">
        <f>H7/'TCO Inputs'!$B$13/12</f>
        <v>$255,594</v>
      </c>
      <c t="str" s="46" r="J7">
        <f>H7/'TCO Inputs'!$E$11/12/'TCO Inputs'!$B$13</f>
        <v>$7.04</v>
      </c>
      <c s="3" r="L7"/>
    </row>
    <row customHeight="1" r="8" ht="12.0">
      <c t="s" s="4" r="A8">
        <v>167</v>
      </c>
      <c t="str" s="40" r="B8">
        <f>SUM('TCO Advanced Inputs'!G52:G59)</f>
        <v>$25,621,620</v>
      </c>
      <c t="str" s="40" r="C8">
        <f>B8/'TCO Inputs'!$B$13/12</f>
        <v>$213,514</v>
      </c>
      <c t="str" s="46" r="D8">
        <f>B8/'TCO Inputs'!$E$10/12/'TCO Inputs'!$B$13</f>
        <v>$6.41</v>
      </c>
      <c t="s" s="3" r="E8">
        <v>168</v>
      </c>
      <c t="s" s="3" r="G8">
        <v>169</v>
      </c>
      <c t="str" s="47" r="H8">
        <f>SUM('TCO Advanced Inputs'!H52:H59)</f>
        <v>$25,621,620.00</v>
      </c>
      <c t="str" s="40" r="I8">
        <f>H8/'TCO Inputs'!$B$13/12</f>
        <v>$213,514</v>
      </c>
      <c t="str" s="46" r="J8">
        <f>H8/'TCO Inputs'!$E$11/12/'TCO Inputs'!$B$13</f>
        <v>$5.88</v>
      </c>
      <c s="3" r="L8"/>
    </row>
    <row customHeight="1" r="9" ht="12.0">
      <c t="s" s="4" r="A9">
        <v>170</v>
      </c>
      <c t="str" s="40" r="B9">
        <f>'TCO Inputs'!E10*'TCO Inputs'!B15*'TCO Inputs'!B13/'TCO Inputs'!B16</f>
        <v>$66,433,500</v>
      </c>
      <c t="str" s="40" r="C9">
        <f>B9/'TCO Inputs'!$B$13/12</f>
        <v>$553,613</v>
      </c>
      <c t="str" s="46" r="D9">
        <f>B9/'TCO Inputs'!$E$10/12/'TCO Inputs'!$B$13</f>
        <v>$16.63</v>
      </c>
      <c t="s" s="3" r="E9">
        <v>171</v>
      </c>
      <c t="s" s="3" r="G9">
        <v>172</v>
      </c>
      <c t="str" s="47" r="H9">
        <f>'TCO Inputs'!E10*'TCO Inputs'!B15*'TCO Inputs'!B13/'TCO Inputs'!B16*('TCO Inputs'!$E11/'TCO Inputs'!$E10)</f>
        <v>$72,412,515.00</v>
      </c>
      <c t="str" s="40" r="I9">
        <f>H9/'TCO Inputs'!$B$13/12</f>
        <v>$603,438</v>
      </c>
      <c t="str" s="46" r="J9">
        <f>H9/'TCO Inputs'!$E$11/12/'TCO Inputs'!$B$13</f>
        <v>$16.63</v>
      </c>
      <c s="3" r="L9"/>
    </row>
    <row customHeight="1" r="10" ht="12.0">
      <c t="s" s="4" r="A10">
        <v>173</v>
      </c>
      <c t="str" s="40" r="B10">
        <f>B9*0.05</f>
        <v>$3,321,675</v>
      </c>
      <c t="str" s="40" r="C10">
        <f>B10/'TCO Inputs'!$B$13/12</f>
        <v>$27,681</v>
      </c>
      <c t="str" s="46" r="D10">
        <f>B10/'TCO Inputs'!$E$10/12/'TCO Inputs'!$B$13</f>
        <v>$0.83</v>
      </c>
      <c t="s" s="3" r="E10">
        <v>174</v>
      </c>
      <c t="s" s="3" r="G10">
        <v>175</v>
      </c>
      <c t="str" s="47" r="H10">
        <f>B9*0.05*('TCO Inputs'!$E11/'TCO Inputs'!$E10)</f>
        <v>$3,620,625.75</v>
      </c>
      <c t="str" s="40" r="I10">
        <f>H10/'TCO Inputs'!$B$13/12</f>
        <v>$30,172</v>
      </c>
      <c t="str" s="46" r="J10">
        <f>H10/'TCO Inputs'!$E$11/12/'TCO Inputs'!$B$13</f>
        <v>$0.83</v>
      </c>
      <c s="3" r="L10"/>
    </row>
    <row customHeight="1" r="11" ht="12.0">
      <c t="s" s="4" r="A11">
        <v>176</v>
      </c>
      <c t="str" s="40" r="B11">
        <f>(B12+B13)*('TCO Inputs'!$B$14-1)</f>
        <v>$5,530,874</v>
      </c>
      <c t="str" s="40" r="C11">
        <f>B11/'TCO Inputs'!$B$13/12</f>
        <v>$46,091</v>
      </c>
      <c t="str" s="46" r="D11">
        <f>B11/'TCO Inputs'!$E$10/12/'TCO Inputs'!$B$13</f>
        <v>$1.38</v>
      </c>
      <c t="s" s="3" r="E11">
        <v>177</v>
      </c>
      <c t="s" s="3" r="G11">
        <v>178</v>
      </c>
      <c t="str" s="47" r="H11">
        <f>(B12+(0.3+0.7*0.7)*B13)*('TCO Inputs'!$B$14-1)*('TCO Inputs'!$E11/'TCO Inputs'!$E10)</f>
        <v>$5,633,508.55</v>
      </c>
      <c t="str" s="40" r="I11">
        <f>H11/'TCO Inputs'!$B$13/12</f>
        <v>$46,946</v>
      </c>
      <c t="str" s="46" r="J11">
        <f>H11/'TCO Inputs'!$E$11/12/'TCO Inputs'!$B$13</f>
        <v>$1.29</v>
      </c>
      <c s="3" r="L11"/>
    </row>
    <row customHeight="1" r="12" ht="12.0">
      <c t="s" s="4" r="A12">
        <v>179</v>
      </c>
      <c t="str" s="40" r="B12">
        <f>'TCO Inputs'!$E$16*'TCO Inputs'!$E$10*365*24*'TCO Inputs'!$B$13/1000*'TCO Inputs'!$B$20</f>
        <v>$31,705,013</v>
      </c>
      <c t="str" s="40" r="C12">
        <f>B12/'TCO Inputs'!$B$13/12</f>
        <v>$264,208</v>
      </c>
      <c t="str" s="46" r="D12">
        <f>B12/'TCO Inputs'!$E$10/12/'TCO Inputs'!$B$13</f>
        <v>$7.93</v>
      </c>
      <c t="s" s="3" r="E12">
        <v>180</v>
      </c>
      <c t="s" s="3" r="G12">
        <v>181</v>
      </c>
      <c t="str" s="47" r="H12">
        <f>'TCO Inputs'!$E$16*'TCO Inputs'!$E$10*365*24*'TCO Inputs'!$B$13/1000*'TCO Inputs'!$B$20*('TCO Inputs'!$E11/'TCO Inputs'!$E10)</f>
        <v>$34,558,464.44</v>
      </c>
      <c t="str" s="40" r="I12">
        <f>H12/'TCO Inputs'!$B$13/12</f>
        <v>$287,987</v>
      </c>
      <c t="str" s="46" r="J12">
        <f>H12/'TCO Inputs'!$E$11/12/'TCO Inputs'!$B$13</f>
        <v>$7.93</v>
      </c>
      <c s="3" r="L12"/>
    </row>
    <row customHeight="1" r="13" ht="12.0">
      <c t="s" s="4" r="A13">
        <v>182</v>
      </c>
      <c t="str" s="40" r="B13">
        <f>'TCO Inputs'!$E$10*'TCO Inputs'!$B$18/1000*'TCO Inputs'!$B$21*12*'TCO Inputs'!$B$13</f>
        <v>$14,385,600</v>
      </c>
      <c t="str" s="40" r="C13">
        <f>B13/'TCO Inputs'!$B$13/12</f>
        <v>$119,880</v>
      </c>
      <c t="str" s="46" r="D13">
        <f>B13/'TCO Inputs'!$E$10/12/'TCO Inputs'!$B$13</f>
        <v>$3.60</v>
      </c>
      <c t="s" s="3" r="E13">
        <v>183</v>
      </c>
      <c t="s" s="3" r="G13">
        <v>184</v>
      </c>
      <c t="str" s="47" r="H13">
        <f>'TCO Inputs'!$E$10*'TCO Inputs'!$B$18/1000*'TCO Inputs'!$B$21*12*'TCO Inputs'!$B$13</f>
        <v>$14,385,600.00</v>
      </c>
      <c t="str" s="40" r="I13">
        <f>H13/'TCO Inputs'!$B$13/12</f>
        <v>$119,880</v>
      </c>
      <c t="str" s="46" r="J13">
        <f>H13/'TCO Inputs'!$E$11/12/'TCO Inputs'!$B$13</f>
        <v>$3.30</v>
      </c>
      <c s="3" r="L13"/>
    </row>
    <row customHeight="1" r="14" ht="12.0">
      <c t="s" s="4" r="A14">
        <v>185</v>
      </c>
      <c t="str" s="49" r="B14">
        <f>SUM(B3:B13)</f>
        <v>$218,537,332</v>
      </c>
      <c t="str" s="40" r="C14">
        <f>SUM(C3:C13)</f>
        <v>$1,821,144</v>
      </c>
      <c t="str" s="46" r="D14">
        <f>SUM(D3:D13)</f>
        <v>$54.69</v>
      </c>
      <c s="3" r="E14"/>
      <c t="s" s="3" r="G14">
        <v>186</v>
      </c>
      <c t="str" s="40" r="H14">
        <f>SUM(H3:H13)</f>
        <v>$227,994,584</v>
      </c>
      <c t="str" s="40" r="I14">
        <f>SUM(I3:I13)</f>
        <v>$1,899,955</v>
      </c>
      <c t="str" s="46" r="J14">
        <f>H14/'TCO Inputs'!$E$11/12/'TCO Inputs'!$B$13</f>
        <v>$52.34</v>
      </c>
      <c s="3" r="L14"/>
    </row>
    <row customHeight="1" r="15" ht="12.0">
      <c s="4" r="A15"/>
      <c s="3" r="B15"/>
      <c s="3" r="C15"/>
      <c s="3" r="D15"/>
      <c s="3" r="E15"/>
      <c s="3" r="H15"/>
      <c s="3" r="L15"/>
    </row>
    <row customHeight="1" r="16" ht="12.0">
      <c s="4" r="A16"/>
      <c s="3" r="B16"/>
      <c s="3" r="C16"/>
      <c s="3" r="D16"/>
      <c s="3" r="E16"/>
      <c s="3" r="H16"/>
      <c t="s" s="3" r="I16">
        <v>187</v>
      </c>
      <c t="str" s="50" r="J16">
        <f>(D14-J14)/D14</f>
        <v>4.29%</v>
      </c>
      <c s="3" r="L16"/>
    </row>
    <row customHeight="1" r="17" ht="12.0">
      <c s="2" r="A17"/>
      <c t="s" s="3" r="B17">
        <v>188</v>
      </c>
      <c s="3" r="C17"/>
      <c t="s" s="3" r="D17">
        <v>189</v>
      </c>
      <c s="3" r="E17"/>
      <c t="s" s="3" r="H17">
        <v>190</v>
      </c>
      <c t="s" s="3" r="J17">
        <v>191</v>
      </c>
      <c s="3" r="L17"/>
    </row>
    <row customHeight="1" r="18" ht="12.0">
      <c t="str" s="4" r="A18">
        <f>A3</f>
        <v>Facility Space</v>
      </c>
      <c t="str" s="50" r="B18">
        <f>B3/SUM(B$3:B$13)</f>
        <v>5.32%</v>
      </c>
      <c s="3" r="C18"/>
      <c t="str" s="50" r="D18">
        <f>D3/$D$14</f>
        <v>5.32%</v>
      </c>
      <c s="3" r="E18"/>
      <c t="s" s="3" r="G18">
        <v>192</v>
      </c>
      <c t="str" s="50" r="H18">
        <f>H3/$B$14</f>
        <v>5.32%</v>
      </c>
      <c t="str" s="50" r="J18">
        <f>J3/$D$14</f>
        <v>4.88%</v>
      </c>
      <c s="3" r="L18"/>
    </row>
    <row customHeight="1" r="19" ht="12.0">
      <c t="str" s="4" r="A19">
        <f>A4</f>
        <v>UPS</v>
      </c>
      <c t="str" s="50" r="B19">
        <f>B4/SUM(B$3:B$13)</f>
        <v>0.24%</v>
      </c>
      <c s="3" r="C19"/>
      <c t="str" s="50" r="D19">
        <f>D4/$D$14</f>
        <v>0.24%</v>
      </c>
      <c s="3" r="E19"/>
      <c t="s" s="3" r="G19">
        <v>193</v>
      </c>
      <c t="str" s="50" r="H19">
        <f>H4/$B$14</f>
        <v>0.21%</v>
      </c>
      <c t="str" s="50" r="J19">
        <f>J4/$D$14</f>
        <v>0.19%</v>
      </c>
      <c s="3" r="L19"/>
    </row>
    <row customHeight="1" r="20" ht="12.0">
      <c t="str" s="4" r="A20">
        <f>A5</f>
        <v>Power Infrastructure</v>
      </c>
      <c t="str" s="50" r="B20">
        <f>B5/SUM(B$3:B$13)</f>
        <v>9.29%</v>
      </c>
      <c s="3" r="C20"/>
      <c t="str" s="50" r="D20">
        <f>D5/$D$14</f>
        <v>9.29%</v>
      </c>
      <c s="3" r="E20"/>
      <c t="s" s="3" r="G20">
        <v>194</v>
      </c>
      <c t="str" s="50" r="H20">
        <f>H5/$B$14</f>
        <v>9.29%</v>
      </c>
      <c t="str" s="50" r="J20">
        <f>J5/$D$14</f>
        <v>8.53%</v>
      </c>
      <c s="3" r="L20"/>
    </row>
    <row customHeight="1" r="21" ht="12.0">
      <c t="str" s="4" r="A21">
        <f>A6</f>
        <v>Cooling Infrastructure</v>
      </c>
      <c t="str" s="50" r="B21">
        <f>B6/SUM(B$3:B$13)</f>
        <v>3.84%</v>
      </c>
      <c s="3" r="C21"/>
      <c t="str" s="50" r="D21">
        <f>D6/$D$14</f>
        <v>3.84%</v>
      </c>
      <c s="3" r="E21"/>
      <c t="s" s="3" r="G21">
        <v>195</v>
      </c>
      <c t="str" s="50" r="H21">
        <f>H6/$B$14</f>
        <v>3.98%</v>
      </c>
      <c t="str" s="50" r="J21">
        <f>J6/$D$14</f>
        <v>3.65%</v>
      </c>
      <c s="3" r="L21"/>
    </row>
    <row customHeight="1" r="22" ht="12.0">
      <c t="str" s="4" r="A22">
        <f>A7</f>
        <v>Rest</v>
      </c>
      <c t="str" s="50" r="B22">
        <f>B7/SUM(B$3:B$13)</f>
        <v>14.03%</v>
      </c>
      <c s="3" r="C22"/>
      <c t="str" s="50" r="D22">
        <f>D7/$D$14</f>
        <v>14.03%</v>
      </c>
      <c s="3" r="E22"/>
      <c t="s" s="3" r="G22">
        <v>196</v>
      </c>
      <c t="str" s="50" r="H22">
        <f>H7/$B$14</f>
        <v>14.03%</v>
      </c>
      <c t="str" s="50" r="J22">
        <f>J7/$D$14</f>
        <v>12.88%</v>
      </c>
      <c s="3" r="L22"/>
    </row>
    <row customHeight="1" r="23" ht="12.0">
      <c t="str" s="4" r="A23">
        <f>A8</f>
        <v>DC opex</v>
      </c>
      <c t="str" s="50" r="B23">
        <f>B8/SUM(B$3:B$13)</f>
        <v>11.72%</v>
      </c>
      <c s="3" r="C23"/>
      <c t="str" s="50" r="D23">
        <f>D8/$D$14</f>
        <v>11.72%</v>
      </c>
      <c s="3" r="E23"/>
      <c t="s" s="3" r="G23">
        <v>197</v>
      </c>
      <c t="str" s="50" r="H23">
        <f>H8/$B$14</f>
        <v>11.72%</v>
      </c>
      <c t="str" s="50" r="J23">
        <f>J8/$D$14</f>
        <v>10.76%</v>
      </c>
      <c s="3" r="L23"/>
    </row>
    <row customHeight="1" r="24" ht="12.0">
      <c t="str" s="4" r="A24">
        <f>A9</f>
        <v>Server Depreciation</v>
      </c>
      <c t="str" s="50" r="B24">
        <f>B9/SUM(B$3:B$13)</f>
        <v>30.40%</v>
      </c>
      <c s="3" r="C24"/>
      <c t="str" s="50" r="D24">
        <f>D9/$D$14</f>
        <v>30.40%</v>
      </c>
      <c s="3" r="E24"/>
      <c t="s" s="3" r="G24">
        <v>198</v>
      </c>
      <c t="str" s="50" r="H24">
        <f>H9/$B$14</f>
        <v>33.14%</v>
      </c>
      <c t="str" s="50" r="J24">
        <f>J9/$D$14</f>
        <v>30.40%</v>
      </c>
      <c s="3" r="L24"/>
    </row>
    <row customHeight="1" r="25" ht="12.0">
      <c t="str" s="4" r="A25">
        <f>A10</f>
        <v>Server Opex</v>
      </c>
      <c t="str" s="50" r="B25">
        <f>B10/SUM(B$3:B$13)</f>
        <v>1.52%</v>
      </c>
      <c s="3" r="C25"/>
      <c t="str" s="50" r="D25">
        <f>D10/$D$14</f>
        <v>1.52%</v>
      </c>
      <c s="3" r="E25"/>
      <c t="s" s="3" r="G25">
        <v>199</v>
      </c>
      <c t="str" s="50" r="H25">
        <f>H10/$B$14</f>
        <v>1.66%</v>
      </c>
      <c t="str" s="50" r="J25">
        <f>J10/$D$14</f>
        <v>1.52%</v>
      </c>
      <c s="3" r="L25"/>
    </row>
    <row customHeight="1" r="26" ht="12.0">
      <c t="str" s="4" r="A26">
        <f>A11</f>
        <v>PUE overhead</v>
      </c>
      <c t="str" s="50" r="B26">
        <f>B11/SUM(B$3:B$13)</f>
        <v>2.53%</v>
      </c>
      <c s="3" r="C26"/>
      <c t="str" s="50" r="D26">
        <f>D11/$D$14</f>
        <v>2.53%</v>
      </c>
      <c s="3" r="E26"/>
      <c t="s" s="3" r="G26">
        <v>200</v>
      </c>
      <c t="str" s="50" r="H26">
        <f>H11/$B$14</f>
        <v>2.58%</v>
      </c>
      <c t="str" s="50" r="J26">
        <f>J11/$D$14</f>
        <v>2.36%</v>
      </c>
      <c s="3" r="L26"/>
    </row>
    <row customHeight="1" r="27" ht="12.0">
      <c t="str" s="4" r="A27">
        <f>A12</f>
        <v>Utility Energy</v>
      </c>
      <c t="str" s="50" r="B27">
        <f>B12/SUM(B$3:B$13)</f>
        <v>14.51%</v>
      </c>
      <c s="3" r="C27"/>
      <c t="str" s="50" r="D27">
        <f>D12/$D$14</f>
        <v>14.51%</v>
      </c>
      <c s="3" r="E27"/>
      <c t="s" s="3" r="G27">
        <v>201</v>
      </c>
      <c t="str" s="50" r="H27">
        <f>H12/$B$14</f>
        <v>15.81%</v>
      </c>
      <c t="str" s="50" r="J27">
        <f>J12/$D$14</f>
        <v>14.51%</v>
      </c>
      <c s="3" r="L27"/>
    </row>
    <row customHeight="1" r="28" ht="12.0">
      <c t="str" s="4" r="A28">
        <f>A13</f>
        <v>Utility Peak</v>
      </c>
      <c t="str" s="50" r="B28">
        <f>B13/SUM(B$3:B$13)</f>
        <v>6.58%</v>
      </c>
      <c s="3" r="C28"/>
      <c t="str" s="50" r="D28">
        <f>D13/$D$14</f>
        <v>6.58%</v>
      </c>
      <c s="3" r="E28"/>
      <c t="s" s="3" r="G28">
        <v>202</v>
      </c>
      <c t="str" s="50" r="H28">
        <f>H13/$B$14</f>
        <v>6.58%</v>
      </c>
      <c t="str" s="50" r="J28">
        <f>J13/$D$14</f>
        <v>6.04%</v>
      </c>
      <c s="3" r="L28"/>
    </row>
    <row customHeight="1" r="29" ht="12.0">
      <c s="4" r="A29"/>
      <c s="3" r="B29"/>
      <c s="3" r="C29"/>
      <c s="3" r="D29"/>
      <c s="3" r="E29"/>
      <c t="s" s="1" r="G29">
        <v>203</v>
      </c>
      <c t="str" s="50" r="H29">
        <f>(B30-SUM(H18:H28))/B30</f>
        <v>-4.33%</v>
      </c>
      <c t="str" s="51" r="J29">
        <f>(D30-SUM(J18:J28))/D30</f>
        <v>4.29%</v>
      </c>
      <c s="3" r="L29"/>
    </row>
    <row customHeight="1" r="30" ht="12.0">
      <c t="s" s="4" r="A30">
        <v>204</v>
      </c>
      <c t="str" s="50" r="B30">
        <f>SUM(B18:B28)</f>
        <v>100.00%</v>
      </c>
      <c s="3" r="C30"/>
      <c t="str" s="50" r="D30">
        <f>SUM(D18:D28)</f>
        <v>100.00%</v>
      </c>
      <c s="3" r="E30"/>
      <c t="s" s="3" r="G30">
        <v>205</v>
      </c>
      <c t="str" s="50" r="H30">
        <f>SUM(H18:H28)</f>
        <v>104.33%</v>
      </c>
      <c t="str" s="50" r="J30">
        <f>SUM(J18:J29)</f>
        <v>100.00%</v>
      </c>
      <c s="3" r="L30"/>
    </row>
    <row customHeight="1" r="31" ht="12.0">
      <c s="4" r="A31"/>
      <c s="3" r="B31"/>
      <c s="3" r="C31"/>
      <c s="3" r="D31"/>
      <c s="3" r="E31"/>
      <c s="3" r="H31"/>
      <c s="3" r="L31"/>
    </row>
    <row customHeight="1" r="32" ht="12.0">
      <c s="4" r="A32"/>
      <c s="3" r="B32"/>
      <c s="3" r="C32"/>
      <c s="3" r="D32"/>
      <c s="3" r="E32"/>
      <c s="3" r="H32"/>
      <c s="3" r="L32"/>
    </row>
    <row customHeight="1" r="33" ht="12.0">
      <c s="4" r="A33"/>
      <c s="3" r="B33"/>
      <c s="3" r="C33"/>
      <c s="3" r="D33"/>
      <c s="3" r="E33"/>
      <c s="3" r="H33"/>
      <c s="3" r="L33"/>
    </row>
    <row customHeight="1" r="34" ht="12.0">
      <c s="4" r="A34"/>
      <c t="s" s="3" r="B34">
        <v>206</v>
      </c>
      <c s="3" r="C34"/>
      <c s="3" r="D34"/>
      <c s="3" r="E34"/>
      <c s="3" r="H34"/>
      <c s="3" r="L34"/>
    </row>
    <row customHeight="1" r="35" ht="12.0">
      <c t="s" s="4" r="A35">
        <v>207</v>
      </c>
      <c t="str" s="50" r="B35">
        <f>SUM(B18:B22,B27)</f>
        <v>47.24%</v>
      </c>
      <c s="41" r="C35"/>
      <c s="3" r="D35"/>
      <c s="3" r="E35"/>
      <c s="3" r="H35"/>
      <c s="3" r="L35"/>
    </row>
    <row customHeight="1" r="36" ht="12.0">
      <c t="s" s="4" r="A36">
        <v>208</v>
      </c>
      <c t="str" s="50" r="B36">
        <f>SUM(B23:B26)</f>
        <v>46.17%</v>
      </c>
      <c s="3" r="C36"/>
      <c s="3" r="D36"/>
      <c s="3" r="E36"/>
      <c s="3" r="H36"/>
      <c s="3" r="L36"/>
    </row>
    <row customHeight="1" r="37" ht="12.0"/>
    <row customHeight="1" r="38" ht="12.0"/>
    <row customHeight="1" r="39" ht="12.0"/>
    <row customHeight="1" r="40" ht="12.0"/>
    <row customHeight="1" r="41" ht="12.0"/>
    <row customHeight="1" r="42" ht="12.0"/>
    <row customHeight="1" r="43" ht="12.0"/>
    <row customHeight="1" r="44" ht="12.0"/>
    <row customHeight="1" r="45" ht="12.0"/>
    <row customHeight="1" r="46" ht="12.0"/>
    <row customHeight="1" r="47" ht="12.0"/>
    <row customHeight="1" r="48" ht="12.0"/>
    <row customHeight="1" r="49" ht="12.0"/>
    <row customHeight="1" r="50" ht="12.0"/>
    <row customHeight="1" r="51" ht="12.0"/>
    <row customHeight="1" r="52" ht="12.0"/>
    <row customHeight="1" r="53" ht="12.0"/>
    <row customHeight="1" r="54" ht="12.0"/>
    <row customHeight="1" r="55" ht="12.0"/>
    <row customHeight="1" r="56" ht="12.0"/>
    <row customHeight="1" r="57" ht="12.0"/>
    <row customHeight="1" r="58" ht="12.0"/>
    <row customHeight="1" r="59" ht="12.0"/>
    <row customHeight="1" r="60" ht="12.0"/>
    <row customHeight="1" r="61" ht="12.0"/>
    <row customHeight="1" r="62" ht="12.0"/>
    <row customHeight="1" r="63" ht="12.0"/>
    <row customHeight="1" r="64" ht="12.0"/>
    <row customHeight="1" r="65" ht="12.0"/>
    <row customHeight="1" r="66" ht="12.0"/>
    <row customHeight="1" r="67" ht="12.0"/>
    <row customHeight="1" r="68" ht="12.0"/>
    <row customHeight="1" r="69" ht="12.0"/>
    <row customHeight="1" r="70" ht="12.0"/>
    <row customHeight="1" r="71" ht="12.0"/>
    <row customHeight="1" r="72" ht="12.0"/>
    <row customHeight="1" r="73" ht="12.0"/>
    <row customHeight="1" r="74" ht="12.0"/>
  </sheetData>
  <conditionalFormatting sqref="J16">
    <cfRule priority="1" type="cellIs" operator="lessThan" stopIfTrue="1" dxfId="0">
      <formula>0</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23.43"/>
    <col min="2" customWidth="1" max="2" width="7.43"/>
    <col min="3" customWidth="1" max="3" width="11.0"/>
    <col min="4" customWidth="1" max="4" width="4.86"/>
    <col min="5" customWidth="1" max="5" width="8.86"/>
    <col min="6" customWidth="1" max="6" width="27.71"/>
    <col min="7" customWidth="1" max="7" width="10.43"/>
    <col min="8" customWidth="1" max="8" width="12.14"/>
    <col min="9" customWidth="1" max="10" width="8.86"/>
    <col min="11" customWidth="1" max="11" width="9.14"/>
    <col min="12" customWidth="1" max="15" width="8.86"/>
  </cols>
  <sheetData>
    <row customHeight="1" r="1" ht="12.0">
      <c t="s" s="3" r="A1">
        <v>209</v>
      </c>
      <c s="3" r="B1"/>
      <c s="3" r="C1"/>
      <c s="3" r="D1"/>
      <c s="3" r="F1"/>
      <c s="3" r="G1"/>
      <c s="3" r="H1"/>
      <c s="3" r="K1"/>
    </row>
    <row customHeight="1" r="2" ht="12.0">
      <c t="s" s="1" r="A2">
        <v>210</v>
      </c>
      <c t="s" s="1" r="B2">
        <v>211</v>
      </c>
      <c s="3" r="C2"/>
      <c s="3" r="D2"/>
      <c t="s" s="1" r="F2">
        <v>212</v>
      </c>
      <c s="3" r="G2"/>
      <c s="3" r="H2"/>
      <c s="3" r="K2"/>
      <c t="s" s="3" r="M2">
        <v>213</v>
      </c>
      <c t="s" s="3" r="N2">
        <v>214</v>
      </c>
      <c t="s" s="3" r="O2">
        <v>215</v>
      </c>
    </row>
    <row customHeight="1" r="3" ht="12.0">
      <c s="3" r="A3"/>
      <c s="3" r="B3"/>
      <c s="3" r="C3"/>
      <c s="3" r="D3"/>
      <c t="s" s="3" r="F3">
        <v>216</v>
      </c>
      <c t="str" s="52" r="G3">
        <f>MIN($B$18, (VLOOKUP($B$17,A22:B31,2,TRUE)/30/$B$12))</f>
        <v>100.0</v>
      </c>
      <c s="3" r="H3"/>
      <c s="3" r="K3"/>
      <c s="8" r="M3">
        <v>1.0</v>
      </c>
      <c t="str" s="52" r="N3">
        <f>IF(M3 &lt;=$B$9, $G$8, $G$9)</f>
        <v>270.0</v>
      </c>
      <c t="str" s="52" r="O3">
        <f>IF(M3 &lt;=$B$9, $G$8*(1-$B$11),  ($G$8*$B$11)*$B$9/24*(1+1-IF($B$4="LFP",Utils!$B$24,Utils!$C$24))/(1-$B$9/24)+$G$9)</f>
        <v>218.2</v>
      </c>
    </row>
    <row customHeight="1" r="4" ht="12.0">
      <c t="s" s="3" r="A4">
        <v>217</v>
      </c>
      <c t="s" s="3" r="B4">
        <v>218</v>
      </c>
      <c s="3" r="C4"/>
      <c s="3" r="D4"/>
      <c t="s" s="3" r="F4">
        <v>219</v>
      </c>
      <c t="str" s="52" r="G4">
        <f>'TCO Inputs'!$B$18/$B$5*$B$6</f>
        <v>20.0</v>
      </c>
      <c s="3" r="H4"/>
      <c s="3" r="K4"/>
      <c s="8" r="M4">
        <v>2.0</v>
      </c>
      <c t="str" s="52" r="N4">
        <f>IF(M4 &lt;=$B$9, $G$8, $G$9)</f>
        <v>270.0</v>
      </c>
      <c t="str" s="52" r="O4">
        <f>IF(M4 &lt;=$B$9, $G$8*(1-$B$11),  ($G$8*$B$11)*$B$9/24*(1+1-IF($B$4="LFP",Utils!$B$24,Utils!$C$24))/(1-$B$9/24)+$G$9)</f>
        <v>218.2</v>
      </c>
    </row>
    <row customHeight="1" r="5" ht="12.0">
      <c t="s" s="3" r="A5">
        <v>220</v>
      </c>
      <c s="8" r="B5">
        <v>12.0</v>
      </c>
      <c s="3" r="C5"/>
      <c s="3" r="D5"/>
      <c s="3" r="F5"/>
      <c s="52" r="G5"/>
      <c s="3" r="H5"/>
      <c s="3" r="K5"/>
      <c s="8" r="M5">
        <v>3.0</v>
      </c>
      <c t="str" s="52" r="N5">
        <f>IF(M5 &lt;=$B$9, $G$8, $G$9)</f>
        <v>270.0</v>
      </c>
      <c t="str" s="52" r="O5">
        <f>IF(M5 &lt;=$B$9, $G$8*(1-$B$11),  ($G$8*$B$11)*$B$9/24*(1+1-IF($B$4="LFP",Utils!$B$24,Utils!$C$24))/(1-$B$9/24)+$G$9)</f>
        <v>218.2</v>
      </c>
    </row>
    <row customHeight="1" r="6" ht="12.0">
      <c t="s" s="3" r="A6">
        <v>221</v>
      </c>
      <c s="10" r="B6">
        <v>0.8</v>
      </c>
      <c s="3" r="C6"/>
      <c s="3" r="D6"/>
      <c s="3" r="F6"/>
      <c s="52" r="G6"/>
      <c s="3" r="H6"/>
      <c s="3" r="K6"/>
      <c s="8" r="M6">
        <v>4.0</v>
      </c>
      <c t="str" s="52" r="N6">
        <f>IF(M6 &lt;=$B$9, $G$8, $G$9)</f>
        <v>270.0</v>
      </c>
      <c t="str" s="52" r="O6">
        <f>IF(M6 &lt;=$B$9, $G$8*(1-$B$11),  ($G$8*$B$11)*$B$9/24*(1+1-IF($B$4="LFP",Utils!$B$24,Utils!$C$24))/(1-$B$9/24)+$G$9)</f>
        <v>218.2</v>
      </c>
    </row>
    <row customHeight="1" r="7" ht="12.0">
      <c s="3" r="A7"/>
      <c s="3" r="B7"/>
      <c s="3" r="C7"/>
      <c s="53" r="D7"/>
      <c s="3" r="F7"/>
      <c t="s" s="3" r="G7">
        <v>222</v>
      </c>
      <c t="s" s="3" r="H7">
        <v>223</v>
      </c>
      <c s="3" r="K7"/>
      <c s="8" r="M7">
        <v>5.0</v>
      </c>
      <c t="str" s="52" r="N7">
        <f>IF(M7 &lt;=$B$9, $G$8, $G$9)</f>
        <v>223.5</v>
      </c>
      <c t="str" s="52" r="O7">
        <f>IF(M7 &lt;=$B$9, $G$8*(1-$B$11),  ($G$8*$B$11)*$B$9/24*(1+1-IF($B$4="LFP",Utils!$B$24,Utils!$C$24))/(1-$B$9/24)+$G$9)</f>
        <v>234.4</v>
      </c>
    </row>
    <row customHeight="1" r="8" ht="12.0">
      <c t="s" s="1" r="A8">
        <v>224</v>
      </c>
      <c s="3" r="B8"/>
      <c s="3" r="C8"/>
      <c s="3" r="D8"/>
      <c t="s" s="3" r="F8">
        <v>225</v>
      </c>
      <c t="str" s="52" r="G8">
        <f>B10*'TCO Inputs'!B18</f>
        <v>270.0</v>
      </c>
      <c t="str" s="52" r="H8">
        <f> $G$8*(1-$B$11)</f>
        <v>218.2</v>
      </c>
      <c s="3" r="K8"/>
      <c s="8" r="M8">
        <v>6.0</v>
      </c>
      <c t="str" s="52" r="N8">
        <f>IF(M8 &lt;=$B$9, $G$8, $G$9)</f>
        <v>223.5</v>
      </c>
      <c t="str" s="52" r="O8">
        <f>IF(M8 &lt;=$B$9, $G$8*(1-$B$11),  ($G$8*$B$11)*$B$9/24*(1+1-IF($B$4="LFP",Utils!$B$24,Utils!$C$24))/(1-$B$9/24)+$G$9)</f>
        <v>234.4</v>
      </c>
    </row>
    <row customHeight="1" r="9" ht="12.0">
      <c t="s" s="3" r="A9">
        <v>226</v>
      </c>
      <c s="8" r="B9">
        <v>4.0</v>
      </c>
      <c s="3" r="C9"/>
      <c s="53" r="D9"/>
      <c t="s" s="3" r="F9">
        <v>227</v>
      </c>
      <c t="str" s="52" r="G9">
        <f>('TCO Inputs'!E16-B10*'TCO Inputs'!B18*B9/24) / (1-B9/24)</f>
        <v>223.5</v>
      </c>
      <c t="str" s="52" r="H9">
        <f> ($G$8*$B$11)*$B$9/24/$B$19/(1-$B$9/24)+$G$9</f>
        <v>234.4</v>
      </c>
      <c s="3" r="K9"/>
      <c s="8" r="M9">
        <v>7.0</v>
      </c>
      <c t="str" s="52" r="N9">
        <f>IF(M9 &lt;=$B$9, $G$8, $G$9)</f>
        <v>223.5</v>
      </c>
      <c t="str" s="52" r="O9">
        <f>IF(M9 &lt;=$B$9, $G$8*(1-$B$11),  ($G$8*$B$11)*$B$9/24*(1+1-IF($B$4="LFP",Utils!$B$24,Utils!$C$24))/(1-$B$9/24)+$G$9)</f>
        <v>234.4</v>
      </c>
    </row>
    <row customHeight="1" r="10" ht="12.0">
      <c t="s" s="3" r="A10">
        <v>228</v>
      </c>
      <c s="10" r="B10">
        <v>0.9</v>
      </c>
      <c s="3" r="C10"/>
      <c s="3" r="D10"/>
      <c s="3" r="F10"/>
      <c s="3" r="G10"/>
      <c s="3" r="H10"/>
      <c s="3" r="K10"/>
      <c s="8" r="M10">
        <v>8.0</v>
      </c>
      <c t="str" s="52" r="N10">
        <f>IF(M10 &lt;=$B$9, $G$8, $G$9)</f>
        <v>223.5</v>
      </c>
      <c t="str" s="52" r="O10">
        <f>IF(M10 &lt;=$B$9, $G$8*(1-$B$11),  ($G$8*$B$11)*$B$9/24*(1+1-IF($B$4="LFP",Utils!$B$24,Utils!$C$24))/(1-$B$9/24)+$G$9)</f>
        <v>234.4</v>
      </c>
    </row>
    <row customHeight="1" r="11" ht="12.0">
      <c t="s" s="3" r="A11">
        <v>229</v>
      </c>
      <c s="54" r="B11">
        <v>0.192</v>
      </c>
      <c s="3" r="C11"/>
      <c s="3" r="D11"/>
      <c t="s" s="3" r="F11">
        <v>230</v>
      </c>
      <c t="str" s="55" r="G11">
        <f>($G$8-$G$9)*(1-$B$9/24)*$B$19/($B$9/24+(1-$B$9/24)*$B$19)/$G$8</f>
        <v>14.2%</v>
      </c>
      <c s="3" r="H11"/>
      <c s="3" r="K11"/>
      <c s="8" r="M11">
        <v>9.0</v>
      </c>
      <c t="str" s="52" r="N11">
        <f>IF(M11 &lt;=$B$9, $G$8, $G$9)</f>
        <v>223.5</v>
      </c>
      <c t="str" s="52" r="O11">
        <f>IF(M11 &lt;=$B$9, $G$8*(1-$B$11),  ($G$8*$B$11)*$B$9/24*(1+1-IF($B$4="LFP",Utils!$B$24,Utils!$C$24))/(1-$B$9/24)+$G$9)</f>
        <v>234.4</v>
      </c>
    </row>
    <row customHeight="1" r="12" ht="12.0">
      <c t="s" s="3" r="A12">
        <v>231</v>
      </c>
      <c s="8" r="B12">
        <v>1.0</v>
      </c>
      <c s="3" r="C12"/>
      <c s="3" r="D12"/>
      <c s="3" r="F12"/>
      <c s="3" r="G12"/>
      <c s="3" r="H12"/>
      <c s="3" r="K12"/>
      <c s="8" r="M12">
        <v>10.0</v>
      </c>
      <c t="str" s="52" r="N12">
        <f>IF(M12 &lt;=$B$9, $G$8, $G$9)</f>
        <v>223.5</v>
      </c>
      <c t="str" s="52" r="O12">
        <f>IF(M12 &lt;=$B$9, $G$8*(1-$B$11),  ($G$8*$B$11)*$B$9/24*(1+1-IF($B$4="LFP",Utils!$B$24,Utils!$C$24))/(1-$B$9/24)+$G$9)</f>
        <v>234.4</v>
      </c>
    </row>
    <row customHeight="1" r="13" ht="12.0">
      <c s="3" r="A13"/>
      <c s="3" r="B13"/>
      <c s="3" r="C13"/>
      <c s="3" r="D13"/>
      <c t="s" s="3" r="F13">
        <v>232</v>
      </c>
      <c t="str" s="56" r="G13">
        <f>((($G$8-$H$8)*$B$6*$B$9/$B$5*($G$4^($B$16-1))/$B$17/0.8)*(20^($B$16-1)))^(1/$B$16)</f>
        <v>32.6</v>
      </c>
      <c s="3" r="H13"/>
      <c s="3" r="K13"/>
      <c s="8" r="M13">
        <v>11.0</v>
      </c>
      <c t="str" s="52" r="N13">
        <f>IF(M13 &lt;=$B$9, $G$8, $G$9)</f>
        <v>223.5</v>
      </c>
      <c t="str" s="52" r="O13">
        <f>IF(M13 &lt;=$B$9, $G$8*(1-$B$11),  ($G$8*$B$11)*$B$9/24*(1+1-IF($B$4="LFP",Utils!$B$24,Utils!$C$24))/(1-$B$9/24)+$G$9)</f>
        <v>234.4</v>
      </c>
    </row>
    <row customHeight="1" r="14" ht="12.0">
      <c t="s" s="1" r="A14">
        <v>233</v>
      </c>
      <c s="3" r="B14"/>
      <c s="3" r="C14"/>
      <c s="3" r="D14"/>
      <c t="s" s="3" r="F14">
        <v>234</v>
      </c>
      <c t="str" s="52" r="G14">
        <f>$G$13*$B$15</f>
        <v>163.2</v>
      </c>
      <c s="3" r="H14"/>
      <c s="3" r="K14"/>
      <c s="8" r="M14">
        <v>12.0</v>
      </c>
      <c t="str" s="52" r="N14">
        <f>IF(M14 &lt;=$B$9, $G$8, $G$9)</f>
        <v>223.5</v>
      </c>
      <c t="str" s="52" r="O14">
        <f>IF(M14 &lt;=$B$9, $G$8*(1-$B$11),  ($G$8*$B$11)*$B$9/24*(1+1-IF($B$4="LFP",Utils!$B$24,Utils!$C$24))/(1-$B$9/24)+$G$9)</f>
        <v>234.4</v>
      </c>
    </row>
    <row customHeight="1" r="15" ht="12.0">
      <c t="s" s="3" r="A15">
        <v>235</v>
      </c>
      <c t="str" s="3" r="B15">
        <f>IF($B$4="LFP",Utils!B20,Utils!C20)</f>
        <v>5</v>
      </c>
      <c s="3" r="C15"/>
      <c s="3" r="D15"/>
      <c t="s" s="3" r="F15">
        <v>236</v>
      </c>
      <c t="str" s="52" r="G15">
        <f>$G$14/$G$3</f>
        <v>1.6</v>
      </c>
      <c s="3" r="H15"/>
      <c s="3" r="K15"/>
      <c s="8" r="M15">
        <v>13.0</v>
      </c>
      <c t="str" s="52" r="N15">
        <f>IF(M15 &lt;=$B$9, $G$8, $G$9)</f>
        <v>223.5</v>
      </c>
      <c t="str" s="52" r="O15">
        <f>IF(M15 &lt;=$B$9, $G$8*(1-$B$11),  ($G$8*$B$11)*$B$9/24*(1+1-IF($B$4="LFP",Utils!$B$24,Utils!$C$24))/(1-$B$9/24)+$G$9)</f>
        <v>234.4</v>
      </c>
    </row>
    <row customHeight="1" r="16" ht="12.0">
      <c t="s" s="3" r="A16">
        <v>237</v>
      </c>
      <c t="str" s="3" r="B16">
        <f>IF($B$4="LFP",Utils!B21,Utils!C21)</f>
        <v>1.05</v>
      </c>
      <c s="3" r="C16"/>
      <c s="3" r="D16"/>
      <c t="s" s="3" r="F16">
        <v>238</v>
      </c>
      <c t="str" s="57" r="G16">
        <f>1/(1-$B$11)-1</f>
        <v>23.8%</v>
      </c>
      <c s="3" r="H16"/>
      <c s="3" r="K16"/>
      <c s="8" r="M16">
        <v>14.0</v>
      </c>
      <c t="str" s="52" r="N16">
        <f>IF(M16 &lt;=$B$9, $G$8, $G$9)</f>
        <v>223.5</v>
      </c>
      <c t="str" s="52" r="O16">
        <f>IF(M16 &lt;=$B$9, $G$8*(1-$B$11),  ($G$8*$B$11)*$B$9/24*(1+1-IF($B$4="LFP",Utils!$B$24,Utils!$C$24))/(1-$B$9/24)+$G$9)</f>
        <v>234.4</v>
      </c>
    </row>
    <row customHeight="1" r="17" ht="12.0">
      <c t="s" s="3" r="A17">
        <v>239</v>
      </c>
      <c t="str" s="53" r="B17">
        <f>IF($B$4="LFP",Utils!B22,Utils!C22)</f>
        <v>60%</v>
      </c>
      <c s="3" r="C17"/>
      <c s="3" r="D17"/>
      <c s="3" r="F17"/>
      <c s="3" r="G17"/>
      <c s="3" r="H17"/>
      <c s="3" r="K17"/>
      <c s="8" r="M17">
        <v>15.0</v>
      </c>
      <c t="str" s="52" r="N17">
        <f>IF(M17 &lt;=$B$9, $G$8, $G$9)</f>
        <v>223.5</v>
      </c>
      <c t="str" s="52" r="O17">
        <f>IF(M17 &lt;=$B$9, $G$8*(1-$B$11),  ($G$8*$B$11)*$B$9/24*(1+1-IF($B$4="LFP",Utils!$B$24,Utils!$C$24))/(1-$B$9/24)+$G$9)</f>
        <v>234.4</v>
      </c>
    </row>
    <row customHeight="1" r="18" ht="12.0">
      <c t="s" s="3" r="A18">
        <v>240</v>
      </c>
      <c t="str" s="3" r="B18">
        <f>IF($B$4="LFP",Utils!B23,Utils!C23)</f>
        <v>120</v>
      </c>
      <c s="3" r="C18"/>
      <c s="3" r="D18"/>
      <c s="3" r="F18"/>
      <c s="3" r="G18"/>
      <c s="3" r="H18"/>
      <c s="3" r="K18"/>
      <c s="8" r="M18">
        <v>16.0</v>
      </c>
      <c t="str" s="52" r="N18">
        <f>IF(M18 &lt;=$B$9, $G$8, $G$9)</f>
        <v>223.5</v>
      </c>
      <c t="str" s="52" r="O18">
        <f>IF(M18 &lt;=$B$9, $G$8*(1-$B$11),  ($G$8*$B$11)*$B$9/24*(1+1-IF($B$4="LFP",Utils!$B$24,Utils!$C$24))/(1-$B$9/24)+$G$9)</f>
        <v>234.4</v>
      </c>
    </row>
    <row customHeight="1" r="19" ht="12.0">
      <c t="s" s="3" r="A19">
        <v>241</v>
      </c>
      <c t="str" s="53" r="B19">
        <f>IF($B$4="LFP",Utils!B24,Utils!C24)</f>
        <v>95%</v>
      </c>
      <c s="3" r="C19"/>
      <c s="3" r="D19"/>
      <c s="3" r="F19"/>
      <c s="3" r="G19"/>
      <c s="3" r="H19"/>
      <c s="3" r="K19"/>
      <c s="8" r="M19">
        <v>17.0</v>
      </c>
      <c t="str" s="52" r="N19">
        <f>IF(M19 &lt;=$B$9, $G$8, $G$9)</f>
        <v>223.5</v>
      </c>
      <c t="str" s="52" r="O19">
        <f>IF(M19 &lt;=$B$9, $G$8*(1-$B$11),  ($G$8*$B$11)*$B$9/24*(1+1-IF($B$4="LFP",Utils!$B$24,Utils!$C$24))/(1-$B$9/24)+$G$9)</f>
        <v>234.4</v>
      </c>
    </row>
    <row customHeight="1" r="20" ht="12.0">
      <c s="3" r="A20"/>
      <c s="3" r="B20"/>
      <c s="3" r="C20"/>
      <c s="3" r="D20"/>
      <c s="3" r="F20"/>
      <c s="3" r="G20"/>
      <c s="3" r="H20"/>
      <c s="3" r="K20"/>
      <c s="8" r="M20">
        <v>18.0</v>
      </c>
      <c t="str" s="52" r="N20">
        <f>IF(M20 &lt;=$B$9, $G$8, $G$9)</f>
        <v>223.5</v>
      </c>
      <c t="str" s="52" r="O20">
        <f>IF(M20 &lt;=$B$9, $G$8*(1-$B$11),  ($G$8*$B$11)*$B$9/24*(1+1-IF($B$4="LFP",Utils!$B$24,Utils!$C$24))/(1-$B$9/24)+$G$9)</f>
        <v>234.4</v>
      </c>
    </row>
    <row customHeight="1" r="21" ht="12.0">
      <c t="s" s="3" r="A21">
        <v>242</v>
      </c>
      <c t="s" s="3" r="B21">
        <v>243</v>
      </c>
      <c s="3" r="C21"/>
      <c s="3" r="D21"/>
      <c s="3" r="F21"/>
      <c s="3" r="G21"/>
      <c s="3" r="H21"/>
      <c s="3" r="K21"/>
      <c s="8" r="M21">
        <v>19.0</v>
      </c>
      <c t="str" s="52" r="N21">
        <f>IF(M21 &lt;=$B$9, $G$8, $G$9)</f>
        <v>223.5</v>
      </c>
      <c t="str" s="52" r="O21">
        <f>IF(M21 &lt;=$B$9, $G$8*(1-$B$11),  ($G$8*$B$11)*$B$9/24*(1+1-IF($B$4="LFP",Utils!$B$24,Utils!$C$24))/(1-$B$9/24)+$G$9)</f>
        <v>234.4</v>
      </c>
    </row>
    <row customHeight="1" r="22" ht="12.0">
      <c s="10" r="A22">
        <v>0.1</v>
      </c>
      <c t="str" s="3" r="B22">
        <f>IF($B$4="LFP",Utils!B27,Utils!C27)</f>
        <v>100000</v>
      </c>
      <c s="3" r="C22"/>
      <c s="3" r="D22"/>
      <c s="3" r="F22"/>
      <c s="3" r="G22"/>
      <c s="3" r="H22"/>
      <c s="3" r="K22"/>
      <c s="8" r="M22">
        <v>20.0</v>
      </c>
      <c t="str" s="52" r="N22">
        <f>IF(M22 &lt;=$B$9, $G$8, $G$9)</f>
        <v>223.5</v>
      </c>
      <c t="str" s="52" r="O22">
        <f>IF(M22 &lt;=$B$9, $G$8*(1-$B$11),  ($G$8*$B$11)*$B$9/24*(1+1-IF($B$4="LFP",Utils!$B$24,Utils!$C$24))/(1-$B$9/24)+$G$9)</f>
        <v>234.4</v>
      </c>
    </row>
    <row customHeight="1" r="23" ht="12.0">
      <c s="10" r="A23">
        <v>0.2</v>
      </c>
      <c t="str" s="3" r="B23">
        <f>IF($B$4="LFP",Utils!B28,Utils!C28)</f>
        <v>40000</v>
      </c>
      <c s="3" r="C23"/>
      <c s="3" r="D23"/>
      <c s="3" r="F23"/>
      <c s="3" r="G23"/>
      <c s="3" r="H23"/>
      <c s="3" r="K23"/>
      <c s="8" r="M23">
        <v>21.0</v>
      </c>
      <c t="str" s="52" r="N23">
        <f>IF(M23 &lt;=$B$9, $G$8, $G$9)</f>
        <v>223.5</v>
      </c>
      <c t="str" s="52" r="O23">
        <f>IF(M23 &lt;=$B$9, $G$8*(1-$B$11),  ($G$8*$B$11)*$B$9/24*(1+1-IF($B$4="LFP",Utils!$B$24,Utils!$C$24))/(1-$B$9/24)+$G$9)</f>
        <v>234.4</v>
      </c>
    </row>
    <row customHeight="1" r="24" ht="12.0">
      <c s="10" r="A24">
        <v>0.3</v>
      </c>
      <c t="str" s="3" r="B24">
        <f>IF($B$4="LFP",Utils!B29,Utils!C29)</f>
        <v>10000</v>
      </c>
      <c s="3" r="C24"/>
      <c s="3" r="D24"/>
      <c s="3" r="F24"/>
      <c s="3" r="G24"/>
      <c s="3" r="H24"/>
      <c s="3" r="K24"/>
      <c s="8" r="M24">
        <v>22.0</v>
      </c>
      <c t="str" s="52" r="N24">
        <f>IF(M24 &lt;=$B$9, $G$8, $G$9)</f>
        <v>223.5</v>
      </c>
      <c t="str" s="52" r="O24">
        <f>IF(M24 &lt;=$B$9, $G$8*(1-$B$11),  ($G$8*$B$11)*$B$9/24*(1+1-IF($B$4="LFP",Utils!$B$24,Utils!$C$24))/(1-$B$9/24)+$G$9)</f>
        <v>234.4</v>
      </c>
    </row>
    <row customHeight="1" r="25" ht="12.0">
      <c s="10" r="A25">
        <v>0.4</v>
      </c>
      <c t="str" s="3" r="B25">
        <f>IF($B$4="LFP",Utils!B30,Utils!C30)</f>
        <v>6000</v>
      </c>
      <c s="3" r="C25"/>
      <c s="3" r="D25"/>
      <c s="3" r="F25"/>
      <c s="3" r="G25"/>
      <c s="3" r="H25"/>
      <c s="3" r="K25"/>
      <c s="8" r="M25">
        <v>23.0</v>
      </c>
      <c t="str" s="52" r="N25">
        <f>IF(M25 &lt;=$B$9, $G$8, $G$9)</f>
        <v>223.5</v>
      </c>
      <c t="str" s="52" r="O25">
        <f>IF(M25 &lt;=$B$9, $G$8*(1-$B$11),  ($G$8*$B$11)*$B$9/24*(1+1-IF($B$4="LFP",Utils!$B$24,Utils!$C$24))/(1-$B$9/24)+$G$9)</f>
        <v>234.4</v>
      </c>
    </row>
    <row customHeight="1" r="26" ht="12.0">
      <c s="10" r="A26">
        <v>0.5</v>
      </c>
      <c t="str" s="3" r="B26">
        <f>IF($B$4="LFP",Utils!B31,Utils!C31)</f>
        <v>4000</v>
      </c>
      <c s="3" r="C26"/>
      <c s="3" r="D26"/>
      <c s="3" r="F26"/>
      <c s="3" r="G26"/>
      <c s="3" r="H26"/>
      <c s="3" r="K26"/>
      <c s="8" r="M26">
        <v>24.0</v>
      </c>
      <c t="str" s="52" r="N26">
        <f>IF(M26 &lt;=$B$9, $G$8, $G$9)</f>
        <v>223.5</v>
      </c>
      <c t="str" s="52" r="O26">
        <f>IF(M26 &lt;=$B$9, $G$8*(1-$B$11),  ($G$8*$B$11)*$B$9/24*(1+1-IF($B$4="LFP",Utils!$B$24,Utils!$C$24))/(1-$B$9/24)+$G$9)</f>
        <v>234.4</v>
      </c>
    </row>
    <row customHeight="1" r="27" ht="12.0">
      <c s="10" r="A27">
        <v>0.6</v>
      </c>
      <c t="str" s="3" r="B27">
        <f>IF($B$4="LFP",Utils!B32,Utils!C32)</f>
        <v>3000</v>
      </c>
      <c s="3" r="C27"/>
      <c s="3" r="D27"/>
      <c s="3" r="F27"/>
      <c s="3" r="G27"/>
      <c s="3" r="H27"/>
      <c s="3" r="K27"/>
    </row>
    <row customHeight="1" r="28" ht="12.0">
      <c s="10" r="A28">
        <v>0.7</v>
      </c>
      <c t="str" s="3" r="B28">
        <f>IF($B$4="LFP",Utils!B33,Utils!C33)</f>
        <v>2000</v>
      </c>
      <c s="3" r="C28"/>
      <c s="3" r="D28"/>
      <c s="3" r="F28"/>
      <c s="3" r="G28"/>
      <c s="3" r="H28"/>
      <c s="3" r="K28"/>
    </row>
    <row customHeight="1" r="29" ht="12.0">
      <c s="10" r="A29">
        <v>0.8</v>
      </c>
      <c t="str" s="3" r="B29">
        <f>IF($B$4="LFP",Utils!B34,Utils!C34)</f>
        <v>1700</v>
      </c>
      <c s="3" r="C29"/>
      <c s="3" r="D29"/>
      <c s="3" r="F29"/>
      <c s="3" r="G29"/>
      <c s="3" r="H29"/>
      <c s="3" r="K29"/>
    </row>
    <row customHeight="1" r="30" ht="12.0">
      <c s="10" r="A30">
        <v>0.9</v>
      </c>
      <c t="str" s="3" r="B30">
        <f>IF($B$4="LFP",Utils!B35,Utils!C35)</f>
        <v>1200</v>
      </c>
      <c s="3" r="C30"/>
      <c s="3" r="D30"/>
      <c s="3" r="F30"/>
      <c s="3" r="G30"/>
      <c s="3" r="H30"/>
      <c s="3" r="K30"/>
    </row>
    <row customHeight="1" r="31" ht="12.0">
      <c s="10" r="A31">
        <v>1.0</v>
      </c>
      <c t="str" s="3" r="B31">
        <f>IF($B$4="LFP",Utils!B36,Utils!C36)</f>
        <v>1000</v>
      </c>
      <c s="3" r="C31"/>
      <c s="3" r="D31"/>
      <c s="3" r="F31"/>
      <c s="3" r="G31"/>
      <c s="3" r="H31"/>
      <c s="3" r="K31"/>
    </row>
    <row customHeight="1" r="32" ht="12.0">
      <c s="3" r="A32"/>
      <c s="3" r="B32"/>
      <c s="3" r="C32"/>
      <c s="3" r="D32"/>
      <c s="3" r="F32"/>
      <c s="3" r="G32"/>
      <c s="3" r="H32"/>
      <c s="3" r="K32"/>
    </row>
    <row customHeight="1" r="33" ht="12.0">
      <c s="3" r="A33"/>
      <c s="3" r="B33"/>
      <c s="3" r="C33"/>
      <c s="3" r="D33"/>
      <c s="3" r="F33"/>
      <c s="3" r="G33"/>
      <c s="3" r="H33"/>
      <c s="3" r="K33"/>
    </row>
    <row customHeight="1" r="34" ht="12.0">
      <c s="3" r="A34"/>
      <c s="3" r="B34"/>
      <c s="3" r="C34"/>
      <c s="3" r="D34"/>
      <c s="3" r="F34"/>
      <c s="3" r="G34"/>
      <c s="3" r="H34"/>
      <c s="3" r="K34"/>
    </row>
    <row customHeight="1" r="35" ht="12.0">
      <c s="3" r="A35"/>
      <c s="3" r="B35"/>
      <c s="3" r="C35"/>
      <c s="3" r="D35"/>
      <c s="3" r="F35"/>
      <c s="3" r="G35"/>
      <c s="3" r="H35"/>
      <c s="3" r="K35"/>
    </row>
    <row customHeight="1" r="36" ht="12.0">
      <c s="3" r="A36"/>
      <c s="3" r="B36"/>
      <c s="3" r="C36"/>
      <c s="3" r="D36"/>
      <c s="3" r="F36"/>
      <c s="3" r="G36"/>
      <c s="3" r="H36"/>
      <c s="3" r="K36"/>
    </row>
    <row customHeight="1" r="37" ht="12.0">
      <c s="3" r="A37"/>
      <c s="3" r="B37"/>
      <c s="3" r="C37"/>
      <c s="3" r="D37"/>
      <c s="3" r="F37"/>
      <c s="3" r="G37"/>
      <c s="3" r="H37"/>
      <c s="3" r="K37"/>
    </row>
    <row customHeight="1" r="38" ht="12.0">
      <c s="3" r="A38"/>
      <c s="3" r="B38"/>
      <c s="3" r="C38"/>
      <c s="3" r="D38"/>
      <c s="3" r="F38"/>
      <c s="3" r="G38"/>
      <c s="3" r="H38"/>
      <c s="3" r="K38"/>
    </row>
    <row customHeight="1" r="39" ht="12.0">
      <c s="3" r="A39"/>
      <c s="3" r="B39"/>
      <c s="3" r="C39"/>
      <c s="3" r="D39"/>
      <c s="3" r="F39"/>
      <c s="3" r="G39"/>
      <c s="3" r="H39"/>
      <c s="3" r="K39"/>
    </row>
    <row customHeight="1" r="40" ht="12.0">
      <c s="3" r="A40"/>
      <c s="3" r="B40"/>
      <c s="3" r="C40"/>
      <c s="3" r="D40"/>
      <c s="3" r="F40"/>
      <c s="3" r="G40"/>
      <c s="3" r="H40"/>
      <c s="3" r="K40"/>
    </row>
    <row customHeight="1" r="41" ht="12.0">
      <c s="3" r="A41"/>
      <c s="3" r="B41"/>
      <c s="3" r="C41"/>
      <c s="3" r="D41"/>
      <c s="3" r="F41"/>
      <c s="3" r="G41"/>
      <c s="3" r="H41"/>
      <c s="3" r="K41"/>
    </row>
    <row customHeight="1" r="42" ht="12.0">
      <c s="3" r="A42"/>
      <c s="3" r="B42"/>
      <c s="3" r="C42"/>
      <c s="3" r="D42"/>
      <c s="3" r="F42"/>
      <c s="3" r="G42"/>
      <c s="3" r="H42"/>
      <c s="3" r="K42"/>
    </row>
    <row customHeight="1" r="43" ht="12.0">
      <c s="3" r="A43"/>
      <c s="3" r="B43"/>
      <c s="3" r="C43"/>
      <c s="3" r="D43"/>
      <c s="3" r="F43"/>
      <c s="3" r="G43"/>
      <c s="3" r="H43"/>
      <c s="3" r="K43"/>
    </row>
    <row customHeight="1" r="44" ht="12.0">
      <c s="3" r="A44"/>
      <c s="3" r="B44"/>
      <c s="3" r="C44"/>
      <c s="3" r="D44"/>
      <c s="3" r="F44"/>
      <c s="3" r="G44"/>
      <c s="3" r="H44"/>
      <c s="3" r="K44"/>
    </row>
    <row customHeight="1" r="45" ht="12.0">
      <c t="s" s="1" r="A45">
        <v>244</v>
      </c>
      <c s="3" r="B45"/>
      <c s="3" r="C45"/>
      <c s="3" r="D45"/>
      <c s="3" r="F45"/>
      <c s="3" r="G45"/>
      <c s="3" r="H45"/>
      <c s="3" r="K45"/>
    </row>
    <row customHeight="1" r="46" ht="12.0">
      <c t="s" s="3" r="A46">
        <v>245</v>
      </c>
      <c t="str" s="3" r="B46">
        <f>IF($B$4="LFP",40,20)</f>
        <v>40</v>
      </c>
      <c s="3" r="C46"/>
      <c s="3" r="D46"/>
      <c s="3" r="F46"/>
      <c s="3" r="G46"/>
      <c s="3" r="H46"/>
      <c s="3" r="K46"/>
    </row>
    <row customHeight="1" r="47" ht="12.0">
      <c s="3" r="A47"/>
      <c s="3" r="B47"/>
      <c t="s" s="3" r="C47">
        <v>246</v>
      </c>
      <c s="3" r="D47"/>
      <c s="3" r="F47"/>
      <c s="3" r="G47"/>
      <c s="3" r="H47"/>
      <c s="3" r="K47"/>
    </row>
    <row customHeight="1" r="48" ht="12.0">
      <c s="3" r="A48"/>
      <c t="str" s="52" r="B48">
        <f>G13</f>
        <v>32.6</v>
      </c>
      <c s="8" r="C48">
        <v>0.5</v>
      </c>
      <c t="str" s="3" r="D48">
        <f>C48*2</f>
        <v>1</v>
      </c>
      <c t="str" s="3" r="E48">
        <f>D48*2</f>
        <v>2</v>
      </c>
      <c t="str" s="3" r="F48">
        <f>E48*2</f>
        <v>4</v>
      </c>
      <c t="str" s="3" r="G48">
        <f>F48*2</f>
        <v>8</v>
      </c>
      <c t="str" s="3" r="H48">
        <f>G48*2</f>
        <v>16</v>
      </c>
      <c s="3" r="K48"/>
    </row>
    <row customHeight="1" r="49" ht="12.0">
      <c t="s" s="3" r="A49">
        <v>247</v>
      </c>
      <c s="54" r="B49">
        <v>0.05</v>
      </c>
      <c s="58" r="C49">
        <v>1.45935310268378</v>
      </c>
      <c s="58" r="D49">
        <v>2.82394100586801</v>
      </c>
      <c s="58" r="E49">
        <v>5.46450532770804</v>
      </c>
      <c s="58" r="F49">
        <v>10.5741651169412</v>
      </c>
      <c s="58" r="G49">
        <v>20.461681563999</v>
      </c>
      <c s="58" r="H49">
        <v>39.5946543104109</v>
      </c>
      <c s="3" r="K49"/>
    </row>
    <row customHeight="1" r="50" ht="12.0">
      <c s="3" r="A50"/>
      <c t="str" s="55" r="B50">
        <f>IF(B49+0.05 &gt; $G$11, $G$11, B49+0.05)</f>
        <v>10.0%</v>
      </c>
      <c s="58" r="C50">
        <v>2.82394100586801</v>
      </c>
      <c s="58" r="D50">
        <v>5.46450532770804</v>
      </c>
      <c s="58" r="E50">
        <v>10.5741651169412</v>
      </c>
      <c s="58" r="F50">
        <v>20.461681563999</v>
      </c>
      <c s="58" r="G50">
        <v>39.5946543104109</v>
      </c>
      <c s="58" r="H50">
        <v>76.6181726099812</v>
      </c>
      <c s="3" r="K50"/>
    </row>
    <row customHeight="1" r="51" ht="12.0">
      <c s="3" r="A51"/>
      <c t="str" s="55" r="B51">
        <f>IF(B50+0.05 &gt; $G$11, $G$11, B50+0.05)</f>
        <v>14.2%</v>
      </c>
      <c s="58" r="C51">
        <v>4.15490961581097</v>
      </c>
      <c s="58" r="D51">
        <v>8.04001418038321</v>
      </c>
      <c s="58" r="E51">
        <v>15.5579384386069</v>
      </c>
      <c s="58" r="F51">
        <v>30.1055996953412</v>
      </c>
      <c s="58" r="G51">
        <v>58.2562488335236</v>
      </c>
      <c s="58" r="H51">
        <v>112.729544088059</v>
      </c>
      <c s="3" r="K51"/>
    </row>
    <row customHeight="1" r="52" ht="12.0">
      <c s="3" r="A52"/>
      <c t="str" s="55" r="B52">
        <f>IF(B51+0.05 &gt; $G$11, $G$11, B51+0.05)</f>
        <v>14.2%</v>
      </c>
      <c s="58" r="C52">
        <v>5.31817905982464</v>
      </c>
      <c s="58" r="D52">
        <v>10.2910144885213</v>
      </c>
      <c s="58" r="E52">
        <v>19.9137671017883</v>
      </c>
      <c s="58" r="F52">
        <v>38.5344050022076</v>
      </c>
      <c s="58" r="G52">
        <v>74.5665228122917</v>
      </c>
      <c s="58" r="H52">
        <v>144.290960869837</v>
      </c>
      <c s="3" r="K52"/>
    </row>
    <row customHeight="1" r="53" ht="12.0">
      <c s="3" r="A53"/>
      <c t="str" s="55" r="B53">
        <f>IF(B52+0.05 &gt; $G$11, $G$11, B52+0.05)</f>
        <v>14.2%</v>
      </c>
      <c s="58" r="C53">
        <v>5.31768632080367</v>
      </c>
      <c s="58" r="D53">
        <v>10.2900610071987</v>
      </c>
      <c s="58" r="E53">
        <v>19.9119220548286</v>
      </c>
      <c s="58" r="F53">
        <v>38.5308347190748</v>
      </c>
      <c s="58" r="G53">
        <v>74.5596140875132</v>
      </c>
      <c s="58" r="H53">
        <v>144.277592048293</v>
      </c>
      <c s="3" r="K53"/>
    </row>
  </sheetData>
  <conditionalFormatting sqref="B11">
    <cfRule priority="1" type="cellIs" operator="greaterThan" dxfId="0">
      <formula>$G$11</formula>
    </cfRule>
  </conditionalFormatting>
  <conditionalFormatting sqref="C49:H53">
    <cfRule priority="2" type="cellIs" operator="greaterThan" dxfId="0">
      <formula>$B$46</formula>
    </cfRule>
  </conditionalFormatting>
  <dataValidations>
    <dataValidation showErrorMessage="1" sqref="B4" type="list">
      <formula1>BatteryType</formula1>
    </dataValidation>
    <dataValidation showErrorMessage="1" sqref="B11" type="decimal">
      <formula1>0.0</formula1>
      <formula2>G11</formula2>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45.43"/>
    <col min="2" customWidth="1" max="2" width="13.43"/>
    <col min="3" customWidth="1" max="6" width="8.86"/>
  </cols>
  <sheetData>
    <row customHeight="1" r="1" ht="12.0">
      <c t="s" s="1" r="A1">
        <v>248</v>
      </c>
      <c s="40" r="B1"/>
    </row>
    <row customHeight="1" r="2" ht="12.0">
      <c t="s" s="3" r="A2">
        <v>249</v>
      </c>
      <c t="str" s="40" r="B2">
        <f>SUM('TCO Advanced Inputs'!G44,'TCO Advanced Inputs'!G25,'TCO Advanced Inputs'!G21,'TCO Advanced Inputs'!G17,'TCO Advanced Inputs'!G12,'TCO Advanced Inputs'!G13)</f>
        <v>$22,250,000</v>
      </c>
    </row>
    <row customHeight="1" r="3" ht="12.0">
      <c t="s" s="3" r="A3">
        <v>250</v>
      </c>
      <c t="str" s="40" r="B3">
        <f>SUM('TCO Advanced Inputs'!G29)</f>
        <v>$8,400,000</v>
      </c>
    </row>
    <row customHeight="1" r="4" ht="12.0">
      <c t="s" s="3" r="A4">
        <v>251</v>
      </c>
      <c t="str" s="40" r="B4">
        <f>SUM('TCO Advanced Inputs'!G41,'TCO Advanced Inputs'!G45,'TCO Advanced Inputs'!G30,'TCO Advanced Inputs'!G31,'TCO Advanced Inputs'!G47,'TCO Advanced Inputs'!G38,'TCO Advanced Inputs'!G39,'TCO Advanced Inputs'!G34,'TCO Advanced Inputs'!G35,'TCO Advanced Inputs'!G26,'TCO Advanced Inputs'!G27,'TCO Advanced Inputs'!G22,'TCO Advanced Inputs'!G23,'TCO Advanced Inputs'!G18,'TCO Advanced Inputs'!G19,'TCO Advanced Inputs'!G14,'TCO Advanced Inputs'!G15)</f>
        <v>$23,027,500</v>
      </c>
    </row>
    <row customHeight="1" r="5" ht="12.0">
      <c t="s" s="3" r="A5">
        <v>252</v>
      </c>
      <c t="str" s="40" r="B5">
        <f>SUM('TCO Advanced Inputs'!G54:G58)</f>
        <v>$23,700,000</v>
      </c>
    </row>
    <row customHeight="1" r="6" ht="12.0">
      <c t="s" s="3" r="A6">
        <v>253</v>
      </c>
      <c t="str" s="40" r="B6">
        <f>SUM('TCO Advanced Inputs'!G43,'TCO Advanced Inputs'!G46)</f>
        <v>$5,187,500</v>
      </c>
    </row>
    <row customHeight="1" r="7" ht="12.0">
      <c t="s" s="3" r="A7">
        <v>254</v>
      </c>
      <c t="str" s="40" r="B7">
        <f>SUM('TCO Advanced Inputs'!G51+'TCO Advanced Inputs'!G33+'TCO Advanced Inputs'!G52+'TCO Advanced Inputs'!G53+'TCO Advanced Inputs'!G37)</f>
        <v>$12,937,500</v>
      </c>
    </row>
    <row customHeight="1" r="8" ht="12.0">
      <c t="s" s="3" r="A8">
        <v>255</v>
      </c>
      <c t="str" s="40" r="B8">
        <f>SUM('TCO Advanced Inputs'!G49)</f>
        <v>$506,250</v>
      </c>
    </row>
    <row customHeight="1" r="9" ht="12.0">
      <c t="s" s="3" r="A9">
        <v>256</v>
      </c>
      <c t="str" s="40" r="B9">
        <f>SUM('TCO Advanced Inputs'!G50)</f>
        <v>$1,950,000</v>
      </c>
    </row>
    <row customHeight="1" r="10" ht="12.0">
      <c t="s" s="3" r="A10">
        <v>257</v>
      </c>
      <c t="str" s="40" r="B10">
        <f>'TCO Advanced Inputs'!G59</f>
        <v>$609,120</v>
      </c>
    </row>
    <row customHeight="1" r="11" ht="12.0">
      <c s="3" r="A11"/>
      <c s="40" r="B11"/>
    </row>
    <row customHeight="1" r="12" ht="12.0">
      <c t="s" s="3" r="A12">
        <v>258</v>
      </c>
      <c t="str" s="40" r="B12">
        <f>SUM(B2:B9)</f>
        <v>$97,958,750</v>
      </c>
    </row>
    <row customHeight="1" r="13" ht="12.0">
      <c s="3" r="A13"/>
      <c s="3" r="B13"/>
    </row>
    <row customHeight="1" r="14" ht="12.0">
      <c s="3" r="A14"/>
      <c s="3" r="B14"/>
    </row>
    <row customHeight="1" r="15" ht="12.0">
      <c t="s" s="3" r="A15">
        <v>259</v>
      </c>
      <c t="str" s="40" r="B15">
        <f>B12-'TCO Advanced Inputs'!G12-'TCO Advanced Inputs'!G13+3.2*2*'TCO Inputs'!E10+'TCO Advanced Inputs'!G60</f>
        <v>$96,231,870</v>
      </c>
    </row>
    <row customHeight="1" r="16" ht="12.0">
      <c s="3" r="A16"/>
      <c s="3" r="B16"/>
    </row>
    <row customHeight="1" r="17" ht="12.0">
      <c s="3" r="A17"/>
      <c s="3" r="B17"/>
    </row>
    <row customHeight="1" r="18" ht="12.0">
      <c s="3" r="A18"/>
      <c s="3" r="B18"/>
    </row>
    <row customHeight="1" r="19" ht="12.0">
      <c s="3" r="A19"/>
      <c s="3" r="B19"/>
    </row>
    <row customHeight="1" r="20" ht="12.0">
      <c s="3" r="A20"/>
      <c s="3" r="B20"/>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6" width="8.86"/>
  </cols>
  <sheetData>
    <row customHeight="1" r="1" ht="12.0">
      <c t="s" s="3" r="A1">
        <v>260</v>
      </c>
      <c t="s" s="3" r="E1">
        <v>261</v>
      </c>
    </row>
    <row customHeight="1" r="2" ht="12.0">
      <c t="s" s="3" r="A2">
        <v>262</v>
      </c>
      <c t="s" s="3" r="E2">
        <v>263</v>
      </c>
    </row>
    <row customHeight="1" r="3" ht="12.0">
      <c t="s" s="3" r="A3">
        <v>264</v>
      </c>
      <c t="s" s="3" r="E3">
        <v>265</v>
      </c>
    </row>
    <row customHeight="1" r="4" ht="12.0">
      <c t="s" s="3" r="A4">
        <v>266</v>
      </c>
    </row>
    <row customHeight="1" r="5" ht="12.0">
      <c t="s" s="3" r="E5">
        <v>267</v>
      </c>
    </row>
    <row customHeight="1" r="6" ht="12.0">
      <c t="s" s="3" r="A6">
        <v>268</v>
      </c>
    </row>
    <row customHeight="1" r="7" ht="12.0">
      <c t="s" s="3" r="A7">
        <v>269</v>
      </c>
      <c t="s" s="3" r="E7">
        <v>270</v>
      </c>
    </row>
    <row customHeight="1" r="8" ht="12.0">
      <c t="s" s="3" r="A8">
        <v>271</v>
      </c>
      <c t="s" s="3" r="E8">
        <v>272</v>
      </c>
    </row>
    <row customHeight="1" r="9" ht="12.0">
      <c t="s" s="3" r="A9">
        <v>273</v>
      </c>
      <c t="s" s="3" r="E9">
        <v>274</v>
      </c>
    </row>
    <row customHeight="1" r="10" ht="12.0"/>
    <row customHeight="1" r="11" ht="12.0">
      <c t="s" s="3" r="A11">
        <v>275</v>
      </c>
    </row>
    <row customHeight="1" r="12" ht="12.0">
      <c t="s" s="3" r="A12">
        <v>276</v>
      </c>
    </row>
    <row customHeight="1" r="13" ht="12.0">
      <c t="s" s="3" r="A13">
        <v>277</v>
      </c>
    </row>
    <row customHeight="1" r="14" ht="12.0"/>
    <row customHeight="1" r="15" ht="12.0">
      <c t="s" s="3" r="A15">
        <v>278</v>
      </c>
    </row>
    <row customHeight="1" r="16" ht="12.0">
      <c t="s" s="3" r="A16">
        <v>279</v>
      </c>
    </row>
    <row customHeight="1" r="17" ht="12.0">
      <c t="s" s="3" r="A17">
        <v>280</v>
      </c>
    </row>
    <row customHeight="1" r="18" ht="12.0"/>
    <row customHeight="1" r="19" ht="12.0">
      <c t="s" s="59" r="B19">
        <v>281</v>
      </c>
      <c t="s" s="59" r="C19">
        <v>282</v>
      </c>
    </row>
    <row customHeight="1" r="20" ht="12.0">
      <c t="s" s="3" r="A20">
        <v>283</v>
      </c>
      <c s="8" r="B20">
        <v>5.0</v>
      </c>
      <c s="8" r="C20">
        <v>2.0</v>
      </c>
    </row>
    <row customHeight="1" r="21" ht="12.0">
      <c t="s" s="3" r="A21">
        <v>284</v>
      </c>
      <c s="8" r="B21">
        <v>1.05</v>
      </c>
      <c s="8" r="C21">
        <v>1.14999999999999</v>
      </c>
    </row>
    <row customHeight="1" r="22" ht="12.0">
      <c t="s" s="3" r="A22">
        <v>285</v>
      </c>
      <c s="10" r="B22">
        <v>0.6</v>
      </c>
      <c s="10" r="C22">
        <v>0.4</v>
      </c>
    </row>
    <row customHeight="1" r="23" ht="12.0">
      <c t="s" s="3" r="A23">
        <v>286</v>
      </c>
      <c s="8" r="B23">
        <v>120.0</v>
      </c>
      <c s="8" r="C23">
        <v>48.0</v>
      </c>
    </row>
    <row customHeight="1" r="24" ht="12.0">
      <c t="s" s="3" r="A24">
        <v>287</v>
      </c>
      <c s="10" r="B24">
        <v>0.95</v>
      </c>
      <c s="10" r="C24">
        <v>0.75</v>
      </c>
    </row>
    <row customHeight="1" r="25" ht="12.0"/>
    <row customHeight="1" r="26" ht="12.0">
      <c t="s" s="3" r="A26">
        <v>288</v>
      </c>
      <c t="s" s="3" r="B26">
        <v>289</v>
      </c>
      <c t="s" s="3" r="C26">
        <v>290</v>
      </c>
    </row>
    <row customHeight="1" r="27" ht="12.0">
      <c s="10" r="A27">
        <v>0.1</v>
      </c>
      <c s="8" r="B27">
        <v>100000.0</v>
      </c>
      <c s="8" r="C27">
        <v>5000.0</v>
      </c>
    </row>
    <row customHeight="1" r="28" ht="12.0">
      <c s="10" r="A28">
        <v>0.2</v>
      </c>
      <c s="8" r="B28">
        <v>40000.0</v>
      </c>
      <c s="8" r="C28">
        <v>2800.0</v>
      </c>
    </row>
    <row customHeight="1" r="29" ht="12.0">
      <c s="10" r="A29">
        <v>0.3</v>
      </c>
      <c s="8" r="B29">
        <v>10000.0</v>
      </c>
      <c s="8" r="C29">
        <v>1860.0</v>
      </c>
    </row>
    <row customHeight="1" r="30" ht="12.0">
      <c s="10" r="A30">
        <v>0.4</v>
      </c>
      <c s="8" r="B30">
        <v>6000.0</v>
      </c>
      <c s="8" r="C30">
        <v>1300.0</v>
      </c>
    </row>
    <row customHeight="1" r="31" ht="12.0">
      <c s="10" r="A31">
        <v>0.5</v>
      </c>
      <c s="8" r="B31">
        <v>4000.0</v>
      </c>
      <c s="8" r="C31">
        <v>1000.0</v>
      </c>
    </row>
    <row customHeight="1" r="32" ht="12.0">
      <c s="10" r="A32">
        <v>0.6</v>
      </c>
      <c s="8" r="B32">
        <v>3000.0</v>
      </c>
      <c s="8" r="C32">
        <v>830.0</v>
      </c>
    </row>
    <row customHeight="1" r="33" ht="12.0">
      <c s="10" r="A33">
        <v>0.7</v>
      </c>
      <c s="8" r="B33">
        <v>2000.0</v>
      </c>
      <c s="8" r="C33">
        <v>650.0</v>
      </c>
    </row>
    <row customHeight="1" r="34" ht="12.0">
      <c s="10" r="A34">
        <v>0.8</v>
      </c>
      <c s="8" r="B34">
        <v>1700.0</v>
      </c>
      <c s="8" r="C34">
        <v>500.0</v>
      </c>
    </row>
    <row customHeight="1" r="35" ht="12.0">
      <c s="10" r="A35">
        <v>0.9</v>
      </c>
      <c s="8" r="B35">
        <v>1200.0</v>
      </c>
      <c s="8" r="C35">
        <v>410.0</v>
      </c>
    </row>
    <row customHeight="1" r="36" ht="12.0">
      <c s="10" r="A36">
        <v>1.0</v>
      </c>
      <c s="8" r="B36">
        <v>1000.0</v>
      </c>
      <c s="8" r="C36">
        <v>330.0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3" width="10.71"/>
    <col min="4" customWidth="1" max="4" width="18.14"/>
    <col min="5" customWidth="1" max="5" width="16.14"/>
    <col min="6" customWidth="1" max="12" width="10.71"/>
  </cols>
  <sheetData>
    <row customHeight="1" r="1" ht="12.0">
      <c s="3" r="D1"/>
      <c s="3" r="E1"/>
    </row>
    <row customHeight="1" r="2" ht="12.0">
      <c s="3" r="D2"/>
      <c s="3" r="E2"/>
    </row>
    <row customHeight="1" r="3" ht="12.0">
      <c s="3" r="D3"/>
      <c s="3" r="E3"/>
    </row>
    <row customHeight="1" r="4" ht="12.0">
      <c s="3" r="D4"/>
      <c s="3" r="E4"/>
    </row>
    <row customHeight="1" r="5" ht="12.0">
      <c s="3" r="D5"/>
      <c s="3" r="E5"/>
    </row>
    <row customHeight="1" r="6" ht="12.0">
      <c s="3" r="D6"/>
      <c s="3" r="E6"/>
    </row>
    <row customHeight="1" r="7" ht="12.0">
      <c s="3" r="D7"/>
      <c s="3" r="E7"/>
    </row>
    <row customHeight="1" r="8" ht="12.0">
      <c s="3" r="D8"/>
      <c s="3" r="E8"/>
    </row>
    <row customHeight="1" r="9" ht="12.0">
      <c s="3" r="D9"/>
      <c s="3" r="E9"/>
    </row>
    <row customHeight="1" r="10" ht="12.0">
      <c s="3" r="D10"/>
      <c s="3" r="E10"/>
    </row>
    <row customHeight="1" r="11" ht="12.0">
      <c s="3" r="D11"/>
      <c s="3" r="E11"/>
    </row>
    <row customHeight="1" r="12" ht="12.0">
      <c s="3" r="D12"/>
      <c s="3" r="E12"/>
    </row>
    <row customHeight="1" r="13" ht="12.0">
      <c t="s" s="3" r="D13">
        <v>291</v>
      </c>
      <c s="3" r="E13"/>
      <c t="s" s="3" r="F13">
        <v>292</v>
      </c>
      <c t="s" s="3" r="H13">
        <v>293</v>
      </c>
      <c t="s" s="3" r="I13">
        <v>294</v>
      </c>
    </row>
    <row customHeight="1" r="14" ht="12.0">
      <c s="8" r="D14">
        <v>62.5</v>
      </c>
      <c s="3" r="E14"/>
      <c s="8" r="F14">
        <v>360.0</v>
      </c>
      <c t="str" s="4" r="H14">
        <f>(D14-32)*5/9</f>
        <v>17</v>
      </c>
      <c t="str" s="4" r="I14">
        <f>100*F14/420</f>
        <v>86</v>
      </c>
    </row>
    <row customHeight="1" r="15" ht="12.0">
      <c s="8" r="D15">
        <v>66.0</v>
      </c>
      <c s="3" r="E15"/>
      <c s="8" r="F15">
        <v>361.0</v>
      </c>
      <c t="str" s="4" r="H15">
        <f>(D15-32)*5/9</f>
        <v>19</v>
      </c>
      <c t="str" s="4" r="I15">
        <f>100*F15/420</f>
        <v>86</v>
      </c>
    </row>
    <row customHeight="1" r="16" ht="12.0">
      <c s="8" r="D16">
        <v>70.0</v>
      </c>
      <c s="3" r="E16"/>
      <c s="8" r="F16">
        <v>363.0</v>
      </c>
      <c t="str" s="4" r="H16">
        <f>(D16-32)*5/9</f>
        <v>21</v>
      </c>
      <c t="str" s="4" r="I16">
        <f>100*F16/420</f>
        <v>86</v>
      </c>
    </row>
    <row customHeight="1" r="17" ht="12.0">
      <c s="8" r="D17">
        <v>74.0</v>
      </c>
      <c s="3" r="E17"/>
      <c s="8" r="F17">
        <v>366.0</v>
      </c>
      <c t="str" s="4" r="H17">
        <f>(D17-32)*5/9</f>
        <v>23</v>
      </c>
      <c t="str" s="4" r="I17">
        <f>100*F17/420</f>
        <v>87</v>
      </c>
    </row>
    <row customHeight="1" r="18" ht="12.0">
      <c s="8" r="D18">
        <v>77.0</v>
      </c>
      <c s="3" r="E18"/>
      <c s="8" r="F18">
        <v>370.0</v>
      </c>
      <c t="str" s="4" r="H18">
        <f>(D18-32)*5/9</f>
        <v>25</v>
      </c>
      <c t="str" s="4" r="I18">
        <f>100*F18/420</f>
        <v>88</v>
      </c>
    </row>
    <row customHeight="1" r="19" ht="12.0">
      <c s="8" r="D19">
        <v>81.0</v>
      </c>
      <c s="3" r="E19"/>
      <c s="8" r="F19">
        <v>378.0</v>
      </c>
      <c t="str" s="4" r="H19">
        <f>(D19-32)*5/9</f>
        <v>27</v>
      </c>
      <c t="str" s="4" r="I19">
        <f>100*F19/420</f>
        <v>90</v>
      </c>
    </row>
    <row customHeight="1" r="20" ht="12.0">
      <c s="8" r="D20">
        <v>84.0</v>
      </c>
      <c s="3" r="E20"/>
      <c s="8" r="F20">
        <v>390.0</v>
      </c>
      <c t="str" s="4" r="H20">
        <f>(D20-32)*5/9</f>
        <v>29</v>
      </c>
      <c t="str" s="4" r="I20">
        <f>100*F20/420</f>
        <v>93</v>
      </c>
    </row>
    <row customHeight="1" r="21" ht="12.0">
      <c s="8" r="D21">
        <v>88.0</v>
      </c>
      <c s="3" r="E21"/>
      <c s="8" r="F21">
        <v>403.0</v>
      </c>
      <c t="str" s="4" r="H21">
        <f>(D21-32)*5/9</f>
        <v>31</v>
      </c>
      <c t="str" s="4" r="I21">
        <f>100*F21/420</f>
        <v>96</v>
      </c>
    </row>
    <row customHeight="1" r="22" ht="12.0">
      <c s="8" r="D22">
        <v>90.0</v>
      </c>
      <c s="3" r="E22"/>
      <c s="8" r="F22">
        <v>420.0</v>
      </c>
      <c t="str" s="4" r="H22">
        <f>(D22-32)*5/9</f>
        <v>32</v>
      </c>
      <c t="str" s="4" r="I22">
        <f>100*F22/420</f>
        <v>100</v>
      </c>
    </row>
    <row customHeight="1" r="23" ht="12.0">
      <c s="8" r="D23">
        <v>94.0</v>
      </c>
      <c s="3" r="E23"/>
      <c s="8" r="F23">
        <v>440.0</v>
      </c>
      <c t="str" s="4" r="H23">
        <f>(D23-32)*5/9</f>
        <v>34</v>
      </c>
      <c t="str" s="4" r="I23">
        <f>100*F23/420</f>
        <v>105</v>
      </c>
    </row>
    <row customHeight="1" r="24" ht="12.0"/>
    <row customHeight="1" r="25" ht="12.0"/>
    <row customHeight="1" r="26" ht="12.0"/>
    <row customHeight="1" r="27" ht="12.0"/>
    <row customHeight="1" r="28" ht="12.0"/>
    <row customHeight="1" r="29" ht="12.0"/>
    <row customHeight="1" r="30" ht="12.0"/>
    <row customHeight="1" r="31" ht="12.0"/>
    <row customHeight="1" r="32" ht="12.0"/>
    <row customHeight="1" r="33" ht="12.0"/>
    <row customHeight="1" r="34" ht="12.0"/>
    <row customHeight="1" r="35" ht="12.0"/>
    <row customHeight="1" r="36" ht="12.0"/>
    <row customHeight="1" r="37" ht="12.0"/>
    <row customHeight="1" r="38" ht="12.0"/>
    <row customHeight="1" r="39" ht="12.0"/>
    <row customHeight="1" r="40" ht="12.0"/>
    <row customHeight="1" r="41" ht="12.0"/>
    <row customHeight="1" r="42" ht="12.0"/>
    <row customHeight="1" r="43" ht="12.0"/>
    <row customHeight="1" r="44" ht="12.0"/>
    <row customHeight="1" r="45" ht="12.0"/>
    <row customHeight="1" r="46" ht="12.0"/>
    <row customHeight="1" r="47" ht="12.0"/>
    <row customHeight="1" r="48" ht="12.0"/>
    <row customHeight="1" r="49" ht="12.0"/>
    <row customHeight="1" r="50" ht="12.0"/>
    <row customHeight="1" r="51" ht="12.0"/>
    <row customHeight="1" r="52" ht="12.0"/>
  </sheetData>
  <drawing r:id="rId1"/>
</worksheet>
</file>