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A1872CA7-F842-4799-9903-813D695DFA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3" l="1"/>
  <c r="AA72" i="3"/>
  <c r="Y99" i="3"/>
  <c r="X99" i="3"/>
  <c r="T72" i="3"/>
  <c r="T73" i="3"/>
  <c r="T74" i="3"/>
  <c r="T75" i="3"/>
  <c r="T76" i="3"/>
  <c r="T77" i="3"/>
  <c r="T78" i="3"/>
  <c r="T79" i="3"/>
  <c r="Y5" i="3"/>
  <c r="AD5" i="3"/>
  <c r="Y6" i="3"/>
  <c r="Y7" i="3"/>
  <c r="Y8" i="3"/>
  <c r="Y9" i="3"/>
  <c r="Y10" i="3"/>
  <c r="Y11" i="3"/>
  <c r="Y12" i="3"/>
  <c r="X31" i="3"/>
  <c r="X30" i="3"/>
  <c r="X29" i="3"/>
  <c r="AH6" i="3"/>
  <c r="AH7" i="3"/>
  <c r="AH8" i="3"/>
  <c r="AH9" i="3"/>
  <c r="AH10" i="3"/>
  <c r="AH11" i="3"/>
  <c r="AH12" i="3"/>
  <c r="AH5" i="3"/>
  <c r="AG6" i="3"/>
  <c r="AG7" i="3"/>
  <c r="AG8" i="3"/>
  <c r="AG9" i="3"/>
  <c r="AG10" i="3"/>
  <c r="AG11" i="3"/>
  <c r="AG12" i="3"/>
  <c r="AG5" i="3"/>
  <c r="AF5" i="3"/>
  <c r="AE5" i="3"/>
  <c r="AC5" i="3"/>
  <c r="V5" i="3"/>
  <c r="W5" i="3"/>
  <c r="X5" i="3"/>
  <c r="AE6" i="3"/>
  <c r="AE7" i="3"/>
  <c r="AE8" i="3"/>
  <c r="AE9" i="3"/>
  <c r="AE10" i="3"/>
  <c r="AE11" i="3"/>
  <c r="AE12" i="3"/>
  <c r="AE13" i="3"/>
  <c r="AF6" i="3"/>
  <c r="AF7" i="3"/>
  <c r="AF8" i="3"/>
  <c r="AF9" i="3"/>
  <c r="AF10" i="3"/>
  <c r="AF11" i="3"/>
  <c r="AF12" i="3"/>
  <c r="AF13" i="3"/>
  <c r="X48" i="3" s="1"/>
  <c r="X19" i="3"/>
  <c r="AA79" i="3" l="1"/>
  <c r="AA78" i="3"/>
  <c r="AA77" i="3"/>
  <c r="AA76" i="3"/>
  <c r="AA75" i="3"/>
  <c r="AA74" i="3"/>
  <c r="AA73" i="3"/>
  <c r="AB72" i="3"/>
  <c r="T13" i="3"/>
  <c r="U12" i="3"/>
  <c r="S12" i="3"/>
  <c r="X12" i="3" s="1"/>
  <c r="X11" i="3"/>
  <c r="U11" i="3"/>
  <c r="X10" i="3"/>
  <c r="U10" i="3"/>
  <c r="V10" i="3" s="1"/>
  <c r="X9" i="3"/>
  <c r="U9" i="3"/>
  <c r="X8" i="3"/>
  <c r="V8" i="3"/>
  <c r="U8" i="3"/>
  <c r="X7" i="3"/>
  <c r="V7" i="3"/>
  <c r="U7" i="3"/>
  <c r="AD6" i="3"/>
  <c r="X6" i="3"/>
  <c r="V6" i="3"/>
  <c r="U6" i="3"/>
  <c r="AB73" i="3"/>
  <c r="R5" i="3"/>
  <c r="U5" i="3" s="1"/>
  <c r="J71" i="3"/>
  <c r="J72" i="3"/>
  <c r="J73" i="3"/>
  <c r="J74" i="3"/>
  <c r="J75" i="3"/>
  <c r="J76" i="3"/>
  <c r="G97" i="3"/>
  <c r="K70" i="3"/>
  <c r="F5" i="3"/>
  <c r="F6" i="3" s="1"/>
  <c r="C76" i="3"/>
  <c r="C71" i="3"/>
  <c r="C72" i="3"/>
  <c r="C73" i="3"/>
  <c r="C74" i="3"/>
  <c r="C75" i="3"/>
  <c r="C13" i="3"/>
  <c r="B12" i="3"/>
  <c r="G11" i="3"/>
  <c r="D11" i="3"/>
  <c r="G10" i="3"/>
  <c r="D10" i="3"/>
  <c r="G9" i="3"/>
  <c r="D9" i="3"/>
  <c r="G8" i="3"/>
  <c r="D8" i="3"/>
  <c r="G7" i="3"/>
  <c r="D7" i="3"/>
  <c r="G6" i="3"/>
  <c r="D6" i="3"/>
  <c r="A5" i="3"/>
  <c r="W6" i="3" l="1"/>
  <c r="X101" i="3" s="1"/>
  <c r="AD10" i="3"/>
  <c r="AC10" i="3"/>
  <c r="AH13" i="3"/>
  <c r="AC8" i="3"/>
  <c r="AD8" i="3"/>
  <c r="V9" i="3"/>
  <c r="AC7" i="3"/>
  <c r="V12" i="3"/>
  <c r="AD7" i="3"/>
  <c r="V11" i="3"/>
  <c r="X100" i="3"/>
  <c r="AC6" i="3"/>
  <c r="G30" i="3"/>
  <c r="G5" i="3"/>
  <c r="J70" i="3"/>
  <c r="D5" i="3"/>
  <c r="E5" i="3" s="1"/>
  <c r="C70" i="3"/>
  <c r="D12" i="3"/>
  <c r="J77" i="3"/>
  <c r="C77" i="3"/>
  <c r="G99" i="3"/>
  <c r="K72" i="3"/>
  <c r="G98" i="3"/>
  <c r="K71" i="3"/>
  <c r="G19" i="3"/>
  <c r="G12" i="3"/>
  <c r="E12" i="3"/>
  <c r="F7" i="3"/>
  <c r="E11" i="3"/>
  <c r="E9" i="3"/>
  <c r="E7" i="3"/>
  <c r="E6" i="3"/>
  <c r="E8" i="3"/>
  <c r="E10" i="3"/>
  <c r="X50" i="3" l="1"/>
  <c r="X60" i="3" s="1"/>
  <c r="X54" i="3"/>
  <c r="AG13" i="3"/>
  <c r="AB74" i="3"/>
  <c r="W7" i="3"/>
  <c r="X102" i="3" s="1"/>
  <c r="V13" i="3"/>
  <c r="X16" i="3" s="1"/>
  <c r="W8" i="3"/>
  <c r="X33" i="3"/>
  <c r="AD9" i="3"/>
  <c r="AC9" i="3"/>
  <c r="AC12" i="3"/>
  <c r="AD12" i="3"/>
  <c r="G33" i="3"/>
  <c r="G100" i="3"/>
  <c r="K73" i="3"/>
  <c r="F8" i="3"/>
  <c r="G23" i="3" s="1"/>
  <c r="E13" i="3"/>
  <c r="G16" i="3" s="1"/>
  <c r="X62" i="3" l="1"/>
  <c r="AB75" i="3"/>
  <c r="X52" i="3"/>
  <c r="W9" i="3"/>
  <c r="AB76" i="3"/>
  <c r="X103" i="3"/>
  <c r="X23" i="3"/>
  <c r="Y13" i="3"/>
  <c r="Z5" i="3"/>
  <c r="AD11" i="3"/>
  <c r="AD13" i="3" s="1"/>
  <c r="X41" i="3" s="1"/>
  <c r="AC11" i="3"/>
  <c r="AC13" i="3" s="1"/>
  <c r="X44" i="3" s="1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4" i="3"/>
  <c r="P5" i="3"/>
  <c r="O5" i="3"/>
  <c r="G101" i="3"/>
  <c r="K74" i="3"/>
  <c r="H5" i="3"/>
  <c r="H10" i="3"/>
  <c r="L10" i="3" s="1"/>
  <c r="H12" i="3"/>
  <c r="M12" i="3" s="1"/>
  <c r="H7" i="3"/>
  <c r="O10" i="3"/>
  <c r="O8" i="3"/>
  <c r="O6" i="3"/>
  <c r="N10" i="3"/>
  <c r="N9" i="3"/>
  <c r="O7" i="3"/>
  <c r="N12" i="3"/>
  <c r="N6" i="3"/>
  <c r="N11" i="3"/>
  <c r="O12" i="3"/>
  <c r="N8" i="3"/>
  <c r="O9" i="3"/>
  <c r="N7" i="3"/>
  <c r="O11" i="3"/>
  <c r="N5" i="3"/>
  <c r="H11" i="3"/>
  <c r="H6" i="3"/>
  <c r="H8" i="3"/>
  <c r="H9" i="3"/>
  <c r="F9" i="3"/>
  <c r="W10" i="3" l="1"/>
  <c r="X104" i="3"/>
  <c r="AB77" i="3"/>
  <c r="Z6" i="3"/>
  <c r="AA5" i="3" s="1"/>
  <c r="Y100" i="3"/>
  <c r="AB6" i="3"/>
  <c r="M10" i="3"/>
  <c r="Q12" i="3"/>
  <c r="P13" i="3"/>
  <c r="G102" i="3"/>
  <c r="K75" i="3"/>
  <c r="L7" i="3"/>
  <c r="L12" i="3"/>
  <c r="H97" i="3"/>
  <c r="I5" i="3"/>
  <c r="K6" i="3" s="1"/>
  <c r="M7" i="3"/>
  <c r="F10" i="3"/>
  <c r="M9" i="3"/>
  <c r="L9" i="3"/>
  <c r="L8" i="3"/>
  <c r="M8" i="3"/>
  <c r="M6" i="3"/>
  <c r="L6" i="3"/>
  <c r="O13" i="3"/>
  <c r="M5" i="3"/>
  <c r="L5" i="3"/>
  <c r="H13" i="3"/>
  <c r="L11" i="3"/>
  <c r="M11" i="3"/>
  <c r="N13" i="3"/>
  <c r="G54" i="3" s="1"/>
  <c r="X105" i="3" l="1"/>
  <c r="AB78" i="3"/>
  <c r="W11" i="3"/>
  <c r="Y101" i="3"/>
  <c r="Z7" i="3"/>
  <c r="AB7" i="3"/>
  <c r="G48" i="3"/>
  <c r="G50" i="3" s="1"/>
  <c r="G103" i="3"/>
  <c r="K76" i="3"/>
  <c r="H98" i="3"/>
  <c r="I6" i="3"/>
  <c r="H99" i="3" s="1"/>
  <c r="M13" i="3"/>
  <c r="G41" i="3" s="1"/>
  <c r="L13" i="3"/>
  <c r="G44" i="3" s="1"/>
  <c r="F11" i="3"/>
  <c r="G31" i="3"/>
  <c r="G29" i="3" s="1"/>
  <c r="AA6" i="3" l="1"/>
  <c r="Y102" i="3"/>
  <c r="Z8" i="3"/>
  <c r="AB8" i="3"/>
  <c r="AB79" i="3"/>
  <c r="X106" i="3"/>
  <c r="W12" i="3"/>
  <c r="G104" i="3"/>
  <c r="K77" i="3"/>
  <c r="G52" i="3"/>
  <c r="G58" i="3"/>
  <c r="G62" i="3"/>
  <c r="G60" i="3"/>
  <c r="F12" i="3"/>
  <c r="J5" i="3"/>
  <c r="K7" i="3"/>
  <c r="I7" i="3"/>
  <c r="H100" i="3" s="1"/>
  <c r="Z9" i="3" l="1"/>
  <c r="AA7" i="3"/>
  <c r="Y103" i="3"/>
  <c r="AB9" i="3"/>
  <c r="J6" i="3"/>
  <c r="K8" i="3"/>
  <c r="I8" i="3"/>
  <c r="H101" i="3" s="1"/>
  <c r="Y104" i="3" l="1"/>
  <c r="Z10" i="3"/>
  <c r="AA8" i="3"/>
  <c r="AB10" i="3"/>
  <c r="J7" i="3"/>
  <c r="K9" i="3"/>
  <c r="I9" i="3"/>
  <c r="H102" i="3" s="1"/>
  <c r="Y105" i="3" l="1"/>
  <c r="Z11" i="3"/>
  <c r="AA9" i="3"/>
  <c r="AB11" i="3"/>
  <c r="I10" i="3"/>
  <c r="H103" i="3" s="1"/>
  <c r="J8" i="3"/>
  <c r="K10" i="3"/>
  <c r="Z12" i="3" l="1"/>
  <c r="AA11" i="3" s="1"/>
  <c r="Y106" i="3"/>
  <c r="AA10" i="3"/>
  <c r="AB12" i="3"/>
  <c r="AB13" i="3" s="1"/>
  <c r="J9" i="3"/>
  <c r="I11" i="3"/>
  <c r="H104" i="3" s="1"/>
  <c r="K11" i="3"/>
  <c r="AA13" i="3" l="1"/>
  <c r="X38" i="3" s="1"/>
  <c r="I12" i="3"/>
  <c r="J11" i="3" s="1"/>
  <c r="J10" i="3"/>
  <c r="K12" i="3"/>
  <c r="K13" i="3" s="1"/>
  <c r="J13" i="3" l="1"/>
  <c r="G38" i="3" s="1"/>
</calcChain>
</file>

<file path=xl/sharedStrings.xml><?xml version="1.0" encoding="utf-8"?>
<sst xmlns="http://schemas.openxmlformats.org/spreadsheetml/2006/main" count="136" uniqueCount="55">
  <si>
    <t>Среднедушевой денежный доход, руб</t>
  </si>
  <si>
    <t>% к итогу (частости)</t>
  </si>
  <si>
    <t>Середина интервала</t>
  </si>
  <si>
    <t>Накопленная частость, %</t>
  </si>
  <si>
    <t>Плотность распределения</t>
  </si>
  <si>
    <t>Доля доходов группы</t>
  </si>
  <si>
    <t>Доля доходов группы нарастающим итогом</t>
  </si>
  <si>
    <t>xk-1</t>
  </si>
  <si>
    <t>xk</t>
  </si>
  <si>
    <t>wi</t>
  </si>
  <si>
    <t>xi</t>
  </si>
  <si>
    <t>xiwi</t>
  </si>
  <si>
    <t>pi</t>
  </si>
  <si>
    <t>yk</t>
  </si>
  <si>
    <t>di</t>
  </si>
  <si>
    <t>qi</t>
  </si>
  <si>
    <t>pi*qi+1</t>
  </si>
  <si>
    <t>pi+1*qi</t>
  </si>
  <si>
    <t>di^2</t>
  </si>
  <si>
    <t>|wi-di|</t>
  </si>
  <si>
    <t>|xi-xср|*wi</t>
  </si>
  <si>
    <t>(xi-xср)^2*wi</t>
  </si>
  <si>
    <t>(xi-xср)^3*wi</t>
  </si>
  <si>
    <t>(xi-xср)^4*wi</t>
  </si>
  <si>
    <t>-</t>
  </si>
  <si>
    <t>итого</t>
  </si>
  <si>
    <t>рублей</t>
  </si>
  <si>
    <t>раз</t>
  </si>
  <si>
    <t>руб квадратные</t>
  </si>
  <si>
    <t>%</t>
  </si>
  <si>
    <t>Для анализа были взяты данные Челябинской области:</t>
  </si>
  <si>
    <t>1) Средний душевой доход населения региона на основе средней арифметической, моды и медианы</t>
  </si>
  <si>
    <t>1.3) Средний душевой доход населения региона на основе медианы:</t>
  </si>
  <si>
    <t>1.2) Средний душевой доход населения региона на основе моды:</t>
  </si>
  <si>
    <t>1.1) Средний душевой доход населения региона на основе среднего арифметического:</t>
  </si>
  <si>
    <t>2) Показатели дифференциации населения региона по величине среднедушевых денежных доходов</t>
  </si>
  <si>
    <t>2.1) КД - децильный коэффициент:</t>
  </si>
  <si>
    <t>2.1.1) дециль первый:</t>
  </si>
  <si>
    <t>2.1.2) дециль девятый:</t>
  </si>
  <si>
    <t>2.2) фондовый децильный коэффициент:</t>
  </si>
  <si>
    <t>4) Показатели вариации населения по величине среднедушевых денежных доходов</t>
  </si>
  <si>
    <t>4.1) Дисперсия</t>
  </si>
  <si>
    <t>4.2) Среднее квадратическое отклонение</t>
  </si>
  <si>
    <t>4.3) Коэффициент вариации</t>
  </si>
  <si>
    <t xml:space="preserve">4.4) Среднее линейное отклонение </t>
  </si>
  <si>
    <t>5) Показатели формы распределения</t>
  </si>
  <si>
    <t>5.1) Коэффициент ассиметрии Пирсона</t>
  </si>
  <si>
    <t>5.2) Коэффициент эксцесса</t>
  </si>
  <si>
    <t>5.3) Коэффициент ассиметрии</t>
  </si>
  <si>
    <t>Для анализа были взяты данные Российской Федерации:</t>
  </si>
  <si>
    <t>3) Показатели дифференциации населения региона по величине среднедушевых денежных доходов</t>
  </si>
  <si>
    <t>3.1) коэффициент Джинни</t>
  </si>
  <si>
    <t>3.2) коэффициент  Лоренца</t>
  </si>
  <si>
    <t>6) Графики</t>
  </si>
  <si>
    <t>3.3) коэффициент Херфиндаля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</si>
</sst>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Helvetica"/>
      <family val="2"/>
    </font>
    <font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vertical="top" wrapText="1" shrinkToFi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/>
    <xf numFmtId="0" fontId="0" fillId="3" borderId="2" xfId="0" applyFill="1" applyBorder="1" applyAlignment="1">
      <alignment vertical="top" wrapText="1" shrinkToFit="1"/>
    </xf>
    <xf numFmtId="0" fontId="0" fillId="3" borderId="0" xfId="0" applyFill="1" applyAlignment="1">
      <alignment vertical="top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347112860892396E-2"/>
          <c:y val="0.19483814523184603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Лист1!$C$70:$C$77</c:f>
              <c:numCache>
                <c:formatCode>General</c:formatCode>
                <c:ptCount val="8"/>
                <c:pt idx="0">
                  <c:v>5500</c:v>
                </c:pt>
                <c:pt idx="1">
                  <c:v>8500</c:v>
                </c:pt>
                <c:pt idx="2">
                  <c:v>12000</c:v>
                </c:pt>
                <c:pt idx="3">
                  <c:v>16500</c:v>
                </c:pt>
                <c:pt idx="4">
                  <c:v>23000</c:v>
                </c:pt>
                <c:pt idx="5">
                  <c:v>36000</c:v>
                </c:pt>
                <c:pt idx="6">
                  <c:v>52500</c:v>
                </c:pt>
                <c:pt idx="7">
                  <c:v>67500</c:v>
                </c:pt>
              </c:numCache>
            </c:numRef>
          </c:cat>
          <c:val>
            <c:numRef>
              <c:f>Лист1!$D$70:$D$77</c:f>
              <c:numCache>
                <c:formatCode>General</c:formatCode>
                <c:ptCount val="8"/>
                <c:pt idx="0">
                  <c:v>3.2</c:v>
                </c:pt>
                <c:pt idx="1">
                  <c:v>6.6</c:v>
                </c:pt>
                <c:pt idx="2">
                  <c:v>12.3</c:v>
                </c:pt>
                <c:pt idx="3">
                  <c:v>16.5</c:v>
                </c:pt>
                <c:pt idx="4">
                  <c:v>21.7</c:v>
                </c:pt>
                <c:pt idx="5">
                  <c:v>25.3</c:v>
                </c:pt>
                <c:pt idx="6">
                  <c:v>7.9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2-A34F-B7A5-F6811E6C39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-31"/>
        <c:axId val="2074064608"/>
        <c:axId val="2074050848"/>
      </c:barChart>
      <c:catAx>
        <c:axId val="2074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50848"/>
        <c:crosses val="autoZero"/>
        <c:auto val="1"/>
        <c:lblAlgn val="ctr"/>
        <c:lblOffset val="100"/>
        <c:noMultiLvlLbl val="0"/>
      </c:catAx>
      <c:valAx>
        <c:axId val="2074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К</a:t>
            </a:r>
            <a:r>
              <a:rPr lang="ru-RU"/>
              <a:t>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Лист1!$J$70:$J$77</c:f>
              <c:numCache>
                <c:formatCode>General</c:formatCode>
                <c:ptCount val="8"/>
                <c:pt idx="0">
                  <c:v>5500</c:v>
                </c:pt>
                <c:pt idx="1">
                  <c:v>8500</c:v>
                </c:pt>
                <c:pt idx="2">
                  <c:v>12000</c:v>
                </c:pt>
                <c:pt idx="3">
                  <c:v>16500</c:v>
                </c:pt>
                <c:pt idx="4">
                  <c:v>23000</c:v>
                </c:pt>
                <c:pt idx="5">
                  <c:v>36000</c:v>
                </c:pt>
                <c:pt idx="6">
                  <c:v>52500</c:v>
                </c:pt>
                <c:pt idx="7">
                  <c:v>67500</c:v>
                </c:pt>
              </c:numCache>
            </c:numRef>
          </c:xVal>
          <c:yVal>
            <c:numRef>
              <c:f>Лист1!$K$70:$K$77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7.6000000000000005</c:v>
                </c:pt>
                <c:pt idx="2">
                  <c:v>18.7</c:v>
                </c:pt>
                <c:pt idx="3">
                  <c:v>34.6</c:v>
                </c:pt>
                <c:pt idx="4">
                  <c:v>56.7</c:v>
                </c:pt>
                <c:pt idx="5">
                  <c:v>83.9</c:v>
                </c:pt>
                <c:pt idx="6">
                  <c:v>92.7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054C-81BE-DF5E28D675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126959"/>
        <c:axId val="189175103"/>
      </c:scatterChart>
      <c:valAx>
        <c:axId val="1891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75103"/>
        <c:crosses val="autoZero"/>
        <c:crossBetween val="midCat"/>
      </c:valAx>
      <c:valAx>
        <c:axId val="1891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Лоренца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DE-EB4A-ACAA-0C7B8E8FE6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Лист1!$G$97:$G$104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7.6000000000000005</c:v>
                </c:pt>
                <c:pt idx="2">
                  <c:v>18.7</c:v>
                </c:pt>
                <c:pt idx="3">
                  <c:v>34.6</c:v>
                </c:pt>
                <c:pt idx="4">
                  <c:v>56.7</c:v>
                </c:pt>
                <c:pt idx="5">
                  <c:v>83.9</c:v>
                </c:pt>
                <c:pt idx="6">
                  <c:v>92.7</c:v>
                </c:pt>
                <c:pt idx="7">
                  <c:v>100</c:v>
                </c:pt>
              </c:numCache>
            </c:numRef>
          </c:xVal>
          <c:yVal>
            <c:numRef>
              <c:f>Лист1!$H$97:$H$104</c:f>
              <c:numCache>
                <c:formatCode>0.000</c:formatCode>
                <c:ptCount val="8"/>
                <c:pt idx="0">
                  <c:v>4.1784653636300854E-3</c:v>
                </c:pt>
                <c:pt idx="1">
                  <c:v>2.002900752814421E-2</c:v>
                </c:pt>
                <c:pt idx="2">
                  <c:v>6.6026659299675383E-2</c:v>
                </c:pt>
                <c:pt idx="3">
                  <c:v>0.15662338559292768</c:v>
                </c:pt>
                <c:pt idx="4">
                  <c:v>0.3321534636369915</c:v>
                </c:pt>
                <c:pt idx="5">
                  <c:v>0.67029836314662616</c:v>
                </c:pt>
                <c:pt idx="6">
                  <c:v>0.82983976793977487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E-EB4A-ACAA-0C7B8E8FE6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7599359"/>
        <c:axId val="188991519"/>
      </c:scatterChart>
      <c:valAx>
        <c:axId val="4475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991519"/>
        <c:crosses val="autoZero"/>
        <c:crossBetween val="midCat"/>
      </c:valAx>
      <c:valAx>
        <c:axId val="1889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9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347112860892396E-2"/>
          <c:y val="0.19483814523184603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Лист1!$C$70:$C$77</c:f>
              <c:numCache>
                <c:formatCode>General</c:formatCode>
                <c:ptCount val="8"/>
                <c:pt idx="0">
                  <c:v>5500</c:v>
                </c:pt>
                <c:pt idx="1">
                  <c:v>8500</c:v>
                </c:pt>
                <c:pt idx="2">
                  <c:v>12000</c:v>
                </c:pt>
                <c:pt idx="3">
                  <c:v>16500</c:v>
                </c:pt>
                <c:pt idx="4">
                  <c:v>23000</c:v>
                </c:pt>
                <c:pt idx="5">
                  <c:v>36000</c:v>
                </c:pt>
                <c:pt idx="6">
                  <c:v>52500</c:v>
                </c:pt>
                <c:pt idx="7">
                  <c:v>67500</c:v>
                </c:pt>
              </c:numCache>
            </c:numRef>
          </c:cat>
          <c:val>
            <c:numRef>
              <c:f>Лист1!$D$70:$D$77</c:f>
              <c:numCache>
                <c:formatCode>General</c:formatCode>
                <c:ptCount val="8"/>
                <c:pt idx="0">
                  <c:v>3.2</c:v>
                </c:pt>
                <c:pt idx="1">
                  <c:v>6.6</c:v>
                </c:pt>
                <c:pt idx="2">
                  <c:v>12.3</c:v>
                </c:pt>
                <c:pt idx="3">
                  <c:v>16.5</c:v>
                </c:pt>
                <c:pt idx="4">
                  <c:v>21.7</c:v>
                </c:pt>
                <c:pt idx="5">
                  <c:v>25.3</c:v>
                </c:pt>
                <c:pt idx="6">
                  <c:v>7.9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AD7-A309-798672F2E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-31"/>
        <c:axId val="2074064608"/>
        <c:axId val="2074050848"/>
      </c:barChart>
      <c:catAx>
        <c:axId val="2074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50848"/>
        <c:crosses val="autoZero"/>
        <c:auto val="1"/>
        <c:lblAlgn val="ctr"/>
        <c:lblOffset val="100"/>
        <c:noMultiLvlLbl val="0"/>
      </c:catAx>
      <c:valAx>
        <c:axId val="2074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К</a:t>
            </a:r>
            <a:r>
              <a:rPr lang="ru-RU"/>
              <a:t>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Лист1!$J$70:$J$77</c:f>
              <c:numCache>
                <c:formatCode>General</c:formatCode>
                <c:ptCount val="8"/>
                <c:pt idx="0">
                  <c:v>5500</c:v>
                </c:pt>
                <c:pt idx="1">
                  <c:v>8500</c:v>
                </c:pt>
                <c:pt idx="2">
                  <c:v>12000</c:v>
                </c:pt>
                <c:pt idx="3">
                  <c:v>16500</c:v>
                </c:pt>
                <c:pt idx="4">
                  <c:v>23000</c:v>
                </c:pt>
                <c:pt idx="5">
                  <c:v>36000</c:v>
                </c:pt>
                <c:pt idx="6">
                  <c:v>52500</c:v>
                </c:pt>
                <c:pt idx="7">
                  <c:v>67500</c:v>
                </c:pt>
              </c:numCache>
            </c:numRef>
          </c:xVal>
          <c:yVal>
            <c:numRef>
              <c:f>Лист1!$K$70:$K$77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7.6000000000000005</c:v>
                </c:pt>
                <c:pt idx="2">
                  <c:v>18.7</c:v>
                </c:pt>
                <c:pt idx="3">
                  <c:v>34.6</c:v>
                </c:pt>
                <c:pt idx="4">
                  <c:v>56.7</c:v>
                </c:pt>
                <c:pt idx="5">
                  <c:v>83.9</c:v>
                </c:pt>
                <c:pt idx="6">
                  <c:v>92.7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3-4600-ACD3-1DA4C0A945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126959"/>
        <c:axId val="189175103"/>
      </c:scatterChart>
      <c:valAx>
        <c:axId val="1891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75103"/>
        <c:crosses val="autoZero"/>
        <c:crossBetween val="midCat"/>
      </c:valAx>
      <c:valAx>
        <c:axId val="1891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Лоренца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Лист1!$X$99:$X$106</c:f>
              <c:numCache>
                <c:formatCode>General</c:formatCode>
                <c:ptCount val="8"/>
                <c:pt idx="0">
                  <c:v>2.7</c:v>
                </c:pt>
                <c:pt idx="1">
                  <c:v>7.2</c:v>
                </c:pt>
                <c:pt idx="2">
                  <c:v>15.5</c:v>
                </c:pt>
                <c:pt idx="3">
                  <c:v>27</c:v>
                </c:pt>
                <c:pt idx="4">
                  <c:v>44.1</c:v>
                </c:pt>
                <c:pt idx="5">
                  <c:v>70</c:v>
                </c:pt>
                <c:pt idx="6">
                  <c:v>81.7</c:v>
                </c:pt>
                <c:pt idx="7">
                  <c:v>100</c:v>
                </c:pt>
              </c:numCache>
            </c:numRef>
          </c:xVal>
          <c:yVal>
            <c:numRef>
              <c:f>Лист1!$Y$99:$Y$106</c:f>
              <c:numCache>
                <c:formatCode>0.000</c:formatCode>
                <c:ptCount val="8"/>
                <c:pt idx="0">
                  <c:v>4.2215683766150701E-3</c:v>
                </c:pt>
                <c:pt idx="1">
                  <c:v>1.5095305104259948E-2</c:v>
                </c:pt>
                <c:pt idx="2">
                  <c:v>4.3409662700950924E-2</c:v>
                </c:pt>
                <c:pt idx="3">
                  <c:v>9.7351925291032371E-2</c:v>
                </c:pt>
                <c:pt idx="4">
                  <c:v>0.20915952411411029</c:v>
                </c:pt>
                <c:pt idx="5">
                  <c:v>0.47422284763975953</c:v>
                </c:pt>
                <c:pt idx="6">
                  <c:v>0.64884226685429192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6-4D8A-A5A9-E71542C42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7599359"/>
        <c:axId val="188991519"/>
      </c:scatterChart>
      <c:valAx>
        <c:axId val="4475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991519"/>
        <c:crosses val="autoZero"/>
        <c:crossBetween val="midCat"/>
      </c:valAx>
      <c:valAx>
        <c:axId val="18899151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9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5.xml"/><Relationship Id="rId7" Type="http://schemas.openxmlformats.org/officeDocument/2006/relationships/customXml" Target="../ink/ink3.xml"/><Relationship Id="rId12" Type="http://schemas.openxmlformats.org/officeDocument/2006/relationships/customXml" Target="../ink/ink4.xml"/><Relationship Id="rId2" Type="http://schemas.openxmlformats.org/officeDocument/2006/relationships/customXml" Target="../ink/ink1.xml"/><Relationship Id="rId16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4.xml"/><Relationship Id="rId5" Type="http://schemas.openxmlformats.org/officeDocument/2006/relationships/customXml" Target="../ink/ink2.xml"/><Relationship Id="rId15" Type="http://schemas.openxmlformats.org/officeDocument/2006/relationships/chart" Target="../charts/chart5.xml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chart" Target="../charts/chart2.xml"/><Relationship Id="rId14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60477</xdr:colOff>
      <xdr:row>77</xdr:row>
      <xdr:rowOff>100534</xdr:rowOff>
    </xdr:from>
    <xdr:to>
      <xdr:col>5</xdr:col>
      <xdr:colOff>516736</xdr:colOff>
      <xdr:row>92</xdr:row>
      <xdr:rowOff>32769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F26358-AFBB-58FF-659E-1030D5CB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250453</xdr:colOff>
      <xdr:row>77</xdr:row>
      <xdr:rowOff>8200</xdr:rowOff>
    </xdr:from>
    <xdr:to>
      <xdr:col>4</xdr:col>
      <xdr:colOff>250813</xdr:colOff>
      <xdr:row>77</xdr:row>
      <xdr:rowOff>8560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BF31D8A6-00EB-0C94-4633-9A16CBBE8447}"/>
                </a:ext>
              </a:extLst>
            </xdr14:cNvPr>
            <xdr14:cNvContentPartPr/>
          </xdr14:nvContentPartPr>
          <xdr14:nvPr macro=""/>
          <xdr14:xfrm>
            <a:off x="19816920" y="13825800"/>
            <a:ext cx="360" cy="36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BF31D8A6-00EB-0C94-4633-9A16CBBE84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799280" y="137178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66133</xdr:colOff>
      <xdr:row>79</xdr:row>
      <xdr:rowOff>20493</xdr:rowOff>
    </xdr:from>
    <xdr:to>
      <xdr:col>4</xdr:col>
      <xdr:colOff>66493</xdr:colOff>
      <xdr:row>79</xdr:row>
      <xdr:rowOff>20853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C9D694AC-7F18-0744-B9DA-F2F9946E6AD0}"/>
                </a:ext>
              </a:extLst>
            </xdr14:cNvPr>
            <xdr14:cNvContentPartPr/>
          </xdr14:nvContentPartPr>
          <xdr14:nvPr macro=""/>
          <xdr14:xfrm>
            <a:off x="19632600" y="14227560"/>
            <a:ext cx="360" cy="3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C9D694AC-7F18-0744-B9DA-F2F9946E6A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614600" y="141195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575107</xdr:colOff>
      <xdr:row>80</xdr:row>
      <xdr:rowOff>45720</xdr:rowOff>
    </xdr:from>
    <xdr:to>
      <xdr:col>3</xdr:col>
      <xdr:colOff>575467</xdr:colOff>
      <xdr:row>80</xdr:row>
      <xdr:rowOff>46080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B7BB6673-D66E-9198-8F70-CE6672BFE7D3}"/>
                </a:ext>
              </a:extLst>
            </xdr14:cNvPr>
            <xdr14:cNvContentPartPr/>
          </xdr14:nvContentPartPr>
          <xdr14:nvPr macro=""/>
          <xdr14:xfrm>
            <a:off x="19311840" y="14447520"/>
            <a:ext cx="360" cy="3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B7BB6673-D66E-9198-8F70-CE6672BFE7D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293840" y="14339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190499</xdr:colOff>
      <xdr:row>77</xdr:row>
      <xdr:rowOff>136746</xdr:rowOff>
    </xdr:from>
    <xdr:to>
      <xdr:col>12</xdr:col>
      <xdr:colOff>613833</xdr:colOff>
      <xdr:row>91</xdr:row>
      <xdr:rowOff>153679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25D3EF56-BFEE-FA4F-98F1-687BEAF9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136581</xdr:colOff>
      <xdr:row>105</xdr:row>
      <xdr:rowOff>29632</xdr:rowOff>
    </xdr:from>
    <xdr:to>
      <xdr:col>9</xdr:col>
      <xdr:colOff>559914</xdr:colOff>
      <xdr:row>119</xdr:row>
      <xdr:rowOff>46565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id="{1DE1BB0B-004F-8305-7140-0A49CC5E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8964</xdr:colOff>
      <xdr:row>15</xdr:row>
      <xdr:rowOff>8965</xdr:rowOff>
    </xdr:from>
    <xdr:to>
      <xdr:col>9</xdr:col>
      <xdr:colOff>753035</xdr:colOff>
      <xdr:row>18</xdr:row>
      <xdr:rowOff>17929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DF65B4-2167-F43C-1F6D-3DAB74405FD4}"/>
                </a:ext>
              </a:extLst>
            </xdr:cNvPr>
            <xdr:cNvSpPr txBox="1"/>
          </xdr:nvSpPr>
          <xdr:spPr>
            <a:xfrm>
              <a:off x="5952564" y="4195483"/>
              <a:ext cx="1568824" cy="5827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ba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DF65B4-2167-F43C-1F6D-3DAB74405FD4}"/>
                </a:ext>
              </a:extLst>
            </xdr:cNvPr>
            <xdr:cNvSpPr txBox="1"/>
          </xdr:nvSpPr>
          <xdr:spPr>
            <a:xfrm>
              <a:off x="5952564" y="4195483"/>
              <a:ext cx="1568824" cy="5827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𝑥=(∑▒〖𝑥_𝑖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 〗)/(∑▒𝑤_𝑖 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8963</xdr:colOff>
      <xdr:row>18</xdr:row>
      <xdr:rowOff>8965</xdr:rowOff>
    </xdr:from>
    <xdr:to>
      <xdr:col>11</xdr:col>
      <xdr:colOff>846665</xdr:colOff>
      <xdr:row>22</xdr:row>
      <xdr:rowOff>8965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7401DE-32F6-4764-BC17-C774356E858F}"/>
                </a:ext>
              </a:extLst>
            </xdr:cNvPr>
            <xdr:cNvSpPr txBox="1"/>
          </xdr:nvSpPr>
          <xdr:spPr>
            <a:xfrm>
              <a:off x="8607333" y="4759706"/>
              <a:ext cx="3180147" cy="7149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7401DE-32F6-4764-BC17-C774356E858F}"/>
                </a:ext>
              </a:extLst>
            </xdr:cNvPr>
            <xdr:cNvSpPr txBox="1"/>
          </xdr:nvSpPr>
          <xdr:spPr>
            <a:xfrm>
              <a:off x="8607333" y="4759706"/>
              <a:ext cx="3180147" cy="7149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𝑜=𝑥_(𝑘−1)+〖∆𝑥〗_𝑘  (𝑦_𝑘−𝑦_(𝑘−1))/((𝑦_𝑘−𝑦_(𝑘−1) )+(𝑦_𝑘−𝑦_(𝑘+1)))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8964</xdr:colOff>
      <xdr:row>22</xdr:row>
      <xdr:rowOff>8965</xdr:rowOff>
    </xdr:from>
    <xdr:to>
      <xdr:col>11</xdr:col>
      <xdr:colOff>806823</xdr:colOff>
      <xdr:row>26</xdr:row>
      <xdr:rowOff>8964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35222B7-C37A-4F95-ADFD-8530516DE783}"/>
                </a:ext>
              </a:extLst>
            </xdr:cNvPr>
            <xdr:cNvSpPr txBox="1"/>
          </xdr:nvSpPr>
          <xdr:spPr>
            <a:xfrm>
              <a:off x="8301317" y="5486400"/>
              <a:ext cx="3137647" cy="7171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35222B7-C37A-4F95-ADFD-8530516DE783}"/>
                </a:ext>
              </a:extLst>
            </xdr:cNvPr>
            <xdr:cNvSpPr txBox="1"/>
          </xdr:nvSpPr>
          <xdr:spPr>
            <a:xfrm>
              <a:off x="8301317" y="5486400"/>
              <a:ext cx="3137647" cy="7171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𝑒=𝑥_(𝑘−1)+〖∆𝑥〗_𝑘  (1/2 ∑▒〖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_𝑖−𝑝_(𝑘−1) 〗)/𝑤_𝑘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13391</xdr:colOff>
      <xdr:row>22</xdr:row>
      <xdr:rowOff>20696</xdr:rowOff>
    </xdr:from>
    <xdr:to>
      <xdr:col>11</xdr:col>
      <xdr:colOff>846666</xdr:colOff>
      <xdr:row>26</xdr:row>
      <xdr:rowOff>20695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8A2585-755E-4A41-A98F-4830D6559072}"/>
                </a:ext>
              </a:extLst>
            </xdr:cNvPr>
            <xdr:cNvSpPr txBox="1"/>
          </xdr:nvSpPr>
          <xdr:spPr>
            <a:xfrm>
              <a:off x="8611761" y="5486400"/>
              <a:ext cx="3175720" cy="71496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8A2585-755E-4A41-A98F-4830D6559072}"/>
                </a:ext>
              </a:extLst>
            </xdr:cNvPr>
            <xdr:cNvSpPr txBox="1"/>
          </xdr:nvSpPr>
          <xdr:spPr>
            <a:xfrm>
              <a:off x="8611761" y="5486400"/>
              <a:ext cx="3175720" cy="71496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𝑒=𝑥_(𝑘−1)+〖∆𝑥〗_𝑘  (1/2 ∑▒〖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_𝑖−𝑝_(𝑘−1) 〗)/𝑤_𝑘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1068902</xdr:colOff>
      <xdr:row>28</xdr:row>
      <xdr:rowOff>3762</xdr:rowOff>
    </xdr:from>
    <xdr:to>
      <xdr:col>11</xdr:col>
      <xdr:colOff>846667</xdr:colOff>
      <xdr:row>31</xdr:row>
      <xdr:rowOff>178740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1CB386A-9DC9-4977-B451-9F6538FDB6A9}"/>
                </a:ext>
              </a:extLst>
            </xdr:cNvPr>
            <xdr:cNvSpPr txBox="1"/>
          </xdr:nvSpPr>
          <xdr:spPr>
            <a:xfrm>
              <a:off x="8594828" y="6541910"/>
              <a:ext cx="3192654" cy="711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             </a:t>
              </a:r>
              <a14:m>
                <m:oMath xmlns:m="http://schemas.openxmlformats.org/officeDocument/2006/math">
                  <m:r>
                    <a:rPr lang="ru-RU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КД= </m:t>
                  </m:r>
                  <m:f>
                    <m:fPr>
                      <m:ctrlP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</m:sSub>
                      <m:f>
                        <m:f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ru-RU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9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den>
                          </m:f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b>
                              </m:sSub>
                            </m:e>
                          </m:nary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</m:sSub>
                        </m:den>
                      </m:f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</m:sSub>
                      <m:f>
                        <m:f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den>
                          </m:f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b>
                              </m:sSub>
                            </m:e>
                          </m:nary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</m:sSub>
                        </m:den>
                      </m:f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1CB386A-9DC9-4977-B451-9F6538FDB6A9}"/>
                </a:ext>
              </a:extLst>
            </xdr:cNvPr>
            <xdr:cNvSpPr txBox="1"/>
          </xdr:nvSpPr>
          <xdr:spPr>
            <a:xfrm>
              <a:off x="8594828" y="6541910"/>
              <a:ext cx="3192654" cy="711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      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КД=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𝑥_(𝑘−1)+〖∆𝑥〗_𝑘  (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/10 ∑▒〖𝑤_𝑖−𝑝_(𝑘−1) 〗)/𝑤_𝑘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𝑥_(𝑘−1)+〖∆𝑥〗_𝑘  (1/10 ∑▒〖𝑤_𝑖−𝑝_(𝑘−1) 〗)/𝑤_𝑘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𝐷_9/𝐷_1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7745</xdr:colOff>
      <xdr:row>31</xdr:row>
      <xdr:rowOff>165570</xdr:rowOff>
    </xdr:from>
    <xdr:to>
      <xdr:col>10</xdr:col>
      <xdr:colOff>1</xdr:colOff>
      <xdr:row>34</xdr:row>
      <xdr:rowOff>169333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F4879EC-3823-4B02-B753-B5353DB234AF}"/>
                </a:ext>
              </a:extLst>
            </xdr:cNvPr>
            <xdr:cNvSpPr txBox="1"/>
          </xdr:nvSpPr>
          <xdr:spPr>
            <a:xfrm>
              <a:off x="8295671" y="7239940"/>
              <a:ext cx="1572700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̿"/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̿"/>
                                <m:ctrlP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F4879EC-3823-4B02-B753-B5353DB234AF}"/>
                </a:ext>
              </a:extLst>
            </xdr:cNvPr>
            <xdr:cNvSpPr txBox="1"/>
          </xdr:nvSpPr>
          <xdr:spPr>
            <a:xfrm>
              <a:off x="8295671" y="7239940"/>
              <a:ext cx="1572700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К_Ф=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̿_</a:t>
              </a:r>
              <a:r>
                <a:rPr lang="en-US" sz="1100" b="0" i="0">
                  <a:latin typeface="Cambria Math" panose="02040503050406030204" pitchFamily="18" charset="0"/>
                </a:rPr>
                <a:t>10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̿_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219</xdr:colOff>
      <xdr:row>36</xdr:row>
      <xdr:rowOff>176858</xdr:rowOff>
    </xdr:from>
    <xdr:to>
      <xdr:col>11</xdr:col>
      <xdr:colOff>846667</xdr:colOff>
      <xdr:row>40</xdr:row>
      <xdr:rowOff>1881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20A5C6D-83D2-4A4A-AA11-1EE3850D2B4A}"/>
                </a:ext>
              </a:extLst>
            </xdr:cNvPr>
            <xdr:cNvSpPr txBox="1"/>
          </xdr:nvSpPr>
          <xdr:spPr>
            <a:xfrm>
              <a:off x="8288145" y="7787451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G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+1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20A5C6D-83D2-4A4A-AA11-1EE3850D2B4A}"/>
                </a:ext>
              </a:extLst>
            </xdr:cNvPr>
            <xdr:cNvSpPr txBox="1"/>
          </xdr:nvSpPr>
          <xdr:spPr>
            <a:xfrm>
              <a:off x="8288145" y="7787451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G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=∑▒〖𝑝_𝑖 𝑞_(𝑖+1)−∑▒〖𝑝_(𝑖+1) 𝑞_𝑖 〗〗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11508</xdr:colOff>
      <xdr:row>40</xdr:row>
      <xdr:rowOff>-1</xdr:rowOff>
    </xdr:from>
    <xdr:to>
      <xdr:col>12</xdr:col>
      <xdr:colOff>1882</xdr:colOff>
      <xdr:row>43</xdr:row>
      <xdr:rowOff>3763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F8A1D22-961F-4745-8D99-12FBA586DE65}"/>
                </a:ext>
              </a:extLst>
            </xdr:cNvPr>
            <xdr:cNvSpPr txBox="1"/>
          </xdr:nvSpPr>
          <xdr:spPr>
            <a:xfrm>
              <a:off x="8299434" y="8325555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F8A1D22-961F-4745-8D99-12FBA586DE65}"/>
                </a:ext>
              </a:extLst>
            </xdr:cNvPr>
            <xdr:cNvSpPr txBox="1"/>
          </xdr:nvSpPr>
          <xdr:spPr>
            <a:xfrm>
              <a:off x="8299434" y="8325555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=1/2 ∑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〖|𝑤_𝑖−𝑑_𝑖 |〗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13389</xdr:colOff>
      <xdr:row>43</xdr:row>
      <xdr:rowOff>1880</xdr:rowOff>
    </xdr:from>
    <xdr:to>
      <xdr:col>12</xdr:col>
      <xdr:colOff>3763</xdr:colOff>
      <xdr:row>46</xdr:row>
      <xdr:rowOff>5644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358CEEC-E32C-4E47-A49C-73867B329EE9}"/>
                </a:ext>
              </a:extLst>
            </xdr:cNvPr>
            <xdr:cNvSpPr txBox="1"/>
          </xdr:nvSpPr>
          <xdr:spPr>
            <a:xfrm>
              <a:off x="8301315" y="8863658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358CEEC-E32C-4E47-A49C-73867B329EE9}"/>
                </a:ext>
              </a:extLst>
            </xdr:cNvPr>
            <xdr:cNvSpPr txBox="1"/>
          </xdr:nvSpPr>
          <xdr:spPr>
            <a:xfrm>
              <a:off x="8301315" y="8863658"/>
              <a:ext cx="3188892" cy="539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𝑑_𝑖^2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3982</xdr:colOff>
      <xdr:row>46</xdr:row>
      <xdr:rowOff>161806</xdr:rowOff>
    </xdr:from>
    <xdr:to>
      <xdr:col>11</xdr:col>
      <xdr:colOff>850430</xdr:colOff>
      <xdr:row>49</xdr:row>
      <xdr:rowOff>9408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DDDDA2A-D4FE-49F3-951E-B4F4DB959E53}"/>
                </a:ext>
              </a:extLst>
            </xdr:cNvPr>
            <xdr:cNvSpPr txBox="1"/>
          </xdr:nvSpPr>
          <xdr:spPr>
            <a:xfrm>
              <a:off x="8602352" y="955980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bar>
                                <m:barPr>
                                  <m:pos m:val="top"/>
                                  <m:ctrlPr>
                                    <a:rPr lang="ru-RU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bar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ba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DDDDA2A-D4FE-49F3-951E-B4F4DB959E53}"/>
                </a:ext>
              </a:extLst>
            </xdr:cNvPr>
            <xdr:cNvSpPr txBox="1"/>
          </xdr:nvSpPr>
          <xdr:spPr>
            <a:xfrm>
              <a:off x="8602352" y="955980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=(∑▒〖〖(𝑥〗_𝑖−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𝑥)〗^2  𝑤_𝑖)/(∑▒𝑤_𝑖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1068900</xdr:colOff>
      <xdr:row>49</xdr:row>
      <xdr:rowOff>13168</xdr:rowOff>
    </xdr:from>
    <xdr:to>
      <xdr:col>10</xdr:col>
      <xdr:colOff>0</xdr:colOff>
      <xdr:row>50</xdr:row>
      <xdr:rowOff>169332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6F2C9254-938F-45E7-88D7-CFA3F17C6495}"/>
                </a:ext>
              </a:extLst>
            </xdr:cNvPr>
            <xdr:cNvSpPr txBox="1"/>
          </xdr:nvSpPr>
          <xdr:spPr>
            <a:xfrm>
              <a:off x="8594826" y="9947390"/>
              <a:ext cx="1583989" cy="3349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σ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</m:ra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6F2C9254-938F-45E7-88D7-CFA3F17C6495}"/>
                </a:ext>
              </a:extLst>
            </xdr:cNvPr>
            <xdr:cNvSpPr txBox="1"/>
          </xdr:nvSpPr>
          <xdr:spPr>
            <a:xfrm>
              <a:off x="8594826" y="9947390"/>
              <a:ext cx="1583989" cy="3349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=√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5864</xdr:colOff>
      <xdr:row>50</xdr:row>
      <xdr:rowOff>173095</xdr:rowOff>
    </xdr:from>
    <xdr:to>
      <xdr:col>11</xdr:col>
      <xdr:colOff>852312</xdr:colOff>
      <xdr:row>53</xdr:row>
      <xdr:rowOff>20697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D930BB7-F7B3-486B-B44A-B766883A9965}"/>
                </a:ext>
              </a:extLst>
            </xdr:cNvPr>
            <xdr:cNvSpPr txBox="1"/>
          </xdr:nvSpPr>
          <xdr:spPr>
            <a:xfrm>
              <a:off x="8604234" y="10286058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V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num>
                    <m:den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bar>
                    </m:den>
                  </m:f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D930BB7-F7B3-486B-B44A-B766883A9965}"/>
                </a:ext>
              </a:extLst>
            </xdr:cNvPr>
            <xdr:cNvSpPr txBox="1"/>
          </xdr:nvSpPr>
          <xdr:spPr>
            <a:xfrm>
              <a:off x="8604234" y="10286058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V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𝑥∗100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1070782</xdr:colOff>
      <xdr:row>53</xdr:row>
      <xdr:rowOff>15051</xdr:rowOff>
    </xdr:from>
    <xdr:to>
      <xdr:col>11</xdr:col>
      <xdr:colOff>844786</xdr:colOff>
      <xdr:row>55</xdr:row>
      <xdr:rowOff>41393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8C25E2-EE45-4179-8757-BAC72FDE3B4A}"/>
                </a:ext>
              </a:extLst>
            </xdr:cNvPr>
            <xdr:cNvSpPr txBox="1"/>
          </xdr:nvSpPr>
          <xdr:spPr>
            <a:xfrm>
              <a:off x="8596708" y="1066423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|</m:t>
                              </m: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bar>
                            <m:barPr>
                              <m:pos m:val="top"/>
                              <m:ctrlPr>
                                <a:rPr lang="ru-RU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bar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ba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8C25E2-EE45-4179-8757-BAC72FDE3B4A}"/>
                </a:ext>
              </a:extLst>
            </xdr:cNvPr>
            <xdr:cNvSpPr txBox="1"/>
          </xdr:nvSpPr>
          <xdr:spPr>
            <a:xfrm>
              <a:off x="8596708" y="1066423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=(∑▒〖〖|𝑥〗_𝑖−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𝑥|〗 𝑤_𝑖)/(∑▒𝑤_𝑖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9626</xdr:colOff>
      <xdr:row>56</xdr:row>
      <xdr:rowOff>176859</xdr:rowOff>
    </xdr:from>
    <xdr:to>
      <xdr:col>12</xdr:col>
      <xdr:colOff>0</xdr:colOff>
      <xdr:row>59</xdr:row>
      <xdr:rowOff>24460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D71C641-ED1D-4FC2-8E04-71AEF00AD6B4}"/>
                </a:ext>
              </a:extLst>
            </xdr:cNvPr>
            <xdr:cNvSpPr txBox="1"/>
          </xdr:nvSpPr>
          <xdr:spPr>
            <a:xfrm>
              <a:off x="8607996" y="1136226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ас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bar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ru-RU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𝑜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D71C641-ED1D-4FC2-8E04-71AEF00AD6B4}"/>
                </a:ext>
              </a:extLst>
            </xdr:cNvPr>
            <xdr:cNvSpPr txBox="1"/>
          </xdr:nvSpPr>
          <xdr:spPr>
            <a:xfrm>
              <a:off x="8607996" y="11362266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ас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𝑜)/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11507</xdr:colOff>
      <xdr:row>58</xdr:row>
      <xdr:rowOff>169333</xdr:rowOff>
    </xdr:from>
    <xdr:to>
      <xdr:col>12</xdr:col>
      <xdr:colOff>1881</xdr:colOff>
      <xdr:row>61</xdr:row>
      <xdr:rowOff>16935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A9CAB0-D2E7-4324-B9D8-50D5E131D95E}"/>
                </a:ext>
              </a:extLst>
            </xdr:cNvPr>
            <xdr:cNvSpPr txBox="1"/>
          </xdr:nvSpPr>
          <xdr:spPr>
            <a:xfrm>
              <a:off x="8609877" y="11712222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</m:sSup>
                    </m:den>
                  </m:f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−3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A9CAB0-D2E7-4324-B9D8-50D5E131D95E}"/>
                </a:ext>
              </a:extLst>
            </xdr:cNvPr>
            <xdr:cNvSpPr txBox="1"/>
          </xdr:nvSpPr>
          <xdr:spPr>
            <a:xfrm>
              <a:off x="8609877" y="11712222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"=𝜇_4/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^4 −3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8</xdr:col>
      <xdr:colOff>22796</xdr:colOff>
      <xdr:row>61</xdr:row>
      <xdr:rowOff>11289</xdr:rowOff>
    </xdr:from>
    <xdr:to>
      <xdr:col>12</xdr:col>
      <xdr:colOff>13170</xdr:colOff>
      <xdr:row>63</xdr:row>
      <xdr:rowOff>37631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2106C7-8F37-43BC-B18F-BFCB5BB7B504}"/>
                </a:ext>
              </a:extLst>
            </xdr:cNvPr>
            <xdr:cNvSpPr txBox="1"/>
          </xdr:nvSpPr>
          <xdr:spPr>
            <a:xfrm>
              <a:off x="8621166" y="12090400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A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den>
                  </m:f>
                  <m:r>
                    <a:rPr lang="ru-RU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bar>
                                <m:barPr>
                                  <m:pos m:val="top"/>
                                  <m:ctrlPr>
                                    <a:rPr lang="ru-RU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bar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ba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2106C7-8F37-43BC-B18F-BFCB5BB7B504}"/>
                </a:ext>
              </a:extLst>
            </xdr:cNvPr>
            <xdr:cNvSpPr txBox="1"/>
          </xdr:nvSpPr>
          <xdr:spPr>
            <a:xfrm>
              <a:off x="8621166" y="12090400"/>
              <a:ext cx="3188893" cy="3838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"=𝜇_3/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^3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(∑▒〖〖(𝑥〗_𝑖−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𝑥)〗^3  𝑤_𝑖)/(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^3 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17</xdr:col>
      <xdr:colOff>359834</xdr:colOff>
      <xdr:row>79</xdr:row>
      <xdr:rowOff>27753</xdr:rowOff>
    </xdr:from>
    <xdr:to>
      <xdr:col>22</xdr:col>
      <xdr:colOff>816093</xdr:colOff>
      <xdr:row>93</xdr:row>
      <xdr:rowOff>136879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911E0BA2-B584-40A8-9E04-DBB1573B8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21</xdr:col>
      <xdr:colOff>250453</xdr:colOff>
      <xdr:row>79</xdr:row>
      <xdr:rowOff>8200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2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8AB42D42-AE28-4BB4-A638-EE9A431D71F6}"/>
                </a:ext>
              </a:extLst>
            </xdr14:cNvPr>
            <xdr14:cNvContentPartPr/>
          </xdr14:nvContentPartPr>
          <xdr14:nvPr macro=""/>
          <xdr14:xfrm>
            <a:off x="19816920" y="13825800"/>
            <a:ext cx="360" cy="36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BF31D8A6-00EB-0C94-4633-9A16CBBE84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799280" y="137178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66133</xdr:colOff>
      <xdr:row>81</xdr:row>
      <xdr:rowOff>20493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3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B37DA01F-10BC-4466-BD91-23359381CED5}"/>
                </a:ext>
              </a:extLst>
            </xdr14:cNvPr>
            <xdr14:cNvContentPartPr/>
          </xdr14:nvContentPartPr>
          <xdr14:nvPr macro=""/>
          <xdr14:xfrm>
            <a:off x="19632600" y="14227560"/>
            <a:ext cx="360" cy="3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C9D694AC-7F18-0744-B9DA-F2F9946E6A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614600" y="141195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575107</xdr:colOff>
      <xdr:row>82</xdr:row>
      <xdr:rowOff>45720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4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61F48064-B97E-4CF7-9A0D-1E5CA19AD65B}"/>
                </a:ext>
              </a:extLst>
            </xdr14:cNvPr>
            <xdr14:cNvContentPartPr/>
          </xdr14:nvContentPartPr>
          <xdr14:nvPr macro=""/>
          <xdr14:xfrm>
            <a:off x="19311840" y="14447520"/>
            <a:ext cx="360" cy="3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B7BB6673-D66E-9198-8F70-CE6672BFE7D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293840" y="14339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24</xdr:col>
      <xdr:colOff>190499</xdr:colOff>
      <xdr:row>79</xdr:row>
      <xdr:rowOff>12700</xdr:rowOff>
    </xdr:from>
    <xdr:to>
      <xdr:col>29</xdr:col>
      <xdr:colOff>613833</xdr:colOff>
      <xdr:row>93</xdr:row>
      <xdr:rowOff>29633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id="{A96AA2C6-5249-4ABA-946E-4D61E381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176687</xdr:colOff>
      <xdr:row>106</xdr:row>
      <xdr:rowOff>149948</xdr:rowOff>
    </xdr:from>
    <xdr:to>
      <xdr:col>26</xdr:col>
      <xdr:colOff>600020</xdr:colOff>
      <xdr:row>120</xdr:row>
      <xdr:rowOff>166881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id="{CD3962C1-920C-4804-A076-BAB2885C7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8964</xdr:colOff>
      <xdr:row>15</xdr:row>
      <xdr:rowOff>8965</xdr:rowOff>
    </xdr:from>
    <xdr:to>
      <xdr:col>26</xdr:col>
      <xdr:colOff>753035</xdr:colOff>
      <xdr:row>18</xdr:row>
      <xdr:rowOff>17929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C2DA099-8064-42C9-BB35-35964976AC58}"/>
                </a:ext>
              </a:extLst>
            </xdr:cNvPr>
            <xdr:cNvSpPr txBox="1"/>
          </xdr:nvSpPr>
          <xdr:spPr>
            <a:xfrm>
              <a:off x="8787622" y="4309568"/>
              <a:ext cx="1558262" cy="5935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ba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C2DA099-8064-42C9-BB35-35964976AC58}"/>
                </a:ext>
              </a:extLst>
            </xdr:cNvPr>
            <xdr:cNvSpPr txBox="1"/>
          </xdr:nvSpPr>
          <xdr:spPr>
            <a:xfrm>
              <a:off x="8787622" y="4309568"/>
              <a:ext cx="1558262" cy="5935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𝑥=(∑▒〖𝑥_𝑖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 〗)/(∑▒𝑤_𝑖 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8963</xdr:colOff>
      <xdr:row>18</xdr:row>
      <xdr:rowOff>8965</xdr:rowOff>
    </xdr:from>
    <xdr:to>
      <xdr:col>28</xdr:col>
      <xdr:colOff>846665</xdr:colOff>
      <xdr:row>22</xdr:row>
      <xdr:rowOff>8965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FF0DCAD7-10F2-4071-9642-0FC93D60DA7E}"/>
                </a:ext>
              </a:extLst>
            </xdr:cNvPr>
            <xdr:cNvSpPr txBox="1"/>
          </xdr:nvSpPr>
          <xdr:spPr>
            <a:xfrm>
              <a:off x="8787621" y="4894116"/>
              <a:ext cx="3196770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FF0DCAD7-10F2-4071-9642-0FC93D60DA7E}"/>
                </a:ext>
              </a:extLst>
            </xdr:cNvPr>
            <xdr:cNvSpPr txBox="1"/>
          </xdr:nvSpPr>
          <xdr:spPr>
            <a:xfrm>
              <a:off x="8787621" y="4894116"/>
              <a:ext cx="3196770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𝑜=𝑥_(𝑘−1)+〖∆𝑥〗_𝑘  (𝑦_𝑘−𝑦_(𝑘−1))/((𝑦_𝑘−𝑦_(𝑘−1) )+(𝑦_𝑘−𝑦_(𝑘+1)))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8964</xdr:colOff>
      <xdr:row>22</xdr:row>
      <xdr:rowOff>8965</xdr:rowOff>
    </xdr:from>
    <xdr:to>
      <xdr:col>28</xdr:col>
      <xdr:colOff>806823</xdr:colOff>
      <xdr:row>26</xdr:row>
      <xdr:rowOff>8964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D561DC82-1737-4D2A-B127-FED261D43397}"/>
                </a:ext>
              </a:extLst>
            </xdr:cNvPr>
            <xdr:cNvSpPr txBox="1"/>
          </xdr:nvSpPr>
          <xdr:spPr>
            <a:xfrm>
              <a:off x="8787622" y="5645677"/>
              <a:ext cx="3156927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D561DC82-1737-4D2A-B127-FED261D43397}"/>
                </a:ext>
              </a:extLst>
            </xdr:cNvPr>
            <xdr:cNvSpPr txBox="1"/>
          </xdr:nvSpPr>
          <xdr:spPr>
            <a:xfrm>
              <a:off x="8787622" y="5645677"/>
              <a:ext cx="3156927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𝑒=𝑥_(𝑘−1)+〖∆𝑥〗_𝑘  (1/2 ∑▒〖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_𝑖−𝑝_(𝑘−1) 〗)/𝑤_𝑘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13391</xdr:colOff>
      <xdr:row>22</xdr:row>
      <xdr:rowOff>20696</xdr:rowOff>
    </xdr:from>
    <xdr:to>
      <xdr:col>28</xdr:col>
      <xdr:colOff>846666</xdr:colOff>
      <xdr:row>26</xdr:row>
      <xdr:rowOff>20695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FC7F9819-E9BA-4F6A-B0F2-3B49B92FD4DA}"/>
                </a:ext>
              </a:extLst>
            </xdr:cNvPr>
            <xdr:cNvSpPr txBox="1"/>
          </xdr:nvSpPr>
          <xdr:spPr>
            <a:xfrm>
              <a:off x="8792049" y="5657408"/>
              <a:ext cx="3192343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FC7F9819-E9BA-4F6A-B0F2-3B49B92FD4DA}"/>
                </a:ext>
              </a:extLst>
            </xdr:cNvPr>
            <xdr:cNvSpPr txBox="1"/>
          </xdr:nvSpPr>
          <xdr:spPr>
            <a:xfrm>
              <a:off x="8792049" y="5657408"/>
              <a:ext cx="3192343" cy="75156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𝑒=𝑥_(𝑘−1)+〖∆𝑥〗_𝑘  (1/2 ∑▒〖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_𝑖−𝑝_(𝑘−1) 〗)/𝑤_𝑘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24</xdr:col>
      <xdr:colOff>1068902</xdr:colOff>
      <xdr:row>28</xdr:row>
      <xdr:rowOff>3762</xdr:rowOff>
    </xdr:from>
    <xdr:to>
      <xdr:col>28</xdr:col>
      <xdr:colOff>846667</xdr:colOff>
      <xdr:row>31</xdr:row>
      <xdr:rowOff>178740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28DC80A9-587F-4EA0-8747-89BBE12E6B29}"/>
                </a:ext>
              </a:extLst>
            </xdr:cNvPr>
            <xdr:cNvSpPr txBox="1"/>
          </xdr:nvSpPr>
          <xdr:spPr>
            <a:xfrm>
              <a:off x="8772409" y="6767817"/>
              <a:ext cx="3211984" cy="738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             </a:t>
              </a:r>
              <a14:m>
                <m:oMath xmlns:m="http://schemas.openxmlformats.org/officeDocument/2006/math">
                  <m:r>
                    <a:rPr lang="ru-RU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КД= </m:t>
                  </m:r>
                  <m:f>
                    <m:fPr>
                      <m:ctrlP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</m:sSub>
                      <m:f>
                        <m:f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ru-RU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9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den>
                          </m:f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b>
                              </m:sSub>
                            </m:e>
                          </m:nary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</m:sSub>
                        </m:den>
                      </m:f>
                    </m:num>
                    <m:den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</m:sSub>
                      <m:f>
                        <m:f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f>
                            <m:f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den>
                          </m:f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sub>
                              </m:sSub>
                            </m:e>
                          </m:nary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</m:sSub>
                        </m:den>
                      </m:f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28DC80A9-587F-4EA0-8747-89BBE12E6B29}"/>
                </a:ext>
              </a:extLst>
            </xdr:cNvPr>
            <xdr:cNvSpPr txBox="1"/>
          </xdr:nvSpPr>
          <xdr:spPr>
            <a:xfrm>
              <a:off x="8772409" y="6767817"/>
              <a:ext cx="3211984" cy="738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             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КД=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𝑥_(𝑘−1)+〖∆𝑥〗_𝑘  (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/10 ∑▒〖𝑤_𝑖−𝑝_(𝑘−1) 〗)/𝑤_𝑘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𝑥_(𝑘−1)+〖∆𝑥〗_𝑘  (1/10 ∑▒〖𝑤_𝑖−𝑝_(𝑘−1) 〗)/𝑤_𝑘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𝐷_9/𝐷_1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7745</xdr:colOff>
      <xdr:row>31</xdr:row>
      <xdr:rowOff>165570</xdr:rowOff>
    </xdr:from>
    <xdr:to>
      <xdr:col>27</xdr:col>
      <xdr:colOff>1</xdr:colOff>
      <xdr:row>34</xdr:row>
      <xdr:rowOff>169333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538384E1-3912-46D3-9731-0CAE554D1164}"/>
                </a:ext>
              </a:extLst>
            </xdr:cNvPr>
            <xdr:cNvSpPr txBox="1"/>
          </xdr:nvSpPr>
          <xdr:spPr>
            <a:xfrm>
              <a:off x="8786403" y="7493296"/>
              <a:ext cx="1578886" cy="5674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̿"/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̿"/>
                                <m:ctrlPr>
                                  <a:rPr lang="ru-RU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538384E1-3912-46D3-9731-0CAE554D1164}"/>
                </a:ext>
              </a:extLst>
            </xdr:cNvPr>
            <xdr:cNvSpPr txBox="1"/>
          </xdr:nvSpPr>
          <xdr:spPr>
            <a:xfrm>
              <a:off x="8786403" y="7493296"/>
              <a:ext cx="1578886" cy="5674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К_Ф=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̿_</a:t>
              </a:r>
              <a:r>
                <a:rPr lang="en-US" sz="1100" b="0" i="0">
                  <a:latin typeface="Cambria Math" panose="02040503050406030204" pitchFamily="18" charset="0"/>
                </a:rPr>
                <a:t>10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̿_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219</xdr:colOff>
      <xdr:row>36</xdr:row>
      <xdr:rowOff>176858</xdr:rowOff>
    </xdr:from>
    <xdr:to>
      <xdr:col>28</xdr:col>
      <xdr:colOff>846667</xdr:colOff>
      <xdr:row>40</xdr:row>
      <xdr:rowOff>1881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F971BC6-AC96-4514-ABD4-C93201AFF52F}"/>
                </a:ext>
              </a:extLst>
            </xdr:cNvPr>
            <xdr:cNvSpPr txBox="1"/>
          </xdr:nvSpPr>
          <xdr:spPr>
            <a:xfrm>
              <a:off x="8778877" y="8444036"/>
              <a:ext cx="3205516" cy="5765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G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+1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F971BC6-AC96-4514-ABD4-C93201AFF52F}"/>
                </a:ext>
              </a:extLst>
            </xdr:cNvPr>
            <xdr:cNvSpPr txBox="1"/>
          </xdr:nvSpPr>
          <xdr:spPr>
            <a:xfrm>
              <a:off x="8778877" y="8444036"/>
              <a:ext cx="3205516" cy="5765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G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=∑▒〖𝑝_𝑖 𝑞_(𝑖+1)−∑▒〖𝑝_(𝑖+1) 𝑞_𝑖 〗〗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11508</xdr:colOff>
      <xdr:row>40</xdr:row>
      <xdr:rowOff>-1</xdr:rowOff>
    </xdr:from>
    <xdr:to>
      <xdr:col>29</xdr:col>
      <xdr:colOff>1882</xdr:colOff>
      <xdr:row>43</xdr:row>
      <xdr:rowOff>3763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E56062DA-411E-4850-AC2E-C7245C207FDE}"/>
                </a:ext>
              </a:extLst>
            </xdr:cNvPr>
            <xdr:cNvSpPr txBox="1"/>
          </xdr:nvSpPr>
          <xdr:spPr>
            <a:xfrm>
              <a:off x="8790166" y="9018739"/>
              <a:ext cx="3205387" cy="567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E56062DA-411E-4850-AC2E-C7245C207FDE}"/>
                </a:ext>
              </a:extLst>
            </xdr:cNvPr>
            <xdr:cNvSpPr txBox="1"/>
          </xdr:nvSpPr>
          <xdr:spPr>
            <a:xfrm>
              <a:off x="8790166" y="9018739"/>
              <a:ext cx="3205387" cy="567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=1/2 ∑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〖|𝑤_𝑖−𝑑_𝑖 |〗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13389</xdr:colOff>
      <xdr:row>43</xdr:row>
      <xdr:rowOff>1880</xdr:rowOff>
    </xdr:from>
    <xdr:to>
      <xdr:col>29</xdr:col>
      <xdr:colOff>3763</xdr:colOff>
      <xdr:row>46</xdr:row>
      <xdr:rowOff>5644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E3776F7-5C26-46E6-AD1F-FD206DE7FCE3}"/>
                </a:ext>
              </a:extLst>
            </xdr:cNvPr>
            <xdr:cNvSpPr txBox="1"/>
          </xdr:nvSpPr>
          <xdr:spPr>
            <a:xfrm>
              <a:off x="8792047" y="9584291"/>
              <a:ext cx="3205387" cy="567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Sup>
                        <m:sSub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E3776F7-5C26-46E6-AD1F-FD206DE7FCE3}"/>
                </a:ext>
              </a:extLst>
            </xdr:cNvPr>
            <xdr:cNvSpPr txBox="1"/>
          </xdr:nvSpPr>
          <xdr:spPr>
            <a:xfrm>
              <a:off x="8792047" y="9584291"/>
              <a:ext cx="3205387" cy="567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</a:p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𝑑_𝑖^2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3982</xdr:colOff>
      <xdr:row>46</xdr:row>
      <xdr:rowOff>161806</xdr:rowOff>
    </xdr:from>
    <xdr:to>
      <xdr:col>28</xdr:col>
      <xdr:colOff>850430</xdr:colOff>
      <xdr:row>49</xdr:row>
      <xdr:rowOff>9408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6236D1CF-765D-4007-8651-9DCD07A84BF2}"/>
                </a:ext>
              </a:extLst>
            </xdr:cNvPr>
            <xdr:cNvSpPr txBox="1"/>
          </xdr:nvSpPr>
          <xdr:spPr>
            <a:xfrm>
              <a:off x="8782640" y="10307888"/>
              <a:ext cx="3205516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bar>
                                <m:barPr>
                                  <m:pos m:val="top"/>
                                  <m:ctrlPr>
                                    <a:rPr lang="ru-RU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bar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ba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6236D1CF-765D-4007-8651-9DCD07A84BF2}"/>
                </a:ext>
              </a:extLst>
            </xdr:cNvPr>
            <xdr:cNvSpPr txBox="1"/>
          </xdr:nvSpPr>
          <xdr:spPr>
            <a:xfrm>
              <a:off x="8782640" y="10307888"/>
              <a:ext cx="3205516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=(∑▒〖〖(𝑥〗_𝑖−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𝑥)〗^2  𝑤_𝑖)/(∑▒𝑤_𝑖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24</xdr:col>
      <xdr:colOff>1068900</xdr:colOff>
      <xdr:row>49</xdr:row>
      <xdr:rowOff>13168</xdr:rowOff>
    </xdr:from>
    <xdr:to>
      <xdr:col>27</xdr:col>
      <xdr:colOff>0</xdr:colOff>
      <xdr:row>50</xdr:row>
      <xdr:rowOff>169332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EDBE57DD-166C-434D-8CF7-4DD317C0B475}"/>
                </a:ext>
              </a:extLst>
            </xdr:cNvPr>
            <xdr:cNvSpPr txBox="1"/>
          </xdr:nvSpPr>
          <xdr:spPr>
            <a:xfrm>
              <a:off x="8772407" y="10722921"/>
              <a:ext cx="1592881" cy="34405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σ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</m:ra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EDBE57DD-166C-434D-8CF7-4DD317C0B475}"/>
                </a:ext>
              </a:extLst>
            </xdr:cNvPr>
            <xdr:cNvSpPr txBox="1"/>
          </xdr:nvSpPr>
          <xdr:spPr>
            <a:xfrm>
              <a:off x="8772407" y="10722921"/>
              <a:ext cx="1592881" cy="34405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=√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5864</xdr:colOff>
      <xdr:row>50</xdr:row>
      <xdr:rowOff>173095</xdr:rowOff>
    </xdr:from>
    <xdr:to>
      <xdr:col>28</xdr:col>
      <xdr:colOff>852312</xdr:colOff>
      <xdr:row>53</xdr:row>
      <xdr:rowOff>20697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82F7A78-D548-4280-9C9D-E79FC90399D7}"/>
                </a:ext>
              </a:extLst>
            </xdr:cNvPr>
            <xdr:cNvSpPr txBox="1"/>
          </xdr:nvSpPr>
          <xdr:spPr>
            <a:xfrm>
              <a:off x="8784522" y="11070739"/>
              <a:ext cx="3205516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V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num>
                    <m:den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bar>
                    </m:den>
                  </m:f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82F7A78-D548-4280-9C9D-E79FC90399D7}"/>
                </a:ext>
              </a:extLst>
            </xdr:cNvPr>
            <xdr:cNvSpPr txBox="1"/>
          </xdr:nvSpPr>
          <xdr:spPr>
            <a:xfrm>
              <a:off x="8784522" y="11070739"/>
              <a:ext cx="3205516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V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𝑥∗100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24</xdr:col>
      <xdr:colOff>1070782</xdr:colOff>
      <xdr:row>53</xdr:row>
      <xdr:rowOff>15051</xdr:rowOff>
    </xdr:from>
    <xdr:to>
      <xdr:col>28</xdr:col>
      <xdr:colOff>844786</xdr:colOff>
      <xdr:row>55</xdr:row>
      <xdr:rowOff>41393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37794656-F7E2-4D5F-85CC-124E1F47C6BD}"/>
                </a:ext>
              </a:extLst>
            </xdr:cNvPr>
            <xdr:cNvSpPr txBox="1"/>
          </xdr:nvSpPr>
          <xdr:spPr>
            <a:xfrm>
              <a:off x="8774289" y="11476366"/>
              <a:ext cx="3208223" cy="4021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|</m:t>
                              </m: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bar>
                            <m:barPr>
                              <m:pos m:val="top"/>
                              <m:ctrlPr>
                                <a:rPr lang="ru-RU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bar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bar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37794656-F7E2-4D5F-85CC-124E1F47C6BD}"/>
                </a:ext>
              </a:extLst>
            </xdr:cNvPr>
            <xdr:cNvSpPr txBox="1"/>
          </xdr:nvSpPr>
          <xdr:spPr>
            <a:xfrm>
              <a:off x="8774289" y="11476366"/>
              <a:ext cx="3208223" cy="4021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=(∑▒〖〖|𝑥〗_𝑖−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𝑥|〗 𝑤_𝑖)/(∑▒𝑤_𝑖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9626</xdr:colOff>
      <xdr:row>56</xdr:row>
      <xdr:rowOff>176859</xdr:rowOff>
    </xdr:from>
    <xdr:to>
      <xdr:col>29</xdr:col>
      <xdr:colOff>0</xdr:colOff>
      <xdr:row>59</xdr:row>
      <xdr:rowOff>24460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9144B06-CEC8-4BBD-8CE6-A7C27BD78D43}"/>
                </a:ext>
              </a:extLst>
            </xdr:cNvPr>
            <xdr:cNvSpPr txBox="1"/>
          </xdr:nvSpPr>
          <xdr:spPr>
            <a:xfrm>
              <a:off x="8788284" y="12201845"/>
              <a:ext cx="3205387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ас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bar>
                        <m:barPr>
                          <m:pos m:val="top"/>
                          <m:ctrlPr>
                            <a:rPr lang="ru-RU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bar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bar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ru-RU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𝑜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9144B06-CEC8-4BBD-8CE6-A7C27BD78D43}"/>
                </a:ext>
              </a:extLst>
            </xdr:cNvPr>
            <xdr:cNvSpPr txBox="1"/>
          </xdr:nvSpPr>
          <xdr:spPr>
            <a:xfrm>
              <a:off x="8788284" y="12201845"/>
              <a:ext cx="3205387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ас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𝑜)/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11507</xdr:colOff>
      <xdr:row>58</xdr:row>
      <xdr:rowOff>169333</xdr:rowOff>
    </xdr:from>
    <xdr:to>
      <xdr:col>29</xdr:col>
      <xdr:colOff>1881</xdr:colOff>
      <xdr:row>61</xdr:row>
      <xdr:rowOff>16935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08D2EE95-2BF6-4BE6-BC66-6ECBBB283E2C}"/>
                </a:ext>
              </a:extLst>
            </xdr:cNvPr>
            <xdr:cNvSpPr txBox="1"/>
          </xdr:nvSpPr>
          <xdr:spPr>
            <a:xfrm>
              <a:off x="8790165" y="12570100"/>
              <a:ext cx="3205387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</m:sSup>
                    </m:den>
                  </m:f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−3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08D2EE95-2BF6-4BE6-BC66-6ECBBB283E2C}"/>
                </a:ext>
              </a:extLst>
            </xdr:cNvPr>
            <xdr:cNvSpPr txBox="1"/>
          </xdr:nvSpPr>
          <xdr:spPr>
            <a:xfrm>
              <a:off x="8790165" y="12570100"/>
              <a:ext cx="3205387" cy="41127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"=𝜇_4/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^4 −3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25</xdr:col>
      <xdr:colOff>22796</xdr:colOff>
      <xdr:row>61</xdr:row>
      <xdr:rowOff>11289</xdr:rowOff>
    </xdr:from>
    <xdr:to>
      <xdr:col>29</xdr:col>
      <xdr:colOff>13170</xdr:colOff>
      <xdr:row>63</xdr:row>
      <xdr:rowOff>37631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779A52C-A641-47BC-BF30-324A1CDF5A01}"/>
                </a:ext>
              </a:extLst>
            </xdr:cNvPr>
            <xdr:cNvSpPr txBox="1"/>
          </xdr:nvSpPr>
          <xdr:spPr>
            <a:xfrm>
              <a:off x="8801454" y="12975727"/>
              <a:ext cx="3205387" cy="4021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A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den>
                  </m:f>
                  <m:r>
                    <a:rPr lang="ru-RU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bar>
                                <m:barPr>
                                  <m:pos m:val="top"/>
                                  <m:ctrlPr>
                                    <a:rPr lang="ru-RU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barPr>
                                <m:e>
                                  <m:r>
                                    <a:rPr lang="en-US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bar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e>
                      </m:nary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σ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779A52C-A641-47BC-BF30-324A1CDF5A01}"/>
                </a:ext>
              </a:extLst>
            </xdr:cNvPr>
            <xdr:cNvSpPr txBox="1"/>
          </xdr:nvSpPr>
          <xdr:spPr>
            <a:xfrm>
              <a:off x="8801454" y="12975727"/>
              <a:ext cx="3205387" cy="4021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</a:t>
              </a:r>
              <a:r>
                <a:rPr lang="ru-RU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"=𝜇_3/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^3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(∑▒〖〖(𝑥〗_𝑖−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𝑥)〗^3  𝑤_𝑖)/(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^3 ∑▒𝑤_𝑖 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1051889</xdr:colOff>
      <xdr:row>123</xdr:row>
      <xdr:rowOff>21299</xdr:rowOff>
    </xdr:from>
    <xdr:to>
      <xdr:col>24</xdr:col>
      <xdr:colOff>149676</xdr:colOff>
      <xdr:row>146</xdr:row>
      <xdr:rowOff>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12D010E-22B4-C912-6D56-C0F3155FAAB4}"/>
            </a:ext>
          </a:extLst>
        </xdr:cNvPr>
        <xdr:cNvSpPr txBox="1"/>
      </xdr:nvSpPr>
      <xdr:spPr>
        <a:xfrm>
          <a:off x="8778215" y="24228090"/>
          <a:ext cx="15020042" cy="4258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2000"/>
            <a:t>По</a:t>
          </a:r>
          <a:r>
            <a:rPr lang="ru-RU" sz="2000" baseline="0"/>
            <a:t> данным на конец 2021 года о Челябинской области по отношению к Российской федерации можно сделать следующие выводы</a:t>
          </a:r>
          <a:r>
            <a:rPr lang="en-US" sz="2000" baseline="0"/>
            <a:t>:</a:t>
          </a:r>
        </a:p>
        <a:p>
          <a:pPr algn="l"/>
          <a:r>
            <a:rPr lang="en-US" sz="2000" baseline="0"/>
            <a:t>- </a:t>
          </a:r>
          <a:r>
            <a:rPr lang="ru-RU" sz="2000" baseline="0"/>
            <a:t>Средний душевой доход населения региона ниже</a:t>
          </a:r>
          <a:r>
            <a:rPr lang="en-US" sz="2000" baseline="0"/>
            <a:t>, </a:t>
          </a:r>
          <a:r>
            <a:rPr lang="ru-RU" sz="2000" baseline="0"/>
            <a:t>чем по стране (28958</a:t>
          </a:r>
          <a:r>
            <a:rPr lang="en-US" sz="2000" baseline="0"/>
            <a:t> </a:t>
          </a:r>
          <a:r>
            <a:rPr lang="ru-RU" sz="2000" baseline="0"/>
            <a:t>рублей против 35176 рублей)</a:t>
          </a:r>
          <a:r>
            <a:rPr lang="en-US" sz="2000" baseline="0"/>
            <a:t>. </a:t>
          </a:r>
          <a:r>
            <a:rPr lang="ru-RU" sz="2000" baseline="0"/>
            <a:t>Половина населения имеет доход не выше 24574</a:t>
          </a:r>
          <a:r>
            <a:rPr lang="en-US" sz="2000" baseline="0"/>
            <a:t>,66 </a:t>
          </a:r>
          <a:r>
            <a:rPr lang="ru-RU" sz="2000" baseline="0"/>
            <a:t>рублей</a:t>
          </a:r>
          <a:r>
            <a:rPr lang="en-US" sz="2000" baseline="0"/>
            <a:t>, </a:t>
          </a:r>
          <a:r>
            <a:rPr lang="ru-RU" sz="2000" baseline="0"/>
            <a:t>в то время как в РФ 29760</a:t>
          </a:r>
          <a:r>
            <a:rPr lang="en-US" sz="2000" baseline="0"/>
            <a:t>,23, </a:t>
          </a:r>
          <a:r>
            <a:rPr lang="ru-RU" sz="2000" baseline="0"/>
            <a:t>а самым распространенным является доход 16462</a:t>
          </a:r>
          <a:r>
            <a:rPr lang="en-US" sz="2000" baseline="0"/>
            <a:t>,</a:t>
          </a:r>
          <a:r>
            <a:rPr lang="ru-RU" sz="2000" baseline="0"/>
            <a:t>01 рублей</a:t>
          </a:r>
          <a:r>
            <a:rPr lang="en-US" sz="2000" baseline="0"/>
            <a:t>, </a:t>
          </a:r>
          <a:r>
            <a:rPr lang="ru-RU" sz="2000" baseline="0"/>
            <a:t>что ниже чем по стране 16903</a:t>
          </a:r>
          <a:r>
            <a:rPr lang="en-US" sz="2000" baseline="0"/>
            <a:t>,23 </a:t>
          </a:r>
          <a:r>
            <a:rPr lang="ru-RU" sz="2000" baseline="0"/>
            <a:t>рублей</a:t>
          </a:r>
          <a:endParaRPr lang="en-US" sz="2000" baseline="0"/>
        </a:p>
        <a:p>
          <a:pPr algn="l"/>
          <a:r>
            <a:rPr lang="en-US" sz="2000" baseline="0"/>
            <a:t>-</a:t>
          </a:r>
          <a:r>
            <a:rPr lang="ru-RU" sz="2000" baseline="0"/>
            <a:t> Разница между доходами 10% наиболее обеспеченного населения и 10% наиболее обеспеченного населения более чем 5</a:t>
          </a:r>
          <a:r>
            <a:rPr lang="en-US" sz="2000" baseline="0"/>
            <a:t>,1 </a:t>
          </a:r>
          <a:r>
            <a:rPr lang="ru-RU" sz="2000" baseline="0"/>
            <a:t>раз</a:t>
          </a:r>
          <a:r>
            <a:rPr lang="en-US" sz="2000" baseline="0"/>
            <a:t>, </a:t>
          </a:r>
          <a:r>
            <a:rPr lang="ru-RU" sz="2000" baseline="0"/>
            <a:t>тогда как по стране 6</a:t>
          </a:r>
          <a:r>
            <a:rPr lang="en-US" sz="2000" baseline="0"/>
            <a:t>,2 </a:t>
          </a:r>
          <a:r>
            <a:rPr lang="ru-RU" sz="2000" baseline="0"/>
            <a:t>раза</a:t>
          </a:r>
          <a:endParaRPr lang="en-US" sz="2000" baseline="0"/>
        </a:p>
        <a:p>
          <a:pPr algn="l"/>
          <a:r>
            <a:rPr lang="en-US" sz="2000" baseline="0"/>
            <a:t>-</a:t>
          </a:r>
          <a:r>
            <a:rPr lang="ru-RU" sz="2000" baseline="0"/>
            <a:t> Наблюдает среднее неравенство в доходах в регионе на основании коэффициента Джини 0</a:t>
          </a:r>
          <a:r>
            <a:rPr lang="en-US" sz="2000" baseline="0"/>
            <a:t>,3</a:t>
          </a:r>
          <a:r>
            <a:rPr lang="ru-RU" sz="2000" baseline="0"/>
            <a:t> и Лоренца</a:t>
          </a:r>
          <a:r>
            <a:rPr lang="en-US" sz="2000" baseline="0"/>
            <a:t> 0,226, </a:t>
          </a:r>
          <a:r>
            <a:rPr lang="ru-RU" sz="2000" baseline="0"/>
            <a:t>чуть выше</a:t>
          </a:r>
          <a:r>
            <a:rPr lang="en-US" sz="2000" baseline="0"/>
            <a:t>, </a:t>
          </a:r>
          <a:r>
            <a:rPr lang="ru-RU" sz="2000" baseline="0"/>
            <a:t>чем по стране</a:t>
          </a:r>
          <a:endParaRPr lang="en-US" sz="2000" baseline="0"/>
        </a:p>
        <a:p>
          <a:pPr algn="l"/>
          <a:r>
            <a:rPr lang="en-US" sz="2000" baseline="0"/>
            <a:t>- </a:t>
          </a:r>
          <a:r>
            <a:rPr lang="ru-RU" sz="2000" baseline="0"/>
            <a:t>Согласно коэффициенту Херфиндаля рынок Челябинской области является менее концентрированным</a:t>
          </a:r>
          <a:r>
            <a:rPr lang="en-US" sz="2000" baseline="0"/>
            <a:t>, </a:t>
          </a:r>
          <a:r>
            <a:rPr lang="ru-RU" sz="2000" baseline="0"/>
            <a:t>чем по Российской Федерации</a:t>
          </a:r>
          <a:endParaRPr lang="ru-RU" sz="20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0.65917</cdr:x>
      <cdr:y>0.31121</cdr:y>
    </cdr:from>
    <cdr:to>
      <cdr:x>0.76986</cdr:x>
      <cdr:y>0.39488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56B02422-9B43-9869-6F79-B9F23D34C43D}"/>
            </a:ext>
          </a:extLst>
        </cdr:cNvPr>
        <cdr:cNvCxnSpPr/>
      </cdr:nvCxnSpPr>
      <cdr:spPr>
        <a:xfrm xmlns:a="http://schemas.openxmlformats.org/drawingml/2006/main" flipH="1">
          <a:off x="3025293" y="858938"/>
          <a:ext cx="508000" cy="2309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0.65917</cdr:x>
      <cdr:y>0.30954</cdr:y>
    </cdr:from>
    <cdr:to>
      <cdr:x>0.77187</cdr:x>
      <cdr:y>0.73121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92ECB4B-3B6A-8407-2BB1-265C5DF4F6E4}"/>
            </a:ext>
          </a:extLst>
        </cdr:cNvPr>
        <cdr:cNvCxnSpPr/>
      </cdr:nvCxnSpPr>
      <cdr:spPr>
        <a:xfrm xmlns:a="http://schemas.openxmlformats.org/drawingml/2006/main">
          <a:off x="3025293" y="854319"/>
          <a:ext cx="517236" cy="11637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0.67728</cdr:x>
      <cdr:y>0.37814</cdr:y>
    </cdr:from>
    <cdr:to>
      <cdr:x>0.6793</cdr:x>
      <cdr:y>0.92029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E62B1ECB-6983-2C23-8B10-EAD2FCD9D64E}"/>
            </a:ext>
          </a:extLst>
        </cdr:cNvPr>
        <cdr:cNvCxnSpPr/>
      </cdr:nvCxnSpPr>
      <cdr:spPr>
        <a:xfrm xmlns:a="http://schemas.openxmlformats.org/drawingml/2006/main">
          <a:off x="3108420" y="1043665"/>
          <a:ext cx="9237" cy="149629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0.29908</cdr:x>
      <cdr:y>0.58396</cdr:y>
    </cdr:from>
    <cdr:to>
      <cdr:x>0.30031</cdr:x>
      <cdr:y>0.88874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13EACF08-0DE9-F662-D9F5-7D2A998BA26C}"/>
            </a:ext>
          </a:extLst>
        </cdr:cNvPr>
        <cdr:cNvCxnSpPr/>
      </cdr:nvCxnSpPr>
      <cdr:spPr>
        <a:xfrm xmlns:a="http://schemas.openxmlformats.org/drawingml/2006/main">
          <a:off x="1367394" y="1601919"/>
          <a:ext cx="5624" cy="8360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0.07963</cdr:x>
      <cdr:y>0.58604</cdr:y>
    </cdr:from>
    <cdr:to>
      <cdr:x>0.29908</cdr:x>
      <cdr:y>0.58604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28E3BA52-22C8-1E33-BBCE-B5A6033CEEC8}"/>
            </a:ext>
          </a:extLst>
        </cdr:cNvPr>
        <cdr:cNvCxnSpPr/>
      </cdr:nvCxnSpPr>
      <cdr:spPr>
        <a:xfrm xmlns:a="http://schemas.openxmlformats.org/drawingml/2006/main" flipH="1">
          <a:off x="363378" y="1570604"/>
          <a:ext cx="100145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0.11934</cdr:x>
      <cdr:y>0.29303</cdr:y>
    </cdr:from>
    <cdr:to>
      <cdr:x>0.80808</cdr:x>
      <cdr:y>0.88975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8E797E1D-046B-9E64-9222-F2AD675978C5}"/>
            </a:ext>
          </a:extLst>
        </cdr:cNvPr>
        <cdr:cNvCxnSpPr/>
      </cdr:nvCxnSpPr>
      <cdr:spPr>
        <a:xfrm xmlns:a="http://schemas.openxmlformats.org/drawingml/2006/main" flipV="1">
          <a:off x="544890" y="798891"/>
          <a:ext cx="3144762" cy="16268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0.65917</cdr:x>
      <cdr:y>0.31121</cdr:y>
    </cdr:from>
    <cdr:to>
      <cdr:x>0.76986</cdr:x>
      <cdr:y>0.39488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56B02422-9B43-9869-6F79-B9F23D34C43D}"/>
            </a:ext>
          </a:extLst>
        </cdr:cNvPr>
        <cdr:cNvCxnSpPr/>
      </cdr:nvCxnSpPr>
      <cdr:spPr>
        <a:xfrm xmlns:a="http://schemas.openxmlformats.org/drawingml/2006/main" flipH="1">
          <a:off x="3025293" y="858938"/>
          <a:ext cx="508000" cy="2309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0.65917</cdr:x>
      <cdr:y>0.30954</cdr:y>
    </cdr:from>
    <cdr:to>
      <cdr:x>0.77187</cdr:x>
      <cdr:y>0.73121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92ECB4B-3B6A-8407-2BB1-265C5DF4F6E4}"/>
            </a:ext>
          </a:extLst>
        </cdr:cNvPr>
        <cdr:cNvCxnSpPr/>
      </cdr:nvCxnSpPr>
      <cdr:spPr>
        <a:xfrm xmlns:a="http://schemas.openxmlformats.org/drawingml/2006/main">
          <a:off x="3025293" y="854319"/>
          <a:ext cx="517236" cy="11637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0.67728</cdr:x>
      <cdr:y>0.37814</cdr:y>
    </cdr:from>
    <cdr:to>
      <cdr:x>0.6793</cdr:x>
      <cdr:y>0.92029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E62B1ECB-6983-2C23-8B10-EAD2FCD9D64E}"/>
            </a:ext>
          </a:extLst>
        </cdr:cNvPr>
        <cdr:cNvCxnSpPr/>
      </cdr:nvCxnSpPr>
      <cdr:spPr>
        <a:xfrm xmlns:a="http://schemas.openxmlformats.org/drawingml/2006/main">
          <a:off x="3108420" y="1043665"/>
          <a:ext cx="9237" cy="149629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0.29908</cdr:x>
      <cdr:y>0.58396</cdr:y>
    </cdr:from>
    <cdr:to>
      <cdr:x>0.30031</cdr:x>
      <cdr:y>0.88874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13EACF08-0DE9-F662-D9F5-7D2A998BA26C}"/>
            </a:ext>
          </a:extLst>
        </cdr:cNvPr>
        <cdr:cNvCxnSpPr/>
      </cdr:nvCxnSpPr>
      <cdr:spPr>
        <a:xfrm xmlns:a="http://schemas.openxmlformats.org/drawingml/2006/main">
          <a:off x="1367394" y="1601919"/>
          <a:ext cx="5624" cy="8360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0.07963</cdr:x>
      <cdr:y>0.58604</cdr:y>
    </cdr:from>
    <cdr:to>
      <cdr:x>0.29908</cdr:x>
      <cdr:y>0.58604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28E3BA52-22C8-1E33-BBCE-B5A6033CEEC8}"/>
            </a:ext>
          </a:extLst>
        </cdr:cNvPr>
        <cdr:cNvCxnSpPr/>
      </cdr:nvCxnSpPr>
      <cdr:spPr>
        <a:xfrm xmlns:a="http://schemas.openxmlformats.org/drawingml/2006/main" flipH="1">
          <a:off x="363378" y="1570604"/>
          <a:ext cx="100145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0.11934</cdr:x>
      <cdr:y>0.29303</cdr:y>
    </cdr:from>
    <cdr:to>
      <cdr:x>0.80808</cdr:x>
      <cdr:y>0.88975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8E797E1D-046B-9E64-9222-F2AD675978C5}"/>
            </a:ext>
          </a:extLst>
        </cdr:cNvPr>
        <cdr:cNvCxnSpPr/>
      </cdr:nvCxnSpPr>
      <cdr:spPr>
        <a:xfrm xmlns:a="http://schemas.openxmlformats.org/drawingml/2006/main" flipV="1">
          <a:off x="544890" y="798891"/>
          <a:ext cx="3144762" cy="16268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3T09:41:45.02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3T09:41:45.58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3T09:41:41.49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  <inkml:trace contextRef="#ctx0" brushRef="#br0" timeOffset="167">0 1 16383,'0'0'0</inkml:trace>
  <inkml:trace contextRef="#ctx0" brushRef="#br0" timeOffset="1593">0 1 16383,'0'0'0</inkml:trace>
  <inkml:trace contextRef="#ctx0" brushRef="#br0" timeOffset="2375">0 1 16383,'0'0'0</inkml:trace>
  <inkml:trace contextRef="#ctx0" brushRef="#br0" timeOffset="2538">0 1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11:01:30.74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11:01:30.744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25T11:01:30.74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  <inkml:trace contextRef="#ctx0" brushRef="#br0" timeOffset="1">0 1 16383,'0'0'0</inkml:trace>
  <inkml:trace contextRef="#ctx0" brushRef="#br0" timeOffset="2">0 1 16383,'0'0'0</inkml:trace>
  <inkml:trace contextRef="#ctx0" brushRef="#br0" timeOffset="3">0 1 16383,'0'0'0</inkml:trace>
  <inkml:trace contextRef="#ctx0" brushRef="#br0" timeOffset="4">0 1 16383,'0'0'0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F848-87DB-2944-B2C9-F38DD4CE6880}">
  <sheetPr>
    <tabColor rgb="FFFF0000"/>
  </sheetPr>
  <dimension ref="A1:AI119"/>
  <sheetViews>
    <sheetView tabSelected="1" topLeftCell="F110" zoomScale="67" zoomScaleNormal="85" workbookViewId="0">
      <selection activeCell="N14" sqref="N14"/>
    </sheetView>
  </sheetViews>
  <sheetFormatPr defaultColWidth="11.44140625" defaultRowHeight="14.4" x14ac:dyDescent="0.3"/>
  <cols>
    <col min="1" max="1" width="11.21875" bestFit="1" customWidth="1"/>
    <col min="2" max="2" width="6.6640625" customWidth="1"/>
    <col min="3" max="3" width="16.6640625" customWidth="1"/>
    <col min="4" max="4" width="41.44140625" customWidth="1"/>
    <col min="5" max="5" width="10.6640625" customWidth="1"/>
    <col min="6" max="6" width="12" customWidth="1"/>
    <col min="7" max="7" width="13.77734375" bestFit="1" customWidth="1"/>
    <col min="8" max="8" width="15.6640625" customWidth="1"/>
    <col min="9" max="9" width="11.88671875" customWidth="1"/>
    <col min="10" max="11" width="11.44140625" bestFit="1" customWidth="1"/>
    <col min="12" max="12" width="12.6640625" bestFit="1" customWidth="1"/>
    <col min="13" max="14" width="11.33203125" bestFit="1" customWidth="1"/>
    <col min="15" max="15" width="13.77734375" bestFit="1" customWidth="1"/>
    <col min="16" max="16" width="12.88671875" bestFit="1" customWidth="1"/>
    <col min="17" max="17" width="12.33203125" customWidth="1"/>
    <col min="18" max="18" width="11.77734375" bestFit="1" customWidth="1"/>
    <col min="19" max="19" width="11.6640625" bestFit="1" customWidth="1"/>
    <col min="20" max="20" width="17.88671875" customWidth="1"/>
    <col min="21" max="21" width="31.109375" customWidth="1"/>
    <col min="22" max="28" width="11.6640625" bestFit="1" customWidth="1"/>
    <col min="29" max="29" width="12" bestFit="1" customWidth="1"/>
    <col min="30" max="31" width="11.6640625" bestFit="1" customWidth="1"/>
    <col min="32" max="32" width="12.109375" bestFit="1" customWidth="1"/>
    <col min="33" max="33" width="12.77734375" bestFit="1" customWidth="1"/>
    <col min="34" max="34" width="12" bestFit="1" customWidth="1"/>
  </cols>
  <sheetData>
    <row r="1" spans="1:35" ht="74.099999999999994" customHeight="1" x14ac:dyDescent="0.3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26" t="s">
        <v>49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8"/>
    </row>
    <row r="2" spans="1:35" ht="14.4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29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1"/>
    </row>
    <row r="3" spans="1:35" ht="72" customHeight="1" x14ac:dyDescent="0.3">
      <c r="A3" s="25" t="s">
        <v>0</v>
      </c>
      <c r="B3" s="25"/>
      <c r="C3" s="8" t="s">
        <v>1</v>
      </c>
      <c r="D3" s="9" t="s">
        <v>2</v>
      </c>
      <c r="F3" s="7" t="s">
        <v>3</v>
      </c>
      <c r="G3" s="7" t="s">
        <v>4</v>
      </c>
      <c r="H3" s="7" t="s">
        <v>5</v>
      </c>
      <c r="I3" s="7" t="s">
        <v>6</v>
      </c>
      <c r="Q3" t="s">
        <v>23</v>
      </c>
      <c r="R3" s="34" t="s">
        <v>0</v>
      </c>
      <c r="S3" s="35"/>
      <c r="T3" s="8" t="s">
        <v>1</v>
      </c>
      <c r="U3" s="9" t="s">
        <v>2</v>
      </c>
      <c r="W3" s="7" t="s">
        <v>3</v>
      </c>
      <c r="X3" s="7" t="s">
        <v>4</v>
      </c>
      <c r="Y3" s="7" t="s">
        <v>5</v>
      </c>
      <c r="Z3" s="7" t="s">
        <v>6</v>
      </c>
      <c r="AH3" s="17"/>
    </row>
    <row r="4" spans="1:35" x14ac:dyDescent="0.3">
      <c r="A4" s="18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s="16">
        <f t="shared" ref="Q4:Q11" si="0">(D5-$G$16)^4*C5</f>
        <v>6.661723586162473E+17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19</v>
      </c>
      <c r="AE4" t="s">
        <v>20</v>
      </c>
      <c r="AF4" t="s">
        <v>21</v>
      </c>
      <c r="AG4" t="s">
        <v>22</v>
      </c>
      <c r="AH4" s="16" t="s">
        <v>23</v>
      </c>
      <c r="AI4" s="18"/>
    </row>
    <row r="5" spans="1:35" x14ac:dyDescent="0.3">
      <c r="A5" s="18">
        <f>B5-(B6-A6)</f>
        <v>4000</v>
      </c>
      <c r="B5">
        <v>7000</v>
      </c>
      <c r="C5" s="13">
        <v>2.2000000000000002</v>
      </c>
      <c r="D5">
        <f>(A5+B5)/2</f>
        <v>5500</v>
      </c>
      <c r="E5">
        <f t="shared" ref="E5:E12" si="1">C5*D5</f>
        <v>12100.000000000002</v>
      </c>
      <c r="F5">
        <f>C5</f>
        <v>2.2000000000000002</v>
      </c>
      <c r="G5" s="5">
        <f>C5/(B5-A5)</f>
        <v>7.3333333333333334E-4</v>
      </c>
      <c r="H5">
        <f t="shared" ref="H5:H12" si="2">E5/$E$13</f>
        <v>4.1784653636300854E-3</v>
      </c>
      <c r="I5">
        <f>H5</f>
        <v>4.1784653636300854E-3</v>
      </c>
      <c r="J5">
        <f>F5*I6</f>
        <v>4.4063816561917268E-2</v>
      </c>
      <c r="K5" s="12" t="s">
        <v>24</v>
      </c>
      <c r="L5">
        <f>H5*H5</f>
        <v>1.74595727950563E-5</v>
      </c>
      <c r="M5">
        <f t="shared" ref="M5:M12" si="3">ABS(C5/100-H5)</f>
        <v>1.7821534636369915E-2</v>
      </c>
      <c r="N5">
        <f t="shared" ref="N5:N12" si="4">ABS(D5-$G$16)*C5</f>
        <v>51607.600000000006</v>
      </c>
      <c r="O5">
        <f t="shared" ref="O5:O12" si="5">(D5-$G$16)^2*C5</f>
        <v>1210611080.8000002</v>
      </c>
      <c r="P5">
        <f t="shared" ref="P5:P12" si="6">(D5-$G$16)^3*C5</f>
        <v>-28398514733406.402</v>
      </c>
      <c r="Q5" s="16">
        <f t="shared" si="0"/>
        <v>9.4590268211103667E+17</v>
      </c>
      <c r="R5">
        <f>S5-(S6-R6)</f>
        <v>4000</v>
      </c>
      <c r="S5">
        <v>7000</v>
      </c>
      <c r="T5" s="13">
        <v>2.7</v>
      </c>
      <c r="U5">
        <f>(R5+S5)/2</f>
        <v>5500</v>
      </c>
      <c r="V5">
        <f>T5*U5</f>
        <v>14850.000000000002</v>
      </c>
      <c r="W5">
        <f>T5</f>
        <v>2.7</v>
      </c>
      <c r="X5" s="5">
        <f>T5/(S5-R5)</f>
        <v>9.0000000000000008E-4</v>
      </c>
      <c r="Y5">
        <f>V5/$V$13</f>
        <v>4.2215683766150701E-3</v>
      </c>
      <c r="Z5">
        <f>Y5</f>
        <v>4.2215683766150701E-3</v>
      </c>
      <c r="AA5">
        <f>W5*Z6</f>
        <v>4.0757323781501861E-2</v>
      </c>
      <c r="AB5" s="12" t="s">
        <v>24</v>
      </c>
      <c r="AC5">
        <f>Y5*Y5</f>
        <v>1.7821639558436397E-5</v>
      </c>
      <c r="AD5">
        <f>ABS(T5/100-Y5)</f>
        <v>2.2778431623384932E-2</v>
      </c>
      <c r="AE5">
        <f>ABS(U5-$X$16)*T5</f>
        <v>80126.55</v>
      </c>
      <c r="AF5">
        <f>(U5-$X$16)^2*T5</f>
        <v>2377875561.0750003</v>
      </c>
      <c r="AG5">
        <f>(U5-$X$16)^3*T5</f>
        <v>-70567024088242.234</v>
      </c>
      <c r="AH5" s="16">
        <f>(U5-$X$16)^4*T5</f>
        <v>2.094182290354721E+18</v>
      </c>
    </row>
    <row r="6" spans="1:35" x14ac:dyDescent="0.3">
      <c r="A6" s="18">
        <v>7000</v>
      </c>
      <c r="B6">
        <v>10000</v>
      </c>
      <c r="C6">
        <v>5.4</v>
      </c>
      <c r="D6">
        <f t="shared" ref="D6:D12" si="7">(A6+B6)/2</f>
        <v>8500</v>
      </c>
      <c r="E6">
        <f t="shared" si="1"/>
        <v>45900</v>
      </c>
      <c r="F6">
        <f>C6+F5</f>
        <v>7.6000000000000005</v>
      </c>
      <c r="G6" s="5">
        <f t="shared" ref="G6:G12" si="8">C6/(B6-A6)</f>
        <v>1.8000000000000002E-3</v>
      </c>
      <c r="H6">
        <f t="shared" si="2"/>
        <v>1.5850542164514123E-2</v>
      </c>
      <c r="I6">
        <f>H6+I5</f>
        <v>2.002900752814421E-2</v>
      </c>
      <c r="J6">
        <f t="shared" ref="J6:J11" si="9">F6*I7</f>
        <v>0.50180261067753296</v>
      </c>
      <c r="K6">
        <f>F6*I5</f>
        <v>3.1756336763588654E-2</v>
      </c>
      <c r="L6">
        <f t="shared" ref="L6:L12" si="10">H6*H6</f>
        <v>2.5123968690904006E-4</v>
      </c>
      <c r="M6">
        <f t="shared" si="3"/>
        <v>3.8149457835485887E-2</v>
      </c>
      <c r="N6">
        <f t="shared" si="4"/>
        <v>110473.20000000001</v>
      </c>
      <c r="O6">
        <f t="shared" si="5"/>
        <v>2260060725.6000004</v>
      </c>
      <c r="P6">
        <f t="shared" si="6"/>
        <v>-46236322324324.805</v>
      </c>
      <c r="Q6" s="16">
        <f t="shared" si="0"/>
        <v>9.1795523412651738E+17</v>
      </c>
      <c r="R6">
        <v>7000</v>
      </c>
      <c r="S6">
        <v>10000</v>
      </c>
      <c r="T6">
        <v>4.5</v>
      </c>
      <c r="U6">
        <f t="shared" ref="U6:U12" si="11">(R6+S6)/2</f>
        <v>8500</v>
      </c>
      <c r="V6">
        <f t="shared" ref="V6:V12" si="12">T6*U6</f>
        <v>38250</v>
      </c>
      <c r="W6">
        <f>T6+W5</f>
        <v>7.2</v>
      </c>
      <c r="X6" s="5">
        <f t="shared" ref="X6:X12" si="13">T6/(S6-R6)</f>
        <v>1.5E-3</v>
      </c>
      <c r="Y6">
        <f t="shared" ref="Y6:Y12" si="14">V6/$V$13</f>
        <v>1.0873736727644877E-2</v>
      </c>
      <c r="Z6">
        <f>Y6+Z5</f>
        <v>1.5095305104259948E-2</v>
      </c>
      <c r="AA6">
        <f t="shared" ref="AA6:AA11" si="15">W6*Z7</f>
        <v>0.31254957144684664</v>
      </c>
      <c r="AB6">
        <f>W6*Z5</f>
        <v>3.0395292311628505E-2</v>
      </c>
      <c r="AC6">
        <f t="shared" ref="AC6:AC12" si="16">Y6*Y6</f>
        <v>1.1823815042213311E-4</v>
      </c>
      <c r="AD6">
        <f t="shared" ref="AD6:AD12" si="17">ABS(T6/100-Y6)</f>
        <v>3.4126263272355122E-2</v>
      </c>
      <c r="AE6">
        <f t="shared" ref="AE6:AE13" si="18">ABS(U6-$X$16)*T6</f>
        <v>120044.25</v>
      </c>
      <c r="AF6">
        <f t="shared" ref="AF6:AF13" si="19">(U6-$X$16)^2*T6</f>
        <v>3202360435.125</v>
      </c>
      <c r="AG6">
        <f t="shared" ref="AG6:AG12" si="20">(U6-$X$16)^3*T6</f>
        <v>-85427768147612.063</v>
      </c>
      <c r="AH6" s="16">
        <f t="shared" ref="AH6:AH12" si="21">(U6-$X$16)^4*T6</f>
        <v>2.2789138569897733E+18</v>
      </c>
    </row>
    <row r="7" spans="1:35" x14ac:dyDescent="0.3">
      <c r="A7" s="18">
        <v>10000</v>
      </c>
      <c r="B7">
        <v>14000</v>
      </c>
      <c r="C7" s="13">
        <v>11.1</v>
      </c>
      <c r="D7">
        <f t="shared" si="7"/>
        <v>12000</v>
      </c>
      <c r="E7">
        <f t="shared" si="1"/>
        <v>133200</v>
      </c>
      <c r="F7">
        <f t="shared" ref="F7:F12" si="22">C7+F6</f>
        <v>18.7</v>
      </c>
      <c r="G7" s="5">
        <f t="shared" si="8"/>
        <v>2.7750000000000001E-3</v>
      </c>
      <c r="H7">
        <f t="shared" si="2"/>
        <v>4.599765177153118E-2</v>
      </c>
      <c r="I7">
        <f t="shared" ref="I7:I12" si="23">H7+I6</f>
        <v>6.6026659299675383E-2</v>
      </c>
      <c r="J7">
        <f t="shared" si="9"/>
        <v>2.9288573105877473</v>
      </c>
      <c r="K7">
        <f t="shared" ref="K7:K12" si="24">F7*I6</f>
        <v>0.37454244077629673</v>
      </c>
      <c r="L7">
        <f t="shared" si="10"/>
        <v>2.1157839684950454E-3</v>
      </c>
      <c r="M7">
        <f t="shared" si="3"/>
        <v>6.5002348228468815E-2</v>
      </c>
      <c r="N7">
        <f t="shared" si="4"/>
        <v>188233.8</v>
      </c>
      <c r="O7">
        <f t="shared" si="5"/>
        <v>3192068780.4000001</v>
      </c>
      <c r="P7">
        <f t="shared" si="6"/>
        <v>-54131102378023.195</v>
      </c>
      <c r="Q7" s="16">
        <f t="shared" si="0"/>
        <v>3.8299264202451597E+17</v>
      </c>
      <c r="R7">
        <v>10000</v>
      </c>
      <c r="S7">
        <v>14000</v>
      </c>
      <c r="T7" s="13">
        <v>8.3000000000000007</v>
      </c>
      <c r="U7">
        <f t="shared" si="11"/>
        <v>12000</v>
      </c>
      <c r="V7">
        <f t="shared" si="12"/>
        <v>99600.000000000015</v>
      </c>
      <c r="W7">
        <f t="shared" ref="W7:W12" si="25">T7+W6</f>
        <v>15.5</v>
      </c>
      <c r="X7" s="5">
        <f t="shared" si="13"/>
        <v>2.075E-3</v>
      </c>
      <c r="Y7">
        <f t="shared" si="14"/>
        <v>2.8314357596690976E-2</v>
      </c>
      <c r="Z7">
        <f t="shared" ref="Z7:Z12" si="26">Y7+Z6</f>
        <v>4.3409662700950924E-2</v>
      </c>
      <c r="AA7">
        <f t="shared" si="15"/>
        <v>1.5089548420110017</v>
      </c>
      <c r="AB7">
        <f t="shared" ref="AB7:AB12" si="27">W7*Z6</f>
        <v>0.2339772291160292</v>
      </c>
      <c r="AC7">
        <f t="shared" si="16"/>
        <v>8.0170284611329201E-4</v>
      </c>
      <c r="AD7">
        <f t="shared" si="17"/>
        <v>5.4685642403309032E-2</v>
      </c>
      <c r="AE7">
        <f t="shared" si="18"/>
        <v>192364.95</v>
      </c>
      <c r="AF7">
        <f t="shared" si="19"/>
        <v>4458346263.6750002</v>
      </c>
      <c r="AG7">
        <f t="shared" si="20"/>
        <v>-103328862180063.64</v>
      </c>
      <c r="AH7" s="16">
        <f t="shared" si="21"/>
        <v>2.3948013743162455E+18</v>
      </c>
    </row>
    <row r="8" spans="1:35" x14ac:dyDescent="0.3">
      <c r="A8" s="18">
        <v>14000</v>
      </c>
      <c r="B8">
        <v>19000</v>
      </c>
      <c r="C8">
        <v>15.9</v>
      </c>
      <c r="D8">
        <f t="shared" si="7"/>
        <v>16500</v>
      </c>
      <c r="E8">
        <f t="shared" si="1"/>
        <v>262350</v>
      </c>
      <c r="F8">
        <f t="shared" si="22"/>
        <v>34.6</v>
      </c>
      <c r="G8" s="5">
        <f t="shared" si="8"/>
        <v>3.1800000000000001E-3</v>
      </c>
      <c r="H8">
        <f t="shared" si="2"/>
        <v>9.05967262932523E-2</v>
      </c>
      <c r="I8">
        <f t="shared" si="23"/>
        <v>0.15662338559292768</v>
      </c>
      <c r="J8">
        <f t="shared" si="9"/>
        <v>11.492509841839906</v>
      </c>
      <c r="K8">
        <f t="shared" si="24"/>
        <v>2.2845224117687684</v>
      </c>
      <c r="L8">
        <f t="shared" si="10"/>
        <v>8.2077668150544719E-3</v>
      </c>
      <c r="M8">
        <f t="shared" si="3"/>
        <v>6.8403273706747703E-2</v>
      </c>
      <c r="N8">
        <f t="shared" si="4"/>
        <v>198082.2</v>
      </c>
      <c r="O8">
        <f t="shared" si="5"/>
        <v>2467708047.5999999</v>
      </c>
      <c r="P8">
        <f t="shared" si="6"/>
        <v>-30742706857000.801</v>
      </c>
      <c r="Q8" s="16">
        <f t="shared" si="0"/>
        <v>2.7848016602893284E+16</v>
      </c>
      <c r="R8">
        <v>14000</v>
      </c>
      <c r="S8">
        <v>19000</v>
      </c>
      <c r="T8">
        <v>11.5</v>
      </c>
      <c r="U8">
        <f t="shared" si="11"/>
        <v>16500</v>
      </c>
      <c r="V8">
        <f t="shared" si="12"/>
        <v>189750</v>
      </c>
      <c r="W8">
        <f t="shared" si="25"/>
        <v>27</v>
      </c>
      <c r="X8" s="5">
        <f t="shared" si="13"/>
        <v>2.3E-3</v>
      </c>
      <c r="Y8">
        <f t="shared" si="14"/>
        <v>5.3942262590081447E-2</v>
      </c>
      <c r="Z8">
        <f t="shared" si="26"/>
        <v>9.7351925291032371E-2</v>
      </c>
      <c r="AA8">
        <f t="shared" si="15"/>
        <v>5.6473071510809776</v>
      </c>
      <c r="AB8">
        <f t="shared" si="27"/>
        <v>1.1720608929256748</v>
      </c>
      <c r="AC8">
        <f t="shared" si="16"/>
        <v>2.9097676933373005E-3</v>
      </c>
      <c r="AD8">
        <f t="shared" si="17"/>
        <v>6.1057737409918558E-2</v>
      </c>
      <c r="AE8">
        <f t="shared" si="18"/>
        <v>214779.75</v>
      </c>
      <c r="AF8">
        <f t="shared" si="19"/>
        <v>4011334000.875</v>
      </c>
      <c r="AG8">
        <f t="shared" si="20"/>
        <v>-74917679467341.938</v>
      </c>
      <c r="AH8" s="16">
        <f t="shared" si="21"/>
        <v>1.3992000405718116E+18</v>
      </c>
    </row>
    <row r="9" spans="1:35" x14ac:dyDescent="0.3">
      <c r="A9" s="18">
        <v>19000</v>
      </c>
      <c r="B9">
        <v>27000</v>
      </c>
      <c r="C9" s="13">
        <v>22.1</v>
      </c>
      <c r="D9">
        <f t="shared" si="7"/>
        <v>23000</v>
      </c>
      <c r="E9">
        <f t="shared" si="1"/>
        <v>508300.00000000006</v>
      </c>
      <c r="F9">
        <f t="shared" si="22"/>
        <v>56.7</v>
      </c>
      <c r="G9" s="5">
        <f t="shared" si="8"/>
        <v>2.7625000000000002E-3</v>
      </c>
      <c r="H9">
        <f t="shared" si="2"/>
        <v>0.17553007804406384</v>
      </c>
      <c r="I9">
        <f t="shared" si="23"/>
        <v>0.3321534636369915</v>
      </c>
      <c r="J9">
        <f t="shared" si="9"/>
        <v>38.005917190413705</v>
      </c>
      <c r="K9">
        <f t="shared" si="24"/>
        <v>8.8805459631189994</v>
      </c>
      <c r="L9">
        <f t="shared" si="10"/>
        <v>3.0810808298155145E-2</v>
      </c>
      <c r="M9">
        <f t="shared" si="3"/>
        <v>4.546992195593616E-2</v>
      </c>
      <c r="N9">
        <f t="shared" si="4"/>
        <v>131671.80000000002</v>
      </c>
      <c r="O9">
        <f t="shared" si="5"/>
        <v>784500584.4000001</v>
      </c>
      <c r="P9">
        <f t="shared" si="6"/>
        <v>-4674054481855.2002</v>
      </c>
      <c r="Q9" s="16">
        <f t="shared" si="0"/>
        <v>6.6888735665258928E+16</v>
      </c>
      <c r="R9">
        <v>19000</v>
      </c>
      <c r="S9">
        <v>27000</v>
      </c>
      <c r="T9" s="13">
        <v>17.100000000000001</v>
      </c>
      <c r="U9">
        <f t="shared" si="11"/>
        <v>23000</v>
      </c>
      <c r="V9">
        <f t="shared" si="12"/>
        <v>393300.00000000006</v>
      </c>
      <c r="W9">
        <f t="shared" si="25"/>
        <v>44.1</v>
      </c>
      <c r="X9" s="5">
        <f t="shared" si="13"/>
        <v>2.1375000000000001E-3</v>
      </c>
      <c r="Y9">
        <f t="shared" si="14"/>
        <v>0.11180759882307792</v>
      </c>
      <c r="Z9">
        <f t="shared" si="26"/>
        <v>0.20915952411411029</v>
      </c>
      <c r="AA9">
        <f t="shared" si="15"/>
        <v>20.913227580913397</v>
      </c>
      <c r="AB9">
        <f t="shared" si="27"/>
        <v>4.2932199053345279</v>
      </c>
      <c r="AC9">
        <f t="shared" si="16"/>
        <v>1.2500939154582336E-2</v>
      </c>
      <c r="AD9">
        <f t="shared" si="17"/>
        <v>5.9192401176922094E-2</v>
      </c>
      <c r="AE9">
        <f t="shared" si="18"/>
        <v>208218.15000000002</v>
      </c>
      <c r="AF9">
        <f t="shared" si="19"/>
        <v>2535368303.4750004</v>
      </c>
      <c r="AG9">
        <f t="shared" si="20"/>
        <v>-30871912147263.34</v>
      </c>
      <c r="AH9" s="16">
        <f t="shared" si="21"/>
        <v>3.7591183826115206E+17</v>
      </c>
    </row>
    <row r="10" spans="1:35" x14ac:dyDescent="0.3">
      <c r="A10" s="18">
        <v>27000</v>
      </c>
      <c r="B10">
        <v>45000</v>
      </c>
      <c r="C10">
        <v>27.2</v>
      </c>
      <c r="D10">
        <f t="shared" si="7"/>
        <v>36000</v>
      </c>
      <c r="E10">
        <f t="shared" si="1"/>
        <v>979200</v>
      </c>
      <c r="F10">
        <f t="shared" si="22"/>
        <v>83.9</v>
      </c>
      <c r="G10" s="5">
        <f t="shared" si="8"/>
        <v>1.5111111111111111E-3</v>
      </c>
      <c r="H10">
        <f t="shared" si="2"/>
        <v>0.33814489950963467</v>
      </c>
      <c r="I10">
        <f t="shared" si="23"/>
        <v>0.67029836314662616</v>
      </c>
      <c r="J10">
        <f t="shared" si="9"/>
        <v>69.623556530147113</v>
      </c>
      <c r="K10">
        <f t="shared" si="24"/>
        <v>27.867675599143588</v>
      </c>
      <c r="L10">
        <f t="shared" si="10"/>
        <v>0.11434197306438093</v>
      </c>
      <c r="M10">
        <f t="shared" si="3"/>
        <v>6.6144899509634647E-2</v>
      </c>
      <c r="N10">
        <f t="shared" si="4"/>
        <v>191542.39999999999</v>
      </c>
      <c r="O10">
        <f t="shared" si="5"/>
        <v>1348841580.8</v>
      </c>
      <c r="P10">
        <f t="shared" si="6"/>
        <v>9498542411993.5996</v>
      </c>
      <c r="Q10" s="16">
        <f t="shared" si="0"/>
        <v>2.7030625378361764E+18</v>
      </c>
      <c r="R10">
        <v>27000</v>
      </c>
      <c r="S10">
        <v>45000</v>
      </c>
      <c r="T10">
        <v>25.9</v>
      </c>
      <c r="U10">
        <f t="shared" si="11"/>
        <v>36000</v>
      </c>
      <c r="V10">
        <f t="shared" si="12"/>
        <v>932400</v>
      </c>
      <c r="W10">
        <f t="shared" si="25"/>
        <v>70</v>
      </c>
      <c r="X10" s="5">
        <f t="shared" si="13"/>
        <v>1.4388888888888889E-3</v>
      </c>
      <c r="Y10">
        <f t="shared" si="14"/>
        <v>0.26506332352564921</v>
      </c>
      <c r="Z10">
        <f t="shared" si="26"/>
        <v>0.47422284763975953</v>
      </c>
      <c r="AA10">
        <f t="shared" si="15"/>
        <v>45.418958679800433</v>
      </c>
      <c r="AB10">
        <f t="shared" si="27"/>
        <v>14.64116668798772</v>
      </c>
      <c r="AC10">
        <f t="shared" si="16"/>
        <v>7.0258565478462986E-2</v>
      </c>
      <c r="AD10">
        <f t="shared" si="17"/>
        <v>6.0633235256492002E-3</v>
      </c>
      <c r="AE10">
        <f t="shared" si="18"/>
        <v>21328.649999999998</v>
      </c>
      <c r="AF10">
        <f t="shared" si="19"/>
        <v>17564143.274999999</v>
      </c>
      <c r="AG10">
        <f t="shared" si="20"/>
        <v>14464071986.9625</v>
      </c>
      <c r="AH10" s="16">
        <f t="shared" si="21"/>
        <v>11911163281263.617</v>
      </c>
    </row>
    <row r="11" spans="1:35" x14ac:dyDescent="0.3">
      <c r="A11" s="18">
        <v>45000</v>
      </c>
      <c r="B11">
        <v>60000</v>
      </c>
      <c r="C11" s="13">
        <v>8.8000000000000007</v>
      </c>
      <c r="D11">
        <f t="shared" si="7"/>
        <v>52500</v>
      </c>
      <c r="E11">
        <f t="shared" si="1"/>
        <v>462000.00000000006</v>
      </c>
      <c r="F11">
        <f t="shared" si="22"/>
        <v>92.7</v>
      </c>
      <c r="G11" s="5">
        <f t="shared" si="8"/>
        <v>5.8666666666666676E-4</v>
      </c>
      <c r="H11">
        <f t="shared" si="2"/>
        <v>0.15954140479314871</v>
      </c>
      <c r="I11">
        <f t="shared" si="23"/>
        <v>0.82983976793977487</v>
      </c>
      <c r="J11">
        <f t="shared" si="9"/>
        <v>92.7</v>
      </c>
      <c r="K11">
        <f t="shared" si="24"/>
        <v>62.136658263692247</v>
      </c>
      <c r="L11">
        <f t="shared" si="10"/>
        <v>2.5453459843371336E-2</v>
      </c>
      <c r="M11">
        <f t="shared" si="3"/>
        <v>7.1541404793148702E-2</v>
      </c>
      <c r="N11">
        <f t="shared" si="4"/>
        <v>207169.6</v>
      </c>
      <c r="O11">
        <f t="shared" si="5"/>
        <v>4877186723.2000008</v>
      </c>
      <c r="P11">
        <f t="shared" si="6"/>
        <v>114818729837574.41</v>
      </c>
      <c r="Q11" s="16">
        <f t="shared" si="0"/>
        <v>1.6108676071840645E+19</v>
      </c>
      <c r="R11">
        <v>45000</v>
      </c>
      <c r="S11">
        <v>60000</v>
      </c>
      <c r="T11" s="13">
        <v>11.7</v>
      </c>
      <c r="U11">
        <f t="shared" si="11"/>
        <v>52500</v>
      </c>
      <c r="V11">
        <f t="shared" si="12"/>
        <v>614250</v>
      </c>
      <c r="W11">
        <f t="shared" si="25"/>
        <v>81.7</v>
      </c>
      <c r="X11" s="5">
        <f t="shared" si="13"/>
        <v>7.7999999999999999E-4</v>
      </c>
      <c r="Y11">
        <f t="shared" si="14"/>
        <v>0.17461941921453242</v>
      </c>
      <c r="Z11">
        <f t="shared" si="26"/>
        <v>0.64884226685429192</v>
      </c>
      <c r="AA11">
        <f t="shared" si="15"/>
        <v>81.7</v>
      </c>
      <c r="AB11">
        <f t="shared" si="27"/>
        <v>38.744006652168352</v>
      </c>
      <c r="AC11">
        <f t="shared" si="16"/>
        <v>3.0491941566820613E-2</v>
      </c>
      <c r="AD11">
        <f t="shared" si="17"/>
        <v>5.7619419214532425E-2</v>
      </c>
      <c r="AE11">
        <f t="shared" si="18"/>
        <v>202684.94999999998</v>
      </c>
      <c r="AF11">
        <f t="shared" si="19"/>
        <v>3511212731.3249998</v>
      </c>
      <c r="AG11">
        <f t="shared" si="20"/>
        <v>60826493751108.633</v>
      </c>
      <c r="AH11" s="16">
        <f t="shared" si="21"/>
        <v>1.0537277644973304E+18</v>
      </c>
    </row>
    <row r="12" spans="1:35" x14ac:dyDescent="0.3">
      <c r="A12" s="18">
        <v>60000</v>
      </c>
      <c r="B12">
        <f>A12+B11-A11</f>
        <v>75000</v>
      </c>
      <c r="C12">
        <v>7.3</v>
      </c>
      <c r="D12">
        <f t="shared" si="7"/>
        <v>67500</v>
      </c>
      <c r="E12">
        <f t="shared" si="1"/>
        <v>492750</v>
      </c>
      <c r="F12">
        <f t="shared" si="22"/>
        <v>100</v>
      </c>
      <c r="G12" s="5">
        <f t="shared" si="8"/>
        <v>4.8666666666666666E-4</v>
      </c>
      <c r="H12">
        <f t="shared" si="2"/>
        <v>0.17016023206022515</v>
      </c>
      <c r="I12">
        <f t="shared" si="23"/>
        <v>1</v>
      </c>
      <c r="J12" s="4" t="s">
        <v>24</v>
      </c>
      <c r="K12">
        <f t="shared" si="24"/>
        <v>82.98397679397749</v>
      </c>
      <c r="L12">
        <f t="shared" si="10"/>
        <v>2.8954504574789677E-2</v>
      </c>
      <c r="M12">
        <f t="shared" si="3"/>
        <v>9.7160232060225157E-2</v>
      </c>
      <c r="N12">
        <f t="shared" si="4"/>
        <v>281356.59999999998</v>
      </c>
      <c r="O12">
        <f t="shared" si="5"/>
        <v>10844046077.199999</v>
      </c>
      <c r="P12">
        <f t="shared" si="6"/>
        <v>417951223907442.38</v>
      </c>
      <c r="Q12" s="16">
        <f>SUM(Q4:Q11)</f>
        <v>2.1819498278823289E+19</v>
      </c>
      <c r="R12">
        <v>60000</v>
      </c>
      <c r="S12">
        <f>R12+S11-R11</f>
        <v>75000</v>
      </c>
      <c r="T12">
        <v>18.3</v>
      </c>
      <c r="U12">
        <f t="shared" si="11"/>
        <v>67500</v>
      </c>
      <c r="V12">
        <f t="shared" si="12"/>
        <v>1235250</v>
      </c>
      <c r="W12">
        <f t="shared" si="25"/>
        <v>100</v>
      </c>
      <c r="X12" s="5">
        <f t="shared" si="13"/>
        <v>1.2199999999999999E-3</v>
      </c>
      <c r="Y12">
        <f t="shared" si="14"/>
        <v>0.35115773314570808</v>
      </c>
      <c r="Z12">
        <f t="shared" si="26"/>
        <v>1</v>
      </c>
      <c r="AA12" s="4" t="s">
        <v>24</v>
      </c>
      <c r="AB12">
        <f t="shared" si="27"/>
        <v>64.884226685429198</v>
      </c>
      <c r="AC12">
        <f t="shared" si="16"/>
        <v>0.12331175354803232</v>
      </c>
      <c r="AD12">
        <f t="shared" si="17"/>
        <v>0.16815773314570809</v>
      </c>
      <c r="AE12">
        <f t="shared" si="18"/>
        <v>591520.05000000005</v>
      </c>
      <c r="AF12">
        <f t="shared" si="19"/>
        <v>19119998336.174999</v>
      </c>
      <c r="AG12">
        <f t="shared" si="20"/>
        <v>618025266219352.63</v>
      </c>
      <c r="AH12" s="16">
        <f t="shared" si="21"/>
        <v>1.9976739692641243E+19</v>
      </c>
    </row>
    <row r="13" spans="1:35" x14ac:dyDescent="0.3">
      <c r="A13" s="19" t="s">
        <v>25</v>
      </c>
      <c r="B13" s="20"/>
      <c r="C13" s="21">
        <f>SUM(C5:C12)</f>
        <v>100</v>
      </c>
      <c r="D13" s="21"/>
      <c r="E13" s="21">
        <f>SUM(E5:E12)</f>
        <v>2895800</v>
      </c>
      <c r="F13" s="21"/>
      <c r="G13" s="21"/>
      <c r="H13" s="21">
        <f>SUM(H5:H12)</f>
        <v>1</v>
      </c>
      <c r="I13" s="21"/>
      <c r="J13" s="21">
        <f>SUM(J5:J11)</f>
        <v>215.29670730022792</v>
      </c>
      <c r="K13" s="21">
        <f>SUM(K6:K12)</f>
        <v>184.55967780924098</v>
      </c>
      <c r="L13" s="21">
        <f>SUM(L6:L12)</f>
        <v>0.21013553625115564</v>
      </c>
      <c r="M13" s="21">
        <f>SUM(M6:M12)</f>
        <v>0.45187153808964703</v>
      </c>
      <c r="N13" s="21">
        <f>SUM(N6:N12)</f>
        <v>1308529.6000000001</v>
      </c>
      <c r="O13" s="21">
        <f>SUM(O6:O12)</f>
        <v>25774412519.199997</v>
      </c>
      <c r="P13" s="21">
        <f>SUM(P5:P12)</f>
        <v>378085795382400</v>
      </c>
      <c r="Q13" s="22"/>
      <c r="R13" s="20" t="s">
        <v>25</v>
      </c>
      <c r="S13" s="20"/>
      <c r="T13" s="21">
        <f>SUM(T5:T12)</f>
        <v>100</v>
      </c>
      <c r="U13" s="21"/>
      <c r="V13" s="21">
        <f>SUM(V5:V12)</f>
        <v>3517650</v>
      </c>
      <c r="W13" s="21"/>
      <c r="X13" s="21"/>
      <c r="Y13" s="21">
        <f>SUM(Y5:Y12)</f>
        <v>1</v>
      </c>
      <c r="Z13" s="21"/>
      <c r="AA13" s="21">
        <f>SUM(AA5:AA11)</f>
        <v>155.54175514903415</v>
      </c>
      <c r="AB13" s="21">
        <f>SUM(AB6:AB12)</f>
        <v>123.99905334527313</v>
      </c>
      <c r="AC13" s="21">
        <f>SUM(AC6:AC12)</f>
        <v>0.240392908437771</v>
      </c>
      <c r="AD13" s="21">
        <f>SUM(AD6:AD12)</f>
        <v>0.44090252014839454</v>
      </c>
      <c r="AE13" s="21">
        <f t="shared" si="18"/>
        <v>3517650</v>
      </c>
      <c r="AF13" s="21">
        <f t="shared" si="19"/>
        <v>123738615225</v>
      </c>
      <c r="AG13" s="21">
        <f>SUM(AG5:AG12)</f>
        <v>313752978011925</v>
      </c>
      <c r="AH13" s="22">
        <f>SUM(AH5:AH12)</f>
        <v>2.9573488768795558E+19</v>
      </c>
    </row>
    <row r="14" spans="1:35" x14ac:dyDescent="0.3">
      <c r="Q14" s="16"/>
    </row>
    <row r="15" spans="1:35" x14ac:dyDescent="0.3">
      <c r="A15" s="24" t="s">
        <v>31</v>
      </c>
      <c r="B15" s="24"/>
      <c r="C15" s="24"/>
      <c r="D15" s="24"/>
      <c r="E15" s="24"/>
      <c r="F15" s="24"/>
      <c r="Q15" s="16"/>
      <c r="R15" s="24" t="s">
        <v>31</v>
      </c>
      <c r="S15" s="24"/>
      <c r="T15" s="24"/>
      <c r="U15" s="24"/>
      <c r="V15" s="24"/>
      <c r="W15" s="24"/>
    </row>
    <row r="16" spans="1:35" x14ac:dyDescent="0.3">
      <c r="A16" s="33" t="s">
        <v>34</v>
      </c>
      <c r="B16" s="33"/>
      <c r="C16" s="33"/>
      <c r="D16" s="33"/>
      <c r="E16" s="33"/>
      <c r="F16" s="33"/>
      <c r="G16" s="1">
        <f>E13/C13</f>
        <v>28958</v>
      </c>
      <c r="H16" t="s">
        <v>26</v>
      </c>
      <c r="I16" s="12"/>
      <c r="Q16" s="16"/>
      <c r="R16" s="33" t="s">
        <v>34</v>
      </c>
      <c r="S16" s="33"/>
      <c r="T16" s="33"/>
      <c r="U16" s="33"/>
      <c r="V16" s="33"/>
      <c r="W16" s="33"/>
      <c r="X16" s="1">
        <f>V13/T13</f>
        <v>35176.5</v>
      </c>
      <c r="Y16" t="s">
        <v>26</v>
      </c>
      <c r="Z16" s="12"/>
    </row>
    <row r="17" spans="1:25" ht="15.6" x14ac:dyDescent="0.3">
      <c r="A17" s="12"/>
      <c r="B17" s="12"/>
      <c r="C17" s="6"/>
      <c r="G17" s="1"/>
      <c r="Q17" s="16"/>
      <c r="R17" s="12"/>
      <c r="S17" s="12"/>
      <c r="T17" s="6"/>
      <c r="X17" s="1"/>
    </row>
    <row r="18" spans="1:25" ht="15.6" customHeight="1" x14ac:dyDescent="0.3">
      <c r="A18" s="12"/>
      <c r="B18" s="12"/>
      <c r="C18" s="6"/>
      <c r="G18" s="1"/>
      <c r="Q18" s="16"/>
      <c r="R18" s="12"/>
      <c r="S18" s="12"/>
      <c r="T18" s="6"/>
      <c r="X18" s="1"/>
    </row>
    <row r="19" spans="1:25" x14ac:dyDescent="0.3">
      <c r="A19" s="33" t="s">
        <v>33</v>
      </c>
      <c r="B19" s="33"/>
      <c r="C19" s="33"/>
      <c r="D19" s="33"/>
      <c r="E19" s="33"/>
      <c r="F19" s="33"/>
      <c r="G19" s="1">
        <f>A8+(B8-A8)*(G8-G7)/(G8-G7+G8-G9)</f>
        <v>16462.006079027356</v>
      </c>
      <c r="H19" t="s">
        <v>26</v>
      </c>
      <c r="Q19" s="16"/>
      <c r="R19" s="33" t="s">
        <v>33</v>
      </c>
      <c r="S19" s="33"/>
      <c r="T19" s="33"/>
      <c r="U19" s="33"/>
      <c r="V19" s="33"/>
      <c r="W19" s="33"/>
      <c r="X19" s="1">
        <f>R8+(S8-R8)*(X8-X7)/(X8-X7+X8-X9)</f>
        <v>16903.225806451614</v>
      </c>
      <c r="Y19" t="s">
        <v>26</v>
      </c>
    </row>
    <row r="20" spans="1:25" x14ac:dyDescent="0.3">
      <c r="A20" s="10"/>
      <c r="B20" s="10"/>
      <c r="D20" s="1"/>
      <c r="Q20" s="16"/>
      <c r="R20" s="10"/>
      <c r="S20" s="10"/>
      <c r="U20" s="1"/>
    </row>
    <row r="21" spans="1:25" x14ac:dyDescent="0.3">
      <c r="B21" s="10"/>
      <c r="Q21" s="16"/>
      <c r="S21" s="10"/>
    </row>
    <row r="22" spans="1:25" x14ac:dyDescent="0.3">
      <c r="Q22" s="16"/>
    </row>
    <row r="23" spans="1:25" x14ac:dyDescent="0.3">
      <c r="A23" s="23" t="s">
        <v>32</v>
      </c>
      <c r="B23" s="23"/>
      <c r="C23" s="23"/>
      <c r="D23" s="23"/>
      <c r="G23" s="1">
        <f>A9+(B9-A9)*(C13/2-F8)/C9</f>
        <v>24574.660633484164</v>
      </c>
      <c r="H23" t="s">
        <v>26</v>
      </c>
      <c r="Q23" s="16"/>
      <c r="R23" s="23" t="s">
        <v>32</v>
      </c>
      <c r="S23" s="23"/>
      <c r="T23" s="23"/>
      <c r="U23" s="23"/>
      <c r="X23" s="1">
        <f>R9+(S9-R9)*(T13/2-W8)/T9</f>
        <v>29760.233918128652</v>
      </c>
      <c r="Y23" t="s">
        <v>26</v>
      </c>
    </row>
    <row r="24" spans="1:25" x14ac:dyDescent="0.3">
      <c r="A24" s="10"/>
      <c r="B24" s="10"/>
      <c r="D24" s="1"/>
      <c r="Q24" s="16"/>
      <c r="R24" s="10"/>
      <c r="S24" s="10"/>
      <c r="U24" s="1"/>
    </row>
    <row r="25" spans="1:25" x14ac:dyDescent="0.3">
      <c r="Q25" s="16"/>
    </row>
    <row r="26" spans="1:25" x14ac:dyDescent="0.3">
      <c r="Q26" s="16"/>
    </row>
    <row r="27" spans="1:25" x14ac:dyDescent="0.3">
      <c r="Q27" s="16"/>
    </row>
    <row r="28" spans="1:25" x14ac:dyDescent="0.3">
      <c r="A28" s="24" t="s">
        <v>35</v>
      </c>
      <c r="B28" s="24"/>
      <c r="C28" s="24"/>
      <c r="D28" s="24"/>
      <c r="E28" s="24"/>
      <c r="F28" s="24"/>
      <c r="Q28" s="16"/>
      <c r="R28" s="24" t="s">
        <v>35</v>
      </c>
      <c r="S28" s="24"/>
      <c r="T28" s="24"/>
      <c r="U28" s="24"/>
      <c r="V28" s="24"/>
      <c r="W28" s="24"/>
    </row>
    <row r="29" spans="1:25" x14ac:dyDescent="0.3">
      <c r="A29" t="s">
        <v>36</v>
      </c>
      <c r="B29" s="12"/>
      <c r="C29" s="12"/>
      <c r="D29" s="12"/>
      <c r="E29" s="12"/>
      <c r="G29" s="2">
        <f>G31/G30</f>
        <v>5.0987957937584794</v>
      </c>
      <c r="H29" t="s">
        <v>27</v>
      </c>
      <c r="Q29" s="16"/>
      <c r="R29" t="s">
        <v>36</v>
      </c>
      <c r="S29" s="12"/>
      <c r="T29" s="12"/>
      <c r="U29" s="12"/>
      <c r="V29" s="12"/>
      <c r="X29" s="2">
        <f>X31/X30</f>
        <v>6.224209265610539</v>
      </c>
      <c r="Y29" t="s">
        <v>27</v>
      </c>
    </row>
    <row r="30" spans="1:25" x14ac:dyDescent="0.3">
      <c r="A30" s="33" t="s">
        <v>37</v>
      </c>
      <c r="B30" s="33"/>
      <c r="C30" s="33"/>
      <c r="E30" s="12"/>
      <c r="G30" s="1">
        <f>A7+(B7-A7)*(C13/10-F6)/C7</f>
        <v>10864.864864864865</v>
      </c>
      <c r="H30" t="s">
        <v>26</v>
      </c>
      <c r="Q30" s="16"/>
      <c r="R30" s="33" t="s">
        <v>37</v>
      </c>
      <c r="S30" s="33"/>
      <c r="T30" s="33"/>
      <c r="V30" s="12"/>
      <c r="X30" s="1">
        <f>R7+(S7-R7)*(T13/10-W6)/T7</f>
        <v>11349.397590361446</v>
      </c>
      <c r="Y30" t="s">
        <v>26</v>
      </c>
    </row>
    <row r="31" spans="1:25" x14ac:dyDescent="0.3">
      <c r="A31" s="33" t="s">
        <v>38</v>
      </c>
      <c r="B31" s="33"/>
      <c r="C31" s="33"/>
      <c r="E31" s="12"/>
      <c r="G31">
        <f>A11+(B11-A11)*(C13/10*9-F10)/C11</f>
        <v>55397.727272727265</v>
      </c>
      <c r="H31" t="s">
        <v>26</v>
      </c>
      <c r="Q31" s="16"/>
      <c r="R31" s="33" t="s">
        <v>38</v>
      </c>
      <c r="S31" s="33"/>
      <c r="T31" s="33"/>
      <c r="V31" s="12"/>
      <c r="X31">
        <f>R11+(S11-R11)*(T13/10*9-W10)/T11</f>
        <v>70641.025641025641</v>
      </c>
      <c r="Y31" t="s">
        <v>26</v>
      </c>
    </row>
    <row r="32" spans="1:25" x14ac:dyDescent="0.3">
      <c r="Q32" s="16"/>
    </row>
    <row r="33" spans="1:25" x14ac:dyDescent="0.3">
      <c r="A33" s="23" t="s">
        <v>39</v>
      </c>
      <c r="B33" s="23"/>
      <c r="C33" s="23"/>
      <c r="D33" s="23"/>
      <c r="G33" s="2">
        <f>E11/E7</f>
        <v>3.468468468468469</v>
      </c>
      <c r="H33" s="2" t="s">
        <v>27</v>
      </c>
      <c r="Q33" s="16"/>
      <c r="R33" s="23" t="s">
        <v>39</v>
      </c>
      <c r="S33" s="23"/>
      <c r="T33" s="23"/>
      <c r="U33" s="23"/>
      <c r="X33" s="2">
        <f>V11/V7</f>
        <v>6.1671686746987939</v>
      </c>
      <c r="Y33" s="2" t="s">
        <v>27</v>
      </c>
    </row>
    <row r="34" spans="1:25" x14ac:dyDescent="0.3">
      <c r="Q34" s="16"/>
    </row>
    <row r="35" spans="1:25" x14ac:dyDescent="0.3">
      <c r="Q35" s="16"/>
    </row>
    <row r="36" spans="1:25" x14ac:dyDescent="0.3">
      <c r="A36" s="14" t="s">
        <v>50</v>
      </c>
      <c r="B36" s="14"/>
      <c r="C36" s="14"/>
      <c r="D36" s="14"/>
      <c r="E36" s="14"/>
      <c r="F36" s="14"/>
      <c r="Q36" s="16"/>
      <c r="R36" s="14" t="s">
        <v>50</v>
      </c>
      <c r="S36" s="14"/>
      <c r="T36" s="14"/>
      <c r="U36" s="14"/>
      <c r="V36" s="14"/>
      <c r="W36" s="14"/>
    </row>
    <row r="37" spans="1:25" x14ac:dyDescent="0.3">
      <c r="Q37" s="16"/>
    </row>
    <row r="38" spans="1:25" x14ac:dyDescent="0.3">
      <c r="A38" s="10" t="s">
        <v>51</v>
      </c>
      <c r="B38" s="10"/>
      <c r="C38" s="10"/>
      <c r="G38" s="3">
        <f>(J13-K13)/100</f>
        <v>0.30737029490986939</v>
      </c>
      <c r="Q38" s="16"/>
      <c r="R38" s="10" t="s">
        <v>51</v>
      </c>
      <c r="S38" s="10"/>
      <c r="T38" s="10"/>
      <c r="X38" s="3">
        <f>(AA13-AB13)/100</f>
        <v>0.3154270180376102</v>
      </c>
    </row>
    <row r="39" spans="1:25" x14ac:dyDescent="0.3">
      <c r="Q39" s="16"/>
    </row>
    <row r="40" spans="1:25" x14ac:dyDescent="0.3">
      <c r="Q40" s="16"/>
    </row>
    <row r="41" spans="1:25" x14ac:dyDescent="0.3">
      <c r="A41" s="10" t="s">
        <v>52</v>
      </c>
      <c r="B41" s="10"/>
      <c r="C41" s="10"/>
      <c r="G41" s="3">
        <f>M13/2</f>
        <v>0.22593576904482351</v>
      </c>
      <c r="Q41" s="16"/>
      <c r="R41" s="10" t="s">
        <v>52</v>
      </c>
      <c r="S41" s="10"/>
      <c r="T41" s="10"/>
      <c r="X41" s="3">
        <f>AD13/2</f>
        <v>0.22045126007419727</v>
      </c>
    </row>
    <row r="42" spans="1:25" x14ac:dyDescent="0.3">
      <c r="Q42" s="16"/>
    </row>
    <row r="43" spans="1:25" x14ac:dyDescent="0.3">
      <c r="Q43" s="16"/>
    </row>
    <row r="44" spans="1:25" x14ac:dyDescent="0.3">
      <c r="A44" s="10" t="s">
        <v>54</v>
      </c>
      <c r="G44" s="3">
        <f>L13</f>
        <v>0.21013553625115564</v>
      </c>
      <c r="Q44" s="16"/>
      <c r="R44" s="10" t="s">
        <v>54</v>
      </c>
      <c r="X44" s="3">
        <f>AC13</f>
        <v>0.240392908437771</v>
      </c>
    </row>
    <row r="45" spans="1:25" x14ac:dyDescent="0.3">
      <c r="Q45" s="16"/>
    </row>
    <row r="46" spans="1:25" x14ac:dyDescent="0.3">
      <c r="G46" s="2"/>
      <c r="Q46" s="16"/>
      <c r="X46" s="2"/>
    </row>
    <row r="47" spans="1:25" x14ac:dyDescent="0.3">
      <c r="A47" s="14" t="s">
        <v>40</v>
      </c>
      <c r="B47" s="14"/>
      <c r="C47" s="14"/>
      <c r="D47" s="14"/>
      <c r="E47" s="14"/>
      <c r="Q47" s="16"/>
      <c r="R47" s="14" t="s">
        <v>40</v>
      </c>
      <c r="S47" s="14"/>
      <c r="T47" s="14"/>
      <c r="U47" s="14"/>
      <c r="V47" s="14"/>
    </row>
    <row r="48" spans="1:25" x14ac:dyDescent="0.3">
      <c r="A48" s="10" t="s">
        <v>41</v>
      </c>
      <c r="B48" s="10"/>
      <c r="G48">
        <f>O13/C13</f>
        <v>257744125.19199997</v>
      </c>
      <c r="H48" t="s">
        <v>28</v>
      </c>
      <c r="Q48" s="16"/>
      <c r="R48" s="10" t="s">
        <v>41</v>
      </c>
      <c r="S48" s="10"/>
      <c r="X48">
        <f>AF13/T13</f>
        <v>1237386152.25</v>
      </c>
      <c r="Y48" t="s">
        <v>28</v>
      </c>
    </row>
    <row r="49" spans="1:25" x14ac:dyDescent="0.3">
      <c r="Q49" s="16"/>
    </row>
    <row r="50" spans="1:25" x14ac:dyDescent="0.3">
      <c r="A50" s="10" t="s">
        <v>42</v>
      </c>
      <c r="B50" s="10"/>
      <c r="C50" s="10"/>
      <c r="G50" s="1">
        <f>SQRT(G48)</f>
        <v>16054.411393508015</v>
      </c>
      <c r="H50" t="s">
        <v>26</v>
      </c>
      <c r="Q50" s="16"/>
      <c r="R50" s="10" t="s">
        <v>42</v>
      </c>
      <c r="S50" s="10"/>
      <c r="T50" s="10"/>
      <c r="X50" s="1">
        <f>SQRT(X48)</f>
        <v>35176.5</v>
      </c>
      <c r="Y50" t="s">
        <v>26</v>
      </c>
    </row>
    <row r="51" spans="1:25" x14ac:dyDescent="0.3">
      <c r="E51" s="1"/>
      <c r="Q51" s="16"/>
      <c r="V51" s="1"/>
    </row>
    <row r="52" spans="1:25" x14ac:dyDescent="0.3">
      <c r="A52" s="10" t="s">
        <v>43</v>
      </c>
      <c r="B52" s="10"/>
      <c r="C52" s="10"/>
      <c r="G52" s="1">
        <f>G50/G16*100</f>
        <v>55.440332182844166</v>
      </c>
      <c r="H52" t="s">
        <v>29</v>
      </c>
      <c r="Q52" s="16"/>
      <c r="R52" s="10" t="s">
        <v>43</v>
      </c>
      <c r="S52" s="10"/>
      <c r="T52" s="10"/>
      <c r="X52" s="1">
        <f>X50/X16*100</f>
        <v>100</v>
      </c>
      <c r="Y52" t="s">
        <v>29</v>
      </c>
    </row>
    <row r="53" spans="1:25" x14ac:dyDescent="0.3">
      <c r="Q53" s="16"/>
    </row>
    <row r="54" spans="1:25" x14ac:dyDescent="0.3">
      <c r="A54" s="10" t="s">
        <v>44</v>
      </c>
      <c r="G54" s="1">
        <f>N13/C13</f>
        <v>13085.296</v>
      </c>
      <c r="H54" t="s">
        <v>26</v>
      </c>
      <c r="Q54" s="16"/>
      <c r="R54" s="10" t="s">
        <v>44</v>
      </c>
      <c r="X54" s="1">
        <f>AE13/T13</f>
        <v>35176.5</v>
      </c>
      <c r="Y54" t="s">
        <v>26</v>
      </c>
    </row>
    <row r="55" spans="1:25" x14ac:dyDescent="0.3">
      <c r="Q55" s="16"/>
    </row>
    <row r="56" spans="1:25" x14ac:dyDescent="0.3">
      <c r="Q56" s="16"/>
    </row>
    <row r="57" spans="1:25" x14ac:dyDescent="0.3">
      <c r="A57" s="15" t="s">
        <v>45</v>
      </c>
      <c r="B57" s="15"/>
      <c r="C57" s="15"/>
      <c r="D57" s="3"/>
      <c r="Q57" s="16"/>
      <c r="R57" s="15" t="s">
        <v>45</v>
      </c>
      <c r="S57" s="15"/>
      <c r="T57" s="15"/>
      <c r="U57" s="3"/>
    </row>
    <row r="58" spans="1:25" x14ac:dyDescent="0.3">
      <c r="A58" s="10" t="s">
        <v>46</v>
      </c>
      <c r="B58" s="10"/>
      <c r="C58" s="10"/>
      <c r="D58" s="3"/>
      <c r="G58" s="3">
        <f>(G16-G19)/G50</f>
        <v>0.77835266673343739</v>
      </c>
      <c r="Q58" s="16"/>
      <c r="R58" s="10" t="s">
        <v>46</v>
      </c>
      <c r="S58" s="10"/>
      <c r="T58" s="10"/>
      <c r="U58" s="3"/>
      <c r="X58" s="3">
        <f>(X16-X19)/X50</f>
        <v>0.51947391564107814</v>
      </c>
    </row>
    <row r="59" spans="1:25" x14ac:dyDescent="0.3">
      <c r="Q59" s="16"/>
    </row>
    <row r="60" spans="1:25" x14ac:dyDescent="0.3">
      <c r="A60" t="s">
        <v>47</v>
      </c>
      <c r="G60" s="3">
        <f>(Q12/(C13*G50^4))-3</f>
        <v>0.28448444849768517</v>
      </c>
      <c r="Q60" s="16"/>
      <c r="R60" t="s">
        <v>47</v>
      </c>
      <c r="X60" s="3">
        <f>(AH13/(T13*X50^4))-3</f>
        <v>-2.8068511805134562</v>
      </c>
    </row>
    <row r="61" spans="1:25" x14ac:dyDescent="0.3">
      <c r="Q61" s="16"/>
    </row>
    <row r="62" spans="1:25" x14ac:dyDescent="0.3">
      <c r="A62" t="s">
        <v>48</v>
      </c>
      <c r="G62" s="3">
        <f>P13/(C13*G50^3)</f>
        <v>0.9137075186685375</v>
      </c>
      <c r="Q62" s="16"/>
      <c r="R62" t="s">
        <v>48</v>
      </c>
      <c r="X62" s="3">
        <f>AG13/(T13*X50^3)</f>
        <v>7.2082523039141394E-2</v>
      </c>
    </row>
    <row r="63" spans="1:25" x14ac:dyDescent="0.3">
      <c r="B63" s="10"/>
      <c r="C63" s="10"/>
      <c r="Q63" s="16"/>
      <c r="S63" s="10"/>
      <c r="T63" s="10"/>
    </row>
    <row r="64" spans="1:25" x14ac:dyDescent="0.3">
      <c r="Q64" s="16"/>
    </row>
    <row r="65" spans="1:28" x14ac:dyDescent="0.3">
      <c r="Q65" s="16"/>
    </row>
    <row r="66" spans="1:28" x14ac:dyDescent="0.3">
      <c r="Q66" s="16"/>
    </row>
    <row r="67" spans="1:28" x14ac:dyDescent="0.3">
      <c r="E67" s="1"/>
      <c r="Q67" s="16"/>
      <c r="V67" s="1"/>
    </row>
    <row r="68" spans="1:28" x14ac:dyDescent="0.3">
      <c r="A68" s="14" t="s">
        <v>53</v>
      </c>
      <c r="E68" s="1"/>
      <c r="Q68" s="16"/>
    </row>
    <row r="69" spans="1:28" x14ac:dyDescent="0.3">
      <c r="C69" t="s">
        <v>10</v>
      </c>
      <c r="D69" t="s">
        <v>9</v>
      </c>
      <c r="J69" t="s">
        <v>10</v>
      </c>
      <c r="K69" t="s">
        <v>12</v>
      </c>
      <c r="Q69" s="16"/>
    </row>
    <row r="70" spans="1:28" x14ac:dyDescent="0.3">
      <c r="B70" s="5"/>
      <c r="C70">
        <f t="shared" ref="C70:C77" si="28">(A5+B5)/2</f>
        <v>5500</v>
      </c>
      <c r="D70" s="13">
        <v>3.2</v>
      </c>
      <c r="J70">
        <f t="shared" ref="J70:J77" si="29">(A5+B5)/2</f>
        <v>5500</v>
      </c>
      <c r="K70">
        <f>C5</f>
        <v>2.2000000000000002</v>
      </c>
      <c r="Q70" s="16"/>
      <c r="R70" s="14" t="s">
        <v>53</v>
      </c>
      <c r="V70" s="1"/>
    </row>
    <row r="71" spans="1:28" x14ac:dyDescent="0.3">
      <c r="B71" s="5"/>
      <c r="C71">
        <f t="shared" si="28"/>
        <v>8500</v>
      </c>
      <c r="D71">
        <v>6.6</v>
      </c>
      <c r="J71">
        <f t="shared" si="29"/>
        <v>8500</v>
      </c>
      <c r="K71">
        <f t="shared" ref="K71:K77" si="30">C6+F5</f>
        <v>7.6000000000000005</v>
      </c>
      <c r="Q71" s="16"/>
      <c r="T71" t="s">
        <v>10</v>
      </c>
      <c r="U71" t="s">
        <v>9</v>
      </c>
      <c r="AA71" t="s">
        <v>10</v>
      </c>
      <c r="AB71" t="s">
        <v>12</v>
      </c>
    </row>
    <row r="72" spans="1:28" x14ac:dyDescent="0.3">
      <c r="B72" s="5"/>
      <c r="C72">
        <f t="shared" si="28"/>
        <v>12000</v>
      </c>
      <c r="D72" s="13">
        <v>12.3</v>
      </c>
      <c r="J72">
        <f t="shared" si="29"/>
        <v>12000</v>
      </c>
      <c r="K72">
        <f t="shared" si="30"/>
        <v>18.7</v>
      </c>
      <c r="Q72" s="16"/>
      <c r="S72" s="5"/>
      <c r="T72">
        <f t="shared" ref="T72:T79" si="31">(R5+S5)/2</f>
        <v>5500</v>
      </c>
      <c r="U72" s="13">
        <v>3.2</v>
      </c>
      <c r="AA72">
        <f t="shared" ref="AA72:AA79" si="32">(R5+S5)/2</f>
        <v>5500</v>
      </c>
      <c r="AB72">
        <f>T5</f>
        <v>2.7</v>
      </c>
    </row>
    <row r="73" spans="1:28" x14ac:dyDescent="0.3">
      <c r="B73" s="5"/>
      <c r="C73">
        <f t="shared" si="28"/>
        <v>16500</v>
      </c>
      <c r="D73">
        <v>16.5</v>
      </c>
      <c r="J73">
        <f t="shared" si="29"/>
        <v>16500</v>
      </c>
      <c r="K73">
        <f t="shared" si="30"/>
        <v>34.6</v>
      </c>
      <c r="Q73" s="16"/>
      <c r="S73" s="5"/>
      <c r="T73">
        <f t="shared" si="31"/>
        <v>8500</v>
      </c>
      <c r="U73">
        <v>6.6</v>
      </c>
      <c r="AA73">
        <f t="shared" si="32"/>
        <v>8500</v>
      </c>
      <c r="AB73">
        <f t="shared" ref="AB73:AB79" si="33">T6+W5</f>
        <v>7.2</v>
      </c>
    </row>
    <row r="74" spans="1:28" x14ac:dyDescent="0.3">
      <c r="B74" s="5"/>
      <c r="C74">
        <f t="shared" si="28"/>
        <v>23000</v>
      </c>
      <c r="D74" s="13">
        <v>21.7</v>
      </c>
      <c r="J74">
        <f t="shared" si="29"/>
        <v>23000</v>
      </c>
      <c r="K74">
        <f t="shared" si="30"/>
        <v>56.7</v>
      </c>
      <c r="Q74" s="16"/>
      <c r="S74" s="5"/>
      <c r="T74">
        <f t="shared" si="31"/>
        <v>12000</v>
      </c>
      <c r="U74" s="13">
        <v>12.3</v>
      </c>
      <c r="AA74">
        <f t="shared" si="32"/>
        <v>12000</v>
      </c>
      <c r="AB74">
        <f t="shared" si="33"/>
        <v>15.5</v>
      </c>
    </row>
    <row r="75" spans="1:28" x14ac:dyDescent="0.3">
      <c r="B75" s="5"/>
      <c r="C75">
        <f t="shared" si="28"/>
        <v>36000</v>
      </c>
      <c r="D75">
        <v>25.3</v>
      </c>
      <c r="J75">
        <f t="shared" si="29"/>
        <v>36000</v>
      </c>
      <c r="K75">
        <f t="shared" si="30"/>
        <v>83.9</v>
      </c>
      <c r="Q75" s="16"/>
      <c r="S75" s="5"/>
      <c r="T75">
        <f t="shared" si="31"/>
        <v>16500</v>
      </c>
      <c r="U75">
        <v>16.5</v>
      </c>
      <c r="AA75">
        <f t="shared" si="32"/>
        <v>16500</v>
      </c>
      <c r="AB75">
        <f t="shared" si="33"/>
        <v>27</v>
      </c>
    </row>
    <row r="76" spans="1:28" x14ac:dyDescent="0.3">
      <c r="B76" s="5"/>
      <c r="C76">
        <f t="shared" si="28"/>
        <v>52500</v>
      </c>
      <c r="D76" s="13">
        <v>7.9</v>
      </c>
      <c r="J76">
        <f t="shared" si="29"/>
        <v>52500</v>
      </c>
      <c r="K76">
        <f t="shared" si="30"/>
        <v>92.7</v>
      </c>
      <c r="Q76" s="16"/>
      <c r="S76" s="5"/>
      <c r="T76">
        <f t="shared" si="31"/>
        <v>23000</v>
      </c>
      <c r="U76" s="13">
        <v>21.7</v>
      </c>
      <c r="AA76">
        <f t="shared" si="32"/>
        <v>23000</v>
      </c>
      <c r="AB76">
        <f t="shared" si="33"/>
        <v>44.1</v>
      </c>
    </row>
    <row r="77" spans="1:28" x14ac:dyDescent="0.3">
      <c r="B77" s="5"/>
      <c r="C77">
        <f t="shared" si="28"/>
        <v>67500</v>
      </c>
      <c r="D77">
        <v>6.5</v>
      </c>
      <c r="J77">
        <f t="shared" si="29"/>
        <v>67500</v>
      </c>
      <c r="K77">
        <f t="shared" si="30"/>
        <v>100</v>
      </c>
      <c r="Q77" s="16"/>
      <c r="S77" s="5"/>
      <c r="T77">
        <f t="shared" si="31"/>
        <v>36000</v>
      </c>
      <c r="U77">
        <v>25.3</v>
      </c>
      <c r="AA77">
        <f t="shared" si="32"/>
        <v>36000</v>
      </c>
      <c r="AB77">
        <f t="shared" si="33"/>
        <v>70</v>
      </c>
    </row>
    <row r="78" spans="1:28" x14ac:dyDescent="0.3">
      <c r="Q78" s="16"/>
      <c r="S78" s="5"/>
      <c r="T78">
        <f t="shared" si="31"/>
        <v>52500</v>
      </c>
      <c r="U78" s="13">
        <v>7.9</v>
      </c>
      <c r="AA78">
        <f t="shared" si="32"/>
        <v>52500</v>
      </c>
      <c r="AB78">
        <f t="shared" si="33"/>
        <v>81.7</v>
      </c>
    </row>
    <row r="79" spans="1:28" x14ac:dyDescent="0.3">
      <c r="Q79" s="16"/>
      <c r="S79" s="5"/>
      <c r="T79">
        <f t="shared" si="31"/>
        <v>67500</v>
      </c>
      <c r="U79">
        <v>6.5</v>
      </c>
      <c r="AA79">
        <f t="shared" si="32"/>
        <v>67500</v>
      </c>
      <c r="AB79">
        <f t="shared" si="33"/>
        <v>100</v>
      </c>
    </row>
    <row r="80" spans="1:28" x14ac:dyDescent="0.3">
      <c r="Q80" s="16"/>
    </row>
    <row r="81" spans="1:17" x14ac:dyDescent="0.3">
      <c r="Q81" s="16"/>
    </row>
    <row r="82" spans="1:17" x14ac:dyDescent="0.3">
      <c r="Q82" s="16"/>
    </row>
    <row r="83" spans="1:17" x14ac:dyDescent="0.3">
      <c r="Q83" s="16"/>
    </row>
    <row r="84" spans="1:17" x14ac:dyDescent="0.3">
      <c r="Q84" s="16"/>
    </row>
    <row r="85" spans="1:17" x14ac:dyDescent="0.3">
      <c r="Q85" s="16"/>
    </row>
    <row r="86" spans="1:17" x14ac:dyDescent="0.3">
      <c r="Q86" s="16"/>
    </row>
    <row r="87" spans="1:17" x14ac:dyDescent="0.3">
      <c r="Q87" s="16"/>
    </row>
    <row r="88" spans="1:17" x14ac:dyDescent="0.3">
      <c r="Q88" s="16"/>
    </row>
    <row r="89" spans="1:17" x14ac:dyDescent="0.3">
      <c r="Q89" s="16"/>
    </row>
    <row r="90" spans="1:17" x14ac:dyDescent="0.3">
      <c r="Q90" s="16"/>
    </row>
    <row r="91" spans="1:17" x14ac:dyDescent="0.3">
      <c r="Q91" s="16"/>
    </row>
    <row r="92" spans="1:17" x14ac:dyDescent="0.3">
      <c r="Q92" s="16"/>
    </row>
    <row r="93" spans="1:17" ht="15.6" customHeight="1" x14ac:dyDescent="0.3">
      <c r="Q93" s="16"/>
    </row>
    <row r="94" spans="1:17" hidden="1" x14ac:dyDescent="0.3">
      <c r="Q94" s="16"/>
    </row>
    <row r="95" spans="1:17" x14ac:dyDescent="0.3">
      <c r="Q95" s="16"/>
    </row>
    <row r="96" spans="1:17" x14ac:dyDescent="0.3">
      <c r="A96" s="11"/>
      <c r="B96" s="11"/>
      <c r="C96" s="11"/>
      <c r="G96" t="s">
        <v>12</v>
      </c>
      <c r="H96" t="s">
        <v>15</v>
      </c>
      <c r="Q96" s="16"/>
    </row>
    <row r="97" spans="7:25" x14ac:dyDescent="0.3">
      <c r="G97">
        <f>C5</f>
        <v>2.2000000000000002</v>
      </c>
      <c r="H97" s="3">
        <f>H5</f>
        <v>4.1784653636300854E-3</v>
      </c>
      <c r="Q97" s="16"/>
    </row>
    <row r="98" spans="7:25" x14ac:dyDescent="0.3">
      <c r="G98">
        <f t="shared" ref="G98:G104" si="34">C6+F5</f>
        <v>7.6000000000000005</v>
      </c>
      <c r="H98" s="3">
        <f t="shared" ref="H98:H104" si="35">H6+I5</f>
        <v>2.002900752814421E-2</v>
      </c>
      <c r="Q98" s="16"/>
      <c r="R98" s="11"/>
      <c r="S98" s="11"/>
      <c r="T98" s="11"/>
      <c r="X98" t="s">
        <v>12</v>
      </c>
      <c r="Y98" t="s">
        <v>15</v>
      </c>
    </row>
    <row r="99" spans="7:25" x14ac:dyDescent="0.3">
      <c r="G99">
        <f t="shared" si="34"/>
        <v>18.7</v>
      </c>
      <c r="H99" s="3">
        <f t="shared" si="35"/>
        <v>6.6026659299675383E-2</v>
      </c>
      <c r="Q99" s="16"/>
      <c r="X99">
        <f>T5</f>
        <v>2.7</v>
      </c>
      <c r="Y99" s="3">
        <f>Y5</f>
        <v>4.2215683766150701E-3</v>
      </c>
    </row>
    <row r="100" spans="7:25" x14ac:dyDescent="0.3">
      <c r="G100">
        <f t="shared" si="34"/>
        <v>34.6</v>
      </c>
      <c r="H100" s="3">
        <f t="shared" si="35"/>
        <v>0.15662338559292768</v>
      </c>
      <c r="Q100" s="16"/>
      <c r="X100">
        <f t="shared" ref="X100:X106" si="36">T6+W5</f>
        <v>7.2</v>
      </c>
      <c r="Y100" s="3">
        <f t="shared" ref="Y100:Y106" si="37">Y6+Z5</f>
        <v>1.5095305104259948E-2</v>
      </c>
    </row>
    <row r="101" spans="7:25" x14ac:dyDescent="0.3">
      <c r="G101">
        <f t="shared" si="34"/>
        <v>56.7</v>
      </c>
      <c r="H101" s="3">
        <f t="shared" si="35"/>
        <v>0.3321534636369915</v>
      </c>
      <c r="Q101" s="16"/>
      <c r="X101">
        <f t="shared" si="36"/>
        <v>15.5</v>
      </c>
      <c r="Y101" s="3">
        <f t="shared" si="37"/>
        <v>4.3409662700950924E-2</v>
      </c>
    </row>
    <row r="102" spans="7:25" x14ac:dyDescent="0.3">
      <c r="G102">
        <f t="shared" si="34"/>
        <v>83.9</v>
      </c>
      <c r="H102" s="3">
        <f t="shared" si="35"/>
        <v>0.67029836314662616</v>
      </c>
      <c r="Q102" s="16"/>
      <c r="X102">
        <f t="shared" si="36"/>
        <v>27</v>
      </c>
      <c r="Y102" s="3">
        <f t="shared" si="37"/>
        <v>9.7351925291032371E-2</v>
      </c>
    </row>
    <row r="103" spans="7:25" x14ac:dyDescent="0.3">
      <c r="G103">
        <f t="shared" si="34"/>
        <v>92.7</v>
      </c>
      <c r="H103" s="3">
        <f t="shared" si="35"/>
        <v>0.82983976793977487</v>
      </c>
      <c r="Q103" s="16"/>
      <c r="X103">
        <f t="shared" si="36"/>
        <v>44.1</v>
      </c>
      <c r="Y103" s="3">
        <f t="shared" si="37"/>
        <v>0.20915952411411029</v>
      </c>
    </row>
    <row r="104" spans="7:25" x14ac:dyDescent="0.3">
      <c r="G104">
        <f t="shared" si="34"/>
        <v>100</v>
      </c>
      <c r="H104">
        <f t="shared" si="35"/>
        <v>1</v>
      </c>
      <c r="Q104" s="16"/>
      <c r="X104">
        <f t="shared" si="36"/>
        <v>70</v>
      </c>
      <c r="Y104" s="3">
        <f t="shared" si="37"/>
        <v>0.47422284763975953</v>
      </c>
    </row>
    <row r="105" spans="7:25" x14ac:dyDescent="0.3">
      <c r="Q105" s="16"/>
      <c r="X105">
        <f t="shared" si="36"/>
        <v>81.7</v>
      </c>
      <c r="Y105" s="3">
        <f t="shared" si="37"/>
        <v>0.64884226685429192</v>
      </c>
    </row>
    <row r="106" spans="7:25" x14ac:dyDescent="0.3">
      <c r="Q106" s="16"/>
      <c r="X106">
        <f t="shared" si="36"/>
        <v>100</v>
      </c>
      <c r="Y106">
        <f t="shared" si="37"/>
        <v>1</v>
      </c>
    </row>
    <row r="107" spans="7:25" x14ac:dyDescent="0.3">
      <c r="Q107" s="16"/>
    </row>
    <row r="108" spans="7:25" x14ac:dyDescent="0.3">
      <c r="Q108" s="16"/>
    </row>
    <row r="109" spans="7:25" x14ac:dyDescent="0.3">
      <c r="Q109" s="16"/>
    </row>
    <row r="110" spans="7:25" x14ac:dyDescent="0.3">
      <c r="Q110" s="16"/>
    </row>
    <row r="111" spans="7:25" x14ac:dyDescent="0.3">
      <c r="Q111" s="16"/>
    </row>
    <row r="112" spans="7:25" x14ac:dyDescent="0.3">
      <c r="Q112" s="16"/>
    </row>
    <row r="113" spans="17:17" x14ac:dyDescent="0.3">
      <c r="Q113" s="16"/>
    </row>
    <row r="114" spans="17:17" x14ac:dyDescent="0.3">
      <c r="Q114" s="16"/>
    </row>
    <row r="115" spans="17:17" x14ac:dyDescent="0.3">
      <c r="Q115" s="16"/>
    </row>
    <row r="116" spans="17:17" x14ac:dyDescent="0.3">
      <c r="Q116" s="16"/>
    </row>
    <row r="117" spans="17:17" x14ac:dyDescent="0.3">
      <c r="Q117" s="16"/>
    </row>
    <row r="118" spans="17:17" x14ac:dyDescent="0.3">
      <c r="Q118" s="16"/>
    </row>
    <row r="119" spans="17:17" x14ac:dyDescent="0.3">
      <c r="Q119" s="16"/>
    </row>
  </sheetData>
  <mergeCells count="20">
    <mergeCell ref="R30:T30"/>
    <mergeCell ref="R31:T31"/>
    <mergeCell ref="R33:U33"/>
    <mergeCell ref="A30:C30"/>
    <mergeCell ref="A31:C31"/>
    <mergeCell ref="A33:D33"/>
    <mergeCell ref="A23:D23"/>
    <mergeCell ref="A28:F28"/>
    <mergeCell ref="A3:B3"/>
    <mergeCell ref="R1:AH2"/>
    <mergeCell ref="A1:Q2"/>
    <mergeCell ref="A15:F15"/>
    <mergeCell ref="A16:F16"/>
    <mergeCell ref="A19:F19"/>
    <mergeCell ref="R28:W28"/>
    <mergeCell ref="R3:S3"/>
    <mergeCell ref="R15:W15"/>
    <mergeCell ref="R16:W16"/>
    <mergeCell ref="R19:W19"/>
    <mergeCell ref="R23:U2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2023-07-11T18:59:38Z</dcterms:modified>
  <cp:category/>
  <cp:contentStatus/>
</cp:coreProperties>
</file>