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osiO\Downloads\"/>
    </mc:Choice>
  </mc:AlternateContent>
  <xr:revisionPtr revIDLastSave="0" documentId="13_ncr:1_{FD930705-A166-4CE2-84D2-E76B2D925985}" xr6:coauthVersionLast="47" xr6:coauthVersionMax="47" xr10:uidLastSave="{00000000-0000-0000-0000-000000000000}"/>
  <bookViews>
    <workbookView xWindow="-96" yWindow="0" windowWidth="11712" windowHeight="12336" xr2:uid="{24D94C10-59FD-402D-877F-59DC95AE6AC8}"/>
  </bookViews>
  <sheets>
    <sheet name="2026 6" sheetId="1" r:id="rId1"/>
  </sheets>
  <definedNames>
    <definedName name="__" hidden="1">{#N/A,#N/A,TRUE,"58402Θセ虫"}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A3" i="1" l="1"/>
  <c r="T3" i="1"/>
  <c r="R4" i="1"/>
  <c r="R3" i="1"/>
  <c r="V3" i="1"/>
  <c r="Y3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36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3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V149" i="1"/>
  <c r="L149" i="1"/>
  <c r="M149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Y149" i="1"/>
  <c r="S149" i="1"/>
  <c r="R149" i="1"/>
  <c r="Q149" i="1"/>
  <c r="T149" i="1"/>
  <c r="W150" i="1"/>
  <c r="X150" i="1"/>
  <c r="V150" i="1"/>
  <c r="L150" i="1"/>
  <c r="M150" i="1"/>
  <c r="Z150" i="1"/>
  <c r="Y150" i="1"/>
  <c r="S150" i="1"/>
  <c r="R150" i="1"/>
  <c r="Q150" i="1"/>
  <c r="T150" i="1"/>
  <c r="W151" i="1"/>
  <c r="X151" i="1"/>
  <c r="V151" i="1"/>
  <c r="L151" i="1"/>
  <c r="M151" i="1"/>
  <c r="Z151" i="1"/>
  <c r="Y151" i="1"/>
  <c r="S151" i="1"/>
  <c r="R151" i="1"/>
  <c r="Q151" i="1"/>
  <c r="T151" i="1"/>
  <c r="W152" i="1"/>
  <c r="X152" i="1"/>
  <c r="V152" i="1"/>
  <c r="L152" i="1"/>
  <c r="M152" i="1"/>
  <c r="Z152" i="1"/>
  <c r="Y152" i="1"/>
  <c r="S152" i="1"/>
  <c r="R152" i="1"/>
  <c r="Q152" i="1"/>
  <c r="T152" i="1"/>
  <c r="W153" i="1"/>
  <c r="X153" i="1"/>
  <c r="V153" i="1"/>
  <c r="L153" i="1"/>
  <c r="M153" i="1"/>
  <c r="Z153" i="1"/>
  <c r="Y153" i="1"/>
  <c r="S153" i="1"/>
  <c r="R153" i="1"/>
  <c r="Q153" i="1"/>
  <c r="T153" i="1"/>
  <c r="W154" i="1"/>
  <c r="X154" i="1"/>
  <c r="V154" i="1"/>
  <c r="L154" i="1"/>
  <c r="M154" i="1"/>
  <c r="Z154" i="1"/>
  <c r="Y154" i="1"/>
  <c r="S154" i="1"/>
  <c r="R154" i="1"/>
  <c r="Q154" i="1"/>
  <c r="T154" i="1"/>
  <c r="W155" i="1"/>
  <c r="X155" i="1"/>
  <c r="V155" i="1"/>
  <c r="L155" i="1"/>
  <c r="M155" i="1"/>
  <c r="Z155" i="1"/>
  <c r="Y155" i="1"/>
  <c r="S155" i="1"/>
  <c r="R155" i="1"/>
  <c r="Q155" i="1"/>
  <c r="T155" i="1"/>
  <c r="W156" i="1"/>
  <c r="X156" i="1"/>
  <c r="V156" i="1"/>
  <c r="L156" i="1"/>
  <c r="M156" i="1"/>
  <c r="Z156" i="1"/>
  <c r="Y156" i="1"/>
  <c r="S156" i="1"/>
  <c r="R156" i="1"/>
  <c r="Q156" i="1"/>
  <c r="T156" i="1"/>
  <c r="W157" i="1"/>
  <c r="X157" i="1"/>
  <c r="V157" i="1"/>
  <c r="L157" i="1"/>
  <c r="M157" i="1"/>
  <c r="Z157" i="1"/>
  <c r="Y157" i="1"/>
  <c r="S157" i="1"/>
  <c r="R157" i="1"/>
  <c r="Q157" i="1"/>
  <c r="T157" i="1"/>
  <c r="W158" i="1"/>
  <c r="X158" i="1"/>
  <c r="V158" i="1"/>
  <c r="L158" i="1"/>
  <c r="M158" i="1"/>
  <c r="Z158" i="1"/>
  <c r="Y158" i="1"/>
  <c r="S158" i="1"/>
  <c r="R158" i="1"/>
  <c r="Q158" i="1"/>
  <c r="T158" i="1"/>
  <c r="W159" i="1"/>
  <c r="X159" i="1"/>
  <c r="V159" i="1"/>
  <c r="L159" i="1"/>
  <c r="M159" i="1"/>
  <c r="Z159" i="1"/>
  <c r="Y159" i="1"/>
  <c r="S159" i="1"/>
  <c r="R159" i="1"/>
  <c r="Q159" i="1"/>
  <c r="T159" i="1"/>
  <c r="W160" i="1"/>
  <c r="W161" i="1"/>
  <c r="X160" i="1"/>
  <c r="X161" i="1"/>
  <c r="V161" i="1"/>
  <c r="L161" i="1"/>
  <c r="M161" i="1"/>
  <c r="Z160" i="1"/>
  <c r="Z161" i="1"/>
  <c r="Y161" i="1"/>
  <c r="S161" i="1"/>
  <c r="R161" i="1"/>
  <c r="Q161" i="1"/>
  <c r="T161" i="1"/>
  <c r="W162" i="1"/>
  <c r="W163" i="1"/>
  <c r="X162" i="1"/>
  <c r="X163" i="1"/>
  <c r="V163" i="1"/>
  <c r="L163" i="1"/>
  <c r="M163" i="1"/>
  <c r="Z162" i="1"/>
  <c r="Z163" i="1"/>
  <c r="Y163" i="1"/>
  <c r="S163" i="1"/>
  <c r="R163" i="1"/>
  <c r="Q163" i="1"/>
  <c r="T163" i="1"/>
  <c r="W164" i="1"/>
  <c r="X164" i="1"/>
  <c r="V164" i="1"/>
  <c r="L164" i="1"/>
  <c r="M164" i="1"/>
  <c r="Z164" i="1"/>
  <c r="Y164" i="1"/>
  <c r="S164" i="1"/>
  <c r="R164" i="1"/>
  <c r="Q164" i="1"/>
  <c r="T164" i="1"/>
  <c r="W165" i="1"/>
  <c r="X165" i="1"/>
  <c r="V165" i="1"/>
  <c r="L165" i="1"/>
  <c r="M165" i="1"/>
  <c r="Z165" i="1"/>
  <c r="Y165" i="1"/>
  <c r="S165" i="1"/>
  <c r="R165" i="1"/>
  <c r="Q165" i="1"/>
  <c r="T165" i="1"/>
  <c r="T168" i="1"/>
  <c r="Z166" i="1"/>
  <c r="T169" i="1"/>
  <c r="T174" i="1"/>
  <c r="J137" i="1"/>
  <c r="J138" i="1"/>
  <c r="J139" i="1"/>
  <c r="J140" i="1"/>
  <c r="J141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1" i="1"/>
  <c r="J163" i="1"/>
  <c r="J164" i="1"/>
  <c r="J165" i="1"/>
  <c r="J167" i="1"/>
  <c r="J173" i="1"/>
  <c r="Z167" i="1"/>
  <c r="AA165" i="1"/>
  <c r="AA164" i="1"/>
  <c r="AA163" i="1"/>
  <c r="V162" i="1"/>
  <c r="L162" i="1"/>
  <c r="M162" i="1"/>
  <c r="Y162" i="1"/>
  <c r="S162" i="1"/>
  <c r="R162" i="1"/>
  <c r="AA162" i="1"/>
  <c r="Q162" i="1"/>
  <c r="AA161" i="1"/>
  <c r="V160" i="1"/>
  <c r="L160" i="1"/>
  <c r="M160" i="1"/>
  <c r="Y160" i="1"/>
  <c r="S160" i="1"/>
  <c r="R160" i="1"/>
  <c r="AA160" i="1"/>
  <c r="Q160" i="1"/>
  <c r="AA159" i="1"/>
  <c r="AA158" i="1"/>
  <c r="AA157" i="1"/>
  <c r="AA156" i="1"/>
  <c r="AA155" i="1"/>
  <c r="AA154" i="1"/>
  <c r="AA153" i="1"/>
  <c r="AA152" i="1"/>
  <c r="AA151" i="1"/>
  <c r="AA150" i="1"/>
  <c r="AA149" i="1"/>
  <c r="V148" i="1"/>
  <c r="L148" i="1"/>
  <c r="M148" i="1"/>
  <c r="Y148" i="1"/>
  <c r="S148" i="1"/>
  <c r="R148" i="1"/>
  <c r="AA148" i="1"/>
  <c r="Q148" i="1"/>
  <c r="T148" i="1"/>
  <c r="V147" i="1"/>
  <c r="L147" i="1"/>
  <c r="M147" i="1"/>
  <c r="Y147" i="1"/>
  <c r="S147" i="1"/>
  <c r="R147" i="1"/>
  <c r="AA147" i="1"/>
  <c r="Q147" i="1"/>
  <c r="T147" i="1"/>
  <c r="V146" i="1"/>
  <c r="L146" i="1"/>
  <c r="M146" i="1"/>
  <c r="Y146" i="1"/>
  <c r="S146" i="1"/>
  <c r="R146" i="1"/>
  <c r="AA146" i="1"/>
  <c r="Q146" i="1"/>
  <c r="T146" i="1"/>
  <c r="V145" i="1"/>
  <c r="L145" i="1"/>
  <c r="M145" i="1"/>
  <c r="Y145" i="1"/>
  <c r="S145" i="1"/>
  <c r="R145" i="1"/>
  <c r="AA145" i="1"/>
  <c r="Q145" i="1"/>
  <c r="T145" i="1"/>
  <c r="V144" i="1"/>
  <c r="L144" i="1"/>
  <c r="M144" i="1"/>
  <c r="Y144" i="1"/>
  <c r="S144" i="1"/>
  <c r="R144" i="1"/>
  <c r="AA144" i="1"/>
  <c r="Q144" i="1"/>
  <c r="T144" i="1"/>
  <c r="V143" i="1"/>
  <c r="L143" i="1"/>
  <c r="M143" i="1"/>
  <c r="Y143" i="1"/>
  <c r="S143" i="1"/>
  <c r="R143" i="1"/>
  <c r="AA143" i="1"/>
  <c r="Q143" i="1"/>
  <c r="T143" i="1"/>
  <c r="R142" i="1"/>
  <c r="V142" i="1"/>
  <c r="L142" i="1"/>
  <c r="M142" i="1"/>
  <c r="Y142" i="1"/>
  <c r="S142" i="1"/>
  <c r="AA142" i="1"/>
  <c r="Q142" i="1"/>
  <c r="T142" i="1"/>
  <c r="R141" i="1"/>
  <c r="V141" i="1"/>
  <c r="L141" i="1"/>
  <c r="M141" i="1"/>
  <c r="Y141" i="1"/>
  <c r="S141" i="1"/>
  <c r="AA141" i="1"/>
  <c r="Q141" i="1"/>
  <c r="T141" i="1"/>
  <c r="R140" i="1"/>
  <c r="V140" i="1"/>
  <c r="L140" i="1"/>
  <c r="M140" i="1"/>
  <c r="Y140" i="1"/>
  <c r="S140" i="1"/>
  <c r="AA140" i="1"/>
  <c r="Q140" i="1"/>
  <c r="T140" i="1"/>
  <c r="R139" i="1"/>
  <c r="V139" i="1"/>
  <c r="L139" i="1"/>
  <c r="M139" i="1"/>
  <c r="Y139" i="1"/>
  <c r="S139" i="1"/>
  <c r="AA139" i="1"/>
  <c r="Q139" i="1"/>
  <c r="T139" i="1"/>
  <c r="R138" i="1"/>
  <c r="V138" i="1"/>
  <c r="L138" i="1"/>
  <c r="M138" i="1"/>
  <c r="Y138" i="1"/>
  <c r="S138" i="1"/>
  <c r="AA138" i="1"/>
  <c r="Q138" i="1"/>
  <c r="T138" i="1"/>
  <c r="R137" i="1"/>
  <c r="V137" i="1"/>
  <c r="L137" i="1"/>
  <c r="M137" i="1"/>
  <c r="Y137" i="1"/>
  <c r="S137" i="1"/>
  <c r="AA137" i="1"/>
  <c r="Q137" i="1"/>
  <c r="T137" i="1"/>
  <c r="M136" i="1"/>
  <c r="Q106" i="1"/>
  <c r="T106" i="1"/>
  <c r="Q107" i="1"/>
  <c r="T107" i="1"/>
  <c r="Q108" i="1"/>
  <c r="T108" i="1"/>
  <c r="R109" i="1"/>
  <c r="Q109" i="1"/>
  <c r="T109" i="1"/>
  <c r="R110" i="1"/>
  <c r="Q110" i="1"/>
  <c r="T110" i="1"/>
  <c r="R111" i="1"/>
  <c r="Q111" i="1"/>
  <c r="T111" i="1"/>
  <c r="Q112" i="1"/>
  <c r="T112" i="1"/>
  <c r="Q113" i="1"/>
  <c r="T113" i="1"/>
  <c r="Q114" i="1"/>
  <c r="T114" i="1"/>
  <c r="R115" i="1"/>
  <c r="Q115" i="1"/>
  <c r="T115" i="1"/>
  <c r="R116" i="1"/>
  <c r="Q116" i="1"/>
  <c r="T116" i="1"/>
  <c r="R117" i="1"/>
  <c r="Q117" i="1"/>
  <c r="T117" i="1"/>
  <c r="R118" i="1"/>
  <c r="Q118" i="1"/>
  <c r="T118" i="1"/>
  <c r="R119" i="1"/>
  <c r="Q119" i="1"/>
  <c r="T119" i="1"/>
  <c r="R120" i="1"/>
  <c r="Q120" i="1"/>
  <c r="T120" i="1"/>
  <c r="R121" i="1"/>
  <c r="Q121" i="1"/>
  <c r="T121" i="1"/>
  <c r="T125" i="1"/>
  <c r="Z122" i="1"/>
  <c r="Z123" i="1"/>
  <c r="T126" i="1"/>
  <c r="J106" i="1"/>
  <c r="J107" i="1"/>
  <c r="J108" i="1"/>
  <c r="J109" i="1"/>
  <c r="J110" i="1"/>
  <c r="J111" i="1"/>
  <c r="J112" i="1"/>
  <c r="J113" i="1"/>
  <c r="J114" i="1"/>
  <c r="J116" i="1"/>
  <c r="J117" i="1"/>
  <c r="J118" i="1"/>
  <c r="J120" i="1"/>
  <c r="J121" i="1"/>
  <c r="J123" i="1"/>
  <c r="T128" i="1"/>
  <c r="T131" i="1"/>
  <c r="J127" i="1"/>
  <c r="J128" i="1"/>
  <c r="J130" i="1"/>
  <c r="Z124" i="1"/>
  <c r="V121" i="1"/>
  <c r="L121" i="1"/>
  <c r="M121" i="1"/>
  <c r="Y121" i="1"/>
  <c r="S121" i="1"/>
  <c r="AA121" i="1"/>
  <c r="V120" i="1"/>
  <c r="L120" i="1"/>
  <c r="M120" i="1"/>
  <c r="Y120" i="1"/>
  <c r="S120" i="1"/>
  <c r="AA120" i="1"/>
  <c r="V119" i="1"/>
  <c r="L119" i="1"/>
  <c r="M119" i="1"/>
  <c r="Y119" i="1"/>
  <c r="S119" i="1"/>
  <c r="AA119" i="1"/>
  <c r="V118" i="1"/>
  <c r="L118" i="1"/>
  <c r="M118" i="1"/>
  <c r="Y118" i="1"/>
  <c r="S118" i="1"/>
  <c r="AA118" i="1"/>
  <c r="V117" i="1"/>
  <c r="L117" i="1"/>
  <c r="M117" i="1"/>
  <c r="Y117" i="1"/>
  <c r="S117" i="1"/>
  <c r="AA117" i="1"/>
  <c r="V116" i="1"/>
  <c r="L116" i="1"/>
  <c r="M116" i="1"/>
  <c r="Y116" i="1"/>
  <c r="S116" i="1"/>
  <c r="AA116" i="1"/>
  <c r="V115" i="1"/>
  <c r="M115" i="1"/>
  <c r="Y115" i="1"/>
  <c r="S115" i="1"/>
  <c r="AA115" i="1"/>
  <c r="V114" i="1"/>
  <c r="L114" i="1"/>
  <c r="M114" i="1"/>
  <c r="Y114" i="1"/>
  <c r="S114" i="1"/>
  <c r="AA114" i="1"/>
  <c r="V113" i="1"/>
  <c r="L113" i="1"/>
  <c r="M113" i="1"/>
  <c r="Y113" i="1"/>
  <c r="S113" i="1"/>
  <c r="AA113" i="1"/>
  <c r="V112" i="1"/>
  <c r="L112" i="1"/>
  <c r="M112" i="1"/>
  <c r="Y112" i="1"/>
  <c r="S112" i="1"/>
  <c r="AA112" i="1"/>
  <c r="V111" i="1"/>
  <c r="L111" i="1"/>
  <c r="M111" i="1"/>
  <c r="Y111" i="1"/>
  <c r="S111" i="1"/>
  <c r="AA111" i="1"/>
  <c r="V110" i="1"/>
  <c r="L110" i="1"/>
  <c r="M110" i="1"/>
  <c r="Y110" i="1"/>
  <c r="S110" i="1"/>
  <c r="AA110" i="1"/>
  <c r="V109" i="1"/>
  <c r="L109" i="1"/>
  <c r="M109" i="1"/>
  <c r="Y109" i="1"/>
  <c r="S109" i="1"/>
  <c r="AA109" i="1"/>
  <c r="V108" i="1"/>
  <c r="L108" i="1"/>
  <c r="M108" i="1"/>
  <c r="Y108" i="1"/>
  <c r="S108" i="1"/>
  <c r="AA108" i="1"/>
  <c r="V107" i="1"/>
  <c r="L107" i="1"/>
  <c r="M107" i="1"/>
  <c r="Y107" i="1"/>
  <c r="S107" i="1"/>
  <c r="AA107" i="1"/>
  <c r="V106" i="1"/>
  <c r="L106" i="1"/>
  <c r="M106" i="1"/>
  <c r="Y106" i="1"/>
  <c r="S106" i="1"/>
  <c r="AA106" i="1"/>
  <c r="J36" i="1"/>
  <c r="J37" i="1"/>
  <c r="J38" i="1"/>
  <c r="J39" i="1"/>
  <c r="J40" i="1"/>
  <c r="J41" i="1"/>
  <c r="J44" i="1"/>
  <c r="J46" i="1"/>
  <c r="J47" i="1"/>
  <c r="J48" i="1"/>
  <c r="J49" i="1"/>
  <c r="J50" i="1"/>
  <c r="J51" i="1"/>
  <c r="J52" i="1"/>
  <c r="J53" i="1"/>
  <c r="J55" i="1"/>
  <c r="J58" i="1"/>
  <c r="J59" i="1"/>
  <c r="J60" i="1"/>
  <c r="J61" i="1"/>
  <c r="J62" i="1"/>
  <c r="J63" i="1"/>
  <c r="J64" i="1"/>
  <c r="J66" i="1"/>
  <c r="J67" i="1"/>
  <c r="J68" i="1"/>
  <c r="J69" i="1"/>
  <c r="J70" i="1"/>
  <c r="J71" i="1"/>
  <c r="J72" i="1"/>
  <c r="J73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1" i="1"/>
  <c r="J93" i="1"/>
  <c r="J95" i="1"/>
  <c r="J97" i="1"/>
  <c r="J101" i="1"/>
  <c r="R36" i="1"/>
  <c r="Q36" i="1"/>
  <c r="T36" i="1"/>
  <c r="R37" i="1"/>
  <c r="Q37" i="1"/>
  <c r="T37" i="1"/>
  <c r="R38" i="1"/>
  <c r="Q38" i="1"/>
  <c r="T38" i="1"/>
  <c r="R39" i="1"/>
  <c r="Q39" i="1"/>
  <c r="T39" i="1"/>
  <c r="R40" i="1"/>
  <c r="Q40" i="1"/>
  <c r="T40" i="1"/>
  <c r="R41" i="1"/>
  <c r="Q41" i="1"/>
  <c r="T41" i="1"/>
  <c r="R42" i="1"/>
  <c r="Q42" i="1"/>
  <c r="T42" i="1"/>
  <c r="R43" i="1"/>
  <c r="Q43" i="1"/>
  <c r="T43" i="1"/>
  <c r="R44" i="1"/>
  <c r="Q44" i="1"/>
  <c r="T44" i="1"/>
  <c r="R45" i="1"/>
  <c r="Q45" i="1"/>
  <c r="T45" i="1"/>
  <c r="R46" i="1"/>
  <c r="Q46" i="1"/>
  <c r="T46" i="1"/>
  <c r="R47" i="1"/>
  <c r="Q47" i="1"/>
  <c r="T47" i="1"/>
  <c r="R48" i="1"/>
  <c r="Q48" i="1"/>
  <c r="T48" i="1"/>
  <c r="R49" i="1"/>
  <c r="Q49" i="1"/>
  <c r="T49" i="1"/>
  <c r="R50" i="1"/>
  <c r="Q50" i="1"/>
  <c r="T50" i="1"/>
  <c r="R51" i="1"/>
  <c r="Q51" i="1"/>
  <c r="T51" i="1"/>
  <c r="R52" i="1"/>
  <c r="Q52" i="1"/>
  <c r="T52" i="1"/>
  <c r="R53" i="1"/>
  <c r="Q53" i="1"/>
  <c r="T53" i="1"/>
  <c r="R54" i="1"/>
  <c r="Q54" i="1"/>
  <c r="T54" i="1"/>
  <c r="R55" i="1"/>
  <c r="Q55" i="1"/>
  <c r="T55" i="1"/>
  <c r="R56" i="1"/>
  <c r="Q56" i="1"/>
  <c r="T56" i="1"/>
  <c r="R57" i="1"/>
  <c r="Q57" i="1"/>
  <c r="T57" i="1"/>
  <c r="R58" i="1"/>
  <c r="Q58" i="1"/>
  <c r="T58" i="1"/>
  <c r="R59" i="1"/>
  <c r="Q59" i="1"/>
  <c r="T59" i="1"/>
  <c r="R60" i="1"/>
  <c r="Q60" i="1"/>
  <c r="T60" i="1"/>
  <c r="R61" i="1"/>
  <c r="Q61" i="1"/>
  <c r="T61" i="1"/>
  <c r="R62" i="1"/>
  <c r="Q62" i="1"/>
  <c r="T62" i="1"/>
  <c r="R63" i="1"/>
  <c r="Q63" i="1"/>
  <c r="T63" i="1"/>
  <c r="R64" i="1"/>
  <c r="Q64" i="1"/>
  <c r="T64" i="1"/>
  <c r="R65" i="1"/>
  <c r="Q65" i="1"/>
  <c r="T65" i="1"/>
  <c r="Q66" i="1"/>
  <c r="T66" i="1"/>
  <c r="Q67" i="1"/>
  <c r="T67" i="1"/>
  <c r="Q68" i="1"/>
  <c r="T68" i="1"/>
  <c r="Q69" i="1"/>
  <c r="T69" i="1"/>
  <c r="Q70" i="1"/>
  <c r="T70" i="1"/>
  <c r="Q71" i="1"/>
  <c r="T71" i="1"/>
  <c r="Q72" i="1"/>
  <c r="T72" i="1"/>
  <c r="Q73" i="1"/>
  <c r="T73" i="1"/>
  <c r="R74" i="1"/>
  <c r="Q74" i="1"/>
  <c r="T74" i="1"/>
  <c r="R75" i="1"/>
  <c r="Q75" i="1"/>
  <c r="T75" i="1"/>
  <c r="Q76" i="1"/>
  <c r="T76" i="1"/>
  <c r="Q77" i="1"/>
  <c r="T77" i="1"/>
  <c r="R78" i="1"/>
  <c r="Q78" i="1"/>
  <c r="T78" i="1"/>
  <c r="R79" i="1"/>
  <c r="Q79" i="1"/>
  <c r="T79" i="1"/>
  <c r="R80" i="1"/>
  <c r="Q80" i="1"/>
  <c r="T80" i="1"/>
  <c r="R81" i="1"/>
  <c r="Q81" i="1"/>
  <c r="T81" i="1"/>
  <c r="R82" i="1"/>
  <c r="Q82" i="1"/>
  <c r="T82" i="1"/>
  <c r="R83" i="1"/>
  <c r="Q83" i="1"/>
  <c r="T83" i="1"/>
  <c r="R84" i="1"/>
  <c r="Q84" i="1"/>
  <c r="T84" i="1"/>
  <c r="R85" i="1"/>
  <c r="Q85" i="1"/>
  <c r="T85" i="1"/>
  <c r="R86" i="1"/>
  <c r="Q86" i="1"/>
  <c r="T86" i="1"/>
  <c r="R87" i="1"/>
  <c r="Q87" i="1"/>
  <c r="T87" i="1"/>
  <c r="R88" i="1"/>
  <c r="Q88" i="1"/>
  <c r="T88" i="1"/>
  <c r="R89" i="1"/>
  <c r="Q89" i="1"/>
  <c r="T89" i="1"/>
  <c r="R90" i="1"/>
  <c r="Q90" i="1"/>
  <c r="T90" i="1"/>
  <c r="R91" i="1"/>
  <c r="Q91" i="1"/>
  <c r="T91" i="1"/>
  <c r="T94" i="1"/>
  <c r="Z92" i="1"/>
  <c r="T95" i="1"/>
  <c r="T97" i="1"/>
  <c r="T100" i="1"/>
  <c r="Z93" i="1"/>
  <c r="V91" i="1"/>
  <c r="L91" i="1"/>
  <c r="M91" i="1"/>
  <c r="Y91" i="1"/>
  <c r="S91" i="1"/>
  <c r="AA91" i="1"/>
  <c r="V90" i="1"/>
  <c r="M90" i="1"/>
  <c r="Y90" i="1"/>
  <c r="S90" i="1"/>
  <c r="AA90" i="1"/>
  <c r="V89" i="1"/>
  <c r="L89" i="1"/>
  <c r="M89" i="1"/>
  <c r="Y89" i="1"/>
  <c r="S89" i="1"/>
  <c r="AA89" i="1"/>
  <c r="V88" i="1"/>
  <c r="L88" i="1"/>
  <c r="M88" i="1"/>
  <c r="Y88" i="1"/>
  <c r="S88" i="1"/>
  <c r="AA88" i="1"/>
  <c r="V87" i="1"/>
  <c r="L87" i="1"/>
  <c r="M87" i="1"/>
  <c r="Y87" i="1"/>
  <c r="S87" i="1"/>
  <c r="AA87" i="1"/>
  <c r="V86" i="1"/>
  <c r="L86" i="1"/>
  <c r="M86" i="1"/>
  <c r="Y86" i="1"/>
  <c r="S86" i="1"/>
  <c r="AA86" i="1"/>
  <c r="V85" i="1"/>
  <c r="L85" i="1"/>
  <c r="M85" i="1"/>
  <c r="Y85" i="1"/>
  <c r="S85" i="1"/>
  <c r="AA85" i="1"/>
  <c r="V84" i="1"/>
  <c r="L84" i="1"/>
  <c r="M84" i="1"/>
  <c r="Y84" i="1"/>
  <c r="S84" i="1"/>
  <c r="AA84" i="1"/>
  <c r="V83" i="1"/>
  <c r="L83" i="1"/>
  <c r="M83" i="1"/>
  <c r="Y83" i="1"/>
  <c r="S83" i="1"/>
  <c r="AA83" i="1"/>
  <c r="V82" i="1"/>
  <c r="L82" i="1"/>
  <c r="M82" i="1"/>
  <c r="Y82" i="1"/>
  <c r="S82" i="1"/>
  <c r="AA82" i="1"/>
  <c r="V81" i="1"/>
  <c r="L81" i="1"/>
  <c r="M81" i="1"/>
  <c r="Y81" i="1"/>
  <c r="S81" i="1"/>
  <c r="AA81" i="1"/>
  <c r="V80" i="1"/>
  <c r="L80" i="1"/>
  <c r="M80" i="1"/>
  <c r="Y80" i="1"/>
  <c r="S80" i="1"/>
  <c r="AA80" i="1"/>
  <c r="V79" i="1"/>
  <c r="L79" i="1"/>
  <c r="M79" i="1"/>
  <c r="Y79" i="1"/>
  <c r="S79" i="1"/>
  <c r="AA79" i="1"/>
  <c r="V78" i="1"/>
  <c r="L78" i="1"/>
  <c r="M78" i="1"/>
  <c r="Y78" i="1"/>
  <c r="S78" i="1"/>
  <c r="AA78" i="1"/>
  <c r="V77" i="1"/>
  <c r="L77" i="1"/>
  <c r="M77" i="1"/>
  <c r="Y77" i="1"/>
  <c r="S77" i="1"/>
  <c r="AA77" i="1"/>
  <c r="V76" i="1"/>
  <c r="L76" i="1"/>
  <c r="M76" i="1"/>
  <c r="Y76" i="1"/>
  <c r="S76" i="1"/>
  <c r="AA76" i="1"/>
  <c r="V75" i="1"/>
  <c r="L75" i="1"/>
  <c r="M75" i="1"/>
  <c r="Y75" i="1"/>
  <c r="S75" i="1"/>
  <c r="AA75" i="1"/>
  <c r="V74" i="1"/>
  <c r="M74" i="1"/>
  <c r="Y74" i="1"/>
  <c r="S74" i="1"/>
  <c r="AA74" i="1"/>
  <c r="V73" i="1"/>
  <c r="L73" i="1"/>
  <c r="M73" i="1"/>
  <c r="Y73" i="1"/>
  <c r="S73" i="1"/>
  <c r="AA73" i="1"/>
  <c r="V72" i="1"/>
  <c r="L72" i="1"/>
  <c r="M72" i="1"/>
  <c r="Y72" i="1"/>
  <c r="S72" i="1"/>
  <c r="AA72" i="1"/>
  <c r="V71" i="1"/>
  <c r="L71" i="1"/>
  <c r="M71" i="1"/>
  <c r="Y71" i="1"/>
  <c r="S71" i="1"/>
  <c r="AA71" i="1"/>
  <c r="V70" i="1"/>
  <c r="L70" i="1"/>
  <c r="M70" i="1"/>
  <c r="Y70" i="1"/>
  <c r="S70" i="1"/>
  <c r="AA70" i="1"/>
  <c r="V69" i="1"/>
  <c r="L69" i="1"/>
  <c r="M69" i="1"/>
  <c r="Y69" i="1"/>
  <c r="S69" i="1"/>
  <c r="AA69" i="1"/>
  <c r="V68" i="1"/>
  <c r="L68" i="1"/>
  <c r="M68" i="1"/>
  <c r="Y68" i="1"/>
  <c r="S68" i="1"/>
  <c r="AA68" i="1"/>
  <c r="V67" i="1"/>
  <c r="L67" i="1"/>
  <c r="M67" i="1"/>
  <c r="Y67" i="1"/>
  <c r="S67" i="1"/>
  <c r="AA67" i="1"/>
  <c r="V66" i="1"/>
  <c r="L66" i="1"/>
  <c r="M66" i="1"/>
  <c r="Y66" i="1"/>
  <c r="S66" i="1"/>
  <c r="AA66" i="1"/>
  <c r="V65" i="1"/>
  <c r="M65" i="1"/>
  <c r="Y65" i="1"/>
  <c r="S65" i="1"/>
  <c r="AA65" i="1"/>
  <c r="V64" i="1"/>
  <c r="L64" i="1"/>
  <c r="M64" i="1"/>
  <c r="Y64" i="1"/>
  <c r="S64" i="1"/>
  <c r="AA64" i="1"/>
  <c r="V63" i="1"/>
  <c r="L63" i="1"/>
  <c r="M63" i="1"/>
  <c r="Y63" i="1"/>
  <c r="S63" i="1"/>
  <c r="AA63" i="1"/>
  <c r="V62" i="1"/>
  <c r="L62" i="1"/>
  <c r="M62" i="1"/>
  <c r="Y62" i="1"/>
  <c r="S62" i="1"/>
  <c r="AA62" i="1"/>
  <c r="V61" i="1"/>
  <c r="L61" i="1"/>
  <c r="M61" i="1"/>
  <c r="Y61" i="1"/>
  <c r="S61" i="1"/>
  <c r="AA61" i="1"/>
  <c r="V60" i="1"/>
  <c r="L60" i="1"/>
  <c r="M60" i="1"/>
  <c r="Y60" i="1"/>
  <c r="S60" i="1"/>
  <c r="AA60" i="1"/>
  <c r="V59" i="1"/>
  <c r="L59" i="1"/>
  <c r="M59" i="1"/>
  <c r="Y59" i="1"/>
  <c r="S59" i="1"/>
  <c r="AA59" i="1"/>
  <c r="V58" i="1"/>
  <c r="L58" i="1"/>
  <c r="M58" i="1"/>
  <c r="Y58" i="1"/>
  <c r="S58" i="1"/>
  <c r="AA58" i="1"/>
  <c r="V57" i="1"/>
  <c r="M57" i="1"/>
  <c r="Y57" i="1"/>
  <c r="S57" i="1"/>
  <c r="AA57" i="1"/>
  <c r="V56" i="1"/>
  <c r="M56" i="1"/>
  <c r="Y56" i="1"/>
  <c r="S56" i="1"/>
  <c r="AA56" i="1"/>
  <c r="V55" i="1"/>
  <c r="L55" i="1"/>
  <c r="M55" i="1"/>
  <c r="Y55" i="1"/>
  <c r="S55" i="1"/>
  <c r="AA55" i="1"/>
  <c r="V54" i="1"/>
  <c r="M54" i="1"/>
  <c r="Y54" i="1"/>
  <c r="S54" i="1"/>
  <c r="AA54" i="1"/>
  <c r="V53" i="1"/>
  <c r="L53" i="1"/>
  <c r="M53" i="1"/>
  <c r="Y53" i="1"/>
  <c r="S53" i="1"/>
  <c r="AA53" i="1"/>
  <c r="V52" i="1"/>
  <c r="L52" i="1"/>
  <c r="M52" i="1"/>
  <c r="Y52" i="1"/>
  <c r="S52" i="1"/>
  <c r="AA52" i="1"/>
  <c r="V51" i="1"/>
  <c r="L51" i="1"/>
  <c r="M51" i="1"/>
  <c r="Y51" i="1"/>
  <c r="S51" i="1"/>
  <c r="AA51" i="1"/>
  <c r="V50" i="1"/>
  <c r="L50" i="1"/>
  <c r="M50" i="1"/>
  <c r="Y50" i="1"/>
  <c r="S50" i="1"/>
  <c r="AA50" i="1"/>
  <c r="V49" i="1"/>
  <c r="L49" i="1"/>
  <c r="M49" i="1"/>
  <c r="Y49" i="1"/>
  <c r="S49" i="1"/>
  <c r="AA49" i="1"/>
  <c r="V48" i="1"/>
  <c r="L48" i="1"/>
  <c r="M48" i="1"/>
  <c r="Y48" i="1"/>
  <c r="S48" i="1"/>
  <c r="AA48" i="1"/>
  <c r="V47" i="1"/>
  <c r="L47" i="1"/>
  <c r="M47" i="1"/>
  <c r="Y47" i="1"/>
  <c r="S47" i="1"/>
  <c r="AA47" i="1"/>
  <c r="V46" i="1"/>
  <c r="L46" i="1"/>
  <c r="M46" i="1"/>
  <c r="Y46" i="1"/>
  <c r="S46" i="1"/>
  <c r="AA46" i="1"/>
  <c r="V45" i="1"/>
  <c r="M45" i="1"/>
  <c r="Y45" i="1"/>
  <c r="S45" i="1"/>
  <c r="AA45" i="1"/>
  <c r="V44" i="1"/>
  <c r="L44" i="1"/>
  <c r="M44" i="1"/>
  <c r="Y44" i="1"/>
  <c r="S44" i="1"/>
  <c r="AA44" i="1"/>
  <c r="V43" i="1"/>
  <c r="L43" i="1"/>
  <c r="M43" i="1"/>
  <c r="Y43" i="1"/>
  <c r="S43" i="1"/>
  <c r="AA43" i="1"/>
  <c r="V42" i="1"/>
  <c r="M42" i="1"/>
  <c r="Y42" i="1"/>
  <c r="S42" i="1"/>
  <c r="AA42" i="1"/>
  <c r="F42" i="1"/>
  <c r="V41" i="1"/>
  <c r="L41" i="1"/>
  <c r="M41" i="1"/>
  <c r="Y41" i="1"/>
  <c r="S41" i="1"/>
  <c r="AA41" i="1"/>
  <c r="V40" i="1"/>
  <c r="L40" i="1"/>
  <c r="M40" i="1"/>
  <c r="Y40" i="1"/>
  <c r="S40" i="1"/>
  <c r="AA40" i="1"/>
  <c r="V39" i="1"/>
  <c r="L39" i="1"/>
  <c r="M39" i="1"/>
  <c r="Y39" i="1"/>
  <c r="S39" i="1"/>
  <c r="AA39" i="1"/>
  <c r="V38" i="1"/>
  <c r="L38" i="1"/>
  <c r="M38" i="1"/>
  <c r="Y38" i="1"/>
  <c r="S38" i="1"/>
  <c r="AA38" i="1"/>
  <c r="V37" i="1"/>
  <c r="L37" i="1"/>
  <c r="M37" i="1"/>
  <c r="Y37" i="1"/>
  <c r="S37" i="1"/>
  <c r="AA37" i="1"/>
  <c r="V36" i="1"/>
  <c r="L36" i="1"/>
  <c r="M36" i="1"/>
  <c r="Y36" i="1"/>
  <c r="S36" i="1"/>
  <c r="AA36" i="1"/>
  <c r="J32" i="1"/>
  <c r="Q3" i="1"/>
  <c r="Q4" i="1"/>
  <c r="T4" i="1"/>
  <c r="R5" i="1"/>
  <c r="Q5" i="1"/>
  <c r="T5" i="1"/>
  <c r="R6" i="1"/>
  <c r="Q6" i="1"/>
  <c r="T6" i="1"/>
  <c r="R7" i="1"/>
  <c r="Q7" i="1"/>
  <c r="T7" i="1"/>
  <c r="R8" i="1"/>
  <c r="Q8" i="1"/>
  <c r="T8" i="1"/>
  <c r="R9" i="1"/>
  <c r="Q9" i="1"/>
  <c r="T9" i="1"/>
  <c r="R10" i="1"/>
  <c r="Q10" i="1"/>
  <c r="T10" i="1"/>
  <c r="R11" i="1"/>
  <c r="Q11" i="1"/>
  <c r="T11" i="1"/>
  <c r="R12" i="1"/>
  <c r="Q12" i="1"/>
  <c r="T12" i="1"/>
  <c r="R13" i="1"/>
  <c r="Q13" i="1"/>
  <c r="T13" i="1"/>
  <c r="R14" i="1"/>
  <c r="Q14" i="1"/>
  <c r="T14" i="1"/>
  <c r="R15" i="1"/>
  <c r="Q15" i="1"/>
  <c r="T15" i="1"/>
  <c r="R16" i="1"/>
  <c r="Q16" i="1"/>
  <c r="T16" i="1"/>
  <c r="R17" i="1"/>
  <c r="Q17" i="1"/>
  <c r="T17" i="1"/>
  <c r="R18" i="1"/>
  <c r="Q18" i="1"/>
  <c r="T18" i="1"/>
  <c r="R19" i="1"/>
  <c r="Q19" i="1"/>
  <c r="T19" i="1"/>
  <c r="R20" i="1"/>
  <c r="Q20" i="1"/>
  <c r="T20" i="1"/>
  <c r="R21" i="1"/>
  <c r="Q21" i="1"/>
  <c r="T21" i="1"/>
  <c r="T24" i="1"/>
  <c r="Z22" i="1"/>
  <c r="T25" i="1"/>
  <c r="J7" i="1"/>
  <c r="J8" i="1"/>
  <c r="J10" i="1"/>
  <c r="J11" i="1"/>
  <c r="J12" i="1"/>
  <c r="J13" i="1"/>
  <c r="J14" i="1"/>
  <c r="J15" i="1"/>
  <c r="J16" i="1"/>
  <c r="J17" i="1"/>
  <c r="J18" i="1"/>
  <c r="J19" i="1"/>
  <c r="J20" i="1"/>
  <c r="J21" i="1"/>
  <c r="J23" i="1"/>
  <c r="T26" i="1"/>
  <c r="T29" i="1"/>
  <c r="J27" i="1"/>
  <c r="L3" i="1"/>
  <c r="M3" i="1"/>
  <c r="L4" i="1"/>
  <c r="M4" i="1"/>
  <c r="L5" i="1"/>
  <c r="M5" i="1"/>
  <c r="L7" i="1"/>
  <c r="M7" i="1"/>
  <c r="L8" i="1"/>
  <c r="M8" i="1"/>
  <c r="L10" i="1"/>
  <c r="M10" i="1"/>
  <c r="L11" i="1"/>
  <c r="M11" i="1"/>
  <c r="L12" i="1"/>
  <c r="M12" i="1"/>
  <c r="L13" i="1"/>
  <c r="M13" i="1"/>
  <c r="L14" i="1"/>
  <c r="M14" i="1"/>
  <c r="L15" i="1"/>
  <c r="M15" i="1"/>
  <c r="L16" i="1"/>
  <c r="M16" i="1"/>
  <c r="L17" i="1"/>
  <c r="M17" i="1"/>
  <c r="L18" i="1"/>
  <c r="M18" i="1"/>
  <c r="L19" i="1"/>
  <c r="M19" i="1"/>
  <c r="L20" i="1"/>
  <c r="M20" i="1"/>
  <c r="L21" i="1"/>
  <c r="M21" i="1"/>
  <c r="M24" i="1"/>
  <c r="L6" i="1"/>
  <c r="L24" i="1"/>
  <c r="V21" i="1"/>
  <c r="Y21" i="1"/>
  <c r="S21" i="1"/>
  <c r="AA21" i="1"/>
  <c r="V20" i="1"/>
  <c r="Y20" i="1"/>
  <c r="S20" i="1"/>
  <c r="AA20" i="1"/>
  <c r="V19" i="1"/>
  <c r="Y19" i="1"/>
  <c r="S19" i="1"/>
  <c r="AA19" i="1"/>
  <c r="V18" i="1"/>
  <c r="Y18" i="1"/>
  <c r="S18" i="1"/>
  <c r="AA18" i="1"/>
  <c r="V17" i="1"/>
  <c r="Y17" i="1"/>
  <c r="S17" i="1"/>
  <c r="AA17" i="1"/>
  <c r="V16" i="1"/>
  <c r="Y16" i="1"/>
  <c r="S16" i="1"/>
  <c r="AA16" i="1"/>
  <c r="V15" i="1"/>
  <c r="Y15" i="1"/>
  <c r="S15" i="1"/>
  <c r="AA15" i="1"/>
  <c r="V14" i="1"/>
  <c r="Y14" i="1"/>
  <c r="S14" i="1"/>
  <c r="AA14" i="1"/>
  <c r="V13" i="1"/>
  <c r="Y13" i="1"/>
  <c r="S13" i="1"/>
  <c r="AA13" i="1"/>
  <c r="V12" i="1"/>
  <c r="Y12" i="1"/>
  <c r="S12" i="1"/>
  <c r="AA12" i="1"/>
  <c r="V11" i="1"/>
  <c r="Y11" i="1"/>
  <c r="S11" i="1"/>
  <c r="AA11" i="1"/>
  <c r="V10" i="1"/>
  <c r="Y10" i="1"/>
  <c r="S10" i="1"/>
  <c r="AA10" i="1"/>
  <c r="V9" i="1"/>
  <c r="Y9" i="1"/>
  <c r="S9" i="1"/>
  <c r="AA9" i="1"/>
  <c r="V8" i="1"/>
  <c r="Y8" i="1"/>
  <c r="S8" i="1"/>
  <c r="AA8" i="1"/>
  <c r="V7" i="1"/>
  <c r="Y7" i="1"/>
  <c r="S7" i="1"/>
  <c r="AA7" i="1"/>
  <c r="V6" i="1"/>
  <c r="Y6" i="1"/>
  <c r="S6" i="1"/>
  <c r="AA6" i="1"/>
  <c r="V5" i="1"/>
  <c r="Y5" i="1"/>
  <c r="S5" i="1"/>
  <c r="AA5" i="1"/>
  <c r="V4" i="1"/>
  <c r="Y4" i="1"/>
  <c r="S4" i="1"/>
  <c r="AA4" i="1"/>
  <c r="S3" i="1"/>
</calcChain>
</file>

<file path=xl/sharedStrings.xml><?xml version="1.0" encoding="utf-8"?>
<sst xmlns="http://schemas.openxmlformats.org/spreadsheetml/2006/main" count="532" uniqueCount="245">
  <si>
    <t>8033004350</t>
  </si>
  <si>
    <t>TINA ORDER 2026-6</t>
  </si>
  <si>
    <t>AUTO</t>
  </si>
  <si>
    <t/>
  </si>
  <si>
    <t>日期</t>
  </si>
  <si>
    <t>SHOP NO</t>
  </si>
  <si>
    <t>TEL</t>
  </si>
  <si>
    <t>ITEM NO</t>
  </si>
  <si>
    <t>品名</t>
  </si>
  <si>
    <t>材质</t>
  </si>
  <si>
    <t>CTNS</t>
  </si>
  <si>
    <t>QTY</t>
  </si>
  <si>
    <t>PRICE</t>
  </si>
  <si>
    <t>T.PRICE</t>
  </si>
  <si>
    <t>定金</t>
  </si>
  <si>
    <t>CBM</t>
  </si>
  <si>
    <t>TTL QUANTITY</t>
  </si>
  <si>
    <t>LCL SELLING PRICE</t>
  </si>
  <si>
    <t>LANDED W/H PRICE</t>
  </si>
  <si>
    <t>GROSS SALE VALUE</t>
  </si>
  <si>
    <t>NAIRA COST CHINA/UNIT</t>
  </si>
  <si>
    <t>NAIRA/$</t>
  </si>
  <si>
    <t>RMB/$</t>
  </si>
  <si>
    <t>FREIGHT/UNIT</t>
  </si>
  <si>
    <t>FREIGHT+CLR LAG</t>
  </si>
  <si>
    <t>PROFITABILITY</t>
  </si>
  <si>
    <t>TINA</t>
  </si>
  <si>
    <t>金宝贝文化</t>
  </si>
  <si>
    <t>11</t>
  </si>
  <si>
    <t>TINA-1</t>
  </si>
  <si>
    <t>文件袋</t>
  </si>
  <si>
    <t>塑料</t>
  </si>
  <si>
    <t>2026/06/06</t>
  </si>
  <si>
    <t>TINA-2</t>
  </si>
  <si>
    <t>本子</t>
  </si>
  <si>
    <t>纸</t>
  </si>
  <si>
    <t>6/8胡付</t>
  </si>
  <si>
    <t>TINA-3</t>
  </si>
  <si>
    <t>字帖+笔</t>
  </si>
  <si>
    <t>纸+塑料</t>
  </si>
  <si>
    <t>悦凯文化</t>
  </si>
  <si>
    <t>JX-9007</t>
  </si>
  <si>
    <t>存钱罐</t>
  </si>
  <si>
    <t>铁</t>
  </si>
  <si>
    <t>6、9胡付</t>
  </si>
  <si>
    <t>BTX001</t>
  </si>
  <si>
    <t>文具袋</t>
  </si>
  <si>
    <t>布</t>
  </si>
  <si>
    <t>侵权</t>
  </si>
  <si>
    <t>新文轩</t>
  </si>
  <si>
    <t>文具套装（铅笔+卷笔刀）</t>
  </si>
  <si>
    <t>木+铁+塑料</t>
  </si>
  <si>
    <t>CD-167</t>
  </si>
  <si>
    <t>LPY99-16</t>
  </si>
  <si>
    <t>TOTAL</t>
  </si>
  <si>
    <t>6/3 REMAIN</t>
  </si>
  <si>
    <t>REMAIN</t>
  </si>
  <si>
    <t>TCNU5616606</t>
  </si>
  <si>
    <t>39 CTNS</t>
  </si>
  <si>
    <t>MELODY</t>
  </si>
  <si>
    <t>5.5 CBM FREIGHT</t>
  </si>
  <si>
    <t>6/3 FREIGHT</t>
  </si>
  <si>
    <t>TOTAL FREIGHT</t>
  </si>
  <si>
    <t>TINA ORDER  2026-5</t>
  </si>
  <si>
    <t xml:space="preserve">SHOP NO </t>
  </si>
  <si>
    <t xml:space="preserve">ITEM NO </t>
  </si>
  <si>
    <t xml:space="preserve">T.PRICE </t>
  </si>
  <si>
    <t>PP BAG</t>
  </si>
  <si>
    <t>24×18×7</t>
  </si>
  <si>
    <t>PP BAG W STRING No 1</t>
  </si>
  <si>
    <t>6/15胡付</t>
  </si>
  <si>
    <t>30×23×8</t>
  </si>
  <si>
    <t>PP BAG W STRING No 2</t>
  </si>
  <si>
    <t>33×27×9</t>
  </si>
  <si>
    <t>PP BAG W STRING No 3</t>
  </si>
  <si>
    <t>PLASTIC HANDLE NO 2</t>
  </si>
  <si>
    <t>22×22×7</t>
  </si>
  <si>
    <t>FLAT HANDLE NO 1</t>
  </si>
  <si>
    <t>27×27×8</t>
  </si>
  <si>
    <t>FLAT HANDLE NO 2</t>
  </si>
  <si>
    <t xml:space="preserve"> </t>
  </si>
  <si>
    <t>SMIGGLE</t>
  </si>
  <si>
    <t>KIMBAG</t>
  </si>
  <si>
    <t>拉杆书包</t>
  </si>
  <si>
    <t>塑料+布</t>
  </si>
  <si>
    <t>6/10胡付</t>
  </si>
  <si>
    <t>物流</t>
  </si>
  <si>
    <t>书包+文具袋</t>
  </si>
  <si>
    <t>塑料+涤纶</t>
  </si>
  <si>
    <t>35274-1</t>
  </si>
  <si>
    <t>碗盘</t>
  </si>
  <si>
    <t>密胺</t>
  </si>
  <si>
    <t>微信</t>
  </si>
  <si>
    <t>35274-2</t>
  </si>
  <si>
    <t>35274-3</t>
  </si>
  <si>
    <t>35274-4</t>
  </si>
  <si>
    <t>杯子</t>
  </si>
  <si>
    <t>35274-5</t>
  </si>
  <si>
    <t>35274-6</t>
  </si>
  <si>
    <t>35274-7</t>
  </si>
  <si>
    <t>35274-8</t>
  </si>
  <si>
    <t>宇能实业</t>
  </si>
  <si>
    <t>PENGUIN FOOD FLASK</t>
  </si>
  <si>
    <t>焖烧杯</t>
  </si>
  <si>
    <t>不锈钢</t>
  </si>
  <si>
    <t>运费50</t>
  </si>
  <si>
    <t>运费</t>
  </si>
  <si>
    <t>ENVELOPE BAG</t>
  </si>
  <si>
    <t>10855-1</t>
  </si>
  <si>
    <t>纸盒</t>
  </si>
  <si>
    <t>10855-2</t>
  </si>
  <si>
    <t>礼品袋</t>
  </si>
  <si>
    <t>10855-3</t>
  </si>
  <si>
    <t>10855-4</t>
  </si>
  <si>
    <t>10855-5</t>
  </si>
  <si>
    <t>10855-6</t>
  </si>
  <si>
    <t>10855-7</t>
  </si>
  <si>
    <t>铭硕日用</t>
  </si>
  <si>
    <t>SH2606</t>
  </si>
  <si>
    <t>Water cup</t>
  </si>
  <si>
    <t>6/17微信</t>
  </si>
  <si>
    <t>LX2516</t>
  </si>
  <si>
    <t>Lunch box</t>
  </si>
  <si>
    <t>SH2605</t>
  </si>
  <si>
    <t>HXD6905</t>
  </si>
  <si>
    <t>Thermal lunch box</t>
  </si>
  <si>
    <t>HXD6912</t>
  </si>
  <si>
    <t>LC2035</t>
  </si>
  <si>
    <t>Thermal cup</t>
  </si>
  <si>
    <t>WSD-YD</t>
  </si>
  <si>
    <t>LX7116</t>
  </si>
  <si>
    <t>Watercolor set</t>
  </si>
  <si>
    <t>6/22胡付</t>
  </si>
  <si>
    <t>46P</t>
  </si>
  <si>
    <t>Paint</t>
  </si>
  <si>
    <t>V0301</t>
  </si>
  <si>
    <t>FF-02</t>
  </si>
  <si>
    <t>Notebook</t>
  </si>
  <si>
    <t>010</t>
  </si>
  <si>
    <t>Coloring book</t>
  </si>
  <si>
    <t>015</t>
  </si>
  <si>
    <t>21215-1</t>
  </si>
  <si>
    <t>Watch</t>
  </si>
  <si>
    <t>Tote bag</t>
  </si>
  <si>
    <t>PVC18</t>
  </si>
  <si>
    <t>Puzzle</t>
  </si>
  <si>
    <t>康翔文具</t>
  </si>
  <si>
    <t>装柜</t>
  </si>
  <si>
    <t>BAG</t>
  </si>
  <si>
    <t>Drawstring tote bag</t>
  </si>
  <si>
    <t>无纺布</t>
  </si>
  <si>
    <t>6/9 REMAIN</t>
  </si>
  <si>
    <t>SEND TO ME</t>
  </si>
  <si>
    <t>NGN4646250</t>
  </si>
  <si>
    <t>BALANCE FOR GOODS</t>
  </si>
  <si>
    <t>ONEU1779822</t>
  </si>
  <si>
    <t>92 CTNS</t>
  </si>
  <si>
    <t>EYOO-DEE</t>
  </si>
  <si>
    <t>9.5 CBM FREIGHT</t>
  </si>
  <si>
    <t>6/9 FREIGHT</t>
  </si>
  <si>
    <t>TOTAL BALANCE</t>
  </si>
  <si>
    <t>Product Name</t>
  </si>
  <si>
    <t>SWUZZY</t>
  </si>
  <si>
    <t>景佳</t>
  </si>
  <si>
    <t>A2794</t>
  </si>
  <si>
    <t>Cup</t>
  </si>
  <si>
    <t>A2796</t>
  </si>
  <si>
    <t>Fork and Spoon</t>
  </si>
  <si>
    <t>塑料+不锈钢</t>
  </si>
  <si>
    <t>Lunch Box</t>
  </si>
  <si>
    <t>8122—1</t>
  </si>
  <si>
    <t>HY-057</t>
  </si>
  <si>
    <t>华洋礼品袋</t>
  </si>
  <si>
    <t>807—1</t>
  </si>
  <si>
    <t>XTER SHOPPING BAG SML</t>
  </si>
  <si>
    <t>807—2</t>
  </si>
  <si>
    <t>XTER SHOPPING BAG BIG</t>
  </si>
  <si>
    <t>807—3</t>
  </si>
  <si>
    <t>PLAIN TOTE BAG</t>
  </si>
  <si>
    <t>德为纺织</t>
  </si>
  <si>
    <t>MAT</t>
  </si>
  <si>
    <t>COTTON TOWEL</t>
  </si>
  <si>
    <t>PVC</t>
  </si>
  <si>
    <t>7/2胡付</t>
  </si>
  <si>
    <t>FIBER TOWELS</t>
  </si>
  <si>
    <t>TIIU7228893</t>
  </si>
  <si>
    <t>23 CTNS</t>
  </si>
  <si>
    <t>GBEMAB</t>
  </si>
  <si>
    <t>3.3 CBM FREIGHT</t>
  </si>
  <si>
    <t>6/18 BALANCE</t>
  </si>
  <si>
    <t>NGN2000000</t>
  </si>
  <si>
    <t>NGN1305600</t>
  </si>
  <si>
    <t>BALANCE</t>
  </si>
  <si>
    <t>6/27胡付</t>
  </si>
  <si>
    <t>STITCH SPOON</t>
  </si>
  <si>
    <t>403—1</t>
  </si>
  <si>
    <t>叉勺</t>
  </si>
  <si>
    <t>MICKEY N MINNIE SPOON</t>
  </si>
  <si>
    <t>403—2</t>
  </si>
  <si>
    <t>DINO CUTLERY SPOON SML</t>
  </si>
  <si>
    <t>403—3</t>
  </si>
  <si>
    <t>DINO CUTLERY SPOON</t>
  </si>
  <si>
    <t>403—4</t>
  </si>
  <si>
    <t>3D SPOON IN PAPER BOX</t>
  </si>
  <si>
    <t>403—5</t>
  </si>
  <si>
    <t>金宝贝</t>
  </si>
  <si>
    <t>橡皮泥</t>
  </si>
  <si>
    <t>卡片</t>
  </si>
  <si>
    <t>TINA-4</t>
  </si>
  <si>
    <t>练习本</t>
  </si>
  <si>
    <t>TINA-5</t>
  </si>
  <si>
    <t>认知卡</t>
  </si>
  <si>
    <t>TINA-6</t>
  </si>
  <si>
    <t>绘画本</t>
  </si>
  <si>
    <t>TINA-7</t>
  </si>
  <si>
    <t>油画棒</t>
  </si>
  <si>
    <t>蜡</t>
  </si>
  <si>
    <t>TINA-8</t>
  </si>
  <si>
    <t>TINA-9</t>
  </si>
  <si>
    <t>素描本</t>
  </si>
  <si>
    <t>TINA-10</t>
  </si>
  <si>
    <t>故事书</t>
  </si>
  <si>
    <t>TINA-11</t>
  </si>
  <si>
    <t>画本</t>
  </si>
  <si>
    <t>TINA-13</t>
  </si>
  <si>
    <t>TINA-14</t>
  </si>
  <si>
    <t>TINA-15</t>
  </si>
  <si>
    <t>TINA-16</t>
  </si>
  <si>
    <t>笔袋</t>
  </si>
  <si>
    <t>硅胶</t>
  </si>
  <si>
    <t>TINA-17</t>
  </si>
  <si>
    <t>TINA-18</t>
  </si>
  <si>
    <t>陈凤阳玩具</t>
  </si>
  <si>
    <t>PLASTIC PUZZLE</t>
  </si>
  <si>
    <t>拼图</t>
  </si>
  <si>
    <t>信达贸易</t>
  </si>
  <si>
    <t>饭盒包</t>
  </si>
  <si>
    <t>7/3胡付</t>
  </si>
  <si>
    <t>122—3</t>
  </si>
  <si>
    <t>书包</t>
  </si>
  <si>
    <t>CAJU5849594</t>
  </si>
  <si>
    <t>30 CTNS</t>
  </si>
  <si>
    <t>SCENT</t>
  </si>
  <si>
    <t>3.0 CBM FREIGHT</t>
  </si>
  <si>
    <t>6/26 BALNCE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</si>
</sst>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 * #,##0.00_ ;_ * \-#,##0.00_ ;_ * &quot;-&quot;??_ ;_ @_ "/>
    <numFmt numFmtId="165" formatCode="_ * #,##0_ ;_ * \-#,##0_ ;_ * &quot;-&quot;??_ ;_ @_ "/>
    <numFmt numFmtId="166" formatCode="\¥#,##0"/>
    <numFmt numFmtId="167" formatCode="_(* #,##0_);_(* \(#,##0\);_(* &quot;-&quot;??_);_(@_)"/>
    <numFmt numFmtId="168" formatCode="&quot;￥&quot;#,##0;&quot;￥&quot;\-#,##0"/>
    <numFmt numFmtId="169" formatCode="\$#,##0_);[Red]\(\$#,##0\)"/>
    <numFmt numFmtId="170" formatCode="0_ "/>
    <numFmt numFmtId="171" formatCode="yyyy/mm/dd"/>
  </numFmts>
  <fonts count="30">
    <font>
      <sz val="12"/>
      <name val="宋体"/>
      <charset val="134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24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name val="宋体"/>
      <charset val="134"/>
    </font>
    <font>
      <sz val="7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8"/>
      <color rgb="FF000000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7"/>
      <color rgb="FF008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b/>
      <sz val="6"/>
      <color rgb="FF333399"/>
      <name val="Calibri"/>
      <family val="2"/>
      <scheme val="minor"/>
    </font>
    <font>
      <sz val="8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b/>
      <sz val="8"/>
      <color rgb="FF008000"/>
      <name val="Calibri"/>
      <family val="2"/>
      <scheme val="minor"/>
    </font>
    <font>
      <b/>
      <sz val="8"/>
      <color theme="4" tint="-0.249977111117893"/>
      <name val="Calibri"/>
      <family val="2"/>
      <scheme val="minor"/>
    </font>
    <font>
      <b/>
      <sz val="7"/>
      <color theme="9" tint="-0.249977111117893"/>
      <name val="Calibri"/>
      <family val="2"/>
      <scheme val="minor"/>
    </font>
    <font>
      <sz val="24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7"/>
      <color rgb="FFFF000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8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C0C0C0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CC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164" fontId="9" fillId="0" borderId="0" applyFont="0" applyFill="0" applyBorder="0" applyAlignment="0" applyProtection="0">
      <alignment vertical="center"/>
    </xf>
    <xf numFmtId="0" fontId="2" fillId="0" borderId="0"/>
  </cellStyleXfs>
  <cellXfs count="184">
    <xf numFmtId="0" fontId="0" fillId="0" borderId="0" xfId="0">
      <alignment vertical="center"/>
    </xf>
    <xf numFmtId="0" fontId="5" fillId="0" borderId="1" xfId="2" applyFont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2" fillId="0" borderId="0" xfId="2"/>
    <xf numFmtId="0" fontId="8" fillId="0" borderId="0" xfId="2" applyFont="1"/>
    <xf numFmtId="165" fontId="10" fillId="0" borderId="0" xfId="1" applyNumberFormat="1" applyFont="1" applyAlignment="1"/>
    <xf numFmtId="9" fontId="2" fillId="0" borderId="0" xfId="2" applyNumberFormat="1"/>
    <xf numFmtId="0" fontId="7" fillId="0" borderId="1" xfId="2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0" fontId="7" fillId="0" borderId="2" xfId="2" applyFont="1" applyBorder="1" applyAlignment="1">
      <alignment horizontal="center" vertical="center"/>
    </xf>
    <xf numFmtId="1" fontId="12" fillId="0" borderId="3" xfId="0" applyNumberFormat="1" applyFont="1" applyBorder="1" applyAlignment="1" applyProtection="1">
      <alignment horizontal="center" vertical="center" wrapText="1"/>
      <protection locked="0"/>
    </xf>
    <xf numFmtId="1" fontId="13" fillId="0" borderId="0" xfId="0" applyNumberFormat="1" applyFont="1" applyAlignment="1" applyProtection="1">
      <alignment vertical="center" wrapText="1"/>
      <protection locked="0"/>
    </xf>
    <xf numFmtId="165" fontId="14" fillId="0" borderId="0" xfId="1" applyNumberFormat="1" applyFont="1" applyAlignment="1" applyProtection="1">
      <alignment vertical="center" wrapText="1"/>
      <protection locked="0"/>
    </xf>
    <xf numFmtId="164" fontId="15" fillId="0" borderId="0" xfId="1" applyFont="1" applyAlignment="1" applyProtection="1">
      <alignment vertical="center" wrapText="1"/>
      <protection locked="0"/>
    </xf>
    <xf numFmtId="2" fontId="16" fillId="0" borderId="0" xfId="0" applyNumberFormat="1" applyFont="1" applyAlignment="1" applyProtection="1">
      <alignment horizontal="center" vertical="center" wrapText="1"/>
      <protection locked="0"/>
    </xf>
    <xf numFmtId="1" fontId="15" fillId="0" borderId="0" xfId="0" applyNumberFormat="1" applyFont="1" applyAlignment="1" applyProtection="1">
      <alignment horizontal="left" vertical="center" wrapText="1"/>
      <protection locked="0"/>
    </xf>
    <xf numFmtId="0" fontId="1" fillId="0" borderId="0" xfId="2" applyFont="1"/>
    <xf numFmtId="0" fontId="5" fillId="2" borderId="1" xfId="2" applyFont="1" applyFill="1" applyBorder="1" applyAlignment="1">
      <alignment horizontal="center" vertical="center"/>
    </xf>
    <xf numFmtId="0" fontId="7" fillId="2" borderId="1" xfId="2" applyFont="1" applyFill="1" applyBorder="1" applyAlignment="1">
      <alignment horizontal="center" vertical="center" wrapText="1"/>
    </xf>
    <xf numFmtId="0" fontId="11" fillId="2" borderId="1" xfId="2" applyFont="1" applyFill="1" applyBorder="1" applyAlignment="1">
      <alignment horizontal="center" vertical="center" wrapText="1"/>
    </xf>
    <xf numFmtId="0" fontId="7" fillId="2" borderId="1" xfId="2" applyFont="1" applyFill="1" applyBorder="1" applyAlignment="1">
      <alignment horizontal="center" vertical="center"/>
    </xf>
    <xf numFmtId="166" fontId="7" fillId="2" borderId="1" xfId="2" applyNumberFormat="1" applyFont="1" applyFill="1" applyBorder="1" applyAlignment="1">
      <alignment horizontal="center" vertical="center"/>
    </xf>
    <xf numFmtId="0" fontId="1" fillId="2" borderId="4" xfId="2" applyFont="1" applyFill="1" applyBorder="1" applyAlignment="1">
      <alignment horizontal="center" vertical="center"/>
    </xf>
    <xf numFmtId="0" fontId="7" fillId="0" borderId="5" xfId="2" applyFont="1" applyBorder="1" applyAlignment="1">
      <alignment horizontal="center" vertical="center"/>
    </xf>
    <xf numFmtId="1" fontId="17" fillId="0" borderId="3" xfId="0" applyNumberFormat="1" applyFont="1" applyBorder="1" applyAlignment="1" applyProtection="1">
      <alignment horizontal="center" vertical="center" wrapText="1"/>
      <protection locked="0"/>
    </xf>
    <xf numFmtId="164" fontId="18" fillId="0" borderId="0" xfId="1" applyFont="1" applyAlignment="1" applyProtection="1">
      <alignment vertical="center" wrapText="1"/>
      <protection locked="0"/>
    </xf>
    <xf numFmtId="2" fontId="16" fillId="0" borderId="0" xfId="0" applyNumberFormat="1" applyFont="1" applyAlignment="1" applyProtection="1">
      <alignment horizontal="center" vertical="center"/>
      <protection locked="0"/>
    </xf>
    <xf numFmtId="1" fontId="15" fillId="0" borderId="0" xfId="0" applyNumberFormat="1" applyFont="1" applyAlignment="1" applyProtection="1">
      <alignment horizontal="left" vertical="center"/>
      <protection locked="0"/>
    </xf>
    <xf numFmtId="1" fontId="18" fillId="0" borderId="0" xfId="0" applyNumberFormat="1" applyFont="1" applyAlignment="1" applyProtection="1">
      <alignment horizontal="left" vertical="center"/>
      <protection locked="0"/>
    </xf>
    <xf numFmtId="1" fontId="12" fillId="0" borderId="0" xfId="0" applyNumberFormat="1" applyFont="1" applyAlignment="1" applyProtection="1">
      <alignment horizontal="left" vertical="center"/>
      <protection locked="0"/>
    </xf>
    <xf numFmtId="167" fontId="19" fillId="3" borderId="0" xfId="0" applyNumberFormat="1" applyFont="1" applyFill="1" applyAlignment="1" applyProtection="1">
      <alignment vertical="center" wrapText="1"/>
      <protection locked="0"/>
    </xf>
    <xf numFmtId="165" fontId="10" fillId="0" borderId="0" xfId="1" applyNumberFormat="1" applyFont="1" applyAlignment="1" applyProtection="1">
      <alignment horizontal="left" vertical="center"/>
      <protection locked="0"/>
    </xf>
    <xf numFmtId="9" fontId="20" fillId="0" borderId="0" xfId="0" applyNumberFormat="1" applyFont="1" applyAlignment="1">
      <alignment horizontal="left" vertical="center"/>
    </xf>
    <xf numFmtId="0" fontId="1" fillId="0" borderId="0" xfId="2" applyFont="1" applyAlignment="1">
      <alignment wrapText="1"/>
    </xf>
    <xf numFmtId="0" fontId="4" fillId="0" borderId="0" xfId="2" applyFont="1" applyAlignment="1">
      <alignment wrapText="1"/>
    </xf>
    <xf numFmtId="0" fontId="1" fillId="0" borderId="4" xfId="2" applyFont="1" applyBorder="1" applyAlignment="1">
      <alignment horizontal="center" vertical="center"/>
    </xf>
    <xf numFmtId="0" fontId="8" fillId="4" borderId="4" xfId="2" applyFont="1" applyFill="1" applyBorder="1" applyAlignment="1">
      <alignment horizontal="center" vertical="center"/>
    </xf>
    <xf numFmtId="0" fontId="1" fillId="4" borderId="4" xfId="2" applyFont="1" applyFill="1" applyBorder="1" applyAlignment="1">
      <alignment horizontal="center" vertical="center" wrapText="1"/>
    </xf>
    <xf numFmtId="0" fontId="4" fillId="4" borderId="4" xfId="2" applyFont="1" applyFill="1" applyBorder="1" applyAlignment="1">
      <alignment horizontal="center" vertical="center" wrapText="1"/>
    </xf>
    <xf numFmtId="0" fontId="1" fillId="4" borderId="4" xfId="2" applyFont="1" applyFill="1" applyBorder="1" applyAlignment="1">
      <alignment horizontal="center" vertical="center"/>
    </xf>
    <xf numFmtId="0" fontId="1" fillId="0" borderId="6" xfId="2" applyFont="1" applyBorder="1" applyAlignment="1">
      <alignment horizontal="center" vertical="center"/>
    </xf>
    <xf numFmtId="0" fontId="3" fillId="4" borderId="4" xfId="2" applyFont="1" applyFill="1" applyBorder="1" applyAlignment="1">
      <alignment horizontal="center" vertical="center"/>
    </xf>
    <xf numFmtId="0" fontId="8" fillId="0" borderId="4" xfId="2" applyFont="1" applyBorder="1" applyAlignment="1">
      <alignment horizontal="center" vertical="center"/>
    </xf>
    <xf numFmtId="0" fontId="1" fillId="0" borderId="4" xfId="2" applyFont="1" applyBorder="1" applyAlignment="1">
      <alignment horizontal="center" vertical="center" wrapText="1"/>
    </xf>
    <xf numFmtId="0" fontId="4" fillId="0" borderId="4" xfId="2" applyFont="1" applyBorder="1" applyAlignment="1">
      <alignment horizontal="center" vertical="center" wrapText="1"/>
    </xf>
    <xf numFmtId="0" fontId="1" fillId="0" borderId="0" xfId="2" applyFont="1" applyAlignment="1">
      <alignment horizontal="center" vertical="center"/>
    </xf>
    <xf numFmtId="0" fontId="8" fillId="5" borderId="4" xfId="2" applyFont="1" applyFill="1" applyBorder="1" applyAlignment="1">
      <alignment horizontal="center" vertical="center"/>
    </xf>
    <xf numFmtId="0" fontId="1" fillId="5" borderId="4" xfId="2" applyFont="1" applyFill="1" applyBorder="1" applyAlignment="1">
      <alignment horizontal="center" vertical="center" wrapText="1"/>
    </xf>
    <xf numFmtId="0" fontId="4" fillId="5" borderId="4" xfId="2" applyFont="1" applyFill="1" applyBorder="1" applyAlignment="1">
      <alignment horizontal="center" vertical="center" wrapText="1"/>
    </xf>
    <xf numFmtId="0" fontId="1" fillId="5" borderId="4" xfId="2" applyFont="1" applyFill="1" applyBorder="1" applyAlignment="1">
      <alignment horizontal="center" vertical="center"/>
    </xf>
    <xf numFmtId="0" fontId="3" fillId="5" borderId="4" xfId="2" applyFont="1" applyFill="1" applyBorder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1" fillId="0" borderId="0" xfId="2" applyFont="1" applyAlignment="1">
      <alignment horizontal="center" vertical="center" wrapText="1"/>
    </xf>
    <xf numFmtId="0" fontId="4" fillId="0" borderId="0" xfId="2" applyFont="1" applyAlignment="1">
      <alignment horizontal="center" vertical="center" wrapText="1"/>
    </xf>
    <xf numFmtId="0" fontId="3" fillId="6" borderId="0" xfId="2" applyFont="1" applyFill="1" applyAlignment="1">
      <alignment horizontal="center" vertical="center"/>
    </xf>
    <xf numFmtId="168" fontId="1" fillId="0" borderId="0" xfId="2" applyNumberFormat="1" applyFont="1" applyAlignment="1">
      <alignment horizontal="center" vertical="center"/>
    </xf>
    <xf numFmtId="9" fontId="1" fillId="0" borderId="0" xfId="2" applyNumberFormat="1" applyFont="1"/>
    <xf numFmtId="168" fontId="1" fillId="0" borderId="0" xfId="2" applyNumberFormat="1" applyFont="1"/>
    <xf numFmtId="14" fontId="1" fillId="0" borderId="0" xfId="2" applyNumberFormat="1" applyFont="1"/>
    <xf numFmtId="169" fontId="1" fillId="0" borderId="0" xfId="2" applyNumberFormat="1" applyFont="1"/>
    <xf numFmtId="165" fontId="21" fillId="0" borderId="0" xfId="1" applyNumberFormat="1" applyFont="1" applyAlignment="1" applyProtection="1">
      <alignment vertical="center" wrapText="1"/>
      <protection locked="0"/>
    </xf>
    <xf numFmtId="0" fontId="17" fillId="0" borderId="7" xfId="2" applyFont="1" applyBorder="1" applyAlignment="1">
      <alignment vertical="center"/>
    </xf>
    <xf numFmtId="0" fontId="23" fillId="0" borderId="4" xfId="2" applyFont="1" applyBorder="1" applyAlignment="1">
      <alignment horizontal="center"/>
    </xf>
    <xf numFmtId="0" fontId="23" fillId="0" borderId="6" xfId="2" applyFont="1" applyBorder="1" applyAlignment="1">
      <alignment horizontal="center"/>
    </xf>
    <xf numFmtId="170" fontId="24" fillId="0" borderId="4" xfId="2" applyNumberFormat="1" applyFont="1" applyBorder="1" applyAlignment="1">
      <alignment vertical="center"/>
    </xf>
    <xf numFmtId="171" fontId="5" fillId="0" borderId="7" xfId="2" applyNumberFormat="1" applyFont="1" applyBorder="1" applyAlignment="1">
      <alignment vertical="center"/>
    </xf>
    <xf numFmtId="0" fontId="23" fillId="0" borderId="4" xfId="2" applyFont="1" applyBorder="1" applyAlignment="1">
      <alignment horizontal="center" wrapText="1"/>
    </xf>
    <xf numFmtId="0" fontId="25" fillId="0" borderId="4" xfId="2" applyFont="1" applyBorder="1" applyAlignment="1">
      <alignment horizontal="center" wrapText="1"/>
    </xf>
    <xf numFmtId="0" fontId="24" fillId="0" borderId="4" xfId="2" applyFont="1" applyBorder="1" applyAlignment="1">
      <alignment horizontal="center" vertical="center"/>
    </xf>
    <xf numFmtId="0" fontId="24" fillId="0" borderId="6" xfId="2" applyFont="1" applyBorder="1" applyAlignment="1">
      <alignment horizontal="center" vertical="center"/>
    </xf>
    <xf numFmtId="0" fontId="24" fillId="0" borderId="0" xfId="2" applyFont="1" applyAlignment="1">
      <alignment vertical="center"/>
    </xf>
    <xf numFmtId="170" fontId="24" fillId="0" borderId="0" xfId="2" applyNumberFormat="1" applyFont="1" applyAlignment="1">
      <alignment vertical="center"/>
    </xf>
    <xf numFmtId="0" fontId="8" fillId="7" borderId="4" xfId="2" applyFont="1" applyFill="1" applyBorder="1" applyAlignment="1">
      <alignment horizontal="center" vertical="center"/>
    </xf>
    <xf numFmtId="0" fontId="1" fillId="7" borderId="4" xfId="2" applyFont="1" applyFill="1" applyBorder="1" applyAlignment="1">
      <alignment horizontal="center" vertical="center" wrapText="1"/>
    </xf>
    <xf numFmtId="0" fontId="4" fillId="7" borderId="4" xfId="2" applyFont="1" applyFill="1" applyBorder="1" applyAlignment="1">
      <alignment horizontal="center" vertical="center" wrapText="1"/>
    </xf>
    <xf numFmtId="0" fontId="1" fillId="7" borderId="4" xfId="2" applyFont="1" applyFill="1" applyBorder="1" applyAlignment="1">
      <alignment horizontal="center" vertical="center"/>
    </xf>
    <xf numFmtId="0" fontId="3" fillId="7" borderId="4" xfId="2" applyFont="1" applyFill="1" applyBorder="1" applyAlignment="1">
      <alignment horizontal="center" vertical="center"/>
    </xf>
    <xf numFmtId="0" fontId="1" fillId="7" borderId="7" xfId="2" applyFont="1" applyFill="1" applyBorder="1" applyAlignment="1">
      <alignment horizontal="center" vertical="center"/>
    </xf>
    <xf numFmtId="0" fontId="8" fillId="8" borderId="4" xfId="2" applyFont="1" applyFill="1" applyBorder="1" applyAlignment="1">
      <alignment horizontal="center" vertical="center"/>
    </xf>
    <xf numFmtId="0" fontId="1" fillId="8" borderId="4" xfId="2" applyFont="1" applyFill="1" applyBorder="1" applyAlignment="1">
      <alignment horizontal="center" vertical="center" wrapText="1"/>
    </xf>
    <xf numFmtId="0" fontId="4" fillId="8" borderId="4" xfId="2" applyFont="1" applyFill="1" applyBorder="1" applyAlignment="1">
      <alignment horizontal="center" vertical="center" wrapText="1"/>
    </xf>
    <xf numFmtId="0" fontId="1" fillId="8" borderId="4" xfId="2" applyFont="1" applyFill="1" applyBorder="1" applyAlignment="1">
      <alignment horizontal="center" vertical="center"/>
    </xf>
    <xf numFmtId="0" fontId="1" fillId="8" borderId="7" xfId="2" applyFont="1" applyFill="1" applyBorder="1" applyAlignment="1">
      <alignment horizontal="center" vertical="center"/>
    </xf>
    <xf numFmtId="0" fontId="8" fillId="9" borderId="4" xfId="2" applyFont="1" applyFill="1" applyBorder="1" applyAlignment="1">
      <alignment horizontal="center" vertical="center"/>
    </xf>
    <xf numFmtId="0" fontId="1" fillId="9" borderId="4" xfId="2" applyFont="1" applyFill="1" applyBorder="1" applyAlignment="1">
      <alignment horizontal="center" vertical="center" wrapText="1"/>
    </xf>
    <xf numFmtId="0" fontId="4" fillId="9" borderId="4" xfId="2" applyFont="1" applyFill="1" applyBorder="1" applyAlignment="1">
      <alignment horizontal="center" vertical="center" wrapText="1"/>
    </xf>
    <xf numFmtId="0" fontId="1" fillId="9" borderId="4" xfId="2" applyFont="1" applyFill="1" applyBorder="1" applyAlignment="1">
      <alignment horizontal="center" vertical="center"/>
    </xf>
    <xf numFmtId="0" fontId="3" fillId="9" borderId="4" xfId="2" applyFont="1" applyFill="1" applyBorder="1" applyAlignment="1">
      <alignment horizontal="center" vertical="center"/>
    </xf>
    <xf numFmtId="0" fontId="8" fillId="10" borderId="4" xfId="2" applyFont="1" applyFill="1" applyBorder="1" applyAlignment="1">
      <alignment horizontal="center" vertical="center"/>
    </xf>
    <xf numFmtId="0" fontId="1" fillId="10" borderId="4" xfId="2" applyFont="1" applyFill="1" applyBorder="1" applyAlignment="1">
      <alignment horizontal="center" vertical="center" wrapText="1"/>
    </xf>
    <xf numFmtId="0" fontId="4" fillId="10" borderId="4" xfId="2" applyFont="1" applyFill="1" applyBorder="1" applyAlignment="1">
      <alignment horizontal="center" vertical="center" wrapText="1"/>
    </xf>
    <xf numFmtId="0" fontId="1" fillId="10" borderId="4" xfId="2" applyFont="1" applyFill="1" applyBorder="1" applyAlignment="1">
      <alignment horizontal="center" vertical="center"/>
    </xf>
    <xf numFmtId="0" fontId="1" fillId="10" borderId="7" xfId="2" applyFont="1" applyFill="1" applyBorder="1" applyAlignment="1">
      <alignment horizontal="center" vertical="center"/>
    </xf>
    <xf numFmtId="1" fontId="26" fillId="0" borderId="0" xfId="0" applyNumberFormat="1" applyFont="1" applyAlignment="1" applyProtection="1">
      <alignment vertical="center" wrapText="1"/>
      <protection locked="0"/>
    </xf>
    <xf numFmtId="0" fontId="1" fillId="0" borderId="7" xfId="2" applyFont="1" applyBorder="1" applyAlignment="1">
      <alignment horizontal="center" vertical="center"/>
    </xf>
    <xf numFmtId="0" fontId="8" fillId="2" borderId="4" xfId="2" applyFont="1" applyFill="1" applyBorder="1" applyAlignment="1">
      <alignment horizontal="center" vertical="center"/>
    </xf>
    <xf numFmtId="0" fontId="1" fillId="2" borderId="4" xfId="2" applyFont="1" applyFill="1" applyBorder="1" applyAlignment="1">
      <alignment horizontal="center" vertical="center" wrapText="1"/>
    </xf>
    <xf numFmtId="0" fontId="4" fillId="2" borderId="4" xfId="2" applyFont="1" applyFill="1" applyBorder="1" applyAlignment="1">
      <alignment horizontal="center" vertical="center" wrapText="1"/>
    </xf>
    <xf numFmtId="0" fontId="1" fillId="2" borderId="7" xfId="2" applyFont="1" applyFill="1" applyBorder="1" applyAlignment="1">
      <alignment horizontal="center" vertical="center"/>
    </xf>
    <xf numFmtId="0" fontId="8" fillId="11" borderId="4" xfId="2" applyFont="1" applyFill="1" applyBorder="1" applyAlignment="1">
      <alignment horizontal="center" vertical="center"/>
    </xf>
    <xf numFmtId="0" fontId="1" fillId="11" borderId="4" xfId="2" applyFont="1" applyFill="1" applyBorder="1" applyAlignment="1">
      <alignment horizontal="center" vertical="center" wrapText="1"/>
    </xf>
    <xf numFmtId="0" fontId="4" fillId="11" borderId="4" xfId="2" applyFont="1" applyFill="1" applyBorder="1" applyAlignment="1">
      <alignment horizontal="center" vertical="center" wrapText="1"/>
    </xf>
    <xf numFmtId="0" fontId="1" fillId="11" borderId="4" xfId="2" applyFont="1" applyFill="1" applyBorder="1" applyAlignment="1">
      <alignment horizontal="center" vertical="center"/>
    </xf>
    <xf numFmtId="0" fontId="1" fillId="11" borderId="7" xfId="2" applyFont="1" applyFill="1" applyBorder="1" applyAlignment="1">
      <alignment horizontal="center" vertical="center"/>
    </xf>
    <xf numFmtId="0" fontId="8" fillId="12" borderId="4" xfId="2" applyFont="1" applyFill="1" applyBorder="1" applyAlignment="1">
      <alignment horizontal="center" vertical="center"/>
    </xf>
    <xf numFmtId="0" fontId="1" fillId="12" borderId="4" xfId="2" applyFont="1" applyFill="1" applyBorder="1" applyAlignment="1">
      <alignment horizontal="center" vertical="center" wrapText="1"/>
    </xf>
    <xf numFmtId="0" fontId="4" fillId="12" borderId="4" xfId="2" applyFont="1" applyFill="1" applyBorder="1" applyAlignment="1">
      <alignment horizontal="center" vertical="center" wrapText="1"/>
    </xf>
    <xf numFmtId="0" fontId="1" fillId="12" borderId="4" xfId="2" applyFont="1" applyFill="1" applyBorder="1" applyAlignment="1">
      <alignment horizontal="center" vertical="center"/>
    </xf>
    <xf numFmtId="0" fontId="1" fillId="12" borderId="7" xfId="2" applyFont="1" applyFill="1" applyBorder="1" applyAlignment="1">
      <alignment horizontal="center" vertical="center"/>
    </xf>
    <xf numFmtId="0" fontId="3" fillId="12" borderId="4" xfId="2" applyFont="1" applyFill="1" applyBorder="1" applyAlignment="1">
      <alignment horizontal="center" vertical="center"/>
    </xf>
    <xf numFmtId="0" fontId="1" fillId="12" borderId="4" xfId="2" quotePrefix="1" applyFont="1" applyFill="1" applyBorder="1" applyAlignment="1">
      <alignment horizontal="center" vertical="center" wrapText="1"/>
    </xf>
    <xf numFmtId="0" fontId="1" fillId="7" borderId="0" xfId="2" applyFont="1" applyFill="1" applyAlignment="1">
      <alignment horizontal="center" vertical="center" wrapText="1"/>
    </xf>
    <xf numFmtId="0" fontId="8" fillId="0" borderId="0" xfId="2" applyFont="1" applyAlignment="1">
      <alignment wrapText="1"/>
    </xf>
    <xf numFmtId="168" fontId="8" fillId="0" borderId="0" xfId="2" applyNumberFormat="1" applyFont="1"/>
    <xf numFmtId="14" fontId="5" fillId="13" borderId="0" xfId="0" applyNumberFormat="1" applyFont="1" applyFill="1" applyAlignment="1"/>
    <xf numFmtId="0" fontId="5" fillId="13" borderId="0" xfId="0" applyFont="1" applyFill="1" applyAlignment="1"/>
    <xf numFmtId="168" fontId="5" fillId="13" borderId="0" xfId="0" applyNumberFormat="1" applyFont="1" applyFill="1" applyAlignment="1"/>
    <xf numFmtId="0" fontId="8" fillId="13" borderId="0" xfId="2" applyFont="1" applyFill="1"/>
    <xf numFmtId="168" fontId="24" fillId="0" borderId="0" xfId="0" applyNumberFormat="1" applyFont="1" applyAlignment="1"/>
    <xf numFmtId="169" fontId="8" fillId="0" borderId="0" xfId="2" applyNumberFormat="1" applyFont="1"/>
    <xf numFmtId="14" fontId="8" fillId="0" borderId="0" xfId="2" applyNumberFormat="1" applyFont="1"/>
    <xf numFmtId="0" fontId="27" fillId="5" borderId="4" xfId="2" applyFont="1" applyFill="1" applyBorder="1" applyAlignment="1">
      <alignment horizontal="center" vertical="center"/>
    </xf>
    <xf numFmtId="0" fontId="24" fillId="0" borderId="0" xfId="0" applyFont="1" applyAlignment="1"/>
    <xf numFmtId="0" fontId="24" fillId="0" borderId="0" xfId="0" applyFont="1" applyAlignment="1">
      <alignment wrapText="1"/>
    </xf>
    <xf numFmtId="0" fontId="24" fillId="14" borderId="4" xfId="0" applyFont="1" applyFill="1" applyBorder="1" applyAlignment="1">
      <alignment horizontal="center" vertical="center"/>
    </xf>
    <xf numFmtId="0" fontId="24" fillId="14" borderId="4" xfId="0" applyFont="1" applyFill="1" applyBorder="1" applyAlignment="1">
      <alignment horizontal="center" vertical="center" wrapText="1"/>
    </xf>
    <xf numFmtId="0" fontId="3" fillId="14" borderId="4" xfId="0" applyFont="1" applyFill="1" applyBorder="1" applyAlignment="1">
      <alignment horizontal="center" vertical="center"/>
    </xf>
    <xf numFmtId="0" fontId="1" fillId="14" borderId="4" xfId="2" applyFont="1" applyFill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0" fontId="24" fillId="2" borderId="4" xfId="0" applyFont="1" applyFill="1" applyBorder="1" applyAlignment="1">
      <alignment horizontal="center" vertical="center"/>
    </xf>
    <xf numFmtId="0" fontId="24" fillId="2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1" fillId="2" borderId="9" xfId="2" applyFont="1" applyFill="1" applyBorder="1" applyAlignment="1">
      <alignment horizontal="center" vertical="center"/>
    </xf>
    <xf numFmtId="0" fontId="24" fillId="0" borderId="4" xfId="0" applyFont="1" applyBorder="1" applyAlignment="1">
      <alignment horizontal="center" vertical="center" wrapText="1"/>
    </xf>
    <xf numFmtId="0" fontId="24" fillId="0" borderId="7" xfId="0" applyFont="1" applyBorder="1" applyAlignment="1">
      <alignment horizontal="center" vertical="center"/>
    </xf>
    <xf numFmtId="0" fontId="1" fillId="15" borderId="0" xfId="2" applyFont="1" applyFill="1" applyAlignment="1">
      <alignment horizontal="center" vertical="center"/>
    </xf>
    <xf numFmtId="0" fontId="24" fillId="0" borderId="6" xfId="0" applyFont="1" applyBorder="1" applyAlignment="1">
      <alignment horizontal="center" vertical="center"/>
    </xf>
    <xf numFmtId="0" fontId="28" fillId="0" borderId="0" xfId="0" applyFont="1" applyAlignment="1"/>
    <xf numFmtId="0" fontId="28" fillId="0" borderId="0" xfId="0" applyFont="1" applyAlignment="1">
      <alignment wrapText="1"/>
    </xf>
    <xf numFmtId="168" fontId="28" fillId="0" borderId="0" xfId="0" applyNumberFormat="1" applyFont="1" applyAlignment="1"/>
    <xf numFmtId="14" fontId="28" fillId="0" borderId="0" xfId="0" applyNumberFormat="1" applyFont="1" applyAlignment="1"/>
    <xf numFmtId="169" fontId="28" fillId="0" borderId="0" xfId="0" applyNumberFormat="1" applyFont="1" applyAlignment="1"/>
    <xf numFmtId="14" fontId="28" fillId="13" borderId="0" xfId="0" applyNumberFormat="1" applyFont="1" applyFill="1" applyAlignment="1"/>
    <xf numFmtId="0" fontId="28" fillId="13" borderId="0" xfId="0" applyFont="1" applyFill="1" applyAlignment="1"/>
    <xf numFmtId="168" fontId="28" fillId="13" borderId="0" xfId="0" applyNumberFormat="1" applyFont="1" applyFill="1" applyAlignment="1"/>
    <xf numFmtId="0" fontId="23" fillId="0" borderId="7" xfId="0" applyFont="1" applyBorder="1">
      <alignment vertical="center"/>
    </xf>
    <xf numFmtId="0" fontId="23" fillId="0" borderId="7" xfId="0" applyFont="1" applyBorder="1" applyAlignment="1">
      <alignment horizontal="center"/>
    </xf>
    <xf numFmtId="0" fontId="23" fillId="0" borderId="6" xfId="0" applyFont="1" applyBorder="1" applyAlignment="1">
      <alignment horizontal="center"/>
    </xf>
    <xf numFmtId="0" fontId="23" fillId="0" borderId="4" xfId="0" applyFont="1" applyBorder="1" applyAlignment="1">
      <alignment horizontal="center"/>
    </xf>
    <xf numFmtId="170" fontId="24" fillId="0" borderId="4" xfId="0" applyNumberFormat="1" applyFont="1" applyBorder="1">
      <alignment vertical="center"/>
    </xf>
    <xf numFmtId="171" fontId="24" fillId="0" borderId="7" xfId="0" applyNumberFormat="1" applyFont="1" applyBorder="1">
      <alignment vertical="center"/>
    </xf>
    <xf numFmtId="0" fontId="23" fillId="0" borderId="4" xfId="0" applyFont="1" applyBorder="1" applyAlignment="1">
      <alignment horizontal="center" wrapText="1"/>
    </xf>
    <xf numFmtId="0" fontId="1" fillId="5" borderId="10" xfId="2" applyFont="1" applyFill="1" applyBorder="1" applyAlignment="1">
      <alignment horizontal="center" vertical="center"/>
    </xf>
    <xf numFmtId="0" fontId="24" fillId="0" borderId="0" xfId="0" applyFont="1">
      <alignment vertical="center"/>
    </xf>
    <xf numFmtId="170" fontId="24" fillId="0" borderId="0" xfId="0" applyNumberFormat="1" applyFont="1">
      <alignment vertical="center"/>
    </xf>
    <xf numFmtId="0" fontId="24" fillId="5" borderId="4" xfId="0" applyFont="1" applyFill="1" applyBorder="1" applyAlignment="1">
      <alignment horizontal="center" vertical="center"/>
    </xf>
    <xf numFmtId="0" fontId="29" fillId="5" borderId="4" xfId="0" applyFont="1" applyFill="1" applyBorder="1" applyAlignment="1">
      <alignment horizontal="center" vertical="center" wrapText="1"/>
    </xf>
    <xf numFmtId="0" fontId="24" fillId="5" borderId="4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/>
    </xf>
    <xf numFmtId="2" fontId="1" fillId="5" borderId="4" xfId="2" applyNumberFormat="1" applyFont="1" applyFill="1" applyBorder="1" applyAlignment="1">
      <alignment horizontal="center" vertical="center"/>
    </xf>
    <xf numFmtId="2" fontId="1" fillId="15" borderId="4" xfId="2" applyNumberFormat="1" applyFont="1" applyFill="1" applyBorder="1" applyAlignment="1">
      <alignment horizontal="center" vertical="center"/>
    </xf>
    <xf numFmtId="0" fontId="1" fillId="15" borderId="4" xfId="2" applyFont="1" applyFill="1" applyBorder="1" applyAlignment="1">
      <alignment horizontal="center" vertical="center"/>
    </xf>
    <xf numFmtId="0" fontId="24" fillId="4" borderId="4" xfId="0" applyFont="1" applyFill="1" applyBorder="1" applyAlignment="1">
      <alignment horizontal="center" vertical="center"/>
    </xf>
    <xf numFmtId="0" fontId="24" fillId="4" borderId="4" xfId="0" applyFont="1" applyFill="1" applyBorder="1" applyAlignment="1">
      <alignment horizontal="center" vertical="center" wrapText="1"/>
    </xf>
    <xf numFmtId="2" fontId="1" fillId="4" borderId="4" xfId="2" applyNumberFormat="1" applyFont="1" applyFill="1" applyBorder="1" applyAlignment="1">
      <alignment horizontal="center" vertical="center"/>
    </xf>
    <xf numFmtId="0" fontId="24" fillId="12" borderId="4" xfId="0" applyFont="1" applyFill="1" applyBorder="1" applyAlignment="1">
      <alignment horizontal="center" vertical="center"/>
    </xf>
    <xf numFmtId="0" fontId="24" fillId="12" borderId="4" xfId="0" applyFont="1" applyFill="1" applyBorder="1" applyAlignment="1">
      <alignment horizontal="center" vertical="center" wrapText="1"/>
    </xf>
    <xf numFmtId="0" fontId="3" fillId="12" borderId="4" xfId="0" applyFont="1" applyFill="1" applyBorder="1" applyAlignment="1">
      <alignment horizontal="center" vertical="center"/>
    </xf>
    <xf numFmtId="2" fontId="1" fillId="12" borderId="4" xfId="2" applyNumberFormat="1" applyFont="1" applyFill="1" applyBorder="1" applyAlignment="1">
      <alignment horizontal="center" vertical="center"/>
    </xf>
    <xf numFmtId="0" fontId="24" fillId="16" borderId="4" xfId="0" applyFont="1" applyFill="1" applyBorder="1" applyAlignment="1">
      <alignment horizontal="center" vertical="center"/>
    </xf>
    <xf numFmtId="0" fontId="24" fillId="16" borderId="4" xfId="0" applyFont="1" applyFill="1" applyBorder="1" applyAlignment="1">
      <alignment horizontal="center" vertical="center" wrapText="1"/>
    </xf>
    <xf numFmtId="0" fontId="3" fillId="16" borderId="4" xfId="0" applyFont="1" applyFill="1" applyBorder="1" applyAlignment="1">
      <alignment horizontal="center" vertical="center"/>
    </xf>
    <xf numFmtId="2" fontId="1" fillId="16" borderId="4" xfId="2" applyNumberFormat="1" applyFont="1" applyFill="1" applyBorder="1" applyAlignment="1">
      <alignment horizontal="center" vertical="center"/>
    </xf>
    <xf numFmtId="0" fontId="1" fillId="16" borderId="4" xfId="2" applyFont="1" applyFill="1" applyBorder="1" applyAlignment="1">
      <alignment horizontal="center" vertical="center"/>
    </xf>
    <xf numFmtId="0" fontId="24" fillId="16" borderId="0" xfId="0" applyFont="1" applyFill="1" applyAlignment="1"/>
    <xf numFmtId="169" fontId="24" fillId="0" borderId="0" xfId="0" applyNumberFormat="1" applyFont="1" applyAlignment="1"/>
    <xf numFmtId="0" fontId="6" fillId="0" borderId="1" xfId="2" applyFont="1" applyBorder="1" applyAlignment="1">
      <alignment horizontal="center" vertical="center"/>
    </xf>
    <xf numFmtId="0" fontId="2" fillId="0" borderId="1" xfId="2" applyBorder="1"/>
    <xf numFmtId="0" fontId="22" fillId="0" borderId="4" xfId="2" applyFont="1" applyBorder="1" applyAlignment="1">
      <alignment horizontal="center"/>
    </xf>
    <xf numFmtId="0" fontId="1" fillId="0" borderId="8" xfId="2" applyFont="1" applyBorder="1"/>
    <xf numFmtId="0" fontId="1" fillId="0" borderId="6" xfId="2" applyFont="1" applyBorder="1"/>
    <xf numFmtId="0" fontId="22" fillId="0" borderId="4" xfId="0" applyFont="1" applyBorder="1" applyAlignment="1">
      <alignment horizontal="center"/>
    </xf>
    <xf numFmtId="0" fontId="24" fillId="0" borderId="8" xfId="0" applyFont="1" applyBorder="1" applyAlignment="1"/>
    <xf numFmtId="0" fontId="24" fillId="0" borderId="6" xfId="0" applyFont="1" applyBorder="1" applyAlignment="1"/>
  </cellXfs>
  <cellStyles count="3">
    <cellStyle name="Comma" xfId="1" builtinId="3"/>
    <cellStyle name="Normal" xfId="0" builtinId="0"/>
    <cellStyle name="Normal 10" xfId="2" xr:uid="{EAF65303-ADA6-4B5E-A589-8FD5D393025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711391</xdr:colOff>
      <xdr:row>2</xdr:row>
      <xdr:rowOff>5995</xdr:rowOff>
    </xdr:from>
    <xdr:to>
      <xdr:col>4</xdr:col>
      <xdr:colOff>950508</xdr:colOff>
      <xdr:row>4</xdr:row>
      <xdr:rowOff>1067830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F519E4-818C-40EC-A618-86532A2C12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2251" y="794576"/>
          <a:ext cx="2675745" cy="3223789"/>
        </a:xfrm>
        <a:prstGeom prst="rect">
          <a:avLst/>
        </a:prstGeom>
      </xdr:spPr>
    </xdr:pic>
    <xdr:clientData/>
  </xdr:twoCellAnchor>
  <xdr:twoCellAnchor editAs="oneCell">
    <xdr:from>
      <xdr:col>1</xdr:col>
      <xdr:colOff>124047</xdr:colOff>
      <xdr:row>105</xdr:row>
      <xdr:rowOff>79745</xdr:rowOff>
    </xdr:from>
    <xdr:to>
      <xdr:col>2</xdr:col>
      <xdr:colOff>744078</xdr:colOff>
      <xdr:row>114</xdr:row>
      <xdr:rowOff>115716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CDA480E-B445-4EB7-9A9D-00BC7FBF13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4907" y="46428838"/>
          <a:ext cx="1364311" cy="5440855"/>
        </a:xfrm>
        <a:prstGeom prst="rect">
          <a:avLst/>
        </a:prstGeom>
      </xdr:spPr>
    </xdr:pic>
    <xdr:clientData/>
  </xdr:twoCellAnchor>
  <xdr:twoCellAnchor editAs="oneCell">
    <xdr:from>
      <xdr:col>2</xdr:col>
      <xdr:colOff>629093</xdr:colOff>
      <xdr:row>45</xdr:row>
      <xdr:rowOff>194930</xdr:rowOff>
    </xdr:from>
    <xdr:to>
      <xdr:col>5</xdr:col>
      <xdr:colOff>264334</xdr:colOff>
      <xdr:row>53</xdr:row>
      <xdr:rowOff>179665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471297D-72AF-468C-B0C7-B634414AEA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44233" y="19439860"/>
          <a:ext cx="2638938" cy="6257945"/>
        </a:xfrm>
        <a:prstGeom prst="rect">
          <a:avLst/>
        </a:prstGeom>
      </xdr:spPr>
    </xdr:pic>
    <xdr:clientData/>
  </xdr:twoCellAnchor>
  <xdr:twoCellAnchor editAs="oneCell">
    <xdr:from>
      <xdr:col>0</xdr:col>
      <xdr:colOff>766647</xdr:colOff>
      <xdr:row>8</xdr:row>
      <xdr:rowOff>162623</xdr:rowOff>
    </xdr:from>
    <xdr:to>
      <xdr:col>2</xdr:col>
      <xdr:colOff>428223</xdr:colOff>
      <xdr:row>15</xdr:row>
      <xdr:rowOff>1030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4F8454D9-CE20-4535-B645-E205B3E821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66647" y="5182298"/>
          <a:ext cx="1174944" cy="4229432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15</xdr:row>
      <xdr:rowOff>0</xdr:rowOff>
    </xdr:from>
    <xdr:to>
      <xdr:col>2</xdr:col>
      <xdr:colOff>392579</xdr:colOff>
      <xdr:row>20</xdr:row>
      <xdr:rowOff>684903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19FE12A8-0706-47A6-B875-2F850A8B82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71526" y="9410700"/>
          <a:ext cx="1134421" cy="4056753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74</xdr:row>
      <xdr:rowOff>2214</xdr:rowOff>
    </xdr:from>
    <xdr:to>
      <xdr:col>7</xdr:col>
      <xdr:colOff>8636</xdr:colOff>
      <xdr:row>82</xdr:row>
      <xdr:rowOff>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3CA0F55-0313-457C-AE13-4A08DAD3DE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b="49935"/>
        <a:stretch>
          <a:fillRect/>
        </a:stretch>
      </xdr:blipFill>
      <xdr:spPr>
        <a:xfrm>
          <a:off x="2590800" y="36492489"/>
          <a:ext cx="2730128" cy="3807787"/>
        </a:xfrm>
        <a:prstGeom prst="rect">
          <a:avLst/>
        </a:prstGeom>
      </xdr:spPr>
    </xdr:pic>
    <xdr:clientData/>
  </xdr:twoCellAnchor>
  <xdr:twoCellAnchor editAs="oneCell">
    <xdr:from>
      <xdr:col>3</xdr:col>
      <xdr:colOff>585456</xdr:colOff>
      <xdr:row>81</xdr:row>
      <xdr:rowOff>474477</xdr:rowOff>
    </xdr:from>
    <xdr:to>
      <xdr:col>6</xdr:col>
      <xdr:colOff>318979</xdr:colOff>
      <xdr:row>89</xdr:row>
      <xdr:rowOff>24453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9F0A309-3808-4093-8696-4DD8593FE72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t="56826"/>
        <a:stretch>
          <a:fillRect/>
        </a:stretch>
      </xdr:blipFill>
      <xdr:spPr>
        <a:xfrm>
          <a:off x="2585706" y="40298502"/>
          <a:ext cx="2779750" cy="3359977"/>
        </a:xfrm>
        <a:prstGeom prst="rect">
          <a:avLst/>
        </a:prstGeom>
      </xdr:spPr>
    </xdr:pic>
    <xdr:clientData/>
  </xdr:twoCellAnchor>
  <xdr:twoCellAnchor editAs="oneCell">
    <xdr:from>
      <xdr:col>2</xdr:col>
      <xdr:colOff>515472</xdr:colOff>
      <xdr:row>142</xdr:row>
      <xdr:rowOff>2</xdr:rowOff>
    </xdr:from>
    <xdr:to>
      <xdr:col>5</xdr:col>
      <xdr:colOff>148630</xdr:colOff>
      <xdr:row>150</xdr:row>
      <xdr:rowOff>47642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4828710-1BC2-4DA5-97C8-5E7D0CC099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887072" y="60721877"/>
          <a:ext cx="2645272" cy="5200665"/>
        </a:xfrm>
        <a:prstGeom prst="rect">
          <a:avLst/>
        </a:prstGeom>
      </xdr:spPr>
    </xdr:pic>
    <xdr:clientData/>
  </xdr:twoCellAnchor>
  <xdr:twoCellAnchor editAs="oneCell">
    <xdr:from>
      <xdr:col>2</xdr:col>
      <xdr:colOff>481853</xdr:colOff>
      <xdr:row>150</xdr:row>
      <xdr:rowOff>11207</xdr:rowOff>
    </xdr:from>
    <xdr:to>
      <xdr:col>4</xdr:col>
      <xdr:colOff>1254061</xdr:colOff>
      <xdr:row>158</xdr:row>
      <xdr:rowOff>638190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44B9B96-5EAC-4295-8185-5C8F447E1E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53453" y="65886107"/>
          <a:ext cx="2472973" cy="5589508"/>
        </a:xfrm>
        <a:prstGeom prst="rect">
          <a:avLst/>
        </a:prstGeom>
      </xdr:spPr>
    </xdr:pic>
    <xdr:clientData/>
  </xdr:twoCellAnchor>
  <xdr:twoCellAnchor editAs="oneCell">
    <xdr:from>
      <xdr:col>27</xdr:col>
      <xdr:colOff>247286</xdr:colOff>
      <xdr:row>150</xdr:row>
      <xdr:rowOff>301124</xdr:rowOff>
    </xdr:from>
    <xdr:to>
      <xdr:col>30</xdr:col>
      <xdr:colOff>475070</xdr:colOff>
      <xdr:row>154</xdr:row>
      <xdr:rowOff>598796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3E3EF36-34D9-46CC-B8E8-1B0966EFB0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220461" y="66176024"/>
          <a:ext cx="2496064" cy="2755122"/>
        </a:xfrm>
        <a:prstGeom prst="rect">
          <a:avLst/>
        </a:prstGeom>
      </xdr:spPr>
    </xdr:pic>
    <xdr:clientData/>
  </xdr:twoCellAnchor>
  <xdr:twoCellAnchor editAs="oneCell">
    <xdr:from>
      <xdr:col>1</xdr:col>
      <xdr:colOff>124047</xdr:colOff>
      <xdr:row>65</xdr:row>
      <xdr:rowOff>8861</xdr:rowOff>
    </xdr:from>
    <xdr:to>
      <xdr:col>4</xdr:col>
      <xdr:colOff>535793</xdr:colOff>
      <xdr:row>73</xdr:row>
      <xdr:rowOff>12116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319A39E-65BD-4678-8598-DB799A8B2D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94907" y="30834419"/>
          <a:ext cx="2848374" cy="4823348"/>
        </a:xfrm>
        <a:prstGeom prst="rect">
          <a:avLst/>
        </a:prstGeom>
      </xdr:spPr>
    </xdr:pic>
    <xdr:clientData/>
  </xdr:twoCellAnchor>
  <xdr:twoCellAnchor editAs="oneCell">
    <xdr:from>
      <xdr:col>1</xdr:col>
      <xdr:colOff>25018</xdr:colOff>
      <xdr:row>57</xdr:row>
      <xdr:rowOff>7559</xdr:rowOff>
    </xdr:from>
    <xdr:to>
      <xdr:col>4</xdr:col>
      <xdr:colOff>1169770</xdr:colOff>
      <xdr:row>63</xdr:row>
      <xdr:rowOff>254087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0CD3D44-E086-46BC-A772-F64D386548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95878" y="26633257"/>
          <a:ext cx="3581380" cy="39059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161</xdr:row>
      <xdr:rowOff>177209</xdr:rowOff>
    </xdr:from>
    <xdr:to>
      <xdr:col>2</xdr:col>
      <xdr:colOff>183294</xdr:colOff>
      <xdr:row>162</xdr:row>
      <xdr:rowOff>1942789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40E7BBE-435B-43E5-A3FC-4C1A73C1B4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70860" y="70830558"/>
          <a:ext cx="927574" cy="1960510"/>
        </a:xfrm>
        <a:prstGeom prst="rect">
          <a:avLst/>
        </a:prstGeom>
      </xdr:spPr>
    </xdr:pic>
    <xdr:clientData/>
  </xdr:twoCellAnchor>
  <xdr:twoCellAnchor editAs="oneCell">
    <xdr:from>
      <xdr:col>1</xdr:col>
      <xdr:colOff>53163</xdr:colOff>
      <xdr:row>164</xdr:row>
      <xdr:rowOff>97466</xdr:rowOff>
    </xdr:from>
    <xdr:to>
      <xdr:col>2</xdr:col>
      <xdr:colOff>669735</xdr:colOff>
      <xdr:row>165</xdr:row>
      <xdr:rowOff>97467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4F908F1F-9847-40C0-AF54-2DC8D9324B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24023" y="74011466"/>
          <a:ext cx="1360852" cy="1568303"/>
        </a:xfrm>
        <a:prstGeom prst="rect">
          <a:avLst/>
        </a:prstGeom>
      </xdr:spPr>
    </xdr:pic>
    <xdr:clientData/>
  </xdr:twoCellAnchor>
  <xdr:twoCellAnchor editAs="oneCell">
    <xdr:from>
      <xdr:col>1</xdr:col>
      <xdr:colOff>79744</xdr:colOff>
      <xdr:row>162</xdr:row>
      <xdr:rowOff>1940443</xdr:rowOff>
    </xdr:from>
    <xdr:to>
      <xdr:col>2</xdr:col>
      <xdr:colOff>173299</xdr:colOff>
      <xdr:row>164</xdr:row>
      <xdr:rowOff>3488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F54BE97D-36F2-4B60-B174-E24CAD4B0F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0604" y="72788722"/>
          <a:ext cx="837835" cy="11287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552D6-6DC1-4844-A8F6-CBA1F6F57129}">
  <dimension ref="A1:AC174"/>
  <sheetViews>
    <sheetView tabSelected="1" zoomScale="86" zoomScaleNormal="114" workbookViewId="0">
      <selection activeCell="A3" sqref="A3"/>
    </sheetView>
  </sheetViews>
  <sheetFormatPr defaultColWidth="8.69921875" defaultRowHeight="14.4"/>
  <cols>
    <col min="1" max="1" width="10.09765625" style="4" customWidth="1"/>
    <col min="2" max="2" width="9.796875" style="33" bestFit="1" customWidth="1"/>
    <col min="3" max="3" width="10.59765625" style="34" bestFit="1" customWidth="1"/>
    <col min="4" max="4" width="11.59765625" style="33" bestFit="1" customWidth="1"/>
    <col min="5" max="5" width="17.19921875" style="33" customWidth="1"/>
    <col min="6" max="6" width="11" style="16" bestFit="1" customWidth="1"/>
    <col min="7" max="7" width="7.3984375" style="16" bestFit="1" customWidth="1"/>
    <col min="8" max="8" width="9.59765625" style="16" bestFit="1" customWidth="1"/>
    <col min="9" max="9" width="14.296875" style="16" bestFit="1" customWidth="1"/>
    <col min="10" max="10" width="8.796875" style="16" bestFit="1" customWidth="1"/>
    <col min="11" max="11" width="10.5" style="16" bestFit="1" customWidth="1"/>
    <col min="12" max="12" width="8.19921875" style="16" customWidth="1"/>
    <col min="13" max="13" width="8.19921875" style="16" bestFit="1" customWidth="1"/>
    <col min="14" max="14" width="4.19921875" style="16" bestFit="1" customWidth="1"/>
    <col min="15" max="16" width="3.09765625" style="16" bestFit="1" customWidth="1"/>
    <col min="17" max="17" width="6.796875" style="16" bestFit="1" customWidth="1"/>
    <col min="18" max="18" width="5.296875" style="4" bestFit="1" customWidth="1"/>
    <col min="19" max="19" width="6.69921875" style="5" bestFit="1" customWidth="1"/>
    <col min="20" max="20" width="10.09765625" style="16" bestFit="1" customWidth="1"/>
    <col min="21" max="21" width="5.3984375" style="16" bestFit="1" customWidth="1"/>
    <col min="22" max="22" width="8.59765625" style="16" bestFit="1" customWidth="1"/>
    <col min="23" max="23" width="4.5" style="16" bestFit="1" customWidth="1"/>
    <col min="24" max="24" width="3" style="16" bestFit="1" customWidth="1"/>
    <col min="25" max="25" width="5.296875" style="16" bestFit="1" customWidth="1"/>
    <col min="26" max="26" width="8.5" style="16" customWidth="1"/>
    <col min="27" max="27" width="6.5" style="56" customWidth="1"/>
    <col min="28" max="16384" width="8.69921875" style="16"/>
  </cols>
  <sheetData>
    <row r="1" spans="1:29" ht="31.2">
      <c r="A1" s="1" t="s">
        <v>0</v>
      </c>
      <c r="B1" s="176" t="s">
        <v>1</v>
      </c>
      <c r="C1" s="177"/>
      <c r="D1" s="177"/>
      <c r="E1" s="177"/>
      <c r="F1" s="177"/>
      <c r="G1" s="177"/>
      <c r="H1" s="177"/>
      <c r="I1" s="177"/>
      <c r="J1" s="177"/>
      <c r="K1" s="177"/>
      <c r="L1" s="2" t="s">
        <v>2</v>
      </c>
      <c r="M1" s="2"/>
      <c r="N1" s="2" t="s">
        <v>3</v>
      </c>
      <c r="O1" s="2" t="s">
        <v>3</v>
      </c>
      <c r="P1" s="2" t="s">
        <v>3</v>
      </c>
      <c r="Q1" s="3"/>
      <c r="T1" s="3"/>
      <c r="U1" s="3"/>
      <c r="V1" s="3"/>
      <c r="W1" s="3">
        <v>1470</v>
      </c>
      <c r="X1" s="3">
        <v>7</v>
      </c>
      <c r="Y1" s="3"/>
      <c r="Z1" s="3">
        <v>28500000</v>
      </c>
      <c r="AA1" s="6"/>
    </row>
    <row r="2" spans="1:29" ht="30.6">
      <c r="A2" s="1" t="s">
        <v>4</v>
      </c>
      <c r="B2" s="7" t="s">
        <v>5</v>
      </c>
      <c r="C2" s="8" t="s">
        <v>6</v>
      </c>
      <c r="D2" s="7" t="s">
        <v>7</v>
      </c>
      <c r="E2" s="7" t="s">
        <v>8</v>
      </c>
      <c r="F2" s="2" t="s">
        <v>9</v>
      </c>
      <c r="G2" s="2" t="s">
        <v>10</v>
      </c>
      <c r="H2" s="2" t="s">
        <v>11</v>
      </c>
      <c r="I2" s="2" t="s">
        <v>12</v>
      </c>
      <c r="J2" s="2" t="s">
        <v>13</v>
      </c>
      <c r="K2" s="2" t="s">
        <v>14</v>
      </c>
      <c r="L2" s="2" t="s">
        <v>15</v>
      </c>
      <c r="M2" s="9"/>
      <c r="N2" s="2" t="s">
        <v>3</v>
      </c>
      <c r="O2" s="2" t="s">
        <v>3</v>
      </c>
      <c r="P2" s="2" t="s">
        <v>3</v>
      </c>
      <c r="Q2" s="10" t="s">
        <v>16</v>
      </c>
      <c r="R2" s="11" t="s">
        <v>17</v>
      </c>
      <c r="S2" s="12" t="s">
        <v>18</v>
      </c>
      <c r="T2" s="13" t="s">
        <v>19</v>
      </c>
      <c r="U2" s="14"/>
      <c r="V2" s="15" t="s">
        <v>20</v>
      </c>
      <c r="W2" s="15" t="s">
        <v>21</v>
      </c>
      <c r="X2" s="15" t="s">
        <v>22</v>
      </c>
      <c r="Y2" s="15" t="s">
        <v>23</v>
      </c>
      <c r="Z2" s="15" t="s">
        <v>24</v>
      </c>
      <c r="AA2" s="15" t="s">
        <v>25</v>
      </c>
      <c r="AC2" s="13"/>
    </row>
    <row r="3" spans="1:29" ht="85.5" customHeight="1">
      <c r="A3" s="17" t="s">
        <v>26</v>
      </c>
      <c r="B3" s="18" t="s">
        <v>27</v>
      </c>
      <c r="C3" s="19" t="s">
        <v>28</v>
      </c>
      <c r="D3" s="18" t="s">
        <v>29</v>
      </c>
      <c r="E3" s="18" t="s">
        <v>30</v>
      </c>
      <c r="F3" s="20" t="s">
        <v>31</v>
      </c>
      <c r="G3" s="20">
        <v>1</v>
      </c>
      <c r="H3" s="20">
        <v>480</v>
      </c>
      <c r="I3" s="21">
        <v>0.85</v>
      </c>
      <c r="J3" s="21">
        <v>408</v>
      </c>
      <c r="K3" s="21">
        <v>0</v>
      </c>
      <c r="L3" s="22">
        <f t="shared" ref="L3:L8" si="0">N3*O3*P3*G3/1000000</f>
        <v>7.22E-2</v>
      </c>
      <c r="M3" s="22">
        <f>L3/G3</f>
        <v>7.22E-2</v>
      </c>
      <c r="N3" s="23">
        <v>38</v>
      </c>
      <c r="O3" s="2">
        <v>38</v>
      </c>
      <c r="P3" s="2">
        <v>50</v>
      </c>
      <c r="Q3" s="24">
        <f t="shared" ref="Q3:Q21" si="1">G3*H3</f>
        <v>480</v>
      </c>
      <c r="R3" s="11">
        <f>S3*1.5</f>
        <v>362.31341911764707</v>
      </c>
      <c r="S3" s="12">
        <f t="shared" ref="S3:S21" si="2">V3+Y3</f>
        <v>241.5422794117647</v>
      </c>
      <c r="T3" s="25">
        <f>R3*Q3</f>
        <v>173910.4411764706</v>
      </c>
      <c r="U3" s="26" t="e">
        <v>#DIV/0!</v>
      </c>
      <c r="V3" s="27">
        <f>I3*W3/X3</f>
        <v>178.5</v>
      </c>
      <c r="W3" s="28">
        <f>$W$1</f>
        <v>1470</v>
      </c>
      <c r="X3" s="29">
        <f>X1</f>
        <v>7</v>
      </c>
      <c r="Y3" s="30">
        <f>M3*Z3/68/H3</f>
        <v>63.04227941176471</v>
      </c>
      <c r="Z3" s="31">
        <f>Z1</f>
        <v>28500000</v>
      </c>
      <c r="AA3" s="32">
        <f>((R3-S3)/S3)</f>
        <v>0.50000000000000011</v>
      </c>
    </row>
    <row r="4" spans="1:29" ht="85.5" customHeight="1">
      <c r="A4" s="17" t="s">
        <v>32</v>
      </c>
      <c r="B4" s="18" t="s">
        <v>27</v>
      </c>
      <c r="C4" s="19" t="s">
        <v>3</v>
      </c>
      <c r="D4" s="18" t="s">
        <v>33</v>
      </c>
      <c r="E4" s="18" t="s">
        <v>34</v>
      </c>
      <c r="F4" s="20" t="s">
        <v>35</v>
      </c>
      <c r="G4" s="20">
        <v>5</v>
      </c>
      <c r="H4" s="20">
        <v>192</v>
      </c>
      <c r="I4" s="21">
        <v>1.65</v>
      </c>
      <c r="J4" s="21">
        <v>1584</v>
      </c>
      <c r="K4" s="21">
        <v>0</v>
      </c>
      <c r="L4" s="22">
        <f t="shared" si="0"/>
        <v>0.27929999999999999</v>
      </c>
      <c r="M4" s="22">
        <f t="shared" ref="M4:M67" si="3">L4/G4</f>
        <v>5.586E-2</v>
      </c>
      <c r="N4" s="23">
        <v>35</v>
      </c>
      <c r="O4" s="2">
        <v>42</v>
      </c>
      <c r="P4" s="2">
        <v>38</v>
      </c>
      <c r="Q4" s="24">
        <f t="shared" si="1"/>
        <v>960</v>
      </c>
      <c r="R4" s="11">
        <f>8500/12</f>
        <v>708.33333333333337</v>
      </c>
      <c r="S4" s="12">
        <f t="shared" si="2"/>
        <v>468.43704044117646</v>
      </c>
      <c r="T4" s="25">
        <f t="shared" ref="T4:T21" si="4">R4*Q4</f>
        <v>680000</v>
      </c>
      <c r="U4" s="26">
        <v>242.4</v>
      </c>
      <c r="V4" s="27">
        <f t="shared" ref="V3:V21" si="5">I4*W4/X4</f>
        <v>346.5</v>
      </c>
      <c r="W4" s="28">
        <f t="shared" ref="W4:W21" si="6">$W$1</f>
        <v>1470</v>
      </c>
      <c r="X4" s="29">
        <f t="shared" ref="W4:X19" si="7">X3</f>
        <v>7</v>
      </c>
      <c r="Y4" s="30">
        <f t="shared" ref="Y3:Y21" si="8">M4*Z4/68/H4</f>
        <v>121.93704044117646</v>
      </c>
      <c r="Z4" s="31">
        <f t="shared" ref="Z4:Z22" si="9">Z3</f>
        <v>28500000</v>
      </c>
      <c r="AA4" s="32">
        <f>((R4-S4)/S4)</f>
        <v>0.5121206740317148</v>
      </c>
    </row>
    <row r="5" spans="1:29" ht="88.2" customHeight="1">
      <c r="A5" s="17" t="s">
        <v>36</v>
      </c>
      <c r="B5" s="18" t="s">
        <v>27</v>
      </c>
      <c r="C5" s="19" t="s">
        <v>3</v>
      </c>
      <c r="D5" s="18" t="s">
        <v>37</v>
      </c>
      <c r="E5" s="18" t="s">
        <v>38</v>
      </c>
      <c r="F5" s="20" t="s">
        <v>39</v>
      </c>
      <c r="G5" s="20">
        <v>2</v>
      </c>
      <c r="H5" s="20">
        <v>100</v>
      </c>
      <c r="I5" s="21">
        <v>3.5</v>
      </c>
      <c r="J5" s="21">
        <v>700</v>
      </c>
      <c r="K5" s="21">
        <v>0</v>
      </c>
      <c r="L5" s="22">
        <f t="shared" si="0"/>
        <v>9.4719999999999999E-2</v>
      </c>
      <c r="M5" s="22">
        <f t="shared" si="3"/>
        <v>4.7359999999999999E-2</v>
      </c>
      <c r="N5" s="23">
        <v>40</v>
      </c>
      <c r="O5" s="2">
        <v>37</v>
      </c>
      <c r="P5" s="2">
        <v>32</v>
      </c>
      <c r="Q5" s="24">
        <f t="shared" si="1"/>
        <v>200</v>
      </c>
      <c r="R5" s="11">
        <f>18000/12</f>
        <v>1500</v>
      </c>
      <c r="S5" s="12">
        <f t="shared" si="2"/>
        <v>933.49411764705883</v>
      </c>
      <c r="T5" s="25">
        <f t="shared" si="4"/>
        <v>300000</v>
      </c>
      <c r="U5" s="26" t="e">
        <v>#DIV/0!</v>
      </c>
      <c r="V5" s="27">
        <f t="shared" si="5"/>
        <v>735</v>
      </c>
      <c r="W5" s="28">
        <f t="shared" si="6"/>
        <v>1470</v>
      </c>
      <c r="X5" s="29">
        <f t="shared" si="7"/>
        <v>7</v>
      </c>
      <c r="Y5" s="30">
        <f t="shared" si="8"/>
        <v>198.4941176470588</v>
      </c>
      <c r="Z5" s="31">
        <f t="shared" si="9"/>
        <v>28500000</v>
      </c>
      <c r="AA5" s="32">
        <f>((R5-S5)/S5)</f>
        <v>0.60686604408484257</v>
      </c>
    </row>
    <row r="6" spans="1:29">
      <c r="L6" s="35">
        <f t="shared" si="0"/>
        <v>0</v>
      </c>
      <c r="M6" s="35">
        <v>0</v>
      </c>
      <c r="Q6" s="24">
        <f t="shared" si="1"/>
        <v>0</v>
      </c>
      <c r="R6" s="11">
        <f>5000/12</f>
        <v>416.66666666666669</v>
      </c>
      <c r="S6" s="12" t="e">
        <f t="shared" si="2"/>
        <v>#DIV/0!</v>
      </c>
      <c r="T6" s="25">
        <f t="shared" si="4"/>
        <v>0</v>
      </c>
      <c r="U6" s="26">
        <v>243.4</v>
      </c>
      <c r="V6" s="27">
        <f t="shared" si="5"/>
        <v>0</v>
      </c>
      <c r="W6" s="28">
        <f t="shared" si="6"/>
        <v>1470</v>
      </c>
      <c r="X6" s="29">
        <f t="shared" si="7"/>
        <v>7</v>
      </c>
      <c r="Y6" s="30" t="e">
        <f t="shared" si="8"/>
        <v>#DIV/0!</v>
      </c>
      <c r="Z6" s="31">
        <f t="shared" si="9"/>
        <v>28500000</v>
      </c>
      <c r="AA6" s="32" t="e">
        <f>((R6-S6)/S6)</f>
        <v>#DIV/0!</v>
      </c>
    </row>
    <row r="7" spans="1:29" ht="28.8">
      <c r="A7" s="36" t="s">
        <v>26</v>
      </c>
      <c r="B7" s="37" t="s">
        <v>40</v>
      </c>
      <c r="C7" s="38">
        <v>11</v>
      </c>
      <c r="D7" s="37" t="s">
        <v>41</v>
      </c>
      <c r="E7" s="37" t="s">
        <v>42</v>
      </c>
      <c r="F7" s="39" t="s">
        <v>43</v>
      </c>
      <c r="G7" s="39">
        <v>1</v>
      </c>
      <c r="H7" s="39">
        <v>160</v>
      </c>
      <c r="I7" s="39">
        <v>1.9</v>
      </c>
      <c r="J7" s="39">
        <f>I7*H7*G7</f>
        <v>304</v>
      </c>
      <c r="K7" s="39"/>
      <c r="L7" s="39">
        <f t="shared" si="0"/>
        <v>0.14622399999999999</v>
      </c>
      <c r="M7" s="39">
        <f t="shared" si="3"/>
        <v>0.14622399999999999</v>
      </c>
      <c r="N7" s="40">
        <v>74</v>
      </c>
      <c r="O7" s="35">
        <v>38</v>
      </c>
      <c r="P7" s="35">
        <v>52</v>
      </c>
      <c r="Q7" s="24">
        <f t="shared" si="1"/>
        <v>160</v>
      </c>
      <c r="R7" s="11">
        <f>15500/12</f>
        <v>1291.6666666666667</v>
      </c>
      <c r="S7" s="12">
        <f t="shared" si="2"/>
        <v>782.03161764705885</v>
      </c>
      <c r="T7" s="25">
        <f t="shared" si="4"/>
        <v>206666.66666666669</v>
      </c>
      <c r="U7" s="26" t="e">
        <v>#DIV/0!</v>
      </c>
      <c r="V7" s="27">
        <f t="shared" si="5"/>
        <v>399</v>
      </c>
      <c r="W7" s="28">
        <f t="shared" si="6"/>
        <v>1470</v>
      </c>
      <c r="X7" s="29">
        <f t="shared" si="7"/>
        <v>7</v>
      </c>
      <c r="Y7" s="30">
        <f t="shared" si="8"/>
        <v>383.03161764705885</v>
      </c>
      <c r="Z7" s="31">
        <f t="shared" si="9"/>
        <v>28500000</v>
      </c>
      <c r="AA7" s="32">
        <f>((R7-S7)/S7)</f>
        <v>0.65168087519654849</v>
      </c>
    </row>
    <row r="8" spans="1:29">
      <c r="A8" s="36" t="s">
        <v>44</v>
      </c>
      <c r="B8" s="37"/>
      <c r="C8" s="38"/>
      <c r="D8" s="37" t="s">
        <v>45</v>
      </c>
      <c r="E8" s="37" t="s">
        <v>46</v>
      </c>
      <c r="F8" s="39" t="s">
        <v>47</v>
      </c>
      <c r="G8" s="39">
        <v>1</v>
      </c>
      <c r="H8" s="39">
        <v>200</v>
      </c>
      <c r="I8" s="39">
        <v>3.5</v>
      </c>
      <c r="J8" s="39">
        <f>I8*H8*G8</f>
        <v>700</v>
      </c>
      <c r="K8" s="41" t="s">
        <v>48</v>
      </c>
      <c r="L8" s="39">
        <f t="shared" si="0"/>
        <v>0.23688000000000001</v>
      </c>
      <c r="M8" s="39">
        <f t="shared" si="3"/>
        <v>0.23688000000000001</v>
      </c>
      <c r="N8" s="40">
        <v>70</v>
      </c>
      <c r="O8" s="35">
        <v>47</v>
      </c>
      <c r="P8" s="35">
        <v>72</v>
      </c>
      <c r="Q8" s="24">
        <f t="shared" si="1"/>
        <v>200</v>
      </c>
      <c r="R8" s="11">
        <f>25000/12</f>
        <v>2083.3333333333335</v>
      </c>
      <c r="S8" s="12">
        <f t="shared" si="2"/>
        <v>1231.4029411764704</v>
      </c>
      <c r="T8" s="25">
        <f t="shared" si="4"/>
        <v>416666.66666666669</v>
      </c>
      <c r="U8" s="26" t="e">
        <v>#DIV/0!</v>
      </c>
      <c r="V8" s="27">
        <f t="shared" si="5"/>
        <v>735</v>
      </c>
      <c r="W8" s="28">
        <f t="shared" si="6"/>
        <v>1470</v>
      </c>
      <c r="X8" s="29">
        <f t="shared" si="7"/>
        <v>7</v>
      </c>
      <c r="Y8" s="30">
        <f t="shared" si="8"/>
        <v>496.40294117647056</v>
      </c>
      <c r="Z8" s="31">
        <f t="shared" si="9"/>
        <v>28500000</v>
      </c>
      <c r="AA8" s="32">
        <f t="shared" ref="AA8:AA21" si="10">((R8-S8)/S8)</f>
        <v>0.69183722376278955</v>
      </c>
    </row>
    <row r="9" spans="1:29">
      <c r="A9" s="42"/>
      <c r="B9" s="43"/>
      <c r="C9" s="44"/>
      <c r="D9" s="43"/>
      <c r="E9" s="43"/>
      <c r="F9" s="35"/>
      <c r="G9" s="35"/>
      <c r="H9" s="35"/>
      <c r="I9" s="35"/>
      <c r="J9" s="35"/>
      <c r="K9" s="35"/>
      <c r="L9" s="35"/>
      <c r="M9" s="45">
        <v>0</v>
      </c>
      <c r="N9" s="35"/>
      <c r="O9" s="35"/>
      <c r="P9" s="35"/>
      <c r="Q9" s="24">
        <f t="shared" si="1"/>
        <v>0</v>
      </c>
      <c r="R9" s="11">
        <f t="shared" ref="R9" si="11">6000/12</f>
        <v>500</v>
      </c>
      <c r="S9" s="12" t="e">
        <f t="shared" si="2"/>
        <v>#DIV/0!</v>
      </c>
      <c r="T9" s="25">
        <f t="shared" si="4"/>
        <v>0</v>
      </c>
      <c r="U9" s="26" t="e">
        <v>#DIV/0!</v>
      </c>
      <c r="V9" s="27">
        <f t="shared" si="5"/>
        <v>0</v>
      </c>
      <c r="W9" s="28">
        <f t="shared" si="6"/>
        <v>1470</v>
      </c>
      <c r="X9" s="29">
        <f t="shared" si="7"/>
        <v>7</v>
      </c>
      <c r="Y9" s="30" t="e">
        <f t="shared" si="8"/>
        <v>#DIV/0!</v>
      </c>
      <c r="Z9" s="31">
        <f t="shared" si="9"/>
        <v>28500000</v>
      </c>
      <c r="AA9" s="32" t="e">
        <f t="shared" si="10"/>
        <v>#DIV/0!</v>
      </c>
    </row>
    <row r="10" spans="1:29" ht="54.75" customHeight="1">
      <c r="A10" s="46" t="s">
        <v>26</v>
      </c>
      <c r="B10" s="47" t="s">
        <v>49</v>
      </c>
      <c r="C10" s="48">
        <v>11</v>
      </c>
      <c r="D10" s="47">
        <v>8010</v>
      </c>
      <c r="E10" s="47" t="s">
        <v>50</v>
      </c>
      <c r="F10" s="49" t="s">
        <v>51</v>
      </c>
      <c r="G10" s="49">
        <v>12</v>
      </c>
      <c r="H10" s="49">
        <v>720</v>
      </c>
      <c r="I10" s="49">
        <v>0.8</v>
      </c>
      <c r="J10" s="49">
        <f t="shared" ref="J10:J21" si="12">I10*H10*G10</f>
        <v>6912</v>
      </c>
      <c r="K10" s="50" t="s">
        <v>48</v>
      </c>
      <c r="L10" s="49">
        <f t="shared" ref="L10:L21" si="13">N10*O10*P10*G10/1000000</f>
        <v>1.62</v>
      </c>
      <c r="M10" s="49">
        <f t="shared" si="3"/>
        <v>0.13500000000000001</v>
      </c>
      <c r="N10" s="35">
        <v>60</v>
      </c>
      <c r="O10" s="35">
        <v>50</v>
      </c>
      <c r="P10" s="35">
        <v>45</v>
      </c>
      <c r="Q10" s="24">
        <f t="shared" si="1"/>
        <v>8640</v>
      </c>
      <c r="R10" s="11">
        <f>4300/12</f>
        <v>358.33333333333331</v>
      </c>
      <c r="S10" s="12">
        <f t="shared" si="2"/>
        <v>246.58455882352942</v>
      </c>
      <c r="T10" s="25">
        <f t="shared" si="4"/>
        <v>3096000</v>
      </c>
      <c r="U10" s="26" t="e">
        <v>#DIV/0!</v>
      </c>
      <c r="V10" s="27">
        <f t="shared" si="5"/>
        <v>168</v>
      </c>
      <c r="W10" s="28">
        <f t="shared" si="6"/>
        <v>1470</v>
      </c>
      <c r="X10" s="29">
        <f t="shared" si="7"/>
        <v>7</v>
      </c>
      <c r="Y10" s="30">
        <f t="shared" si="8"/>
        <v>78.58455882352942</v>
      </c>
      <c r="Z10" s="31">
        <f t="shared" si="9"/>
        <v>28500000</v>
      </c>
      <c r="AA10" s="32">
        <f t="shared" si="10"/>
        <v>0.45318642433639961</v>
      </c>
    </row>
    <row r="11" spans="1:29" ht="56.25" customHeight="1">
      <c r="A11" s="46"/>
      <c r="B11" s="47"/>
      <c r="C11" s="48"/>
      <c r="D11" s="47" t="s">
        <v>52</v>
      </c>
      <c r="E11" s="47" t="s">
        <v>50</v>
      </c>
      <c r="F11" s="49" t="s">
        <v>51</v>
      </c>
      <c r="G11" s="49">
        <v>2</v>
      </c>
      <c r="H11" s="49">
        <v>360</v>
      </c>
      <c r="I11" s="49">
        <v>1.25</v>
      </c>
      <c r="J11" s="49">
        <f t="shared" si="12"/>
        <v>900</v>
      </c>
      <c r="K11" s="50" t="s">
        <v>48</v>
      </c>
      <c r="L11" s="49">
        <f t="shared" si="13"/>
        <v>0.42</v>
      </c>
      <c r="M11" s="49">
        <f t="shared" si="3"/>
        <v>0.21</v>
      </c>
      <c r="N11" s="35">
        <v>50</v>
      </c>
      <c r="O11" s="35">
        <v>70</v>
      </c>
      <c r="P11" s="35">
        <v>60</v>
      </c>
      <c r="Q11" s="24">
        <f t="shared" si="1"/>
        <v>720</v>
      </c>
      <c r="R11" s="11">
        <f>10000/12</f>
        <v>833.33333333333337</v>
      </c>
      <c r="S11" s="12">
        <f t="shared" si="2"/>
        <v>506.98529411764707</v>
      </c>
      <c r="T11" s="25">
        <f t="shared" si="4"/>
        <v>600000</v>
      </c>
      <c r="U11" s="26" t="e">
        <v>#DIV/0!</v>
      </c>
      <c r="V11" s="27">
        <f t="shared" si="5"/>
        <v>262.5</v>
      </c>
      <c r="W11" s="28">
        <f t="shared" si="6"/>
        <v>1470</v>
      </c>
      <c r="X11" s="29">
        <f t="shared" si="7"/>
        <v>7</v>
      </c>
      <c r="Y11" s="30">
        <f t="shared" si="8"/>
        <v>244.48529411764704</v>
      </c>
      <c r="Z11" s="31">
        <f t="shared" si="9"/>
        <v>28500000</v>
      </c>
      <c r="AA11" s="32">
        <f t="shared" si="10"/>
        <v>0.64370316654580617</v>
      </c>
    </row>
    <row r="12" spans="1:29" ht="54" customHeight="1">
      <c r="A12" s="46"/>
      <c r="B12" s="47"/>
      <c r="C12" s="48"/>
      <c r="D12" s="47">
        <v>9922</v>
      </c>
      <c r="E12" s="47" t="s">
        <v>50</v>
      </c>
      <c r="F12" s="49" t="s">
        <v>51</v>
      </c>
      <c r="G12" s="49">
        <v>2</v>
      </c>
      <c r="H12" s="49">
        <v>360</v>
      </c>
      <c r="I12" s="49">
        <v>1.85</v>
      </c>
      <c r="J12" s="49">
        <f t="shared" si="12"/>
        <v>1332</v>
      </c>
      <c r="K12" s="50" t="s">
        <v>48</v>
      </c>
      <c r="L12" s="49">
        <f t="shared" si="13"/>
        <v>0.46690799999999999</v>
      </c>
      <c r="M12" s="49">
        <f t="shared" si="3"/>
        <v>0.23345399999999999</v>
      </c>
      <c r="N12" s="35">
        <v>41</v>
      </c>
      <c r="O12" s="35">
        <v>78</v>
      </c>
      <c r="P12" s="35">
        <v>73</v>
      </c>
      <c r="Q12" s="24">
        <f t="shared" si="1"/>
        <v>720</v>
      </c>
      <c r="R12" s="11">
        <f>12000/12</f>
        <v>1000</v>
      </c>
      <c r="S12" s="12">
        <f t="shared" si="2"/>
        <v>660.29080882352946</v>
      </c>
      <c r="T12" s="25">
        <f t="shared" si="4"/>
        <v>720000</v>
      </c>
      <c r="U12" s="26" t="e">
        <v>#DIV/0!</v>
      </c>
      <c r="V12" s="27">
        <f t="shared" si="5"/>
        <v>388.5</v>
      </c>
      <c r="W12" s="28">
        <f t="shared" si="6"/>
        <v>1470</v>
      </c>
      <c r="X12" s="29">
        <f t="shared" si="7"/>
        <v>7</v>
      </c>
      <c r="Y12" s="30">
        <f t="shared" si="8"/>
        <v>271.7908088235294</v>
      </c>
      <c r="Z12" s="31">
        <f t="shared" si="9"/>
        <v>28500000</v>
      </c>
      <c r="AA12" s="32">
        <f t="shared" si="10"/>
        <v>0.51448420398543193</v>
      </c>
    </row>
    <row r="13" spans="1:29" ht="55.5" customHeight="1">
      <c r="A13" s="46"/>
      <c r="B13" s="47"/>
      <c r="C13" s="48"/>
      <c r="D13" s="47">
        <v>801</v>
      </c>
      <c r="E13" s="47" t="s">
        <v>50</v>
      </c>
      <c r="F13" s="49" t="s">
        <v>51</v>
      </c>
      <c r="G13" s="49">
        <v>3</v>
      </c>
      <c r="H13" s="49">
        <v>720</v>
      </c>
      <c r="I13" s="49">
        <v>0.9</v>
      </c>
      <c r="J13" s="49">
        <f t="shared" si="12"/>
        <v>1944</v>
      </c>
      <c r="K13" s="50" t="s">
        <v>48</v>
      </c>
      <c r="L13" s="49">
        <f t="shared" si="13"/>
        <v>0.33119999999999999</v>
      </c>
      <c r="M13" s="49">
        <f t="shared" si="3"/>
        <v>0.1104</v>
      </c>
      <c r="N13" s="35">
        <v>46</v>
      </c>
      <c r="O13" s="35">
        <v>60</v>
      </c>
      <c r="P13" s="35">
        <v>40</v>
      </c>
      <c r="Q13" s="24">
        <f t="shared" si="1"/>
        <v>2160</v>
      </c>
      <c r="R13" s="11">
        <f>4400/12</f>
        <v>366.66666666666669</v>
      </c>
      <c r="S13" s="12">
        <f t="shared" si="2"/>
        <v>253.26470588235293</v>
      </c>
      <c r="T13" s="25">
        <f t="shared" si="4"/>
        <v>792000</v>
      </c>
      <c r="U13" s="26" t="e">
        <v>#DIV/0!</v>
      </c>
      <c r="V13" s="27">
        <f t="shared" si="5"/>
        <v>189</v>
      </c>
      <c r="W13" s="28">
        <f t="shared" si="6"/>
        <v>1470</v>
      </c>
      <c r="X13" s="29">
        <f t="shared" si="7"/>
        <v>7</v>
      </c>
      <c r="Y13" s="30">
        <f t="shared" si="8"/>
        <v>64.264705882352942</v>
      </c>
      <c r="Z13" s="31">
        <f t="shared" si="9"/>
        <v>28500000</v>
      </c>
      <c r="AA13" s="32">
        <f t="shared" si="10"/>
        <v>0.44776061626601649</v>
      </c>
    </row>
    <row r="14" spans="1:29" ht="54.75" customHeight="1">
      <c r="A14" s="46"/>
      <c r="B14" s="47"/>
      <c r="C14" s="48"/>
      <c r="D14" s="47">
        <v>7011</v>
      </c>
      <c r="E14" s="47" t="s">
        <v>50</v>
      </c>
      <c r="F14" s="49" t="s">
        <v>51</v>
      </c>
      <c r="G14" s="49">
        <v>1</v>
      </c>
      <c r="H14" s="49">
        <v>480</v>
      </c>
      <c r="I14" s="49">
        <v>1.25</v>
      </c>
      <c r="J14" s="49">
        <f t="shared" si="12"/>
        <v>600</v>
      </c>
      <c r="K14" s="50" t="s">
        <v>48</v>
      </c>
      <c r="L14" s="49">
        <f t="shared" si="13"/>
        <v>0.14076</v>
      </c>
      <c r="M14" s="49">
        <f t="shared" si="3"/>
        <v>0.14076</v>
      </c>
      <c r="N14" s="35">
        <v>51</v>
      </c>
      <c r="O14" s="35">
        <v>60</v>
      </c>
      <c r="P14" s="35">
        <v>46</v>
      </c>
      <c r="Q14" s="24">
        <f t="shared" si="1"/>
        <v>480</v>
      </c>
      <c r="R14" s="11">
        <f>7000/12</f>
        <v>583.33333333333337</v>
      </c>
      <c r="S14" s="12">
        <f t="shared" si="2"/>
        <v>385.40625</v>
      </c>
      <c r="T14" s="25">
        <f t="shared" si="4"/>
        <v>280000</v>
      </c>
      <c r="U14" s="26" t="e">
        <v>#DIV/0!</v>
      </c>
      <c r="V14" s="27">
        <f t="shared" si="5"/>
        <v>262.5</v>
      </c>
      <c r="W14" s="28">
        <f t="shared" si="6"/>
        <v>1470</v>
      </c>
      <c r="X14" s="29">
        <f t="shared" si="7"/>
        <v>7</v>
      </c>
      <c r="Y14" s="30">
        <f t="shared" si="8"/>
        <v>122.90625</v>
      </c>
      <c r="Z14" s="31">
        <f t="shared" si="9"/>
        <v>28500000</v>
      </c>
      <c r="AA14" s="32">
        <f t="shared" si="10"/>
        <v>0.51355442038974031</v>
      </c>
    </row>
    <row r="15" spans="1:29" ht="55.5" customHeight="1">
      <c r="A15" s="46"/>
      <c r="B15" s="47"/>
      <c r="C15" s="48"/>
      <c r="D15" s="47">
        <v>8008</v>
      </c>
      <c r="E15" s="47" t="s">
        <v>50</v>
      </c>
      <c r="F15" s="49" t="s">
        <v>51</v>
      </c>
      <c r="G15" s="49">
        <v>2</v>
      </c>
      <c r="H15" s="49">
        <v>360</v>
      </c>
      <c r="I15" s="49">
        <v>1.85</v>
      </c>
      <c r="J15" s="49">
        <f t="shared" si="12"/>
        <v>1332</v>
      </c>
      <c r="K15" s="50" t="s">
        <v>48</v>
      </c>
      <c r="L15" s="49">
        <f t="shared" si="13"/>
        <v>0.4224</v>
      </c>
      <c r="M15" s="49">
        <f t="shared" si="3"/>
        <v>0.2112</v>
      </c>
      <c r="N15" s="35">
        <v>66</v>
      </c>
      <c r="O15" s="35">
        <v>50</v>
      </c>
      <c r="P15" s="35">
        <v>64</v>
      </c>
      <c r="Q15" s="24">
        <f t="shared" si="1"/>
        <v>720</v>
      </c>
      <c r="R15" s="11">
        <f>11500/12</f>
        <v>958.33333333333337</v>
      </c>
      <c r="S15" s="12">
        <f t="shared" si="2"/>
        <v>634.38235294117646</v>
      </c>
      <c r="T15" s="25">
        <f t="shared" si="4"/>
        <v>690000</v>
      </c>
      <c r="U15" s="26" t="e">
        <v>#DIV/0!</v>
      </c>
      <c r="V15" s="27">
        <f t="shared" si="5"/>
        <v>388.5</v>
      </c>
      <c r="W15" s="28">
        <f t="shared" si="6"/>
        <v>1470</v>
      </c>
      <c r="X15" s="29">
        <f t="shared" si="7"/>
        <v>7</v>
      </c>
      <c r="Y15" s="30">
        <f t="shared" si="8"/>
        <v>245.88235294117646</v>
      </c>
      <c r="Z15" s="31">
        <f t="shared" si="9"/>
        <v>28500000</v>
      </c>
      <c r="AA15" s="32">
        <f t="shared" si="10"/>
        <v>0.51065572503747669</v>
      </c>
    </row>
    <row r="16" spans="1:29" ht="51" customHeight="1">
      <c r="A16" s="46"/>
      <c r="B16" s="47"/>
      <c r="C16" s="48"/>
      <c r="D16" s="47">
        <v>9566</v>
      </c>
      <c r="E16" s="47" t="s">
        <v>50</v>
      </c>
      <c r="F16" s="49" t="s">
        <v>51</v>
      </c>
      <c r="G16" s="49">
        <v>1</v>
      </c>
      <c r="H16" s="49">
        <v>480</v>
      </c>
      <c r="I16" s="49">
        <v>2.4</v>
      </c>
      <c r="J16" s="49">
        <f t="shared" si="12"/>
        <v>1152</v>
      </c>
      <c r="K16" s="50" t="s">
        <v>48</v>
      </c>
      <c r="L16" s="49">
        <f t="shared" si="13"/>
        <v>0.21868799999999999</v>
      </c>
      <c r="M16" s="49">
        <f t="shared" si="3"/>
        <v>0.21868799999999999</v>
      </c>
      <c r="N16" s="35">
        <v>67</v>
      </c>
      <c r="O16" s="35">
        <v>51</v>
      </c>
      <c r="P16" s="35">
        <v>64</v>
      </c>
      <c r="Q16" s="24">
        <f t="shared" si="1"/>
        <v>480</v>
      </c>
      <c r="R16" s="11">
        <f>13000/12</f>
        <v>1083.3333333333333</v>
      </c>
      <c r="S16" s="12">
        <f t="shared" si="2"/>
        <v>694.95</v>
      </c>
      <c r="T16" s="25">
        <f t="shared" si="4"/>
        <v>519999.99999999994</v>
      </c>
      <c r="U16" s="26" t="e">
        <v>#DIV/0!</v>
      </c>
      <c r="V16" s="27">
        <f t="shared" si="5"/>
        <v>504</v>
      </c>
      <c r="W16" s="28">
        <f t="shared" si="6"/>
        <v>1470</v>
      </c>
      <c r="X16" s="29">
        <f t="shared" si="7"/>
        <v>7</v>
      </c>
      <c r="Y16" s="30">
        <f t="shared" si="8"/>
        <v>190.95</v>
      </c>
      <c r="Z16" s="31">
        <f t="shared" si="9"/>
        <v>28500000</v>
      </c>
      <c r="AA16" s="32">
        <f t="shared" si="10"/>
        <v>0.5588651461735854</v>
      </c>
    </row>
    <row r="17" spans="1:27" ht="53.25" customHeight="1">
      <c r="A17" s="46"/>
      <c r="B17" s="47"/>
      <c r="C17" s="48"/>
      <c r="D17" s="47">
        <v>8829</v>
      </c>
      <c r="E17" s="47" t="s">
        <v>50</v>
      </c>
      <c r="F17" s="49" t="s">
        <v>51</v>
      </c>
      <c r="G17" s="49">
        <v>1</v>
      </c>
      <c r="H17" s="49">
        <v>720</v>
      </c>
      <c r="I17" s="49">
        <v>1</v>
      </c>
      <c r="J17" s="49">
        <f t="shared" si="12"/>
        <v>720</v>
      </c>
      <c r="K17" s="50" t="s">
        <v>48</v>
      </c>
      <c r="L17" s="49">
        <f t="shared" si="13"/>
        <v>0.19583999999999999</v>
      </c>
      <c r="M17" s="49">
        <f t="shared" si="3"/>
        <v>0.19583999999999999</v>
      </c>
      <c r="N17" s="35">
        <v>80</v>
      </c>
      <c r="O17" s="35">
        <v>48</v>
      </c>
      <c r="P17" s="35">
        <v>51</v>
      </c>
      <c r="Q17" s="24">
        <f t="shared" si="1"/>
        <v>720</v>
      </c>
      <c r="R17" s="11">
        <f>6000/12</f>
        <v>500</v>
      </c>
      <c r="S17" s="12">
        <f t="shared" si="2"/>
        <v>324</v>
      </c>
      <c r="T17" s="25">
        <f t="shared" si="4"/>
        <v>360000</v>
      </c>
      <c r="U17" s="26" t="e">
        <v>#DIV/0!</v>
      </c>
      <c r="V17" s="27">
        <f t="shared" si="5"/>
        <v>210</v>
      </c>
      <c r="W17" s="28">
        <f t="shared" si="6"/>
        <v>1470</v>
      </c>
      <c r="X17" s="29">
        <f t="shared" si="7"/>
        <v>7</v>
      </c>
      <c r="Y17" s="30">
        <f t="shared" si="8"/>
        <v>114</v>
      </c>
      <c r="Z17" s="31">
        <f t="shared" si="9"/>
        <v>28500000</v>
      </c>
      <c r="AA17" s="32">
        <f t="shared" si="10"/>
        <v>0.54320987654320985</v>
      </c>
    </row>
    <row r="18" spans="1:27" ht="53.25" customHeight="1">
      <c r="A18" s="46"/>
      <c r="B18" s="47"/>
      <c r="C18" s="48"/>
      <c r="D18" s="47">
        <v>9005</v>
      </c>
      <c r="E18" s="47" t="s">
        <v>50</v>
      </c>
      <c r="F18" s="49" t="s">
        <v>51</v>
      </c>
      <c r="G18" s="49">
        <v>1</v>
      </c>
      <c r="H18" s="49">
        <v>240</v>
      </c>
      <c r="I18" s="49">
        <v>3.5</v>
      </c>
      <c r="J18" s="49">
        <f t="shared" si="12"/>
        <v>840</v>
      </c>
      <c r="K18" s="50" t="s">
        <v>48</v>
      </c>
      <c r="L18" s="49">
        <f t="shared" si="13"/>
        <v>0.26097500000000001</v>
      </c>
      <c r="M18" s="49">
        <f t="shared" si="3"/>
        <v>0.26097500000000001</v>
      </c>
      <c r="N18" s="35">
        <v>73</v>
      </c>
      <c r="O18" s="35">
        <v>55</v>
      </c>
      <c r="P18" s="35">
        <v>65</v>
      </c>
      <c r="Q18" s="24">
        <f t="shared" si="1"/>
        <v>240</v>
      </c>
      <c r="R18" s="11">
        <f>21000/12</f>
        <v>1750</v>
      </c>
      <c r="S18" s="12">
        <f t="shared" si="2"/>
        <v>1190.7467830882354</v>
      </c>
      <c r="T18" s="25">
        <f t="shared" si="4"/>
        <v>420000</v>
      </c>
      <c r="U18" s="26" t="e">
        <v>#DIV/0!</v>
      </c>
      <c r="V18" s="27">
        <f t="shared" si="5"/>
        <v>735</v>
      </c>
      <c r="W18" s="28">
        <f t="shared" si="6"/>
        <v>1470</v>
      </c>
      <c r="X18" s="29">
        <f t="shared" si="7"/>
        <v>7</v>
      </c>
      <c r="Y18" s="30">
        <f t="shared" si="8"/>
        <v>455.7467830882353</v>
      </c>
      <c r="Z18" s="31">
        <f t="shared" si="9"/>
        <v>28500000</v>
      </c>
      <c r="AA18" s="32">
        <f t="shared" si="10"/>
        <v>0.46966594817189061</v>
      </c>
    </row>
    <row r="19" spans="1:27" ht="54" customHeight="1">
      <c r="A19" s="46"/>
      <c r="B19" s="47"/>
      <c r="C19" s="48"/>
      <c r="D19" s="47" t="s">
        <v>53</v>
      </c>
      <c r="E19" s="47" t="s">
        <v>50</v>
      </c>
      <c r="F19" s="49" t="s">
        <v>51</v>
      </c>
      <c r="G19" s="49">
        <v>2</v>
      </c>
      <c r="H19" s="49">
        <v>312</v>
      </c>
      <c r="I19" s="49">
        <v>1.8</v>
      </c>
      <c r="J19" s="49">
        <f t="shared" si="12"/>
        <v>1123.2</v>
      </c>
      <c r="K19" s="50" t="s">
        <v>48</v>
      </c>
      <c r="L19" s="49">
        <f t="shared" si="13"/>
        <v>0.21049599999999999</v>
      </c>
      <c r="M19" s="49">
        <f t="shared" si="3"/>
        <v>0.10524799999999999</v>
      </c>
      <c r="N19" s="35">
        <v>52</v>
      </c>
      <c r="O19" s="35">
        <v>44</v>
      </c>
      <c r="P19" s="35">
        <v>46</v>
      </c>
      <c r="Q19" s="24">
        <f t="shared" si="1"/>
        <v>624</v>
      </c>
      <c r="R19" s="11">
        <f>9500/12</f>
        <v>791.66666666666663</v>
      </c>
      <c r="S19" s="12">
        <f t="shared" si="2"/>
        <v>519.38235294117646</v>
      </c>
      <c r="T19" s="25">
        <f t="shared" si="4"/>
        <v>494000</v>
      </c>
      <c r="U19" s="26" t="e">
        <v>#DIV/0!</v>
      </c>
      <c r="V19" s="27">
        <f t="shared" si="5"/>
        <v>378</v>
      </c>
      <c r="W19" s="28">
        <f t="shared" si="6"/>
        <v>1470</v>
      </c>
      <c r="X19" s="29">
        <f t="shared" si="7"/>
        <v>7</v>
      </c>
      <c r="Y19" s="30">
        <f t="shared" si="8"/>
        <v>141.38235294117646</v>
      </c>
      <c r="Z19" s="31">
        <f t="shared" si="9"/>
        <v>28500000</v>
      </c>
      <c r="AA19" s="32">
        <f t="shared" si="10"/>
        <v>0.52424637106668925</v>
      </c>
    </row>
    <row r="20" spans="1:27" ht="54" customHeight="1">
      <c r="A20" s="46"/>
      <c r="B20" s="47"/>
      <c r="C20" s="48"/>
      <c r="D20" s="47">
        <v>9926</v>
      </c>
      <c r="E20" s="47" t="s">
        <v>50</v>
      </c>
      <c r="F20" s="49" t="s">
        <v>51</v>
      </c>
      <c r="G20" s="49">
        <v>1</v>
      </c>
      <c r="H20" s="49">
        <v>240</v>
      </c>
      <c r="I20" s="49">
        <v>3.3</v>
      </c>
      <c r="J20" s="49">
        <f t="shared" si="12"/>
        <v>792</v>
      </c>
      <c r="K20" s="50" t="s">
        <v>48</v>
      </c>
      <c r="L20" s="49">
        <f t="shared" si="13"/>
        <v>0.19739999999999999</v>
      </c>
      <c r="M20" s="49">
        <f t="shared" si="3"/>
        <v>0.19739999999999999</v>
      </c>
      <c r="N20" s="35">
        <v>70</v>
      </c>
      <c r="O20" s="35">
        <v>47</v>
      </c>
      <c r="P20" s="35">
        <v>60</v>
      </c>
      <c r="Q20" s="24">
        <f t="shared" si="1"/>
        <v>240</v>
      </c>
      <c r="R20" s="11">
        <f>19500/12</f>
        <v>1625</v>
      </c>
      <c r="S20" s="12">
        <f t="shared" si="2"/>
        <v>1037.7242647058824</v>
      </c>
      <c r="T20" s="25">
        <f t="shared" si="4"/>
        <v>390000</v>
      </c>
      <c r="U20" s="26" t="e">
        <v>#DIV/0!</v>
      </c>
      <c r="V20" s="27">
        <f t="shared" si="5"/>
        <v>693</v>
      </c>
      <c r="W20" s="28">
        <f t="shared" si="6"/>
        <v>1470</v>
      </c>
      <c r="X20" s="29">
        <f t="shared" ref="W20:X21" si="14">X19</f>
        <v>7</v>
      </c>
      <c r="Y20" s="30">
        <f t="shared" si="8"/>
        <v>344.72426470588232</v>
      </c>
      <c r="Z20" s="31">
        <f t="shared" si="9"/>
        <v>28500000</v>
      </c>
      <c r="AA20" s="32">
        <f t="shared" si="10"/>
        <v>0.56592657150651338</v>
      </c>
    </row>
    <row r="21" spans="1:27" ht="54.75" customHeight="1">
      <c r="A21" s="46"/>
      <c r="B21" s="47"/>
      <c r="C21" s="48"/>
      <c r="D21" s="47">
        <v>9009</v>
      </c>
      <c r="E21" s="47" t="s">
        <v>50</v>
      </c>
      <c r="F21" s="49" t="s">
        <v>51</v>
      </c>
      <c r="G21" s="49">
        <v>1</v>
      </c>
      <c r="H21" s="49">
        <v>288</v>
      </c>
      <c r="I21" s="49">
        <v>2.4</v>
      </c>
      <c r="J21" s="49">
        <f t="shared" si="12"/>
        <v>691.19999999999993</v>
      </c>
      <c r="K21" s="50" t="s">
        <v>48</v>
      </c>
      <c r="L21" s="49">
        <f t="shared" si="13"/>
        <v>0.171462</v>
      </c>
      <c r="M21" s="49">
        <f t="shared" si="3"/>
        <v>0.171462</v>
      </c>
      <c r="N21" s="35">
        <v>82</v>
      </c>
      <c r="O21" s="35">
        <v>41</v>
      </c>
      <c r="P21" s="35">
        <v>51</v>
      </c>
      <c r="Q21" s="24">
        <f t="shared" si="1"/>
        <v>288</v>
      </c>
      <c r="R21" s="11">
        <f>14500/12</f>
        <v>1208.3333333333333</v>
      </c>
      <c r="S21" s="12">
        <f t="shared" si="2"/>
        <v>753.5234375</v>
      </c>
      <c r="T21" s="25">
        <f t="shared" si="4"/>
        <v>348000</v>
      </c>
      <c r="U21" s="26" t="e">
        <v>#DIV/0!</v>
      </c>
      <c r="V21" s="27">
        <f t="shared" si="5"/>
        <v>504</v>
      </c>
      <c r="W21" s="28">
        <f t="shared" si="6"/>
        <v>1470</v>
      </c>
      <c r="X21" s="29">
        <f t="shared" si="14"/>
        <v>7</v>
      </c>
      <c r="Y21" s="30">
        <f t="shared" si="8"/>
        <v>249.5234375</v>
      </c>
      <c r="Z21" s="31">
        <f t="shared" si="9"/>
        <v>28500000</v>
      </c>
      <c r="AA21" s="32">
        <f t="shared" si="10"/>
        <v>0.6035776370039363</v>
      </c>
    </row>
    <row r="22" spans="1:27">
      <c r="A22" s="51"/>
      <c r="B22" s="52"/>
      <c r="C22" s="53"/>
      <c r="D22" s="52"/>
      <c r="E22" s="52"/>
      <c r="F22" s="45"/>
      <c r="G22" s="45"/>
      <c r="H22" s="45"/>
      <c r="I22" s="45"/>
      <c r="J22" s="45"/>
      <c r="K22" s="54"/>
      <c r="L22" s="45"/>
      <c r="M22" s="45"/>
      <c r="N22" s="45"/>
      <c r="O22" s="45"/>
      <c r="P22" s="45"/>
      <c r="Q22" s="24"/>
      <c r="R22" s="11"/>
      <c r="S22" s="12"/>
      <c r="T22" s="25"/>
      <c r="U22" s="26"/>
      <c r="V22" s="27"/>
      <c r="W22" s="28"/>
      <c r="X22" s="29"/>
      <c r="Y22" s="30"/>
      <c r="Z22" s="31">
        <f t="shared" si="9"/>
        <v>28500000</v>
      </c>
      <c r="AA22" s="32"/>
    </row>
    <row r="23" spans="1:27">
      <c r="A23" s="51"/>
      <c r="B23" s="52"/>
      <c r="C23" s="53"/>
      <c r="D23" s="52"/>
      <c r="E23" s="52"/>
      <c r="F23" s="45"/>
      <c r="G23" s="45"/>
      <c r="H23" s="45"/>
      <c r="I23" s="45" t="s">
        <v>54</v>
      </c>
      <c r="J23" s="55">
        <f>SUM(J3:J22)</f>
        <v>22034.400000000001</v>
      </c>
      <c r="K23" s="54"/>
      <c r="L23" s="45"/>
      <c r="M23" s="45"/>
      <c r="N23" s="45"/>
      <c r="O23" s="45"/>
      <c r="P23" s="45"/>
      <c r="Q23" s="24"/>
      <c r="R23" s="11"/>
      <c r="S23" s="12"/>
      <c r="T23" s="25"/>
      <c r="U23" s="26"/>
      <c r="V23" s="27"/>
      <c r="W23" s="28"/>
      <c r="X23" s="29"/>
      <c r="Y23" s="30"/>
      <c r="Z23" s="31"/>
      <c r="AA23" s="32"/>
    </row>
    <row r="24" spans="1:27">
      <c r="A24" s="51"/>
      <c r="B24" s="52"/>
      <c r="C24" s="53"/>
      <c r="D24" s="52"/>
      <c r="E24" s="52"/>
      <c r="F24" s="45"/>
      <c r="G24" s="45"/>
      <c r="H24" s="45"/>
      <c r="I24" s="45"/>
      <c r="J24" s="55"/>
      <c r="K24" s="54"/>
      <c r="L24" s="45">
        <f>SUM(L3:L23)</f>
        <v>5.4854529999999997</v>
      </c>
      <c r="M24" s="45">
        <f>SUM(M3:M23)</f>
        <v>2.7489510000000004</v>
      </c>
      <c r="N24" s="45"/>
      <c r="O24" s="45"/>
      <c r="P24" s="45"/>
      <c r="Q24" s="24"/>
      <c r="R24" s="11"/>
      <c r="S24" s="12"/>
      <c r="T24" s="25">
        <f>SUM(T2:T21)</f>
        <v>10487243.774509804</v>
      </c>
      <c r="U24" s="26"/>
      <c r="V24" s="27"/>
      <c r="W24" s="28"/>
      <c r="X24" s="29"/>
      <c r="Y24" s="30"/>
      <c r="Z24" s="31"/>
      <c r="AA24" s="32"/>
    </row>
    <row r="25" spans="1:27">
      <c r="A25" s="51"/>
      <c r="B25" s="52"/>
      <c r="C25" s="53"/>
      <c r="D25" s="52"/>
      <c r="E25" s="52"/>
      <c r="F25" s="45"/>
      <c r="G25" s="45"/>
      <c r="H25" s="45"/>
      <c r="I25" s="45" t="s">
        <v>55</v>
      </c>
      <c r="J25" s="55">
        <v>61522</v>
      </c>
      <c r="K25" s="54"/>
      <c r="L25" s="45"/>
      <c r="M25" s="45"/>
      <c r="N25" s="45"/>
      <c r="O25" s="45"/>
      <c r="P25" s="45"/>
      <c r="Q25" s="24"/>
      <c r="R25" s="11"/>
      <c r="S25" s="12"/>
      <c r="T25" s="25">
        <f>R26*Z22/68</f>
        <v>2305147.0588235296</v>
      </c>
      <c r="U25" s="26"/>
      <c r="V25" s="27"/>
      <c r="W25" s="28"/>
      <c r="X25" s="29"/>
      <c r="Y25" s="30"/>
      <c r="Z25" s="31"/>
      <c r="AA25" s="32"/>
    </row>
    <row r="26" spans="1:27">
      <c r="A26" s="51"/>
      <c r="B26" s="52"/>
      <c r="C26" s="53"/>
      <c r="D26" s="52"/>
      <c r="E26" s="52"/>
      <c r="F26" s="45"/>
      <c r="G26" s="45"/>
      <c r="H26" s="45"/>
      <c r="I26" s="45"/>
      <c r="J26" s="55"/>
      <c r="K26" s="54"/>
      <c r="L26" s="45"/>
      <c r="M26" s="45"/>
      <c r="N26" s="45"/>
      <c r="O26" s="45"/>
      <c r="P26" s="45"/>
      <c r="R26" s="4">
        <v>5.5</v>
      </c>
      <c r="T26" s="25">
        <f>J23*W21/X21</f>
        <v>4627224.0000000009</v>
      </c>
    </row>
    <row r="27" spans="1:27">
      <c r="I27" s="16" t="s">
        <v>56</v>
      </c>
      <c r="J27" s="57">
        <f>J23-J25</f>
        <v>-39487.599999999999</v>
      </c>
      <c r="M27" s="45"/>
      <c r="T27" s="25"/>
    </row>
    <row r="28" spans="1:27">
      <c r="J28" s="57"/>
      <c r="M28" s="45"/>
      <c r="T28" s="25"/>
    </row>
    <row r="29" spans="1:27" ht="28.8">
      <c r="D29" s="33" t="s">
        <v>57</v>
      </c>
      <c r="E29" s="33" t="s">
        <v>58</v>
      </c>
      <c r="F29" s="16">
        <v>7087290291</v>
      </c>
      <c r="G29" s="16" t="s">
        <v>59</v>
      </c>
      <c r="H29" s="58">
        <v>46182</v>
      </c>
      <c r="I29" s="16" t="s">
        <v>60</v>
      </c>
      <c r="J29" s="57">
        <v>4643</v>
      </c>
      <c r="K29" s="59">
        <v>663</v>
      </c>
      <c r="M29" s="45"/>
      <c r="T29" s="60">
        <f>T24-T25-T26</f>
        <v>3554872.7156862738</v>
      </c>
    </row>
    <row r="30" spans="1:27">
      <c r="I30" s="16" t="s">
        <v>61</v>
      </c>
      <c r="J30" s="57">
        <v>18177</v>
      </c>
      <c r="M30" s="45"/>
    </row>
    <row r="31" spans="1:27">
      <c r="J31" s="57"/>
      <c r="M31" s="45"/>
    </row>
    <row r="32" spans="1:27">
      <c r="I32" s="16" t="s">
        <v>62</v>
      </c>
      <c r="J32" s="57">
        <f>SUM(J29:J31)</f>
        <v>22820</v>
      </c>
      <c r="M32" s="45"/>
    </row>
    <row r="33" spans="1:27">
      <c r="M33" s="45"/>
    </row>
    <row r="34" spans="1:27" ht="31.2">
      <c r="A34" s="61">
        <v>8033004350</v>
      </c>
      <c r="B34" s="178" t="s">
        <v>63</v>
      </c>
      <c r="C34" s="179"/>
      <c r="D34" s="179"/>
      <c r="E34" s="179"/>
      <c r="F34" s="179"/>
      <c r="G34" s="179"/>
      <c r="H34" s="179"/>
      <c r="I34" s="179"/>
      <c r="J34" s="179"/>
      <c r="K34" s="180"/>
      <c r="L34" s="62" t="s">
        <v>15</v>
      </c>
      <c r="M34" s="45"/>
      <c r="N34" s="63" t="s">
        <v>3</v>
      </c>
      <c r="O34" s="62" t="s">
        <v>3</v>
      </c>
      <c r="P34" s="64" t="s">
        <v>3</v>
      </c>
    </row>
    <row r="35" spans="1:27" ht="15.6">
      <c r="A35" s="65">
        <v>46172</v>
      </c>
      <c r="B35" s="66" t="s">
        <v>64</v>
      </c>
      <c r="C35" s="67" t="s">
        <v>6</v>
      </c>
      <c r="D35" s="66" t="s">
        <v>65</v>
      </c>
      <c r="E35" s="66" t="s">
        <v>8</v>
      </c>
      <c r="F35" s="62" t="s">
        <v>9</v>
      </c>
      <c r="G35" s="62" t="s">
        <v>10</v>
      </c>
      <c r="H35" s="62" t="s">
        <v>11</v>
      </c>
      <c r="I35" s="62" t="s">
        <v>12</v>
      </c>
      <c r="J35" s="62" t="s">
        <v>66</v>
      </c>
      <c r="K35" s="62" t="s">
        <v>14</v>
      </c>
      <c r="L35" s="68" t="s">
        <v>3</v>
      </c>
      <c r="M35" s="45"/>
      <c r="N35" s="69" t="s">
        <v>3</v>
      </c>
      <c r="O35" s="70"/>
      <c r="P35" s="71" t="s">
        <v>3</v>
      </c>
    </row>
    <row r="36" spans="1:27" ht="30" customHeight="1">
      <c r="A36" s="72" t="s">
        <v>26</v>
      </c>
      <c r="B36" s="73" t="s">
        <v>67</v>
      </c>
      <c r="C36" s="74">
        <v>13</v>
      </c>
      <c r="D36" s="73" t="s">
        <v>68</v>
      </c>
      <c r="E36" s="73" t="s">
        <v>69</v>
      </c>
      <c r="F36" s="75" t="s">
        <v>31</v>
      </c>
      <c r="G36" s="75">
        <v>6</v>
      </c>
      <c r="H36" s="75">
        <v>1200</v>
      </c>
      <c r="I36" s="75">
        <v>0.55000000000000004</v>
      </c>
      <c r="J36" s="75">
        <f t="shared" ref="J36:J41" si="15">I36*H36*G36</f>
        <v>3960</v>
      </c>
      <c r="K36" s="76" t="s">
        <v>48</v>
      </c>
      <c r="L36" s="77">
        <f t="shared" ref="L36:L41" si="16">N36*O36*P36*G36/1000000</f>
        <v>0.48</v>
      </c>
      <c r="M36" s="75">
        <f t="shared" si="3"/>
        <v>0.08</v>
      </c>
      <c r="N36" s="40">
        <v>50</v>
      </c>
      <c r="O36" s="35">
        <v>40</v>
      </c>
      <c r="P36" s="35">
        <v>40</v>
      </c>
      <c r="Q36" s="24">
        <f t="shared" ref="Q36:Q91" si="17">G36*H36</f>
        <v>7200</v>
      </c>
      <c r="R36" s="11">
        <f>2500/12</f>
        <v>208.33333333333334</v>
      </c>
      <c r="S36" s="12">
        <f t="shared" ref="S36:S91" si="18">V36+Y36</f>
        <v>143.44117647058826</v>
      </c>
      <c r="T36" s="25">
        <f t="shared" ref="T36:T91" si="19">R36*Q36</f>
        <v>1500000</v>
      </c>
      <c r="U36" s="26" t="e">
        <v>#DIV/0!</v>
      </c>
      <c r="V36" s="27">
        <f t="shared" ref="V36:V91" si="20">I36*W36/X36</f>
        <v>115.50000000000001</v>
      </c>
      <c r="W36" s="28">
        <f t="shared" ref="W36:W91" si="21">$W$1</f>
        <v>1470</v>
      </c>
      <c r="X36" s="28">
        <f>X21</f>
        <v>7</v>
      </c>
      <c r="Y36" s="30">
        <f t="shared" ref="Y36:Y91" si="22">M36*Z36/68/H36</f>
        <v>27.941176470588236</v>
      </c>
      <c r="Z36" s="31">
        <f>Z21</f>
        <v>28500000</v>
      </c>
      <c r="AA36" s="32">
        <f t="shared" ref="AA36:AA91" si="23">((R36-S36)/S36)</f>
        <v>0.45239559838698634</v>
      </c>
    </row>
    <row r="37" spans="1:27" ht="30" customHeight="1">
      <c r="A37" s="72" t="s">
        <v>70</v>
      </c>
      <c r="B37" s="73"/>
      <c r="C37" s="74"/>
      <c r="D37" s="73" t="s">
        <v>71</v>
      </c>
      <c r="E37" s="73" t="s">
        <v>72</v>
      </c>
      <c r="F37" s="75" t="s">
        <v>31</v>
      </c>
      <c r="G37" s="75">
        <v>3</v>
      </c>
      <c r="H37" s="75">
        <v>1080</v>
      </c>
      <c r="I37" s="75">
        <v>0.75</v>
      </c>
      <c r="J37" s="75">
        <f t="shared" si="15"/>
        <v>2430</v>
      </c>
      <c r="K37" s="76" t="s">
        <v>48</v>
      </c>
      <c r="L37" s="77">
        <f t="shared" si="16"/>
        <v>0.29030400000000001</v>
      </c>
      <c r="M37" s="75">
        <f t="shared" si="3"/>
        <v>9.6768000000000007E-2</v>
      </c>
      <c r="N37" s="40">
        <v>63</v>
      </c>
      <c r="O37" s="35">
        <v>48</v>
      </c>
      <c r="P37" s="35">
        <v>32</v>
      </c>
      <c r="Q37" s="24">
        <f t="shared" si="17"/>
        <v>3240</v>
      </c>
      <c r="R37" s="11">
        <f>3300/12</f>
        <v>275</v>
      </c>
      <c r="S37" s="12">
        <f t="shared" si="18"/>
        <v>195.0529411764706</v>
      </c>
      <c r="T37" s="25">
        <f t="shared" si="19"/>
        <v>891000</v>
      </c>
      <c r="U37" s="26" t="e">
        <v>#DIV/0!</v>
      </c>
      <c r="V37" s="27">
        <f t="shared" si="20"/>
        <v>157.5</v>
      </c>
      <c r="W37" s="28">
        <f t="shared" si="21"/>
        <v>1470</v>
      </c>
      <c r="X37" s="29">
        <f t="shared" ref="W37:X52" si="24">X36</f>
        <v>7</v>
      </c>
      <c r="Y37" s="30">
        <f t="shared" si="22"/>
        <v>37.55294117647059</v>
      </c>
      <c r="Z37" s="31">
        <f t="shared" ref="Z37:Z93" si="25">Z36</f>
        <v>28500000</v>
      </c>
      <c r="AA37" s="32">
        <f t="shared" si="23"/>
        <v>0.40987363913266378</v>
      </c>
    </row>
    <row r="38" spans="1:27" ht="30" customHeight="1">
      <c r="A38" s="72"/>
      <c r="B38" s="73"/>
      <c r="C38" s="74"/>
      <c r="D38" s="73" t="s">
        <v>73</v>
      </c>
      <c r="E38" s="73" t="s">
        <v>74</v>
      </c>
      <c r="F38" s="75" t="s">
        <v>31</v>
      </c>
      <c r="G38" s="75">
        <v>1</v>
      </c>
      <c r="H38" s="75">
        <v>840</v>
      </c>
      <c r="I38" s="75">
        <v>0.85</v>
      </c>
      <c r="J38" s="75">
        <f t="shared" si="15"/>
        <v>714</v>
      </c>
      <c r="K38" s="76" t="s">
        <v>48</v>
      </c>
      <c r="L38" s="77">
        <f t="shared" si="16"/>
        <v>0.1008</v>
      </c>
      <c r="M38" s="75">
        <f t="shared" si="3"/>
        <v>0.1008</v>
      </c>
      <c r="N38" s="40">
        <v>60</v>
      </c>
      <c r="O38" s="35">
        <v>40</v>
      </c>
      <c r="P38" s="35">
        <v>42</v>
      </c>
      <c r="Q38" s="24">
        <f t="shared" si="17"/>
        <v>840</v>
      </c>
      <c r="R38" s="11">
        <f>3900/12</f>
        <v>325</v>
      </c>
      <c r="S38" s="12">
        <f t="shared" si="18"/>
        <v>228.79411764705884</v>
      </c>
      <c r="T38" s="25">
        <f t="shared" si="19"/>
        <v>273000</v>
      </c>
      <c r="U38" s="26" t="e">
        <v>#DIV/0!</v>
      </c>
      <c r="V38" s="27">
        <f t="shared" si="20"/>
        <v>178.5</v>
      </c>
      <c r="W38" s="28">
        <f t="shared" si="21"/>
        <v>1470</v>
      </c>
      <c r="X38" s="29">
        <f t="shared" si="24"/>
        <v>7</v>
      </c>
      <c r="Y38" s="30">
        <f t="shared" si="22"/>
        <v>50.294117647058826</v>
      </c>
      <c r="Z38" s="31">
        <f t="shared" si="25"/>
        <v>28500000</v>
      </c>
      <c r="AA38" s="32">
        <f t="shared" si="23"/>
        <v>0.42049106568967726</v>
      </c>
    </row>
    <row r="39" spans="1:27" ht="30" customHeight="1">
      <c r="A39" s="72"/>
      <c r="B39" s="73"/>
      <c r="C39" s="74"/>
      <c r="D39" s="73" t="s">
        <v>71</v>
      </c>
      <c r="E39" s="73" t="s">
        <v>75</v>
      </c>
      <c r="F39" s="75" t="s">
        <v>31</v>
      </c>
      <c r="G39" s="75">
        <v>4</v>
      </c>
      <c r="H39" s="75">
        <v>1080</v>
      </c>
      <c r="I39" s="75">
        <v>0.9</v>
      </c>
      <c r="J39" s="75">
        <f t="shared" si="15"/>
        <v>3888</v>
      </c>
      <c r="K39" s="76" t="s">
        <v>48</v>
      </c>
      <c r="L39" s="77">
        <f t="shared" si="16"/>
        <v>0.504</v>
      </c>
      <c r="M39" s="75">
        <f t="shared" si="3"/>
        <v>0.126</v>
      </c>
      <c r="N39" s="40">
        <v>60</v>
      </c>
      <c r="O39" s="35">
        <v>50</v>
      </c>
      <c r="P39" s="35">
        <v>42</v>
      </c>
      <c r="Q39" s="24">
        <f t="shared" si="17"/>
        <v>4320</v>
      </c>
      <c r="R39" s="11">
        <f>4200/12</f>
        <v>350</v>
      </c>
      <c r="S39" s="12">
        <f t="shared" si="18"/>
        <v>237.89705882352939</v>
      </c>
      <c r="T39" s="25">
        <f t="shared" si="19"/>
        <v>1512000</v>
      </c>
      <c r="U39" s="26" t="e">
        <v>#DIV/0!</v>
      </c>
      <c r="V39" s="27">
        <f t="shared" si="20"/>
        <v>189</v>
      </c>
      <c r="W39" s="28">
        <f t="shared" si="21"/>
        <v>1470</v>
      </c>
      <c r="X39" s="29">
        <f t="shared" si="24"/>
        <v>7</v>
      </c>
      <c r="Y39" s="30">
        <f t="shared" si="22"/>
        <v>48.897058823529406</v>
      </c>
      <c r="Z39" s="31">
        <f t="shared" si="25"/>
        <v>28500000</v>
      </c>
      <c r="AA39" s="32">
        <f t="shared" si="23"/>
        <v>0.47122457810471668</v>
      </c>
    </row>
    <row r="40" spans="1:27" ht="30" customHeight="1">
      <c r="A40" s="72"/>
      <c r="B40" s="73"/>
      <c r="C40" s="74"/>
      <c r="D40" s="73" t="s">
        <v>76</v>
      </c>
      <c r="E40" s="73" t="s">
        <v>77</v>
      </c>
      <c r="F40" s="75" t="s">
        <v>31</v>
      </c>
      <c r="G40" s="75">
        <v>4</v>
      </c>
      <c r="H40" s="75">
        <v>840</v>
      </c>
      <c r="I40" s="75">
        <v>0.9</v>
      </c>
      <c r="J40" s="75">
        <f t="shared" si="15"/>
        <v>3024</v>
      </c>
      <c r="K40" s="76" t="s">
        <v>48</v>
      </c>
      <c r="L40" s="77">
        <f t="shared" si="16"/>
        <v>0.52639999999999998</v>
      </c>
      <c r="M40" s="75">
        <f t="shared" si="3"/>
        <v>0.13159999999999999</v>
      </c>
      <c r="N40" s="40">
        <v>70</v>
      </c>
      <c r="O40" s="35">
        <v>40</v>
      </c>
      <c r="P40" s="35">
        <v>47</v>
      </c>
      <c r="Q40" s="24">
        <f t="shared" si="17"/>
        <v>3360</v>
      </c>
      <c r="R40" s="11">
        <f>4500/12</f>
        <v>375</v>
      </c>
      <c r="S40" s="12">
        <f t="shared" si="18"/>
        <v>254.66176470588235</v>
      </c>
      <c r="T40" s="25">
        <f t="shared" si="19"/>
        <v>1260000</v>
      </c>
      <c r="U40" s="26" t="e">
        <v>#DIV/0!</v>
      </c>
      <c r="V40" s="27">
        <f t="shared" si="20"/>
        <v>189</v>
      </c>
      <c r="W40" s="28">
        <f t="shared" si="21"/>
        <v>1470</v>
      </c>
      <c r="X40" s="29">
        <f t="shared" si="24"/>
        <v>7</v>
      </c>
      <c r="Y40" s="30">
        <f t="shared" si="22"/>
        <v>65.661764705882348</v>
      </c>
      <c r="Z40" s="31">
        <f t="shared" si="25"/>
        <v>28500000</v>
      </c>
      <c r="AA40" s="32">
        <f t="shared" si="23"/>
        <v>0.47254143327366177</v>
      </c>
    </row>
    <row r="41" spans="1:27" ht="30" customHeight="1">
      <c r="A41" s="72"/>
      <c r="B41" s="73"/>
      <c r="C41" s="74"/>
      <c r="D41" s="73" t="s">
        <v>78</v>
      </c>
      <c r="E41" s="73" t="s">
        <v>79</v>
      </c>
      <c r="F41" s="75" t="s">
        <v>31</v>
      </c>
      <c r="G41" s="75">
        <v>3</v>
      </c>
      <c r="H41" s="75">
        <v>600</v>
      </c>
      <c r="I41" s="75">
        <v>1.05</v>
      </c>
      <c r="J41" s="75">
        <f t="shared" si="15"/>
        <v>1890</v>
      </c>
      <c r="K41" s="76" t="s">
        <v>48</v>
      </c>
      <c r="L41" s="77">
        <f t="shared" si="16"/>
        <v>0.3024</v>
      </c>
      <c r="M41" s="75">
        <f t="shared" si="3"/>
        <v>0.1008</v>
      </c>
      <c r="N41" s="40">
        <v>60</v>
      </c>
      <c r="O41" s="35">
        <v>40</v>
      </c>
      <c r="P41" s="35">
        <v>42</v>
      </c>
      <c r="Q41" s="24">
        <f t="shared" si="17"/>
        <v>1800</v>
      </c>
      <c r="R41" s="11">
        <f>5200/12</f>
        <v>433.33333333333331</v>
      </c>
      <c r="S41" s="12">
        <f t="shared" si="18"/>
        <v>290.91176470588232</v>
      </c>
      <c r="T41" s="25">
        <f t="shared" si="19"/>
        <v>780000</v>
      </c>
      <c r="U41" s="26" t="e">
        <v>#DIV/0!</v>
      </c>
      <c r="V41" s="27">
        <f t="shared" si="20"/>
        <v>220.5</v>
      </c>
      <c r="W41" s="28">
        <f t="shared" si="21"/>
        <v>1470</v>
      </c>
      <c r="X41" s="29">
        <f t="shared" si="24"/>
        <v>7</v>
      </c>
      <c r="Y41" s="30">
        <f t="shared" si="22"/>
        <v>70.411764705882348</v>
      </c>
      <c r="Z41" s="31">
        <f t="shared" si="25"/>
        <v>28500000</v>
      </c>
      <c r="AA41" s="32">
        <f t="shared" si="23"/>
        <v>0.48956964243588458</v>
      </c>
    </row>
    <row r="42" spans="1:27">
      <c r="F42" s="16">
        <f>SUM(J36:J41)</f>
        <v>15906</v>
      </c>
      <c r="M42" s="35" t="e">
        <f t="shared" si="3"/>
        <v>#DIV/0!</v>
      </c>
      <c r="P42" s="35" t="s">
        <v>80</v>
      </c>
      <c r="Q42" s="24">
        <f t="shared" si="17"/>
        <v>0</v>
      </c>
      <c r="R42" s="11">
        <f t="shared" ref="R42" si="26">55000/12</f>
        <v>4583.333333333333</v>
      </c>
      <c r="S42" s="12" t="e">
        <f t="shared" si="18"/>
        <v>#DIV/0!</v>
      </c>
      <c r="T42" s="25">
        <f t="shared" si="19"/>
        <v>0</v>
      </c>
      <c r="U42" s="26" t="e">
        <v>#DIV/0!</v>
      </c>
      <c r="V42" s="27">
        <f t="shared" si="20"/>
        <v>0</v>
      </c>
      <c r="W42" s="28">
        <f t="shared" si="21"/>
        <v>1470</v>
      </c>
      <c r="X42" s="29">
        <f t="shared" si="24"/>
        <v>7</v>
      </c>
      <c r="Y42" s="30" t="e">
        <f t="shared" si="22"/>
        <v>#DIV/0!</v>
      </c>
      <c r="Z42" s="31">
        <f t="shared" si="25"/>
        <v>28500000</v>
      </c>
      <c r="AA42" s="32" t="e">
        <f t="shared" si="23"/>
        <v>#DIV/0!</v>
      </c>
    </row>
    <row r="43" spans="1:27">
      <c r="A43" s="78" t="s">
        <v>81</v>
      </c>
      <c r="B43" s="79" t="s">
        <v>82</v>
      </c>
      <c r="C43" s="80">
        <v>11</v>
      </c>
      <c r="D43" s="79" t="s">
        <v>80</v>
      </c>
      <c r="E43" s="79" t="s">
        <v>83</v>
      </c>
      <c r="F43" s="81" t="s">
        <v>84</v>
      </c>
      <c r="G43" s="81">
        <v>1</v>
      </c>
      <c r="H43" s="81"/>
      <c r="I43" s="81"/>
      <c r="J43" s="81">
        <v>9100</v>
      </c>
      <c r="K43" s="81"/>
      <c r="L43" s="82">
        <f>N43*O43*P43*G43/1000000</f>
        <v>0.25650000000000001</v>
      </c>
      <c r="M43" s="81">
        <f t="shared" si="3"/>
        <v>0.25650000000000001</v>
      </c>
      <c r="N43" s="40">
        <v>75</v>
      </c>
      <c r="O43" s="35">
        <v>60</v>
      </c>
      <c r="P43" s="35">
        <v>57</v>
      </c>
      <c r="Q43" s="24">
        <f t="shared" si="17"/>
        <v>0</v>
      </c>
      <c r="R43" s="11">
        <f>38000/12</f>
        <v>3166.6666666666665</v>
      </c>
      <c r="S43" s="12" t="e">
        <f>V43+Y43</f>
        <v>#DIV/0!</v>
      </c>
      <c r="T43" s="25">
        <f t="shared" si="19"/>
        <v>0</v>
      </c>
      <c r="U43" s="26" t="e">
        <v>#DIV/0!</v>
      </c>
      <c r="V43" s="27">
        <f t="shared" si="20"/>
        <v>0</v>
      </c>
      <c r="W43" s="28">
        <f t="shared" si="21"/>
        <v>1470</v>
      </c>
      <c r="X43" s="29">
        <f t="shared" si="24"/>
        <v>7</v>
      </c>
      <c r="Y43" s="30" t="e">
        <f t="shared" si="22"/>
        <v>#DIV/0!</v>
      </c>
      <c r="Z43" s="31">
        <f t="shared" si="25"/>
        <v>28500000</v>
      </c>
      <c r="AA43" s="32" t="e">
        <f t="shared" si="23"/>
        <v>#DIV/0!</v>
      </c>
    </row>
    <row r="44" spans="1:27">
      <c r="A44" s="78" t="s">
        <v>85</v>
      </c>
      <c r="B44" s="79" t="s">
        <v>86</v>
      </c>
      <c r="C44" s="80">
        <v>11</v>
      </c>
      <c r="D44" s="79"/>
      <c r="E44" s="79" t="s">
        <v>87</v>
      </c>
      <c r="F44" s="81" t="s">
        <v>88</v>
      </c>
      <c r="G44" s="81">
        <v>2</v>
      </c>
      <c r="H44" s="81"/>
      <c r="I44" s="81"/>
      <c r="J44" s="81">
        <f>I44*H44*G44</f>
        <v>0</v>
      </c>
      <c r="K44" s="81"/>
      <c r="L44" s="82">
        <f>N44*O44*P44*G44/1000000</f>
        <v>0.55070799999999998</v>
      </c>
      <c r="M44" s="81">
        <f t="shared" si="3"/>
        <v>0.27535399999999999</v>
      </c>
      <c r="N44" s="40">
        <v>74</v>
      </c>
      <c r="O44" s="35">
        <v>61</v>
      </c>
      <c r="P44" s="35">
        <v>61</v>
      </c>
      <c r="Q44" s="24">
        <f t="shared" si="17"/>
        <v>0</v>
      </c>
      <c r="R44" s="11">
        <f>62000/12</f>
        <v>5166.666666666667</v>
      </c>
      <c r="S44" s="12" t="e">
        <f t="shared" si="18"/>
        <v>#DIV/0!</v>
      </c>
      <c r="T44" s="25">
        <f t="shared" si="19"/>
        <v>0</v>
      </c>
      <c r="U44" s="26" t="e">
        <v>#DIV/0!</v>
      </c>
      <c r="V44" s="27">
        <f t="shared" si="20"/>
        <v>0</v>
      </c>
      <c r="W44" s="28">
        <f t="shared" si="21"/>
        <v>1470</v>
      </c>
      <c r="X44" s="29">
        <f t="shared" si="24"/>
        <v>7</v>
      </c>
      <c r="Y44" s="30" t="e">
        <f t="shared" si="22"/>
        <v>#DIV/0!</v>
      </c>
      <c r="Z44" s="31">
        <f t="shared" si="25"/>
        <v>28500000</v>
      </c>
      <c r="AA44" s="32" t="e">
        <f t="shared" si="23"/>
        <v>#DIV/0!</v>
      </c>
    </row>
    <row r="45" spans="1:27">
      <c r="M45" s="45" t="e">
        <f t="shared" si="3"/>
        <v>#DIV/0!</v>
      </c>
      <c r="P45" s="35" t="s">
        <v>80</v>
      </c>
      <c r="Q45" s="24">
        <f t="shared" si="17"/>
        <v>0</v>
      </c>
      <c r="R45" s="11">
        <f t="shared" ref="R45" si="27">6000/12</f>
        <v>500</v>
      </c>
      <c r="S45" s="12" t="e">
        <f t="shared" si="18"/>
        <v>#DIV/0!</v>
      </c>
      <c r="T45" s="25">
        <f t="shared" si="19"/>
        <v>0</v>
      </c>
      <c r="U45" s="26" t="e">
        <v>#DIV/0!</v>
      </c>
      <c r="V45" s="27">
        <f t="shared" si="20"/>
        <v>0</v>
      </c>
      <c r="W45" s="28">
        <f t="shared" si="21"/>
        <v>1470</v>
      </c>
      <c r="X45" s="29">
        <f t="shared" si="24"/>
        <v>7</v>
      </c>
      <c r="Y45" s="30" t="e">
        <f t="shared" si="22"/>
        <v>#DIV/0!</v>
      </c>
      <c r="Z45" s="31">
        <f t="shared" si="25"/>
        <v>28500000</v>
      </c>
      <c r="AA45" s="32" t="e">
        <f t="shared" si="23"/>
        <v>#DIV/0!</v>
      </c>
    </row>
    <row r="46" spans="1:27" ht="63" customHeight="1">
      <c r="A46" s="83" t="s">
        <v>26</v>
      </c>
      <c r="B46" s="84">
        <v>35274</v>
      </c>
      <c r="C46" s="85">
        <v>13</v>
      </c>
      <c r="D46" s="84" t="s">
        <v>89</v>
      </c>
      <c r="E46" s="84" t="s">
        <v>90</v>
      </c>
      <c r="F46" s="86" t="s">
        <v>91</v>
      </c>
      <c r="G46" s="86">
        <v>2</v>
      </c>
      <c r="H46" s="86">
        <v>51</v>
      </c>
      <c r="I46" s="86">
        <v>3.8</v>
      </c>
      <c r="J46" s="86">
        <f t="shared" ref="J46:J53" si="28">I46*H46*G46</f>
        <v>387.59999999999997</v>
      </c>
      <c r="K46" s="87" t="s">
        <v>48</v>
      </c>
      <c r="L46" s="86">
        <f t="shared" ref="L46:L53" si="29">N46*O46*P46*G46/1000000</f>
        <v>6.9828000000000001E-2</v>
      </c>
      <c r="M46" s="86">
        <f t="shared" si="3"/>
        <v>3.4914000000000001E-2</v>
      </c>
      <c r="N46" s="35">
        <v>46</v>
      </c>
      <c r="O46" s="35">
        <v>23</v>
      </c>
      <c r="P46" s="35">
        <v>33</v>
      </c>
      <c r="Q46" s="24">
        <f t="shared" si="17"/>
        <v>102</v>
      </c>
      <c r="R46" s="11">
        <f>22000/12</f>
        <v>1833.3333333333333</v>
      </c>
      <c r="S46" s="12">
        <f t="shared" si="18"/>
        <v>1084.9230103806228</v>
      </c>
      <c r="T46" s="25">
        <f t="shared" si="19"/>
        <v>187000</v>
      </c>
      <c r="U46" s="26" t="e">
        <v>#DIV/0!</v>
      </c>
      <c r="V46" s="27">
        <f t="shared" si="20"/>
        <v>798</v>
      </c>
      <c r="W46" s="28">
        <f t="shared" si="21"/>
        <v>1470</v>
      </c>
      <c r="X46" s="29">
        <f t="shared" si="24"/>
        <v>7</v>
      </c>
      <c r="Y46" s="30">
        <f t="shared" si="22"/>
        <v>286.92301038062283</v>
      </c>
      <c r="Z46" s="31">
        <f t="shared" si="25"/>
        <v>28500000</v>
      </c>
      <c r="AA46" s="32">
        <f t="shared" si="23"/>
        <v>0.68982804843464984</v>
      </c>
    </row>
    <row r="47" spans="1:27" ht="61.5" customHeight="1">
      <c r="A47" s="83" t="s">
        <v>92</v>
      </c>
      <c r="B47" s="84"/>
      <c r="C47" s="85"/>
      <c r="D47" s="84" t="s">
        <v>93</v>
      </c>
      <c r="E47" s="84" t="s">
        <v>90</v>
      </c>
      <c r="F47" s="86" t="s">
        <v>91</v>
      </c>
      <c r="G47" s="86">
        <v>2</v>
      </c>
      <c r="H47" s="86">
        <v>56</v>
      </c>
      <c r="I47" s="86">
        <v>3.8</v>
      </c>
      <c r="J47" s="86">
        <f t="shared" si="28"/>
        <v>425.59999999999997</v>
      </c>
      <c r="K47" s="87" t="s">
        <v>48</v>
      </c>
      <c r="L47" s="86">
        <f t="shared" si="29"/>
        <v>9.2277999999999999E-2</v>
      </c>
      <c r="M47" s="86">
        <f t="shared" si="3"/>
        <v>4.6138999999999999E-2</v>
      </c>
      <c r="N47" s="35">
        <v>43</v>
      </c>
      <c r="O47" s="35">
        <v>29</v>
      </c>
      <c r="P47" s="35">
        <v>37</v>
      </c>
      <c r="Q47" s="24">
        <f t="shared" si="17"/>
        <v>112</v>
      </c>
      <c r="R47" s="11">
        <f>22000/12</f>
        <v>1833.3333333333333</v>
      </c>
      <c r="S47" s="12">
        <f t="shared" si="18"/>
        <v>1143.3155199579833</v>
      </c>
      <c r="T47" s="25">
        <f t="shared" si="19"/>
        <v>205333.33333333331</v>
      </c>
      <c r="U47" s="26" t="e">
        <v>#DIV/0!</v>
      </c>
      <c r="V47" s="27">
        <f t="shared" si="20"/>
        <v>798</v>
      </c>
      <c r="W47" s="28">
        <f t="shared" si="21"/>
        <v>1470</v>
      </c>
      <c r="X47" s="29">
        <f t="shared" si="24"/>
        <v>7</v>
      </c>
      <c r="Y47" s="30">
        <f t="shared" si="22"/>
        <v>345.31551995798321</v>
      </c>
      <c r="Z47" s="31">
        <f t="shared" si="25"/>
        <v>28500000</v>
      </c>
      <c r="AA47" s="32">
        <f t="shared" si="23"/>
        <v>0.60352352551000799</v>
      </c>
    </row>
    <row r="48" spans="1:27" ht="61.5" customHeight="1">
      <c r="A48" s="83"/>
      <c r="B48" s="84"/>
      <c r="C48" s="85"/>
      <c r="D48" s="84" t="s">
        <v>94</v>
      </c>
      <c r="E48" s="84" t="s">
        <v>90</v>
      </c>
      <c r="F48" s="86" t="s">
        <v>91</v>
      </c>
      <c r="G48" s="86">
        <v>2</v>
      </c>
      <c r="H48" s="86">
        <v>93</v>
      </c>
      <c r="I48" s="86">
        <v>3.8</v>
      </c>
      <c r="J48" s="86">
        <f t="shared" si="28"/>
        <v>706.8</v>
      </c>
      <c r="K48" s="87" t="s">
        <v>48</v>
      </c>
      <c r="L48" s="86">
        <f t="shared" si="29"/>
        <v>9.4275999999999999E-2</v>
      </c>
      <c r="M48" s="86">
        <f t="shared" si="3"/>
        <v>4.7137999999999999E-2</v>
      </c>
      <c r="N48" s="35">
        <v>37</v>
      </c>
      <c r="O48" s="35">
        <v>26</v>
      </c>
      <c r="P48" s="35">
        <v>49</v>
      </c>
      <c r="Q48" s="24">
        <f t="shared" si="17"/>
        <v>186</v>
      </c>
      <c r="R48" s="11">
        <f t="shared" ref="R48" si="30">18500/12</f>
        <v>1541.6666666666667</v>
      </c>
      <c r="S48" s="12">
        <f t="shared" si="18"/>
        <v>1010.4340607210627</v>
      </c>
      <c r="T48" s="25">
        <f t="shared" si="19"/>
        <v>286750</v>
      </c>
      <c r="U48" s="26" t="e">
        <v>#DIV/0!</v>
      </c>
      <c r="V48" s="27">
        <f t="shared" si="20"/>
        <v>798</v>
      </c>
      <c r="W48" s="28">
        <f t="shared" si="21"/>
        <v>1470</v>
      </c>
      <c r="X48" s="29">
        <f t="shared" si="24"/>
        <v>7</v>
      </c>
      <c r="Y48" s="30">
        <f t="shared" si="22"/>
        <v>212.43406072106265</v>
      </c>
      <c r="Z48" s="31">
        <f t="shared" si="25"/>
        <v>28500000</v>
      </c>
      <c r="AA48" s="32">
        <f t="shared" si="23"/>
        <v>0.5257469305483502</v>
      </c>
    </row>
    <row r="49" spans="1:27" ht="61.5" customHeight="1">
      <c r="A49" s="83"/>
      <c r="B49" s="84"/>
      <c r="C49" s="85"/>
      <c r="D49" s="84" t="s">
        <v>95</v>
      </c>
      <c r="E49" s="84" t="s">
        <v>96</v>
      </c>
      <c r="F49" s="86" t="s">
        <v>91</v>
      </c>
      <c r="G49" s="86">
        <v>2</v>
      </c>
      <c r="H49" s="86">
        <v>125</v>
      </c>
      <c r="I49" s="86">
        <v>1.5</v>
      </c>
      <c r="J49" s="86">
        <f t="shared" si="28"/>
        <v>375</v>
      </c>
      <c r="K49" s="87" t="s">
        <v>48</v>
      </c>
      <c r="L49" s="86">
        <f t="shared" si="29"/>
        <v>0.144566</v>
      </c>
      <c r="M49" s="86">
        <f t="shared" si="3"/>
        <v>7.2283E-2</v>
      </c>
      <c r="N49" s="35">
        <v>41</v>
      </c>
      <c r="O49" s="35">
        <v>41</v>
      </c>
      <c r="P49" s="35">
        <v>43</v>
      </c>
      <c r="Q49" s="24">
        <f t="shared" si="17"/>
        <v>250</v>
      </c>
      <c r="R49" s="11">
        <f>13500/12</f>
        <v>1125</v>
      </c>
      <c r="S49" s="12">
        <f t="shared" si="18"/>
        <v>557.36064705882359</v>
      </c>
      <c r="T49" s="25">
        <f t="shared" si="19"/>
        <v>281250</v>
      </c>
      <c r="U49" s="26" t="e">
        <v>#DIV/0!</v>
      </c>
      <c r="V49" s="27">
        <f t="shared" si="20"/>
        <v>315</v>
      </c>
      <c r="W49" s="28">
        <f t="shared" si="21"/>
        <v>1470</v>
      </c>
      <c r="X49" s="29">
        <f t="shared" si="24"/>
        <v>7</v>
      </c>
      <c r="Y49" s="30">
        <f t="shared" si="22"/>
        <v>242.36064705882353</v>
      </c>
      <c r="Z49" s="31">
        <f t="shared" si="25"/>
        <v>28500000</v>
      </c>
      <c r="AA49" s="32">
        <f t="shared" si="23"/>
        <v>1.0184417503040326</v>
      </c>
    </row>
    <row r="50" spans="1:27" ht="63" customHeight="1">
      <c r="A50" s="83"/>
      <c r="B50" s="84"/>
      <c r="C50" s="85"/>
      <c r="D50" s="84" t="s">
        <v>97</v>
      </c>
      <c r="E50" s="84" t="s">
        <v>90</v>
      </c>
      <c r="F50" s="86" t="s">
        <v>91</v>
      </c>
      <c r="G50" s="86">
        <v>1</v>
      </c>
      <c r="H50" s="86">
        <v>210</v>
      </c>
      <c r="I50" s="86">
        <v>1.5</v>
      </c>
      <c r="J50" s="86">
        <f t="shared" si="28"/>
        <v>315</v>
      </c>
      <c r="K50" s="87" t="s">
        <v>48</v>
      </c>
      <c r="L50" s="86">
        <f t="shared" si="29"/>
        <v>4.8959999999999997E-2</v>
      </c>
      <c r="M50" s="86">
        <f t="shared" si="3"/>
        <v>4.8959999999999997E-2</v>
      </c>
      <c r="N50" s="35">
        <v>51</v>
      </c>
      <c r="O50" s="35">
        <v>30</v>
      </c>
      <c r="P50" s="35">
        <v>32</v>
      </c>
      <c r="Q50" s="24">
        <f t="shared" si="17"/>
        <v>210</v>
      </c>
      <c r="R50" s="11">
        <f>9000/12</f>
        <v>750</v>
      </c>
      <c r="S50" s="12">
        <f t="shared" si="18"/>
        <v>412.71428571428572</v>
      </c>
      <c r="T50" s="25">
        <f t="shared" si="19"/>
        <v>157500</v>
      </c>
      <c r="U50" s="26" t="e">
        <v>#DIV/0!</v>
      </c>
      <c r="V50" s="27">
        <f t="shared" si="20"/>
        <v>315</v>
      </c>
      <c r="W50" s="28">
        <f t="shared" si="21"/>
        <v>1470</v>
      </c>
      <c r="X50" s="29">
        <f t="shared" si="24"/>
        <v>7</v>
      </c>
      <c r="Y50" s="30">
        <f t="shared" si="22"/>
        <v>97.714285714285708</v>
      </c>
      <c r="Z50" s="31">
        <f t="shared" si="25"/>
        <v>28500000</v>
      </c>
      <c r="AA50" s="32">
        <f t="shared" si="23"/>
        <v>0.8172377985462097</v>
      </c>
    </row>
    <row r="51" spans="1:27" ht="63" customHeight="1">
      <c r="A51" s="83"/>
      <c r="B51" s="84"/>
      <c r="C51" s="85"/>
      <c r="D51" s="84" t="s">
        <v>98</v>
      </c>
      <c r="E51" s="84" t="s">
        <v>90</v>
      </c>
      <c r="F51" s="86" t="s">
        <v>91</v>
      </c>
      <c r="G51" s="86">
        <v>2</v>
      </c>
      <c r="H51" s="86">
        <v>84</v>
      </c>
      <c r="I51" s="86">
        <v>2.5</v>
      </c>
      <c r="J51" s="86">
        <f t="shared" si="28"/>
        <v>420</v>
      </c>
      <c r="K51" s="87" t="s">
        <v>48</v>
      </c>
      <c r="L51" s="86">
        <f t="shared" si="29"/>
        <v>8.4000000000000005E-2</v>
      </c>
      <c r="M51" s="86">
        <f t="shared" si="3"/>
        <v>4.2000000000000003E-2</v>
      </c>
      <c r="N51" s="35">
        <v>40</v>
      </c>
      <c r="O51" s="35">
        <v>30</v>
      </c>
      <c r="P51" s="35">
        <v>35</v>
      </c>
      <c r="Q51" s="24">
        <f t="shared" si="17"/>
        <v>168</v>
      </c>
      <c r="R51" s="11">
        <f>14000/12</f>
        <v>1166.6666666666667</v>
      </c>
      <c r="S51" s="12">
        <f t="shared" si="18"/>
        <v>734.55882352941171</v>
      </c>
      <c r="T51" s="25">
        <f t="shared" si="19"/>
        <v>196000</v>
      </c>
      <c r="U51" s="26" t="e">
        <v>#DIV/0!</v>
      </c>
      <c r="V51" s="27">
        <f t="shared" si="20"/>
        <v>525</v>
      </c>
      <c r="W51" s="28">
        <f t="shared" si="21"/>
        <v>1470</v>
      </c>
      <c r="X51" s="29">
        <f t="shared" si="24"/>
        <v>7</v>
      </c>
      <c r="Y51" s="30">
        <f t="shared" si="22"/>
        <v>209.55882352941177</v>
      </c>
      <c r="Z51" s="31">
        <f t="shared" si="25"/>
        <v>28500000</v>
      </c>
      <c r="AA51" s="32">
        <f t="shared" si="23"/>
        <v>0.5882549215882551</v>
      </c>
    </row>
    <row r="52" spans="1:27" ht="63" customHeight="1">
      <c r="A52" s="83"/>
      <c r="B52" s="84"/>
      <c r="C52" s="85"/>
      <c r="D52" s="84" t="s">
        <v>99</v>
      </c>
      <c r="E52" s="84" t="s">
        <v>90</v>
      </c>
      <c r="F52" s="86" t="s">
        <v>91</v>
      </c>
      <c r="G52" s="86">
        <v>1</v>
      </c>
      <c r="H52" s="86">
        <v>111</v>
      </c>
      <c r="I52" s="86">
        <v>3</v>
      </c>
      <c r="J52" s="86">
        <f t="shared" si="28"/>
        <v>333</v>
      </c>
      <c r="K52" s="87" t="s">
        <v>48</v>
      </c>
      <c r="L52" s="86">
        <f t="shared" si="29"/>
        <v>5.2727999999999997E-2</v>
      </c>
      <c r="M52" s="86">
        <f t="shared" si="3"/>
        <v>5.2727999999999997E-2</v>
      </c>
      <c r="N52" s="35">
        <v>52</v>
      </c>
      <c r="O52" s="35">
        <v>26</v>
      </c>
      <c r="P52" s="35">
        <v>39</v>
      </c>
      <c r="Q52" s="24">
        <f t="shared" si="17"/>
        <v>111</v>
      </c>
      <c r="R52" s="11">
        <f>16500/12</f>
        <v>1375</v>
      </c>
      <c r="S52" s="12">
        <f t="shared" si="18"/>
        <v>829.0922098569157</v>
      </c>
      <c r="T52" s="25">
        <f t="shared" si="19"/>
        <v>152625</v>
      </c>
      <c r="U52" s="26" t="e">
        <v>#DIV/0!</v>
      </c>
      <c r="V52" s="27">
        <f t="shared" si="20"/>
        <v>630</v>
      </c>
      <c r="W52" s="28">
        <f t="shared" si="21"/>
        <v>1470</v>
      </c>
      <c r="X52" s="29">
        <f t="shared" si="24"/>
        <v>7</v>
      </c>
      <c r="Y52" s="30">
        <f t="shared" si="22"/>
        <v>199.09220985691573</v>
      </c>
      <c r="Z52" s="31">
        <f t="shared" si="25"/>
        <v>28500000</v>
      </c>
      <c r="AA52" s="32">
        <f t="shared" si="23"/>
        <v>0.65844038051846698</v>
      </c>
    </row>
    <row r="53" spans="1:27" ht="59.25" customHeight="1">
      <c r="A53" s="83"/>
      <c r="B53" s="84"/>
      <c r="C53" s="85"/>
      <c r="D53" s="84" t="s">
        <v>100</v>
      </c>
      <c r="E53" s="84" t="s">
        <v>90</v>
      </c>
      <c r="F53" s="86" t="s">
        <v>91</v>
      </c>
      <c r="G53" s="86">
        <v>1</v>
      </c>
      <c r="H53" s="86">
        <v>134</v>
      </c>
      <c r="I53" s="86">
        <v>2.5</v>
      </c>
      <c r="J53" s="86">
        <f t="shared" si="28"/>
        <v>335</v>
      </c>
      <c r="K53" s="87" t="s">
        <v>48</v>
      </c>
      <c r="L53" s="86">
        <f t="shared" si="29"/>
        <v>3.9904000000000002E-2</v>
      </c>
      <c r="M53" s="86">
        <f t="shared" si="3"/>
        <v>3.9904000000000002E-2</v>
      </c>
      <c r="N53" s="35">
        <v>43</v>
      </c>
      <c r="O53" s="35">
        <v>29</v>
      </c>
      <c r="P53" s="35">
        <v>32</v>
      </c>
      <c r="Q53" s="24">
        <f t="shared" si="17"/>
        <v>134</v>
      </c>
      <c r="R53" s="11">
        <f>13000/12</f>
        <v>1083.3333333333333</v>
      </c>
      <c r="S53" s="12">
        <f t="shared" si="18"/>
        <v>649.8094820017559</v>
      </c>
      <c r="T53" s="25">
        <f t="shared" si="19"/>
        <v>145166.66666666666</v>
      </c>
      <c r="U53" s="26" t="e">
        <v>#DIV/0!</v>
      </c>
      <c r="V53" s="27">
        <f t="shared" si="20"/>
        <v>525</v>
      </c>
      <c r="W53" s="28">
        <f t="shared" si="21"/>
        <v>1470</v>
      </c>
      <c r="X53" s="29">
        <f t="shared" ref="W53:X68" si="31">X52</f>
        <v>7</v>
      </c>
      <c r="Y53" s="30">
        <f t="shared" si="22"/>
        <v>124.80948200175592</v>
      </c>
      <c r="Z53" s="31">
        <f t="shared" si="25"/>
        <v>28500000</v>
      </c>
      <c r="AA53" s="32">
        <f t="shared" si="23"/>
        <v>0.66715531758030877</v>
      </c>
    </row>
    <row r="54" spans="1:27">
      <c r="M54" s="45" t="e">
        <f t="shared" si="3"/>
        <v>#DIV/0!</v>
      </c>
      <c r="P54" s="35" t="s">
        <v>80</v>
      </c>
      <c r="Q54" s="24">
        <f t="shared" si="17"/>
        <v>0</v>
      </c>
      <c r="R54" s="11">
        <f t="shared" ref="R54" si="32">6000/12</f>
        <v>500</v>
      </c>
      <c r="S54" s="12" t="e">
        <f t="shared" si="18"/>
        <v>#DIV/0!</v>
      </c>
      <c r="T54" s="25">
        <f t="shared" si="19"/>
        <v>0</v>
      </c>
      <c r="U54" s="26" t="e">
        <v>#DIV/0!</v>
      </c>
      <c r="V54" s="27">
        <f t="shared" si="20"/>
        <v>0</v>
      </c>
      <c r="W54" s="28">
        <f t="shared" si="21"/>
        <v>1470</v>
      </c>
      <c r="X54" s="29">
        <f t="shared" si="31"/>
        <v>7</v>
      </c>
      <c r="Y54" s="30" t="e">
        <f t="shared" si="22"/>
        <v>#DIV/0!</v>
      </c>
      <c r="Z54" s="31">
        <f t="shared" si="25"/>
        <v>28500000</v>
      </c>
      <c r="AA54" s="32" t="e">
        <f t="shared" si="23"/>
        <v>#DIV/0!</v>
      </c>
    </row>
    <row r="55" spans="1:27" ht="43.2">
      <c r="A55" s="88" t="s">
        <v>26</v>
      </c>
      <c r="B55" s="89" t="s">
        <v>101</v>
      </c>
      <c r="C55" s="90" t="s">
        <v>102</v>
      </c>
      <c r="D55" s="89">
        <v>5019</v>
      </c>
      <c r="E55" s="89" t="s">
        <v>103</v>
      </c>
      <c r="F55" s="91" t="s">
        <v>104</v>
      </c>
      <c r="G55" s="91">
        <v>5</v>
      </c>
      <c r="H55" s="91">
        <v>20</v>
      </c>
      <c r="I55" s="91">
        <v>33</v>
      </c>
      <c r="J55" s="91">
        <f>I55*H55*G55</f>
        <v>3300</v>
      </c>
      <c r="K55" s="91" t="s">
        <v>105</v>
      </c>
      <c r="L55" s="92">
        <f>N55*O55*P55*G55/1000000</f>
        <v>0.378</v>
      </c>
      <c r="M55" s="91">
        <f t="shared" si="3"/>
        <v>7.5600000000000001E-2</v>
      </c>
      <c r="N55" s="40">
        <v>63</v>
      </c>
      <c r="O55" s="35">
        <v>50</v>
      </c>
      <c r="P55" s="35">
        <v>24</v>
      </c>
      <c r="Q55" s="24">
        <f t="shared" si="17"/>
        <v>100</v>
      </c>
      <c r="R55" s="93">
        <f>14000</f>
        <v>14000</v>
      </c>
      <c r="S55" s="12">
        <f t="shared" si="18"/>
        <v>8514.2647058823532</v>
      </c>
      <c r="T55" s="25">
        <f t="shared" si="19"/>
        <v>1400000</v>
      </c>
      <c r="U55" s="26" t="e">
        <v>#DIV/0!</v>
      </c>
      <c r="V55" s="27">
        <f t="shared" si="20"/>
        <v>6930</v>
      </c>
      <c r="W55" s="28">
        <f t="shared" si="21"/>
        <v>1470</v>
      </c>
      <c r="X55" s="29">
        <f t="shared" si="31"/>
        <v>7</v>
      </c>
      <c r="Y55" s="30">
        <f t="shared" si="22"/>
        <v>1584.2647058823529</v>
      </c>
      <c r="Z55" s="31">
        <f t="shared" si="25"/>
        <v>28500000</v>
      </c>
      <c r="AA55" s="32">
        <f t="shared" si="23"/>
        <v>0.64429935920686732</v>
      </c>
    </row>
    <row r="56" spans="1:27">
      <c r="A56" s="88" t="s">
        <v>92</v>
      </c>
      <c r="B56" s="89"/>
      <c r="C56" s="90"/>
      <c r="D56" s="89"/>
      <c r="E56" s="89" t="s">
        <v>106</v>
      </c>
      <c r="F56" s="91"/>
      <c r="G56" s="91"/>
      <c r="H56" s="91"/>
      <c r="I56" s="91"/>
      <c r="J56" s="91">
        <v>50</v>
      </c>
      <c r="K56" s="91"/>
      <c r="L56" s="92"/>
      <c r="M56" s="91" t="e">
        <f t="shared" si="3"/>
        <v>#DIV/0!</v>
      </c>
      <c r="N56" s="40"/>
      <c r="O56" s="35"/>
      <c r="P56" s="35" t="s">
        <v>80</v>
      </c>
      <c r="Q56" s="24">
        <f t="shared" si="17"/>
        <v>0</v>
      </c>
      <c r="R56" s="11">
        <f t="shared" ref="R56" si="33">9500/12</f>
        <v>791.66666666666663</v>
      </c>
      <c r="S56" s="12" t="e">
        <f t="shared" si="18"/>
        <v>#DIV/0!</v>
      </c>
      <c r="T56" s="25">
        <f t="shared" si="19"/>
        <v>0</v>
      </c>
      <c r="U56" s="26" t="e">
        <v>#DIV/0!</v>
      </c>
      <c r="V56" s="27">
        <f t="shared" si="20"/>
        <v>0</v>
      </c>
      <c r="W56" s="28">
        <f t="shared" si="21"/>
        <v>1470</v>
      </c>
      <c r="X56" s="29">
        <f t="shared" si="31"/>
        <v>7</v>
      </c>
      <c r="Y56" s="30" t="e">
        <f t="shared" si="22"/>
        <v>#DIV/0!</v>
      </c>
      <c r="Z56" s="31">
        <f t="shared" si="25"/>
        <v>28500000</v>
      </c>
      <c r="AA56" s="32" t="e">
        <f t="shared" si="23"/>
        <v>#DIV/0!</v>
      </c>
    </row>
    <row r="57" spans="1:27">
      <c r="A57" s="42"/>
      <c r="B57" s="43"/>
      <c r="C57" s="44"/>
      <c r="D57" s="43"/>
      <c r="E57" s="43"/>
      <c r="F57" s="35"/>
      <c r="G57" s="35"/>
      <c r="H57" s="35"/>
      <c r="I57" s="35"/>
      <c r="J57" s="35"/>
      <c r="K57" s="35"/>
      <c r="L57" s="94"/>
      <c r="M57" s="35" t="e">
        <f t="shared" si="3"/>
        <v>#DIV/0!</v>
      </c>
      <c r="N57" s="40"/>
      <c r="O57" s="35"/>
      <c r="P57" s="35" t="s">
        <v>80</v>
      </c>
      <c r="Q57" s="24">
        <f t="shared" si="17"/>
        <v>0</v>
      </c>
      <c r="R57" s="11">
        <f t="shared" ref="R57" si="34">18500/12</f>
        <v>1541.6666666666667</v>
      </c>
      <c r="S57" s="12" t="e">
        <f t="shared" si="18"/>
        <v>#DIV/0!</v>
      </c>
      <c r="T57" s="25">
        <f t="shared" si="19"/>
        <v>0</v>
      </c>
      <c r="U57" s="26" t="e">
        <v>#DIV/0!</v>
      </c>
      <c r="V57" s="27">
        <f t="shared" si="20"/>
        <v>0</v>
      </c>
      <c r="W57" s="28">
        <f t="shared" si="21"/>
        <v>1470</v>
      </c>
      <c r="X57" s="29">
        <f t="shared" si="31"/>
        <v>7</v>
      </c>
      <c r="Y57" s="30" t="e">
        <f t="shared" si="22"/>
        <v>#DIV/0!</v>
      </c>
      <c r="Z57" s="31">
        <f t="shared" si="25"/>
        <v>28500000</v>
      </c>
      <c r="AA57" s="32" t="e">
        <f t="shared" si="23"/>
        <v>#DIV/0!</v>
      </c>
    </row>
    <row r="58" spans="1:27" ht="67.5" customHeight="1">
      <c r="A58" s="95" t="s">
        <v>26</v>
      </c>
      <c r="B58" s="96" t="s">
        <v>107</v>
      </c>
      <c r="C58" s="97">
        <v>13</v>
      </c>
      <c r="D58" s="96" t="s">
        <v>108</v>
      </c>
      <c r="E58" s="96" t="s">
        <v>109</v>
      </c>
      <c r="F58" s="22" t="s">
        <v>35</v>
      </c>
      <c r="G58" s="22">
        <v>1</v>
      </c>
      <c r="H58" s="22">
        <v>300</v>
      </c>
      <c r="I58" s="22">
        <v>2.9</v>
      </c>
      <c r="J58" s="22">
        <f t="shared" ref="J58:J64" si="35">I58*H58*G58</f>
        <v>870</v>
      </c>
      <c r="K58" s="22"/>
      <c r="L58" s="98">
        <f t="shared" ref="L58:L64" si="36">N58*O58*P58*G58/1000000</f>
        <v>0.13608000000000001</v>
      </c>
      <c r="M58" s="22">
        <f t="shared" si="3"/>
        <v>0.13608000000000001</v>
      </c>
      <c r="N58" s="40">
        <v>72</v>
      </c>
      <c r="O58" s="35">
        <v>45</v>
      </c>
      <c r="P58" s="35">
        <v>42</v>
      </c>
      <c r="Q58" s="24">
        <f t="shared" si="17"/>
        <v>300</v>
      </c>
      <c r="R58" s="11">
        <f t="shared" ref="R58" si="37">14500/12</f>
        <v>1208.3333333333333</v>
      </c>
      <c r="S58" s="12">
        <f t="shared" si="18"/>
        <v>799.11176470588236</v>
      </c>
      <c r="T58" s="25">
        <f t="shared" si="19"/>
        <v>362500</v>
      </c>
      <c r="U58" s="26" t="e">
        <v>#DIV/0!</v>
      </c>
      <c r="V58" s="27">
        <f t="shared" si="20"/>
        <v>609</v>
      </c>
      <c r="W58" s="28">
        <f t="shared" si="21"/>
        <v>1470</v>
      </c>
      <c r="X58" s="29">
        <f t="shared" si="31"/>
        <v>7</v>
      </c>
      <c r="Y58" s="30">
        <f t="shared" si="22"/>
        <v>190.11176470588236</v>
      </c>
      <c r="Z58" s="31">
        <f t="shared" si="25"/>
        <v>28500000</v>
      </c>
      <c r="AA58" s="32">
        <f t="shared" si="23"/>
        <v>0.51209553744721459</v>
      </c>
    </row>
    <row r="59" spans="1:27" ht="87" customHeight="1">
      <c r="A59" s="95"/>
      <c r="B59" s="96"/>
      <c r="C59" s="97"/>
      <c r="D59" s="96" t="s">
        <v>110</v>
      </c>
      <c r="E59" s="96" t="s">
        <v>111</v>
      </c>
      <c r="F59" s="22" t="s">
        <v>31</v>
      </c>
      <c r="G59" s="22">
        <v>2</v>
      </c>
      <c r="H59" s="22">
        <v>480</v>
      </c>
      <c r="I59" s="22">
        <v>1.4</v>
      </c>
      <c r="J59" s="22">
        <f t="shared" si="35"/>
        <v>1344</v>
      </c>
      <c r="K59" s="22"/>
      <c r="L59" s="98">
        <f t="shared" si="36"/>
        <v>0.18315000000000001</v>
      </c>
      <c r="M59" s="22">
        <f t="shared" si="3"/>
        <v>9.1575000000000004E-2</v>
      </c>
      <c r="N59" s="40">
        <v>55</v>
      </c>
      <c r="O59" s="35">
        <v>45</v>
      </c>
      <c r="P59" s="35">
        <v>37</v>
      </c>
      <c r="Q59" s="24">
        <f t="shared" si="17"/>
        <v>960</v>
      </c>
      <c r="R59" s="11">
        <f>7500/12</f>
        <v>625</v>
      </c>
      <c r="S59" s="12">
        <f t="shared" si="18"/>
        <v>373.95978860294116</v>
      </c>
      <c r="T59" s="25">
        <f t="shared" si="19"/>
        <v>600000</v>
      </c>
      <c r="U59" s="26" t="e">
        <v>#DIV/0!</v>
      </c>
      <c r="V59" s="27">
        <f t="shared" si="20"/>
        <v>294</v>
      </c>
      <c r="W59" s="28">
        <f t="shared" si="21"/>
        <v>1470</v>
      </c>
      <c r="X59" s="29">
        <f t="shared" si="31"/>
        <v>7</v>
      </c>
      <c r="Y59" s="30">
        <f t="shared" si="22"/>
        <v>79.959788602941174</v>
      </c>
      <c r="Z59" s="31">
        <f t="shared" si="25"/>
        <v>28500000</v>
      </c>
      <c r="AA59" s="32">
        <f t="shared" si="23"/>
        <v>0.67130268827808515</v>
      </c>
    </row>
    <row r="60" spans="1:27" ht="34.5" customHeight="1">
      <c r="A60" s="95"/>
      <c r="B60" s="96"/>
      <c r="C60" s="97"/>
      <c r="D60" s="96" t="s">
        <v>112</v>
      </c>
      <c r="E60" s="96" t="s">
        <v>111</v>
      </c>
      <c r="F60" s="22" t="s">
        <v>35</v>
      </c>
      <c r="G60" s="22">
        <v>1</v>
      </c>
      <c r="H60" s="22">
        <v>720</v>
      </c>
      <c r="I60" s="22">
        <v>1.05</v>
      </c>
      <c r="J60" s="22">
        <f t="shared" si="35"/>
        <v>756</v>
      </c>
      <c r="K60" s="22"/>
      <c r="L60" s="98">
        <f t="shared" si="36"/>
        <v>0.13800000000000001</v>
      </c>
      <c r="M60" s="22">
        <f t="shared" si="3"/>
        <v>0.13800000000000001</v>
      </c>
      <c r="N60" s="40">
        <v>50</v>
      </c>
      <c r="O60" s="35">
        <v>40</v>
      </c>
      <c r="P60" s="35">
        <v>69</v>
      </c>
      <c r="Q60" s="24">
        <f t="shared" si="17"/>
        <v>720</v>
      </c>
      <c r="R60" s="11">
        <f>6500/12</f>
        <v>541.66666666666663</v>
      </c>
      <c r="S60" s="12">
        <f t="shared" si="18"/>
        <v>300.83088235294122</v>
      </c>
      <c r="T60" s="25">
        <f t="shared" si="19"/>
        <v>390000</v>
      </c>
      <c r="U60" s="26" t="e">
        <v>#DIV/0!</v>
      </c>
      <c r="V60" s="27">
        <f t="shared" si="20"/>
        <v>220.5</v>
      </c>
      <c r="W60" s="28">
        <f t="shared" si="21"/>
        <v>1470</v>
      </c>
      <c r="X60" s="29">
        <f t="shared" si="31"/>
        <v>7</v>
      </c>
      <c r="Y60" s="30">
        <f t="shared" si="22"/>
        <v>80.330882352941188</v>
      </c>
      <c r="Z60" s="31">
        <f t="shared" si="25"/>
        <v>28500000</v>
      </c>
      <c r="AA60" s="32">
        <f t="shared" si="23"/>
        <v>0.80056868639959555</v>
      </c>
    </row>
    <row r="61" spans="1:27" ht="29.25" customHeight="1">
      <c r="A61" s="95"/>
      <c r="B61" s="96"/>
      <c r="C61" s="97"/>
      <c r="D61" s="96" t="s">
        <v>113</v>
      </c>
      <c r="E61" s="96" t="s">
        <v>111</v>
      </c>
      <c r="F61" s="22" t="s">
        <v>35</v>
      </c>
      <c r="G61" s="22">
        <v>1</v>
      </c>
      <c r="H61" s="22">
        <v>480</v>
      </c>
      <c r="I61" s="22">
        <v>1.6</v>
      </c>
      <c r="J61" s="22">
        <f t="shared" si="35"/>
        <v>768</v>
      </c>
      <c r="K61" s="22"/>
      <c r="L61" s="98">
        <f t="shared" si="36"/>
        <v>0.13186800000000001</v>
      </c>
      <c r="M61" s="22">
        <f t="shared" si="3"/>
        <v>0.13186800000000001</v>
      </c>
      <c r="N61" s="40">
        <v>54</v>
      </c>
      <c r="O61" s="35">
        <v>33</v>
      </c>
      <c r="P61" s="35">
        <v>74</v>
      </c>
      <c r="Q61" s="24">
        <f t="shared" si="17"/>
        <v>480</v>
      </c>
      <c r="R61" s="11">
        <f>9500/12</f>
        <v>791.66666666666663</v>
      </c>
      <c r="S61" s="12">
        <f t="shared" si="18"/>
        <v>451.14209558823529</v>
      </c>
      <c r="T61" s="25">
        <f t="shared" si="19"/>
        <v>380000</v>
      </c>
      <c r="U61" s="26" t="e">
        <v>#DIV/0!</v>
      </c>
      <c r="V61" s="27">
        <f t="shared" si="20"/>
        <v>336</v>
      </c>
      <c r="W61" s="28">
        <f t="shared" si="21"/>
        <v>1470</v>
      </c>
      <c r="X61" s="29">
        <f t="shared" si="31"/>
        <v>7</v>
      </c>
      <c r="Y61" s="30">
        <f t="shared" si="22"/>
        <v>115.14209558823532</v>
      </c>
      <c r="Z61" s="31">
        <f t="shared" si="25"/>
        <v>28500000</v>
      </c>
      <c r="AA61" s="32">
        <f t="shared" si="23"/>
        <v>0.75480557990144559</v>
      </c>
    </row>
    <row r="62" spans="1:27" ht="38.25" customHeight="1">
      <c r="A62" s="95"/>
      <c r="B62" s="96"/>
      <c r="C62" s="97"/>
      <c r="D62" s="96" t="s">
        <v>114</v>
      </c>
      <c r="E62" s="96" t="s">
        <v>111</v>
      </c>
      <c r="F62" s="22" t="s">
        <v>35</v>
      </c>
      <c r="G62" s="22">
        <v>1</v>
      </c>
      <c r="H62" s="22">
        <v>360</v>
      </c>
      <c r="I62" s="22">
        <v>1.9</v>
      </c>
      <c r="J62" s="22">
        <f t="shared" si="35"/>
        <v>684</v>
      </c>
      <c r="K62" s="22"/>
      <c r="L62" s="98">
        <f t="shared" si="36"/>
        <v>0.17638400000000001</v>
      </c>
      <c r="M62" s="22">
        <f t="shared" si="3"/>
        <v>0.17638400000000001</v>
      </c>
      <c r="N62" s="40">
        <v>64</v>
      </c>
      <c r="O62" s="35">
        <v>53</v>
      </c>
      <c r="P62" s="35">
        <v>52</v>
      </c>
      <c r="Q62" s="24">
        <f t="shared" si="17"/>
        <v>360</v>
      </c>
      <c r="R62" s="11">
        <f>11500/12</f>
        <v>958.33333333333337</v>
      </c>
      <c r="S62" s="12">
        <f t="shared" si="18"/>
        <v>604.34901960784316</v>
      </c>
      <c r="T62" s="25">
        <f t="shared" si="19"/>
        <v>345000</v>
      </c>
      <c r="U62" s="26" t="e">
        <v>#DIV/0!</v>
      </c>
      <c r="V62" s="27">
        <f t="shared" si="20"/>
        <v>399</v>
      </c>
      <c r="W62" s="28">
        <f t="shared" si="21"/>
        <v>1470</v>
      </c>
      <c r="X62" s="29">
        <f t="shared" si="31"/>
        <v>7</v>
      </c>
      <c r="Y62" s="30">
        <f t="shared" si="22"/>
        <v>205.34901960784313</v>
      </c>
      <c r="Z62" s="31">
        <f t="shared" si="25"/>
        <v>28500000</v>
      </c>
      <c r="AA62" s="32">
        <f t="shared" si="23"/>
        <v>0.58572828322810477</v>
      </c>
    </row>
    <row r="63" spans="1:27" ht="33.75" customHeight="1">
      <c r="A63" s="95"/>
      <c r="B63" s="96"/>
      <c r="C63" s="97"/>
      <c r="D63" s="96" t="s">
        <v>115</v>
      </c>
      <c r="E63" s="96" t="s">
        <v>111</v>
      </c>
      <c r="F63" s="22" t="s">
        <v>31</v>
      </c>
      <c r="G63" s="22">
        <v>1</v>
      </c>
      <c r="H63" s="22">
        <v>396</v>
      </c>
      <c r="I63" s="22">
        <v>1.6</v>
      </c>
      <c r="J63" s="22">
        <f t="shared" si="35"/>
        <v>633.6</v>
      </c>
      <c r="K63" s="22"/>
      <c r="L63" s="98">
        <f t="shared" si="36"/>
        <v>0.105</v>
      </c>
      <c r="M63" s="22">
        <f t="shared" si="3"/>
        <v>0.105</v>
      </c>
      <c r="N63" s="40">
        <v>50</v>
      </c>
      <c r="O63" s="35">
        <v>50</v>
      </c>
      <c r="P63" s="35">
        <v>42</v>
      </c>
      <c r="Q63" s="24">
        <f t="shared" si="17"/>
        <v>396</v>
      </c>
      <c r="R63" s="11">
        <f>8500/12</f>
        <v>708.33333333333337</v>
      </c>
      <c r="S63" s="12">
        <f t="shared" si="18"/>
        <v>447.12967914438502</v>
      </c>
      <c r="T63" s="25">
        <f t="shared" si="19"/>
        <v>280500</v>
      </c>
      <c r="U63" s="26" t="e">
        <v>#DIV/0!</v>
      </c>
      <c r="V63" s="27">
        <f t="shared" si="20"/>
        <v>336</v>
      </c>
      <c r="W63" s="28">
        <f t="shared" si="21"/>
        <v>1470</v>
      </c>
      <c r="X63" s="29">
        <f t="shared" si="31"/>
        <v>7</v>
      </c>
      <c r="Y63" s="30">
        <f t="shared" si="22"/>
        <v>111.12967914438502</v>
      </c>
      <c r="Z63" s="31">
        <f t="shared" si="25"/>
        <v>28500000</v>
      </c>
      <c r="AA63" s="32">
        <f t="shared" si="23"/>
        <v>0.58417874360024691</v>
      </c>
    </row>
    <row r="64" spans="1:27" ht="27.75" customHeight="1">
      <c r="A64" s="95"/>
      <c r="B64" s="96"/>
      <c r="C64" s="97"/>
      <c r="D64" s="96" t="s">
        <v>116</v>
      </c>
      <c r="E64" s="96" t="s">
        <v>111</v>
      </c>
      <c r="F64" s="22" t="s">
        <v>31</v>
      </c>
      <c r="G64" s="22">
        <v>1</v>
      </c>
      <c r="H64" s="22">
        <v>384</v>
      </c>
      <c r="I64" s="22">
        <v>2</v>
      </c>
      <c r="J64" s="22">
        <f t="shared" si="35"/>
        <v>768</v>
      </c>
      <c r="K64" s="22"/>
      <c r="L64" s="98">
        <f t="shared" si="36"/>
        <v>0.12540000000000001</v>
      </c>
      <c r="M64" s="22">
        <f t="shared" si="3"/>
        <v>0.12540000000000001</v>
      </c>
      <c r="N64" s="40">
        <v>55</v>
      </c>
      <c r="O64" s="35">
        <v>40</v>
      </c>
      <c r="P64" s="35">
        <v>57</v>
      </c>
      <c r="Q64" s="24">
        <f t="shared" si="17"/>
        <v>384</v>
      </c>
      <c r="R64" s="11">
        <f>10500/12</f>
        <v>875</v>
      </c>
      <c r="S64" s="12">
        <f t="shared" si="18"/>
        <v>556.86810661764707</v>
      </c>
      <c r="T64" s="25">
        <f t="shared" si="19"/>
        <v>336000</v>
      </c>
      <c r="U64" s="26" t="e">
        <v>#DIV/0!</v>
      </c>
      <c r="V64" s="27">
        <f t="shared" si="20"/>
        <v>420</v>
      </c>
      <c r="W64" s="28">
        <f t="shared" si="21"/>
        <v>1470</v>
      </c>
      <c r="X64" s="29">
        <f t="shared" si="31"/>
        <v>7</v>
      </c>
      <c r="Y64" s="30">
        <f t="shared" si="22"/>
        <v>136.86810661764707</v>
      </c>
      <c r="Z64" s="31">
        <f t="shared" si="25"/>
        <v>28500000</v>
      </c>
      <c r="AA64" s="32">
        <f t="shared" si="23"/>
        <v>0.57128768841629218</v>
      </c>
    </row>
    <row r="65" spans="1:27">
      <c r="M65" s="35" t="e">
        <f t="shared" si="3"/>
        <v>#DIV/0!</v>
      </c>
      <c r="P65" s="35" t="s">
        <v>80</v>
      </c>
      <c r="Q65" s="24">
        <f t="shared" si="17"/>
        <v>0</v>
      </c>
      <c r="R65" s="11">
        <f t="shared" ref="R65" si="38">9500/12</f>
        <v>791.66666666666663</v>
      </c>
      <c r="S65" s="12" t="e">
        <f t="shared" si="18"/>
        <v>#DIV/0!</v>
      </c>
      <c r="T65" s="25">
        <f t="shared" si="19"/>
        <v>0</v>
      </c>
      <c r="U65" s="26" t="e">
        <v>#DIV/0!</v>
      </c>
      <c r="V65" s="27">
        <f t="shared" si="20"/>
        <v>0</v>
      </c>
      <c r="W65" s="28">
        <f t="shared" si="21"/>
        <v>1470</v>
      </c>
      <c r="X65" s="29">
        <f t="shared" si="31"/>
        <v>7</v>
      </c>
      <c r="Y65" s="30" t="e">
        <f t="shared" si="22"/>
        <v>#DIV/0!</v>
      </c>
      <c r="Z65" s="31">
        <f t="shared" si="25"/>
        <v>28500000</v>
      </c>
      <c r="AA65" s="32" t="e">
        <f t="shared" si="23"/>
        <v>#DIV/0!</v>
      </c>
    </row>
    <row r="66" spans="1:27" ht="47.25" customHeight="1">
      <c r="A66" s="99" t="s">
        <v>26</v>
      </c>
      <c r="B66" s="100" t="s">
        <v>117</v>
      </c>
      <c r="C66" s="101">
        <v>13</v>
      </c>
      <c r="D66" s="100" t="s">
        <v>118</v>
      </c>
      <c r="E66" s="100" t="s">
        <v>119</v>
      </c>
      <c r="F66" s="102" t="s">
        <v>31</v>
      </c>
      <c r="G66" s="102">
        <v>1</v>
      </c>
      <c r="H66" s="102">
        <v>80</v>
      </c>
      <c r="I66" s="102">
        <v>6.2</v>
      </c>
      <c r="J66" s="102">
        <f t="shared" ref="J66:J73" si="39">I66*H66*G66</f>
        <v>496</v>
      </c>
      <c r="K66" s="102"/>
      <c r="L66" s="103">
        <f t="shared" ref="L66:L73" si="40">N66*O66*P66*G66/1000000</f>
        <v>0.10716000000000001</v>
      </c>
      <c r="M66" s="102">
        <f t="shared" si="3"/>
        <v>0.10716000000000001</v>
      </c>
      <c r="N66" s="40">
        <v>60</v>
      </c>
      <c r="O66" s="35">
        <v>38</v>
      </c>
      <c r="P66" s="35">
        <v>47</v>
      </c>
      <c r="Q66" s="24">
        <f t="shared" si="17"/>
        <v>80</v>
      </c>
      <c r="R66" s="11">
        <v>3200</v>
      </c>
      <c r="S66" s="12">
        <f t="shared" si="18"/>
        <v>1863.4080882352941</v>
      </c>
      <c r="T66" s="25">
        <f t="shared" si="19"/>
        <v>256000</v>
      </c>
      <c r="U66" s="26" t="e">
        <v>#DIV/0!</v>
      </c>
      <c r="V66" s="27">
        <f t="shared" si="20"/>
        <v>1302</v>
      </c>
      <c r="W66" s="28">
        <f t="shared" si="21"/>
        <v>1470</v>
      </c>
      <c r="X66" s="29">
        <f t="shared" si="31"/>
        <v>7</v>
      </c>
      <c r="Y66" s="30">
        <f t="shared" si="22"/>
        <v>561.40808823529414</v>
      </c>
      <c r="Z66" s="31">
        <f t="shared" si="25"/>
        <v>28500000</v>
      </c>
      <c r="AA66" s="32">
        <f t="shared" si="23"/>
        <v>0.71728351948418356</v>
      </c>
    </row>
    <row r="67" spans="1:27" ht="47.25" customHeight="1">
      <c r="A67" s="99" t="s">
        <v>120</v>
      </c>
      <c r="B67" s="100"/>
      <c r="C67" s="101"/>
      <c r="D67" s="100" t="s">
        <v>121</v>
      </c>
      <c r="E67" s="100" t="s">
        <v>122</v>
      </c>
      <c r="F67" s="102" t="s">
        <v>31</v>
      </c>
      <c r="G67" s="102">
        <v>1</v>
      </c>
      <c r="H67" s="102">
        <v>96</v>
      </c>
      <c r="I67" s="102">
        <v>7.7</v>
      </c>
      <c r="J67" s="102">
        <f t="shared" si="39"/>
        <v>739.2</v>
      </c>
      <c r="K67" s="102"/>
      <c r="L67" s="103">
        <f t="shared" si="40"/>
        <v>0.23452000000000001</v>
      </c>
      <c r="M67" s="102">
        <f t="shared" si="3"/>
        <v>0.23452000000000001</v>
      </c>
      <c r="N67" s="40">
        <v>55</v>
      </c>
      <c r="O67" s="35">
        <v>52</v>
      </c>
      <c r="P67" s="35">
        <v>82</v>
      </c>
      <c r="Q67" s="24">
        <f t="shared" si="17"/>
        <v>96</v>
      </c>
      <c r="R67" s="11">
        <v>4000</v>
      </c>
      <c r="S67" s="12">
        <f t="shared" si="18"/>
        <v>2640.8694852941176</v>
      </c>
      <c r="T67" s="25">
        <f t="shared" si="19"/>
        <v>384000</v>
      </c>
      <c r="U67" s="26" t="e">
        <v>#DIV/0!</v>
      </c>
      <c r="V67" s="27">
        <f t="shared" si="20"/>
        <v>1617</v>
      </c>
      <c r="W67" s="28">
        <f t="shared" si="21"/>
        <v>1470</v>
      </c>
      <c r="X67" s="29">
        <f t="shared" si="31"/>
        <v>7</v>
      </c>
      <c r="Y67" s="30">
        <f t="shared" si="22"/>
        <v>1023.8694852941177</v>
      </c>
      <c r="Z67" s="31">
        <f t="shared" si="25"/>
        <v>28500000</v>
      </c>
      <c r="AA67" s="32">
        <f t="shared" si="23"/>
        <v>0.51465266355429684</v>
      </c>
    </row>
    <row r="68" spans="1:27" ht="47.25" customHeight="1">
      <c r="A68" s="99"/>
      <c r="B68" s="100"/>
      <c r="C68" s="101"/>
      <c r="D68" s="100" t="s">
        <v>123</v>
      </c>
      <c r="E68" s="100" t="s">
        <v>119</v>
      </c>
      <c r="F68" s="102" t="s">
        <v>31</v>
      </c>
      <c r="G68" s="102">
        <v>1</v>
      </c>
      <c r="H68" s="102">
        <v>80</v>
      </c>
      <c r="I68" s="102">
        <v>6.2</v>
      </c>
      <c r="J68" s="102">
        <f t="shared" si="39"/>
        <v>496</v>
      </c>
      <c r="K68" s="102"/>
      <c r="L68" s="103">
        <f t="shared" si="40"/>
        <v>0.101244</v>
      </c>
      <c r="M68" s="102">
        <f t="shared" ref="M68:M91" si="41">L68/G68</f>
        <v>0.101244</v>
      </c>
      <c r="N68" s="40">
        <v>59</v>
      </c>
      <c r="O68" s="35">
        <v>39</v>
      </c>
      <c r="P68" s="35">
        <v>44</v>
      </c>
      <c r="Q68" s="24">
        <f t="shared" si="17"/>
        <v>80</v>
      </c>
      <c r="R68" s="11">
        <v>3000</v>
      </c>
      <c r="S68" s="12">
        <f t="shared" si="18"/>
        <v>1832.4143382352941</v>
      </c>
      <c r="T68" s="25">
        <f t="shared" si="19"/>
        <v>240000</v>
      </c>
      <c r="U68" s="26" t="e">
        <v>#DIV/0!</v>
      </c>
      <c r="V68" s="27">
        <f t="shared" si="20"/>
        <v>1302</v>
      </c>
      <c r="W68" s="28">
        <f t="shared" si="21"/>
        <v>1470</v>
      </c>
      <c r="X68" s="29">
        <f t="shared" si="31"/>
        <v>7</v>
      </c>
      <c r="Y68" s="30">
        <f t="shared" si="22"/>
        <v>530.41433823529417</v>
      </c>
      <c r="Z68" s="31">
        <f t="shared" si="25"/>
        <v>28500000</v>
      </c>
      <c r="AA68" s="32">
        <f t="shared" si="23"/>
        <v>0.6371843078291719</v>
      </c>
    </row>
    <row r="69" spans="1:27" ht="45.75" customHeight="1">
      <c r="A69" s="99"/>
      <c r="B69" s="100"/>
      <c r="C69" s="101"/>
      <c r="D69" s="100" t="s">
        <v>124</v>
      </c>
      <c r="E69" s="100" t="s">
        <v>125</v>
      </c>
      <c r="F69" s="102" t="s">
        <v>104</v>
      </c>
      <c r="G69" s="102">
        <v>1</v>
      </c>
      <c r="H69" s="102">
        <v>48</v>
      </c>
      <c r="I69" s="102">
        <v>18.8</v>
      </c>
      <c r="J69" s="102">
        <f t="shared" si="39"/>
        <v>902.40000000000009</v>
      </c>
      <c r="K69" s="102"/>
      <c r="L69" s="103">
        <f t="shared" si="40"/>
        <v>0.16934399999999999</v>
      </c>
      <c r="M69" s="102">
        <f t="shared" si="41"/>
        <v>0.16934399999999999</v>
      </c>
      <c r="N69" s="40">
        <v>64</v>
      </c>
      <c r="O69" s="35">
        <v>42</v>
      </c>
      <c r="P69" s="35">
        <v>63</v>
      </c>
      <c r="Q69" s="24">
        <f t="shared" si="17"/>
        <v>48</v>
      </c>
      <c r="R69" s="11">
        <v>8500</v>
      </c>
      <c r="S69" s="12">
        <f t="shared" si="18"/>
        <v>5426.6470588235297</v>
      </c>
      <c r="T69" s="25">
        <f t="shared" si="19"/>
        <v>408000</v>
      </c>
      <c r="U69" s="26" t="e">
        <v>#DIV/0!</v>
      </c>
      <c r="V69" s="27">
        <f t="shared" si="20"/>
        <v>3948</v>
      </c>
      <c r="W69" s="28">
        <f t="shared" si="21"/>
        <v>1470</v>
      </c>
      <c r="X69" s="29">
        <f t="shared" ref="W69:X84" si="42">X68</f>
        <v>7</v>
      </c>
      <c r="Y69" s="30">
        <f t="shared" si="22"/>
        <v>1478.6470588235295</v>
      </c>
      <c r="Z69" s="31">
        <f t="shared" si="25"/>
        <v>28500000</v>
      </c>
      <c r="AA69" s="32">
        <f t="shared" si="23"/>
        <v>0.56634472591677221</v>
      </c>
    </row>
    <row r="70" spans="1:27" ht="47.25" customHeight="1">
      <c r="A70" s="99"/>
      <c r="B70" s="100"/>
      <c r="C70" s="101"/>
      <c r="D70" s="100" t="s">
        <v>126</v>
      </c>
      <c r="E70" s="100" t="s">
        <v>122</v>
      </c>
      <c r="F70" s="102" t="s">
        <v>31</v>
      </c>
      <c r="G70" s="102">
        <v>2</v>
      </c>
      <c r="H70" s="102">
        <v>48</v>
      </c>
      <c r="I70" s="102">
        <v>9.9</v>
      </c>
      <c r="J70" s="102">
        <f t="shared" si="39"/>
        <v>950.40000000000009</v>
      </c>
      <c r="K70" s="102"/>
      <c r="L70" s="103">
        <f t="shared" si="40"/>
        <v>0.24786</v>
      </c>
      <c r="M70" s="102">
        <f t="shared" si="41"/>
        <v>0.12393</v>
      </c>
      <c r="N70" s="40">
        <v>54</v>
      </c>
      <c r="O70" s="35">
        <v>45</v>
      </c>
      <c r="P70" s="35">
        <v>51</v>
      </c>
      <c r="Q70" s="24">
        <f t="shared" si="17"/>
        <v>96</v>
      </c>
      <c r="R70" s="11">
        <v>5000</v>
      </c>
      <c r="S70" s="12">
        <f t="shared" si="18"/>
        <v>3161.109375</v>
      </c>
      <c r="T70" s="25">
        <f t="shared" si="19"/>
        <v>480000</v>
      </c>
      <c r="U70" s="26" t="e">
        <v>#DIV/0!</v>
      </c>
      <c r="V70" s="27">
        <f t="shared" si="20"/>
        <v>2079</v>
      </c>
      <c r="W70" s="28">
        <f t="shared" si="21"/>
        <v>1470</v>
      </c>
      <c r="X70" s="29">
        <f t="shared" si="42"/>
        <v>7</v>
      </c>
      <c r="Y70" s="30">
        <f t="shared" si="22"/>
        <v>1082.109375</v>
      </c>
      <c r="Z70" s="31">
        <f t="shared" si="25"/>
        <v>28500000</v>
      </c>
      <c r="AA70" s="32">
        <f t="shared" si="23"/>
        <v>0.58172318855623273</v>
      </c>
    </row>
    <row r="71" spans="1:27" ht="48.75" customHeight="1">
      <c r="A71" s="99"/>
      <c r="B71" s="100"/>
      <c r="C71" s="101"/>
      <c r="D71" s="100" t="s">
        <v>127</v>
      </c>
      <c r="E71" s="100" t="s">
        <v>128</v>
      </c>
      <c r="F71" s="102" t="s">
        <v>104</v>
      </c>
      <c r="G71" s="102">
        <v>1</v>
      </c>
      <c r="H71" s="102">
        <v>24</v>
      </c>
      <c r="I71" s="102">
        <v>26</v>
      </c>
      <c r="J71" s="102">
        <f t="shared" si="39"/>
        <v>624</v>
      </c>
      <c r="K71" s="102"/>
      <c r="L71" s="103">
        <f t="shared" si="40"/>
        <v>0.100772</v>
      </c>
      <c r="M71" s="102">
        <f t="shared" si="41"/>
        <v>0.100772</v>
      </c>
      <c r="N71" s="40">
        <v>61</v>
      </c>
      <c r="O71" s="35">
        <v>59</v>
      </c>
      <c r="P71" s="35">
        <v>28</v>
      </c>
      <c r="Q71" s="24">
        <f t="shared" si="17"/>
        <v>24</v>
      </c>
      <c r="R71" s="11">
        <v>12000</v>
      </c>
      <c r="S71" s="12">
        <f t="shared" si="18"/>
        <v>7219.8051470588234</v>
      </c>
      <c r="T71" s="25">
        <f t="shared" si="19"/>
        <v>288000</v>
      </c>
      <c r="U71" s="26" t="e">
        <v>#DIV/0!</v>
      </c>
      <c r="V71" s="27">
        <f t="shared" si="20"/>
        <v>5460</v>
      </c>
      <c r="W71" s="28">
        <f t="shared" si="21"/>
        <v>1470</v>
      </c>
      <c r="X71" s="29">
        <f t="shared" si="42"/>
        <v>7</v>
      </c>
      <c r="Y71" s="30">
        <f t="shared" si="22"/>
        <v>1759.8051470588234</v>
      </c>
      <c r="Z71" s="31">
        <f t="shared" si="25"/>
        <v>28500000</v>
      </c>
      <c r="AA71" s="32">
        <f t="shared" si="23"/>
        <v>0.66209471801167852</v>
      </c>
    </row>
    <row r="72" spans="1:27" ht="49.5" customHeight="1">
      <c r="A72" s="99"/>
      <c r="B72" s="100"/>
      <c r="C72" s="101"/>
      <c r="D72" s="100" t="s">
        <v>129</v>
      </c>
      <c r="E72" s="100" t="s">
        <v>119</v>
      </c>
      <c r="F72" s="102" t="s">
        <v>31</v>
      </c>
      <c r="G72" s="102">
        <v>1</v>
      </c>
      <c r="H72" s="102">
        <v>80</v>
      </c>
      <c r="I72" s="102">
        <v>8.5</v>
      </c>
      <c r="J72" s="102">
        <f t="shared" si="39"/>
        <v>680</v>
      </c>
      <c r="K72" s="102"/>
      <c r="L72" s="103">
        <f t="shared" si="40"/>
        <v>0.130995</v>
      </c>
      <c r="M72" s="102">
        <f t="shared" si="41"/>
        <v>0.130995</v>
      </c>
      <c r="N72" s="40">
        <v>71</v>
      </c>
      <c r="O72" s="35">
        <v>45</v>
      </c>
      <c r="P72" s="35">
        <v>41</v>
      </c>
      <c r="Q72" s="24">
        <f t="shared" si="17"/>
        <v>80</v>
      </c>
      <c r="R72" s="11">
        <v>3800</v>
      </c>
      <c r="S72" s="12">
        <f t="shared" si="18"/>
        <v>2471.2789522058824</v>
      </c>
      <c r="T72" s="25">
        <f t="shared" si="19"/>
        <v>304000</v>
      </c>
      <c r="U72" s="26" t="e">
        <v>#DIV/0!</v>
      </c>
      <c r="V72" s="27">
        <f t="shared" si="20"/>
        <v>1785</v>
      </c>
      <c r="W72" s="28">
        <f t="shared" si="21"/>
        <v>1470</v>
      </c>
      <c r="X72" s="29">
        <f t="shared" si="42"/>
        <v>7</v>
      </c>
      <c r="Y72" s="30">
        <f t="shared" si="22"/>
        <v>686.27895220588232</v>
      </c>
      <c r="Z72" s="31">
        <f t="shared" si="25"/>
        <v>28500000</v>
      </c>
      <c r="AA72" s="32">
        <f t="shared" si="23"/>
        <v>0.53766534393379228</v>
      </c>
    </row>
    <row r="73" spans="1:27" ht="48.75" customHeight="1">
      <c r="A73" s="99"/>
      <c r="B73" s="100"/>
      <c r="C73" s="101"/>
      <c r="D73" s="100" t="s">
        <v>130</v>
      </c>
      <c r="E73" s="100" t="s">
        <v>125</v>
      </c>
      <c r="F73" s="102" t="s">
        <v>104</v>
      </c>
      <c r="G73" s="102">
        <v>1</v>
      </c>
      <c r="H73" s="102">
        <v>42</v>
      </c>
      <c r="I73" s="102">
        <v>23.8</v>
      </c>
      <c r="J73" s="102">
        <f t="shared" si="39"/>
        <v>999.6</v>
      </c>
      <c r="K73" s="102"/>
      <c r="L73" s="103">
        <f t="shared" si="40"/>
        <v>0.19724800000000001</v>
      </c>
      <c r="M73" s="102">
        <f t="shared" si="41"/>
        <v>0.19724800000000001</v>
      </c>
      <c r="N73" s="40">
        <v>67</v>
      </c>
      <c r="O73" s="35">
        <v>46</v>
      </c>
      <c r="P73" s="35">
        <v>64</v>
      </c>
      <c r="Q73" s="24">
        <f t="shared" si="17"/>
        <v>42</v>
      </c>
      <c r="R73" s="11">
        <v>11000</v>
      </c>
      <c r="S73" s="12">
        <f t="shared" si="18"/>
        <v>6966.3361344537816</v>
      </c>
      <c r="T73" s="25">
        <f t="shared" si="19"/>
        <v>462000</v>
      </c>
      <c r="U73" s="26" t="e">
        <v>#DIV/0!</v>
      </c>
      <c r="V73" s="27">
        <f t="shared" si="20"/>
        <v>4998</v>
      </c>
      <c r="W73" s="28">
        <f t="shared" si="21"/>
        <v>1470</v>
      </c>
      <c r="X73" s="29">
        <f t="shared" si="42"/>
        <v>7</v>
      </c>
      <c r="Y73" s="30">
        <f t="shared" si="22"/>
        <v>1968.3361344537816</v>
      </c>
      <c r="Z73" s="31">
        <f t="shared" si="25"/>
        <v>28500000</v>
      </c>
      <c r="AA73" s="32">
        <f t="shared" si="23"/>
        <v>0.57902228484162732</v>
      </c>
    </row>
    <row r="74" spans="1:27">
      <c r="A74" s="42"/>
      <c r="B74" s="43"/>
      <c r="C74" s="44"/>
      <c r="D74" s="43"/>
      <c r="E74" s="43"/>
      <c r="F74" s="35"/>
      <c r="G74" s="35"/>
      <c r="H74" s="35"/>
      <c r="I74" s="35"/>
      <c r="J74" s="35"/>
      <c r="K74" s="35"/>
      <c r="L74" s="94"/>
      <c r="M74" s="35" t="e">
        <f t="shared" si="41"/>
        <v>#DIV/0!</v>
      </c>
      <c r="N74" s="40"/>
      <c r="O74" s="35"/>
      <c r="P74" s="35" t="s">
        <v>80</v>
      </c>
      <c r="Q74" s="24">
        <f t="shared" si="17"/>
        <v>0</v>
      </c>
      <c r="R74" s="11">
        <f t="shared" ref="R74" si="43">9500/12</f>
        <v>791.66666666666663</v>
      </c>
      <c r="S74" s="12" t="e">
        <f t="shared" si="18"/>
        <v>#DIV/0!</v>
      </c>
      <c r="T74" s="25">
        <f t="shared" si="19"/>
        <v>0</v>
      </c>
      <c r="U74" s="26" t="e">
        <v>#DIV/0!</v>
      </c>
      <c r="V74" s="27">
        <f t="shared" si="20"/>
        <v>0</v>
      </c>
      <c r="W74" s="28">
        <f t="shared" si="21"/>
        <v>1470</v>
      </c>
      <c r="X74" s="29">
        <f t="shared" si="42"/>
        <v>7</v>
      </c>
      <c r="Y74" s="30" t="e">
        <f t="shared" si="22"/>
        <v>#DIV/0!</v>
      </c>
      <c r="Z74" s="31">
        <f t="shared" si="25"/>
        <v>28500000</v>
      </c>
      <c r="AA74" s="32" t="e">
        <f t="shared" si="23"/>
        <v>#DIV/0!</v>
      </c>
    </row>
    <row r="75" spans="1:27" ht="37.5" customHeight="1">
      <c r="A75" s="104" t="s">
        <v>26</v>
      </c>
      <c r="B75" s="105">
        <v>21215</v>
      </c>
      <c r="C75" s="106">
        <v>13</v>
      </c>
      <c r="D75" s="105">
        <v>208</v>
      </c>
      <c r="E75" s="105" t="s">
        <v>131</v>
      </c>
      <c r="F75" s="107" t="s">
        <v>31</v>
      </c>
      <c r="G75" s="107">
        <v>2</v>
      </c>
      <c r="H75" s="107">
        <v>10</v>
      </c>
      <c r="I75" s="107">
        <v>18</v>
      </c>
      <c r="J75" s="107">
        <f t="shared" ref="J75:J89" si="44">I75*H75*G75</f>
        <v>360</v>
      </c>
      <c r="K75" s="107"/>
      <c r="L75" s="108">
        <f t="shared" ref="L75:L89" si="45">N75*O75*P75*G75/1000000</f>
        <v>0.16959199999999999</v>
      </c>
      <c r="M75" s="107">
        <f t="shared" si="41"/>
        <v>8.4795999999999996E-2</v>
      </c>
      <c r="N75" s="40">
        <v>43</v>
      </c>
      <c r="O75" s="35">
        <v>34</v>
      </c>
      <c r="P75" s="35">
        <v>58</v>
      </c>
      <c r="Q75" s="24">
        <f t="shared" si="17"/>
        <v>20</v>
      </c>
      <c r="R75" s="11">
        <f>11500</f>
        <v>11500</v>
      </c>
      <c r="S75" s="12">
        <f t="shared" si="18"/>
        <v>7333.95</v>
      </c>
      <c r="T75" s="25">
        <f t="shared" si="19"/>
        <v>230000</v>
      </c>
      <c r="U75" s="26" t="e">
        <v>#DIV/0!</v>
      </c>
      <c r="V75" s="27">
        <f t="shared" si="20"/>
        <v>3780</v>
      </c>
      <c r="W75" s="28">
        <f t="shared" si="21"/>
        <v>1470</v>
      </c>
      <c r="X75" s="29">
        <f t="shared" si="42"/>
        <v>7</v>
      </c>
      <c r="Y75" s="30">
        <f t="shared" si="22"/>
        <v>3553.95</v>
      </c>
      <c r="Z75" s="31">
        <f t="shared" si="25"/>
        <v>28500000</v>
      </c>
      <c r="AA75" s="32">
        <f t="shared" si="23"/>
        <v>0.5680499594352294</v>
      </c>
    </row>
    <row r="76" spans="1:27" ht="37.5" customHeight="1">
      <c r="A76" s="104" t="s">
        <v>132</v>
      </c>
      <c r="B76" s="105"/>
      <c r="C76" s="106"/>
      <c r="D76" s="105">
        <v>429</v>
      </c>
      <c r="E76" s="105" t="s">
        <v>131</v>
      </c>
      <c r="F76" s="107" t="s">
        <v>31</v>
      </c>
      <c r="G76" s="107">
        <v>2</v>
      </c>
      <c r="H76" s="107">
        <v>96</v>
      </c>
      <c r="I76" s="107">
        <v>3.3</v>
      </c>
      <c r="J76" s="107">
        <f t="shared" si="44"/>
        <v>633.59999999999991</v>
      </c>
      <c r="K76" s="107"/>
      <c r="L76" s="108">
        <f t="shared" si="45"/>
        <v>0.20896200000000001</v>
      </c>
      <c r="M76" s="107">
        <f t="shared" si="41"/>
        <v>0.104481</v>
      </c>
      <c r="N76" s="40">
        <v>57</v>
      </c>
      <c r="O76" s="35">
        <v>47</v>
      </c>
      <c r="P76" s="35">
        <v>39</v>
      </c>
      <c r="Q76" s="24">
        <f t="shared" si="17"/>
        <v>192</v>
      </c>
      <c r="R76" s="11">
        <v>3000</v>
      </c>
      <c r="S76" s="12">
        <f t="shared" si="18"/>
        <v>1149.1440716911766</v>
      </c>
      <c r="T76" s="25">
        <f t="shared" si="19"/>
        <v>576000</v>
      </c>
      <c r="U76" s="26" t="e">
        <v>#DIV/0!</v>
      </c>
      <c r="V76" s="27">
        <f t="shared" si="20"/>
        <v>693</v>
      </c>
      <c r="W76" s="28">
        <f t="shared" si="21"/>
        <v>1470</v>
      </c>
      <c r="X76" s="29">
        <f t="shared" si="42"/>
        <v>7</v>
      </c>
      <c r="Y76" s="30">
        <f t="shared" si="22"/>
        <v>456.14407169117652</v>
      </c>
      <c r="Z76" s="31">
        <f t="shared" si="25"/>
        <v>28500000</v>
      </c>
      <c r="AA76" s="32">
        <f t="shared" si="23"/>
        <v>1.6106387126767743</v>
      </c>
    </row>
    <row r="77" spans="1:27" ht="37.5" customHeight="1">
      <c r="A77" s="104"/>
      <c r="B77" s="105"/>
      <c r="C77" s="106"/>
      <c r="D77" s="105">
        <v>150</v>
      </c>
      <c r="E77" s="105" t="s">
        <v>131</v>
      </c>
      <c r="F77" s="107" t="s">
        <v>31</v>
      </c>
      <c r="G77" s="107">
        <v>2</v>
      </c>
      <c r="H77" s="107">
        <v>20</v>
      </c>
      <c r="I77" s="107">
        <v>9.5</v>
      </c>
      <c r="J77" s="107">
        <f t="shared" si="44"/>
        <v>380</v>
      </c>
      <c r="K77" s="107"/>
      <c r="L77" s="108">
        <f t="shared" si="45"/>
        <v>0.10374</v>
      </c>
      <c r="M77" s="107">
        <f t="shared" si="41"/>
        <v>5.1869999999999999E-2</v>
      </c>
      <c r="N77" s="40">
        <v>38</v>
      </c>
      <c r="O77" s="35">
        <v>35</v>
      </c>
      <c r="P77" s="35">
        <v>39</v>
      </c>
      <c r="Q77" s="24">
        <f t="shared" si="17"/>
        <v>40</v>
      </c>
      <c r="R77" s="11">
        <v>6000</v>
      </c>
      <c r="S77" s="12">
        <f t="shared" si="18"/>
        <v>3081.9816176470586</v>
      </c>
      <c r="T77" s="25">
        <f t="shared" si="19"/>
        <v>240000</v>
      </c>
      <c r="U77" s="26" t="e">
        <v>#DIV/0!</v>
      </c>
      <c r="V77" s="27">
        <f t="shared" si="20"/>
        <v>1995</v>
      </c>
      <c r="W77" s="28">
        <f t="shared" si="21"/>
        <v>1470</v>
      </c>
      <c r="X77" s="29">
        <f t="shared" si="42"/>
        <v>7</v>
      </c>
      <c r="Y77" s="30">
        <f t="shared" si="22"/>
        <v>1086.9816176470588</v>
      </c>
      <c r="Z77" s="31">
        <f t="shared" si="25"/>
        <v>28500000</v>
      </c>
      <c r="AA77" s="32">
        <f t="shared" si="23"/>
        <v>0.9467994116657662</v>
      </c>
    </row>
    <row r="78" spans="1:27" ht="37.5" customHeight="1">
      <c r="A78" s="104"/>
      <c r="B78" s="105"/>
      <c r="C78" s="106"/>
      <c r="D78" s="105" t="s">
        <v>133</v>
      </c>
      <c r="E78" s="105" t="s">
        <v>131</v>
      </c>
      <c r="F78" s="107" t="s">
        <v>31</v>
      </c>
      <c r="G78" s="107">
        <v>4</v>
      </c>
      <c r="H78" s="107">
        <v>24</v>
      </c>
      <c r="I78" s="107">
        <v>7</v>
      </c>
      <c r="J78" s="107">
        <f t="shared" si="44"/>
        <v>672</v>
      </c>
      <c r="K78" s="107"/>
      <c r="L78" s="108">
        <f t="shared" si="45"/>
        <v>0.31824000000000002</v>
      </c>
      <c r="M78" s="107">
        <f t="shared" si="41"/>
        <v>7.9560000000000006E-2</v>
      </c>
      <c r="N78" s="40">
        <v>51</v>
      </c>
      <c r="O78" s="35">
        <v>39</v>
      </c>
      <c r="P78" s="35">
        <v>40</v>
      </c>
      <c r="Q78" s="24">
        <f t="shared" si="17"/>
        <v>96</v>
      </c>
      <c r="R78" s="11">
        <f>52500/12</f>
        <v>4375</v>
      </c>
      <c r="S78" s="12">
        <f t="shared" si="18"/>
        <v>2859.375</v>
      </c>
      <c r="T78" s="25">
        <f t="shared" si="19"/>
        <v>420000</v>
      </c>
      <c r="U78" s="26" t="e">
        <v>#DIV/0!</v>
      </c>
      <c r="V78" s="27">
        <f t="shared" si="20"/>
        <v>1470</v>
      </c>
      <c r="W78" s="28">
        <f t="shared" si="21"/>
        <v>1470</v>
      </c>
      <c r="X78" s="29">
        <f t="shared" si="42"/>
        <v>7</v>
      </c>
      <c r="Y78" s="30">
        <f t="shared" si="22"/>
        <v>1389.375</v>
      </c>
      <c r="Z78" s="31">
        <f t="shared" si="25"/>
        <v>28500000</v>
      </c>
      <c r="AA78" s="32">
        <f t="shared" si="23"/>
        <v>0.5300546448087432</v>
      </c>
    </row>
    <row r="79" spans="1:27" ht="37.5" customHeight="1">
      <c r="A79" s="104"/>
      <c r="B79" s="105"/>
      <c r="C79" s="106"/>
      <c r="D79" s="105">
        <v>4237</v>
      </c>
      <c r="E79" s="105" t="s">
        <v>134</v>
      </c>
      <c r="F79" s="107"/>
      <c r="G79" s="107">
        <v>2</v>
      </c>
      <c r="H79" s="107">
        <v>144</v>
      </c>
      <c r="I79" s="107">
        <v>1.2</v>
      </c>
      <c r="J79" s="107">
        <f t="shared" si="44"/>
        <v>345.59999999999997</v>
      </c>
      <c r="K79" s="107"/>
      <c r="L79" s="108">
        <f t="shared" si="45"/>
        <v>9.5231999999999997E-2</v>
      </c>
      <c r="M79" s="107">
        <f t="shared" si="41"/>
        <v>4.7615999999999999E-2</v>
      </c>
      <c r="N79" s="40">
        <v>48</v>
      </c>
      <c r="O79" s="35">
        <v>31</v>
      </c>
      <c r="P79" s="35">
        <v>32</v>
      </c>
      <c r="Q79" s="24">
        <f t="shared" si="17"/>
        <v>288</v>
      </c>
      <c r="R79" s="11">
        <f>9000/12</f>
        <v>750</v>
      </c>
      <c r="S79" s="12">
        <f t="shared" si="18"/>
        <v>390.58823529411768</v>
      </c>
      <c r="T79" s="25">
        <f t="shared" si="19"/>
        <v>216000</v>
      </c>
      <c r="U79" s="26" t="e">
        <v>#DIV/0!</v>
      </c>
      <c r="V79" s="27">
        <f t="shared" si="20"/>
        <v>252</v>
      </c>
      <c r="W79" s="28">
        <f t="shared" si="21"/>
        <v>1470</v>
      </c>
      <c r="X79" s="29">
        <f t="shared" si="42"/>
        <v>7</v>
      </c>
      <c r="Y79" s="30">
        <f t="shared" si="22"/>
        <v>138.58823529411765</v>
      </c>
      <c r="Z79" s="31">
        <f t="shared" si="25"/>
        <v>28500000</v>
      </c>
      <c r="AA79" s="32">
        <f t="shared" si="23"/>
        <v>0.92018072289156605</v>
      </c>
    </row>
    <row r="80" spans="1:27" ht="37.5" customHeight="1">
      <c r="A80" s="104"/>
      <c r="B80" s="105"/>
      <c r="C80" s="106"/>
      <c r="D80" s="105" t="s">
        <v>135</v>
      </c>
      <c r="E80" s="105" t="s">
        <v>134</v>
      </c>
      <c r="F80" s="107"/>
      <c r="G80" s="107">
        <v>2</v>
      </c>
      <c r="H80" s="107">
        <v>144</v>
      </c>
      <c r="I80" s="107">
        <v>2.4</v>
      </c>
      <c r="J80" s="107">
        <f t="shared" si="44"/>
        <v>691.19999999999993</v>
      </c>
      <c r="K80" s="107"/>
      <c r="L80" s="108">
        <f t="shared" si="45"/>
        <v>0.18522</v>
      </c>
      <c r="M80" s="107">
        <f t="shared" si="41"/>
        <v>9.2609999999999998E-2</v>
      </c>
      <c r="N80" s="40">
        <v>49</v>
      </c>
      <c r="O80" s="35">
        <v>42</v>
      </c>
      <c r="P80" s="35">
        <v>45</v>
      </c>
      <c r="Q80" s="24">
        <f t="shared" si="17"/>
        <v>288</v>
      </c>
      <c r="R80" s="11">
        <f>14000/12</f>
        <v>1166.6666666666667</v>
      </c>
      <c r="S80" s="12">
        <f t="shared" si="18"/>
        <v>773.54503676470586</v>
      </c>
      <c r="T80" s="25">
        <f t="shared" si="19"/>
        <v>336000</v>
      </c>
      <c r="U80" s="26" t="e">
        <v>#DIV/0!</v>
      </c>
      <c r="V80" s="27">
        <f t="shared" si="20"/>
        <v>504</v>
      </c>
      <c r="W80" s="28">
        <f t="shared" si="21"/>
        <v>1470</v>
      </c>
      <c r="X80" s="29">
        <f t="shared" si="42"/>
        <v>7</v>
      </c>
      <c r="Y80" s="30">
        <f t="shared" si="22"/>
        <v>269.54503676470591</v>
      </c>
      <c r="Z80" s="31">
        <f t="shared" si="25"/>
        <v>28500000</v>
      </c>
      <c r="AA80" s="32">
        <f t="shared" si="23"/>
        <v>0.50820781107479229</v>
      </c>
    </row>
    <row r="81" spans="1:27" ht="37.5" customHeight="1">
      <c r="A81" s="104"/>
      <c r="B81" s="105"/>
      <c r="C81" s="106"/>
      <c r="D81" s="105" t="s">
        <v>136</v>
      </c>
      <c r="E81" s="105" t="s">
        <v>137</v>
      </c>
      <c r="F81" s="107" t="s">
        <v>35</v>
      </c>
      <c r="G81" s="107">
        <v>2</v>
      </c>
      <c r="H81" s="107">
        <v>240</v>
      </c>
      <c r="I81" s="107">
        <v>1.95</v>
      </c>
      <c r="J81" s="107">
        <f t="shared" si="44"/>
        <v>936</v>
      </c>
      <c r="K81" s="109" t="s">
        <v>48</v>
      </c>
      <c r="L81" s="108">
        <f t="shared" si="45"/>
        <v>0.1008</v>
      </c>
      <c r="M81" s="107">
        <f t="shared" si="41"/>
        <v>5.04E-2</v>
      </c>
      <c r="N81" s="40">
        <v>45</v>
      </c>
      <c r="O81" s="35">
        <v>35</v>
      </c>
      <c r="P81" s="35">
        <v>32</v>
      </c>
      <c r="Q81" s="24">
        <f t="shared" si="17"/>
        <v>480</v>
      </c>
      <c r="R81" s="11">
        <f>9000/12</f>
        <v>750</v>
      </c>
      <c r="S81" s="12">
        <f t="shared" si="18"/>
        <v>497.51470588235293</v>
      </c>
      <c r="T81" s="25">
        <f t="shared" si="19"/>
        <v>360000</v>
      </c>
      <c r="U81" s="26" t="e">
        <v>#DIV/0!</v>
      </c>
      <c r="V81" s="27">
        <f t="shared" si="20"/>
        <v>409.5</v>
      </c>
      <c r="W81" s="28">
        <f t="shared" si="21"/>
        <v>1470</v>
      </c>
      <c r="X81" s="29">
        <f t="shared" si="42"/>
        <v>7</v>
      </c>
      <c r="Y81" s="30">
        <f t="shared" si="22"/>
        <v>88.014705882352942</v>
      </c>
      <c r="Z81" s="31">
        <f t="shared" si="25"/>
        <v>28500000</v>
      </c>
      <c r="AA81" s="32">
        <f t="shared" si="23"/>
        <v>0.50749312760485954</v>
      </c>
    </row>
    <row r="82" spans="1:27" ht="37.5" customHeight="1">
      <c r="A82" s="104"/>
      <c r="B82" s="105"/>
      <c r="C82" s="106"/>
      <c r="D82" s="105">
        <v>2020</v>
      </c>
      <c r="E82" s="105" t="s">
        <v>137</v>
      </c>
      <c r="F82" s="107" t="s">
        <v>35</v>
      </c>
      <c r="G82" s="107">
        <v>2</v>
      </c>
      <c r="H82" s="107">
        <v>288</v>
      </c>
      <c r="I82" s="107">
        <v>2.1</v>
      </c>
      <c r="J82" s="107">
        <f t="shared" si="44"/>
        <v>1209.6000000000001</v>
      </c>
      <c r="K82" s="109" t="s">
        <v>48</v>
      </c>
      <c r="L82" s="108">
        <f t="shared" si="45"/>
        <v>9.0719999999999995E-2</v>
      </c>
      <c r="M82" s="107">
        <f t="shared" si="41"/>
        <v>4.5359999999999998E-2</v>
      </c>
      <c r="N82" s="40">
        <v>40</v>
      </c>
      <c r="O82" s="35">
        <v>27</v>
      </c>
      <c r="P82" s="35">
        <v>42</v>
      </c>
      <c r="Q82" s="24">
        <f t="shared" si="17"/>
        <v>576</v>
      </c>
      <c r="R82" s="11">
        <f>9500/12</f>
        <v>791.66666666666663</v>
      </c>
      <c r="S82" s="12">
        <f t="shared" si="18"/>
        <v>507.0110294117647</v>
      </c>
      <c r="T82" s="25">
        <f t="shared" si="19"/>
        <v>456000</v>
      </c>
      <c r="U82" s="26" t="e">
        <v>#DIV/0!</v>
      </c>
      <c r="V82" s="27">
        <f t="shared" si="20"/>
        <v>441</v>
      </c>
      <c r="W82" s="28">
        <f t="shared" si="21"/>
        <v>1470</v>
      </c>
      <c r="X82" s="29">
        <f t="shared" si="42"/>
        <v>7</v>
      </c>
      <c r="Y82" s="30">
        <f t="shared" si="22"/>
        <v>66.011029411764696</v>
      </c>
      <c r="Z82" s="31">
        <f t="shared" si="25"/>
        <v>28500000</v>
      </c>
      <c r="AA82" s="32">
        <f t="shared" si="23"/>
        <v>0.56143874736839561</v>
      </c>
    </row>
    <row r="83" spans="1:27" ht="37.5" customHeight="1">
      <c r="A83" s="104"/>
      <c r="B83" s="105"/>
      <c r="C83" s="106"/>
      <c r="D83" s="110" t="s">
        <v>138</v>
      </c>
      <c r="E83" s="105" t="s">
        <v>139</v>
      </c>
      <c r="F83" s="107" t="s">
        <v>35</v>
      </c>
      <c r="G83" s="107">
        <v>2</v>
      </c>
      <c r="H83" s="107">
        <v>600</v>
      </c>
      <c r="I83" s="107">
        <v>0.98</v>
      </c>
      <c r="J83" s="107">
        <f t="shared" si="44"/>
        <v>1176</v>
      </c>
      <c r="K83" s="109" t="s">
        <v>48</v>
      </c>
      <c r="L83" s="108">
        <f t="shared" si="45"/>
        <v>0.11616</v>
      </c>
      <c r="M83" s="107">
        <f t="shared" si="41"/>
        <v>5.808E-2</v>
      </c>
      <c r="N83" s="40">
        <v>44</v>
      </c>
      <c r="O83" s="35">
        <v>30</v>
      </c>
      <c r="P83" s="35">
        <v>44</v>
      </c>
      <c r="Q83" s="24">
        <f t="shared" si="17"/>
        <v>1200</v>
      </c>
      <c r="R83" s="11">
        <f>5800/12</f>
        <v>483.33333333333331</v>
      </c>
      <c r="S83" s="12">
        <f t="shared" si="18"/>
        <v>246.37058823529409</v>
      </c>
      <c r="T83" s="25">
        <f t="shared" si="19"/>
        <v>580000</v>
      </c>
      <c r="U83" s="26" t="e">
        <v>#DIV/0!</v>
      </c>
      <c r="V83" s="27">
        <f t="shared" si="20"/>
        <v>205.79999999999998</v>
      </c>
      <c r="W83" s="28">
        <f t="shared" si="21"/>
        <v>1470</v>
      </c>
      <c r="X83" s="29">
        <f t="shared" si="42"/>
        <v>7</v>
      </c>
      <c r="Y83" s="30">
        <f t="shared" si="22"/>
        <v>40.570588235294117</v>
      </c>
      <c r="Z83" s="31">
        <f t="shared" si="25"/>
        <v>28500000</v>
      </c>
      <c r="AA83" s="32">
        <f t="shared" si="23"/>
        <v>0.96181426036020989</v>
      </c>
    </row>
    <row r="84" spans="1:27" ht="37.5" customHeight="1">
      <c r="A84" s="104"/>
      <c r="B84" s="105"/>
      <c r="C84" s="106"/>
      <c r="D84" s="110" t="s">
        <v>140</v>
      </c>
      <c r="E84" s="105" t="s">
        <v>139</v>
      </c>
      <c r="F84" s="107" t="s">
        <v>35</v>
      </c>
      <c r="G84" s="107">
        <v>1</v>
      </c>
      <c r="H84" s="107">
        <v>1200</v>
      </c>
      <c r="I84" s="107">
        <v>0.55000000000000004</v>
      </c>
      <c r="J84" s="107">
        <f t="shared" si="44"/>
        <v>660</v>
      </c>
      <c r="K84" s="109" t="s">
        <v>48</v>
      </c>
      <c r="L84" s="108">
        <f t="shared" si="45"/>
        <v>5.808E-2</v>
      </c>
      <c r="M84" s="107">
        <f t="shared" si="41"/>
        <v>5.808E-2</v>
      </c>
      <c r="N84" s="40">
        <v>44</v>
      </c>
      <c r="O84" s="35">
        <v>30</v>
      </c>
      <c r="P84" s="35">
        <v>44</v>
      </c>
      <c r="Q84" s="24">
        <f t="shared" si="17"/>
        <v>1200</v>
      </c>
      <c r="R84" s="11">
        <f>3200/12</f>
        <v>266.66666666666669</v>
      </c>
      <c r="S84" s="12">
        <f t="shared" si="18"/>
        <v>135.78529411764708</v>
      </c>
      <c r="T84" s="25">
        <f t="shared" si="19"/>
        <v>320000</v>
      </c>
      <c r="U84" s="26" t="e">
        <v>#DIV/0!</v>
      </c>
      <c r="V84" s="27">
        <f t="shared" si="20"/>
        <v>115.50000000000001</v>
      </c>
      <c r="W84" s="28">
        <f t="shared" si="21"/>
        <v>1470</v>
      </c>
      <c r="X84" s="29">
        <f t="shared" si="42"/>
        <v>7</v>
      </c>
      <c r="Y84" s="30">
        <f t="shared" si="22"/>
        <v>20.285294117647059</v>
      </c>
      <c r="Z84" s="31">
        <f t="shared" si="25"/>
        <v>28500000</v>
      </c>
      <c r="AA84" s="32">
        <f t="shared" si="23"/>
        <v>0.96388473729431534</v>
      </c>
    </row>
    <row r="85" spans="1:27" ht="37.5" customHeight="1">
      <c r="A85" s="104"/>
      <c r="B85" s="105"/>
      <c r="C85" s="106"/>
      <c r="D85" s="105" t="s">
        <v>141</v>
      </c>
      <c r="E85" s="105" t="s">
        <v>142</v>
      </c>
      <c r="F85" s="107"/>
      <c r="G85" s="107">
        <v>2</v>
      </c>
      <c r="H85" s="107">
        <v>300</v>
      </c>
      <c r="I85" s="107">
        <v>5.5</v>
      </c>
      <c r="J85" s="107">
        <f t="shared" si="44"/>
        <v>3300</v>
      </c>
      <c r="K85" s="109" t="s">
        <v>48</v>
      </c>
      <c r="L85" s="108">
        <f t="shared" si="45"/>
        <v>0.27189000000000002</v>
      </c>
      <c r="M85" s="107">
        <f t="shared" si="41"/>
        <v>0.13594500000000001</v>
      </c>
      <c r="N85" s="40">
        <v>45</v>
      </c>
      <c r="O85" s="35">
        <v>53</v>
      </c>
      <c r="P85" s="35">
        <v>57</v>
      </c>
      <c r="Q85" s="24">
        <f t="shared" si="17"/>
        <v>600</v>
      </c>
      <c r="R85" s="11">
        <f>25000/12</f>
        <v>2083.3333333333335</v>
      </c>
      <c r="S85" s="12">
        <f t="shared" si="18"/>
        <v>1344.9231617647058</v>
      </c>
      <c r="T85" s="25">
        <f t="shared" si="19"/>
        <v>1250000</v>
      </c>
      <c r="U85" s="26" t="e">
        <v>#DIV/0!</v>
      </c>
      <c r="V85" s="27">
        <f t="shared" si="20"/>
        <v>1155</v>
      </c>
      <c r="W85" s="28">
        <f t="shared" si="21"/>
        <v>1470</v>
      </c>
      <c r="X85" s="29">
        <f t="shared" ref="W85:X91" si="46">X84</f>
        <v>7</v>
      </c>
      <c r="Y85" s="30">
        <f t="shared" si="22"/>
        <v>189.9231617647059</v>
      </c>
      <c r="Z85" s="31">
        <f t="shared" si="25"/>
        <v>28500000</v>
      </c>
      <c r="AA85" s="32">
        <f t="shared" si="23"/>
        <v>0.54903521075489703</v>
      </c>
    </row>
    <row r="86" spans="1:27" ht="37.5" customHeight="1">
      <c r="A86" s="104"/>
      <c r="B86" s="105"/>
      <c r="C86" s="106"/>
      <c r="D86" s="105">
        <v>911</v>
      </c>
      <c r="E86" s="105" t="s">
        <v>143</v>
      </c>
      <c r="F86" s="107" t="s">
        <v>31</v>
      </c>
      <c r="G86" s="107">
        <v>2</v>
      </c>
      <c r="H86" s="107">
        <v>240</v>
      </c>
      <c r="I86" s="107">
        <v>2.95</v>
      </c>
      <c r="J86" s="107">
        <f t="shared" si="44"/>
        <v>1416</v>
      </c>
      <c r="K86" s="109" t="s">
        <v>48</v>
      </c>
      <c r="L86" s="108">
        <f t="shared" si="45"/>
        <v>0.24640000000000001</v>
      </c>
      <c r="M86" s="107">
        <f t="shared" si="41"/>
        <v>0.1232</v>
      </c>
      <c r="N86" s="40">
        <v>70</v>
      </c>
      <c r="O86" s="35">
        <v>40</v>
      </c>
      <c r="P86" s="35">
        <v>44</v>
      </c>
      <c r="Q86" s="24">
        <f t="shared" si="17"/>
        <v>480</v>
      </c>
      <c r="R86" s="11">
        <f>17500/12</f>
        <v>1458.3333333333333</v>
      </c>
      <c r="S86" s="12">
        <f t="shared" si="18"/>
        <v>834.64705882352939</v>
      </c>
      <c r="T86" s="25">
        <f t="shared" si="19"/>
        <v>700000</v>
      </c>
      <c r="U86" s="26" t="e">
        <v>#DIV/0!</v>
      </c>
      <c r="V86" s="27">
        <f t="shared" si="20"/>
        <v>619.5</v>
      </c>
      <c r="W86" s="28">
        <f t="shared" si="21"/>
        <v>1470</v>
      </c>
      <c r="X86" s="29">
        <f t="shared" si="46"/>
        <v>7</v>
      </c>
      <c r="Y86" s="30">
        <f t="shared" si="22"/>
        <v>215.14705882352939</v>
      </c>
      <c r="Z86" s="31">
        <f t="shared" si="25"/>
        <v>28500000</v>
      </c>
      <c r="AA86" s="32">
        <f t="shared" si="23"/>
        <v>0.74724551882913992</v>
      </c>
    </row>
    <row r="87" spans="1:27" ht="37.5" customHeight="1">
      <c r="A87" s="104"/>
      <c r="B87" s="105"/>
      <c r="C87" s="106"/>
      <c r="D87" s="105" t="s">
        <v>144</v>
      </c>
      <c r="E87" s="105" t="s">
        <v>143</v>
      </c>
      <c r="F87" s="107" t="s">
        <v>31</v>
      </c>
      <c r="G87" s="107">
        <v>2</v>
      </c>
      <c r="H87" s="107">
        <v>240</v>
      </c>
      <c r="I87" s="107">
        <v>3.6</v>
      </c>
      <c r="J87" s="107">
        <f t="shared" si="44"/>
        <v>1728</v>
      </c>
      <c r="K87" s="109" t="s">
        <v>48</v>
      </c>
      <c r="L87" s="108">
        <f t="shared" si="45"/>
        <v>0.20685600000000001</v>
      </c>
      <c r="M87" s="107">
        <f t="shared" si="41"/>
        <v>0.10342800000000001</v>
      </c>
      <c r="N87" s="40">
        <v>78</v>
      </c>
      <c r="O87" s="35">
        <v>39</v>
      </c>
      <c r="P87" s="35">
        <v>34</v>
      </c>
      <c r="Q87" s="24">
        <f t="shared" si="17"/>
        <v>480</v>
      </c>
      <c r="R87" s="11">
        <f>18500/12</f>
        <v>1541.6666666666667</v>
      </c>
      <c r="S87" s="12">
        <f t="shared" si="18"/>
        <v>936.61874999999998</v>
      </c>
      <c r="T87" s="25">
        <f t="shared" si="19"/>
        <v>740000</v>
      </c>
      <c r="U87" s="26" t="e">
        <v>#DIV/0!</v>
      </c>
      <c r="V87" s="27">
        <f t="shared" si="20"/>
        <v>756</v>
      </c>
      <c r="W87" s="28">
        <f t="shared" si="21"/>
        <v>1470</v>
      </c>
      <c r="X87" s="29">
        <f t="shared" si="46"/>
        <v>7</v>
      </c>
      <c r="Y87" s="30">
        <f t="shared" si="22"/>
        <v>180.61875000000001</v>
      </c>
      <c r="Z87" s="31">
        <f t="shared" si="25"/>
        <v>28500000</v>
      </c>
      <c r="AA87" s="32">
        <f t="shared" si="23"/>
        <v>0.64599167662046786</v>
      </c>
    </row>
    <row r="88" spans="1:27" ht="37.5" customHeight="1">
      <c r="A88" s="104"/>
      <c r="B88" s="105"/>
      <c r="C88" s="106"/>
      <c r="D88" s="105">
        <v>6603</v>
      </c>
      <c r="E88" s="105" t="s">
        <v>145</v>
      </c>
      <c r="F88" s="107" t="s">
        <v>35</v>
      </c>
      <c r="G88" s="107">
        <v>1</v>
      </c>
      <c r="H88" s="107">
        <v>288</v>
      </c>
      <c r="I88" s="107">
        <v>1.5</v>
      </c>
      <c r="J88" s="107">
        <f t="shared" si="44"/>
        <v>432</v>
      </c>
      <c r="K88" s="109" t="s">
        <v>48</v>
      </c>
      <c r="L88" s="108">
        <f t="shared" si="45"/>
        <v>0.103968</v>
      </c>
      <c r="M88" s="107">
        <f t="shared" si="41"/>
        <v>0.103968</v>
      </c>
      <c r="N88" s="40">
        <v>57</v>
      </c>
      <c r="O88" s="35">
        <v>38</v>
      </c>
      <c r="P88" s="35">
        <v>48</v>
      </c>
      <c r="Q88" s="24">
        <f t="shared" si="17"/>
        <v>288</v>
      </c>
      <c r="R88" s="11">
        <f>9000/12</f>
        <v>750</v>
      </c>
      <c r="S88" s="12">
        <f t="shared" si="18"/>
        <v>466.30147058823525</v>
      </c>
      <c r="T88" s="25">
        <f t="shared" si="19"/>
        <v>216000</v>
      </c>
      <c r="U88" s="26" t="e">
        <v>#DIV/0!</v>
      </c>
      <c r="V88" s="27">
        <f t="shared" si="20"/>
        <v>315</v>
      </c>
      <c r="W88" s="28">
        <f t="shared" si="21"/>
        <v>1470</v>
      </c>
      <c r="X88" s="29">
        <f t="shared" si="46"/>
        <v>7</v>
      </c>
      <c r="Y88" s="30">
        <f t="shared" si="22"/>
        <v>151.30147058823528</v>
      </c>
      <c r="Z88" s="31">
        <f t="shared" si="25"/>
        <v>28500000</v>
      </c>
      <c r="AA88" s="32">
        <f t="shared" si="23"/>
        <v>0.608401532712049</v>
      </c>
    </row>
    <row r="89" spans="1:27" ht="37.5" customHeight="1">
      <c r="A89" s="104"/>
      <c r="B89" s="105"/>
      <c r="C89" s="106"/>
      <c r="D89" s="105">
        <v>910</v>
      </c>
      <c r="E89" s="105" t="s">
        <v>143</v>
      </c>
      <c r="F89" s="107" t="s">
        <v>31</v>
      </c>
      <c r="G89" s="107">
        <v>1</v>
      </c>
      <c r="H89" s="107">
        <v>240</v>
      </c>
      <c r="I89" s="107">
        <v>3.1</v>
      </c>
      <c r="J89" s="107">
        <f t="shared" si="44"/>
        <v>744</v>
      </c>
      <c r="K89" s="109" t="s">
        <v>48</v>
      </c>
      <c r="L89" s="108">
        <f t="shared" si="45"/>
        <v>0.12672</v>
      </c>
      <c r="M89" s="107">
        <f t="shared" si="41"/>
        <v>0.12672</v>
      </c>
      <c r="N89" s="40">
        <v>66</v>
      </c>
      <c r="O89" s="35">
        <v>40</v>
      </c>
      <c r="P89" s="35">
        <v>48</v>
      </c>
      <c r="Q89" s="24">
        <f t="shared" si="17"/>
        <v>240</v>
      </c>
      <c r="R89" s="11">
        <f>16500/12</f>
        <v>1375</v>
      </c>
      <c r="S89" s="12">
        <f t="shared" si="18"/>
        <v>872.29411764705878</v>
      </c>
      <c r="T89" s="25">
        <f t="shared" si="19"/>
        <v>330000</v>
      </c>
      <c r="U89" s="26" t="e">
        <v>#DIV/0!</v>
      </c>
      <c r="V89" s="27">
        <f t="shared" si="20"/>
        <v>651</v>
      </c>
      <c r="W89" s="28">
        <f t="shared" si="21"/>
        <v>1470</v>
      </c>
      <c r="X89" s="29">
        <f t="shared" si="46"/>
        <v>7</v>
      </c>
      <c r="Y89" s="30">
        <f t="shared" si="22"/>
        <v>221.29411764705884</v>
      </c>
      <c r="Z89" s="31">
        <f t="shared" si="25"/>
        <v>28500000</v>
      </c>
      <c r="AA89" s="32">
        <f t="shared" si="23"/>
        <v>0.57630318969586625</v>
      </c>
    </row>
    <row r="90" spans="1:27">
      <c r="M90" s="35" t="e">
        <f t="shared" si="41"/>
        <v>#DIV/0!</v>
      </c>
      <c r="P90" s="35" t="s">
        <v>80</v>
      </c>
      <c r="Q90" s="24">
        <f t="shared" si="17"/>
        <v>0</v>
      </c>
      <c r="R90" s="11">
        <f t="shared" ref="R90" si="47">6000/12</f>
        <v>500</v>
      </c>
      <c r="S90" s="12" t="e">
        <f t="shared" si="18"/>
        <v>#DIV/0!</v>
      </c>
      <c r="T90" s="25">
        <f t="shared" si="19"/>
        <v>0</v>
      </c>
      <c r="U90" s="26" t="e">
        <v>#DIV/0!</v>
      </c>
      <c r="V90" s="27">
        <f t="shared" si="20"/>
        <v>0</v>
      </c>
      <c r="W90" s="28">
        <f t="shared" si="21"/>
        <v>1470</v>
      </c>
      <c r="X90" s="29">
        <f t="shared" si="46"/>
        <v>7</v>
      </c>
      <c r="Y90" s="30" t="e">
        <f t="shared" si="22"/>
        <v>#DIV/0!</v>
      </c>
      <c r="Z90" s="31">
        <f t="shared" si="25"/>
        <v>28500000</v>
      </c>
      <c r="AA90" s="32" t="e">
        <f t="shared" si="23"/>
        <v>#DIV/0!</v>
      </c>
    </row>
    <row r="91" spans="1:27" ht="28.8">
      <c r="A91" s="72" t="s">
        <v>26</v>
      </c>
      <c r="B91" s="73" t="s">
        <v>146</v>
      </c>
      <c r="C91" s="74" t="s">
        <v>147</v>
      </c>
      <c r="D91" s="73" t="s">
        <v>148</v>
      </c>
      <c r="E91" s="111" t="s">
        <v>149</v>
      </c>
      <c r="F91" s="75" t="s">
        <v>150</v>
      </c>
      <c r="G91" s="75">
        <v>4</v>
      </c>
      <c r="H91" s="75">
        <v>2400</v>
      </c>
      <c r="I91" s="75">
        <v>0.83</v>
      </c>
      <c r="J91" s="75">
        <f>I91*H91*G91</f>
        <v>7968</v>
      </c>
      <c r="K91" s="76" t="s">
        <v>48</v>
      </c>
      <c r="L91" s="77">
        <f>N91*O91*P91*G91/1000000</f>
        <v>0.86856</v>
      </c>
      <c r="M91" s="75">
        <f t="shared" si="41"/>
        <v>0.21714</v>
      </c>
      <c r="N91" s="40">
        <v>77</v>
      </c>
      <c r="O91" s="35">
        <v>60</v>
      </c>
      <c r="P91" s="35">
        <v>47</v>
      </c>
      <c r="Q91" s="24">
        <f t="shared" si="17"/>
        <v>9600</v>
      </c>
      <c r="R91" s="11">
        <f>3400/12</f>
        <v>283.33333333333331</v>
      </c>
      <c r="S91" s="12">
        <f t="shared" si="18"/>
        <v>212.21966911764704</v>
      </c>
      <c r="T91" s="25">
        <f t="shared" si="19"/>
        <v>2720000</v>
      </c>
      <c r="U91" s="26" t="e">
        <v>#DIV/0!</v>
      </c>
      <c r="V91" s="27">
        <f t="shared" si="20"/>
        <v>174.29999999999998</v>
      </c>
      <c r="W91" s="28">
        <f t="shared" si="21"/>
        <v>1470</v>
      </c>
      <c r="X91" s="29">
        <f t="shared" si="46"/>
        <v>7</v>
      </c>
      <c r="Y91" s="30">
        <f t="shared" si="22"/>
        <v>37.919669117647054</v>
      </c>
      <c r="Z91" s="31">
        <f t="shared" si="25"/>
        <v>28500000</v>
      </c>
      <c r="AA91" s="32">
        <f t="shared" si="23"/>
        <v>0.33509459566758337</v>
      </c>
    </row>
    <row r="92" spans="1:27">
      <c r="Z92" s="31">
        <f t="shared" si="25"/>
        <v>28500000</v>
      </c>
    </row>
    <row r="93" spans="1:27">
      <c r="D93" s="112"/>
      <c r="E93" s="112"/>
      <c r="F93" s="4"/>
      <c r="G93" s="4"/>
      <c r="H93" s="4"/>
      <c r="I93" s="4" t="s">
        <v>54</v>
      </c>
      <c r="J93" s="113">
        <f>SUM(J36:J92)</f>
        <v>66017.199999999983</v>
      </c>
      <c r="K93" s="4"/>
      <c r="L93" s="4"/>
      <c r="M93" s="4"/>
      <c r="Z93" s="31">
        <f t="shared" si="25"/>
        <v>28500000</v>
      </c>
    </row>
    <row r="94" spans="1:27">
      <c r="D94" s="112"/>
      <c r="E94" s="112"/>
      <c r="F94" s="4"/>
      <c r="G94" s="4"/>
      <c r="H94" s="4"/>
      <c r="I94" s="4" t="s">
        <v>151</v>
      </c>
      <c r="J94" s="113">
        <v>39488</v>
      </c>
      <c r="K94" s="4"/>
      <c r="L94" s="4"/>
      <c r="M94" s="4"/>
      <c r="T94" s="25">
        <f>SUM(T36:T91)</f>
        <v>24433625</v>
      </c>
    </row>
    <row r="95" spans="1:27">
      <c r="D95" s="112"/>
      <c r="E95" s="112"/>
      <c r="F95" s="4"/>
      <c r="G95" s="4"/>
      <c r="H95" s="114">
        <v>46185</v>
      </c>
      <c r="I95" s="115" t="s">
        <v>152</v>
      </c>
      <c r="J95" s="116">
        <f>4646350/206.5</f>
        <v>22500.484261501209</v>
      </c>
      <c r="K95" s="115" t="s">
        <v>153</v>
      </c>
      <c r="L95" s="117"/>
      <c r="M95" s="4"/>
      <c r="T95" s="25">
        <f>R97*Z92/68</f>
        <v>3981617.6470588236</v>
      </c>
    </row>
    <row r="96" spans="1:27">
      <c r="D96" s="112"/>
      <c r="E96" s="112"/>
      <c r="F96" s="4"/>
      <c r="G96" s="4"/>
      <c r="H96" s="4"/>
      <c r="I96" s="4"/>
      <c r="J96" s="113"/>
      <c r="K96" s="4"/>
      <c r="L96" s="4"/>
      <c r="M96" s="4"/>
      <c r="T96" s="25"/>
    </row>
    <row r="97" spans="1:27" ht="15.6">
      <c r="D97" s="112"/>
      <c r="E97" s="112"/>
      <c r="F97" s="4"/>
      <c r="G97" s="4"/>
      <c r="H97" s="4"/>
      <c r="I97" s="4" t="s">
        <v>154</v>
      </c>
      <c r="J97" s="118">
        <f>J93-J94-J95</f>
        <v>4028.7157384987731</v>
      </c>
      <c r="K97" s="4"/>
      <c r="L97" s="4"/>
      <c r="M97" s="4"/>
      <c r="R97" s="4">
        <v>9.5</v>
      </c>
      <c r="T97" s="25">
        <f>(J93-J43)*W91/X91</f>
        <v>11952611.999999996</v>
      </c>
    </row>
    <row r="98" spans="1:27" ht="21.6">
      <c r="D98" s="112" t="s">
        <v>155</v>
      </c>
      <c r="E98" s="112" t="s">
        <v>156</v>
      </c>
      <c r="F98" s="4">
        <v>8186715241</v>
      </c>
      <c r="G98" s="4" t="s">
        <v>157</v>
      </c>
      <c r="H98" s="58">
        <v>46191</v>
      </c>
      <c r="I98" s="4" t="s">
        <v>158</v>
      </c>
      <c r="J98" s="113">
        <v>8019</v>
      </c>
      <c r="K98" s="119">
        <v>1146</v>
      </c>
      <c r="L98" s="4"/>
      <c r="M98" s="4"/>
      <c r="T98" s="25"/>
    </row>
    <row r="99" spans="1:27">
      <c r="D99" s="112"/>
      <c r="E99" s="112"/>
      <c r="F99" s="4"/>
      <c r="G99" s="4"/>
      <c r="H99" s="120"/>
      <c r="I99" s="4" t="s">
        <v>159</v>
      </c>
      <c r="J99" s="113">
        <v>22820</v>
      </c>
      <c r="K99" s="119"/>
      <c r="L99" s="4"/>
      <c r="M99" s="4"/>
      <c r="T99" s="25"/>
    </row>
    <row r="100" spans="1:27">
      <c r="D100" s="112"/>
      <c r="E100" s="112"/>
      <c r="F100" s="4"/>
      <c r="G100" s="4"/>
      <c r="H100" s="120"/>
      <c r="I100" s="4"/>
      <c r="J100" s="113"/>
      <c r="K100" s="119"/>
      <c r="L100" s="4"/>
      <c r="M100" s="4"/>
      <c r="T100" s="60">
        <f>T94-T95-T97</f>
        <v>8499395.3529411815</v>
      </c>
    </row>
    <row r="101" spans="1:27">
      <c r="D101" s="112"/>
      <c r="E101" s="112"/>
      <c r="F101" s="4"/>
      <c r="G101" s="4"/>
      <c r="H101" s="120"/>
      <c r="I101" s="4" t="s">
        <v>160</v>
      </c>
      <c r="J101" s="113">
        <f>SUM(J97:J100)</f>
        <v>34867.715738498773</v>
      </c>
      <c r="K101" s="119"/>
      <c r="L101" s="4"/>
      <c r="M101" s="4"/>
    </row>
    <row r="102" spans="1:27">
      <c r="J102" s="57"/>
    </row>
    <row r="104" spans="1:27" ht="31.2">
      <c r="A104" s="61">
        <v>8033004350</v>
      </c>
      <c r="B104" s="178" t="s">
        <v>63</v>
      </c>
      <c r="C104" s="179"/>
      <c r="D104" s="179"/>
      <c r="E104" s="179"/>
      <c r="F104" s="179"/>
      <c r="G104" s="179"/>
      <c r="H104" s="179"/>
      <c r="I104" s="179"/>
      <c r="J104" s="179"/>
      <c r="K104" s="180"/>
      <c r="L104" s="62" t="s">
        <v>15</v>
      </c>
      <c r="M104" s="63"/>
      <c r="N104" s="63" t="s">
        <v>3</v>
      </c>
      <c r="O104" s="62" t="s">
        <v>3</v>
      </c>
      <c r="P104" s="64" t="s">
        <v>3</v>
      </c>
    </row>
    <row r="105" spans="1:27" ht="15.6">
      <c r="A105" s="65">
        <v>46191</v>
      </c>
      <c r="B105" s="66" t="s">
        <v>64</v>
      </c>
      <c r="C105" s="67" t="s">
        <v>6</v>
      </c>
      <c r="D105" s="66" t="s">
        <v>65</v>
      </c>
      <c r="E105" s="66" t="s">
        <v>161</v>
      </c>
      <c r="F105" s="62" t="s">
        <v>9</v>
      </c>
      <c r="G105" s="62" t="s">
        <v>10</v>
      </c>
      <c r="H105" s="62" t="s">
        <v>11</v>
      </c>
      <c r="I105" s="62" t="s">
        <v>12</v>
      </c>
      <c r="J105" s="62" t="s">
        <v>66</v>
      </c>
      <c r="K105" s="62" t="s">
        <v>14</v>
      </c>
      <c r="L105" s="68" t="s">
        <v>3</v>
      </c>
      <c r="M105" s="69"/>
      <c r="N105" s="69" t="s">
        <v>3</v>
      </c>
      <c r="O105" s="70"/>
      <c r="P105" s="71" t="s">
        <v>3</v>
      </c>
    </row>
    <row r="106" spans="1:27" ht="44.25" customHeight="1">
      <c r="A106" s="121" t="s">
        <v>162</v>
      </c>
      <c r="B106" s="47" t="s">
        <v>163</v>
      </c>
      <c r="C106" s="48">
        <v>7</v>
      </c>
      <c r="D106" s="47" t="s">
        <v>164</v>
      </c>
      <c r="E106" s="47" t="s">
        <v>165</v>
      </c>
      <c r="F106" s="49" t="s">
        <v>31</v>
      </c>
      <c r="G106" s="49">
        <v>1</v>
      </c>
      <c r="H106" s="49">
        <v>96</v>
      </c>
      <c r="I106" s="49">
        <v>6</v>
      </c>
      <c r="J106" s="49">
        <f t="shared" ref="J106:J114" si="48">I106*H106*G106</f>
        <v>576</v>
      </c>
      <c r="K106" s="49"/>
      <c r="L106" s="49">
        <f t="shared" ref="L106:L121" si="49">N106*O106*P106*G106/1000000</f>
        <v>0.21859200000000001</v>
      </c>
      <c r="M106" s="49">
        <f t="shared" ref="M106:M165" si="50">L106/G106</f>
        <v>0.21859200000000001</v>
      </c>
      <c r="N106" s="35">
        <v>69</v>
      </c>
      <c r="O106" s="35">
        <v>36</v>
      </c>
      <c r="P106" s="35">
        <v>88</v>
      </c>
      <c r="Q106" s="24">
        <f t="shared" ref="Q106:Q121" si="51">G106*H106</f>
        <v>96</v>
      </c>
      <c r="R106" s="11">
        <v>3300</v>
      </c>
      <c r="S106" s="12">
        <f>V106+Y106</f>
        <v>2214.330882352941</v>
      </c>
      <c r="T106" s="25">
        <f t="shared" ref="T106:T121" si="52">R106*Q106</f>
        <v>316800</v>
      </c>
      <c r="U106" s="26" t="e">
        <v>#DIV/0!</v>
      </c>
      <c r="V106" s="27">
        <f>I106*W106/X106</f>
        <v>1260</v>
      </c>
      <c r="W106" s="28">
        <f>W91</f>
        <v>1470</v>
      </c>
      <c r="X106" s="28">
        <f t="shared" ref="X106:Z106" si="53">X91</f>
        <v>7</v>
      </c>
      <c r="Y106" s="30">
        <f t="shared" ref="Y106:Y121" si="54">M106*Z106/68/H106</f>
        <v>954.3308823529411</v>
      </c>
      <c r="Z106" s="28">
        <f t="shared" si="53"/>
        <v>28500000</v>
      </c>
      <c r="AA106" s="32">
        <f t="shared" ref="AA106:AA121" si="55">((R106-S106)/S106)</f>
        <v>0.49029218094697324</v>
      </c>
    </row>
    <row r="107" spans="1:27" ht="48.75" customHeight="1">
      <c r="A107" s="46"/>
      <c r="B107" s="47"/>
      <c r="C107" s="48"/>
      <c r="D107" s="47" t="s">
        <v>166</v>
      </c>
      <c r="E107" s="47" t="s">
        <v>165</v>
      </c>
      <c r="F107" s="49" t="s">
        <v>31</v>
      </c>
      <c r="G107" s="49">
        <v>1</v>
      </c>
      <c r="H107" s="49">
        <v>96</v>
      </c>
      <c r="I107" s="49">
        <v>6</v>
      </c>
      <c r="J107" s="49">
        <f t="shared" si="48"/>
        <v>576</v>
      </c>
      <c r="K107" s="49"/>
      <c r="L107" s="49">
        <f t="shared" si="49"/>
        <v>0.204204</v>
      </c>
      <c r="M107" s="49">
        <f t="shared" si="50"/>
        <v>0.204204</v>
      </c>
      <c r="N107" s="35">
        <v>66</v>
      </c>
      <c r="O107" s="35">
        <v>34</v>
      </c>
      <c r="P107" s="35">
        <v>91</v>
      </c>
      <c r="Q107" s="24">
        <f t="shared" si="51"/>
        <v>96</v>
      </c>
      <c r="R107" s="11">
        <v>3300</v>
      </c>
      <c r="S107" s="12">
        <f t="shared" ref="S107:S121" si="56">V107+Y107</f>
        <v>2151.515625</v>
      </c>
      <c r="T107" s="25">
        <f t="shared" si="52"/>
        <v>316800</v>
      </c>
      <c r="U107" s="26" t="e">
        <v>#DIV/0!</v>
      </c>
      <c r="V107" s="27">
        <f t="shared" ref="V107:V121" si="57">I107*W107/X107</f>
        <v>1260</v>
      </c>
      <c r="W107" s="28">
        <f t="shared" ref="W107:X121" si="58">W106</f>
        <v>1470</v>
      </c>
      <c r="X107" s="29">
        <f t="shared" si="58"/>
        <v>7</v>
      </c>
      <c r="Y107" s="30">
        <f t="shared" si="54"/>
        <v>891.515625</v>
      </c>
      <c r="Z107" s="31">
        <f t="shared" ref="Z107:Z124" si="59">Z106</f>
        <v>28500000</v>
      </c>
      <c r="AA107" s="32">
        <f t="shared" si="55"/>
        <v>0.53380247935684877</v>
      </c>
    </row>
    <row r="108" spans="1:27" ht="47.25" customHeight="1">
      <c r="A108" s="46"/>
      <c r="B108" s="47"/>
      <c r="C108" s="48"/>
      <c r="D108" s="47">
        <v>119</v>
      </c>
      <c r="E108" s="47" t="s">
        <v>165</v>
      </c>
      <c r="F108" s="49" t="s">
        <v>31</v>
      </c>
      <c r="G108" s="49">
        <v>1</v>
      </c>
      <c r="H108" s="49">
        <v>60</v>
      </c>
      <c r="I108" s="49">
        <v>7</v>
      </c>
      <c r="J108" s="49">
        <f t="shared" si="48"/>
        <v>420</v>
      </c>
      <c r="K108" s="49"/>
      <c r="L108" s="49">
        <f t="shared" si="49"/>
        <v>0.116522</v>
      </c>
      <c r="M108" s="49">
        <f t="shared" si="50"/>
        <v>0.116522</v>
      </c>
      <c r="N108" s="35">
        <v>49</v>
      </c>
      <c r="O108" s="35">
        <v>41</v>
      </c>
      <c r="P108" s="35">
        <v>58</v>
      </c>
      <c r="Q108" s="24">
        <f t="shared" si="51"/>
        <v>60</v>
      </c>
      <c r="R108" s="11">
        <v>3500</v>
      </c>
      <c r="S108" s="12">
        <f t="shared" si="56"/>
        <v>2283.9404411764708</v>
      </c>
      <c r="T108" s="25">
        <f t="shared" si="52"/>
        <v>210000</v>
      </c>
      <c r="U108" s="26" t="e">
        <v>#DIV/0!</v>
      </c>
      <c r="V108" s="27">
        <f t="shared" si="57"/>
        <v>1470</v>
      </c>
      <c r="W108" s="28">
        <f t="shared" si="58"/>
        <v>1470</v>
      </c>
      <c r="X108" s="29">
        <f t="shared" si="58"/>
        <v>7</v>
      </c>
      <c r="Y108" s="30">
        <f t="shared" si="54"/>
        <v>813.94044117647059</v>
      </c>
      <c r="Z108" s="31">
        <f t="shared" si="59"/>
        <v>28500000</v>
      </c>
      <c r="AA108" s="32">
        <f t="shared" si="55"/>
        <v>0.53243926019241117</v>
      </c>
    </row>
    <row r="109" spans="1:27" ht="47.25" customHeight="1">
      <c r="A109" s="46"/>
      <c r="B109" s="47"/>
      <c r="C109" s="48"/>
      <c r="D109" s="47">
        <v>1257</v>
      </c>
      <c r="E109" s="47" t="s">
        <v>167</v>
      </c>
      <c r="F109" s="49" t="s">
        <v>31</v>
      </c>
      <c r="G109" s="49">
        <v>1</v>
      </c>
      <c r="H109" s="49">
        <v>400</v>
      </c>
      <c r="I109" s="49">
        <v>1.8</v>
      </c>
      <c r="J109" s="49">
        <f t="shared" si="48"/>
        <v>720</v>
      </c>
      <c r="K109" s="49"/>
      <c r="L109" s="49">
        <f t="shared" si="49"/>
        <v>0.15345</v>
      </c>
      <c r="M109" s="49">
        <f t="shared" si="50"/>
        <v>0.15345</v>
      </c>
      <c r="N109" s="35">
        <v>55</v>
      </c>
      <c r="O109" s="35">
        <v>62</v>
      </c>
      <c r="P109" s="35">
        <v>45</v>
      </c>
      <c r="Q109" s="24">
        <f t="shared" si="51"/>
        <v>400</v>
      </c>
      <c r="R109" s="11">
        <f>11000/12</f>
        <v>916.66666666666663</v>
      </c>
      <c r="S109" s="12">
        <f t="shared" si="56"/>
        <v>538.78400735294122</v>
      </c>
      <c r="T109" s="25">
        <f t="shared" si="52"/>
        <v>366666.66666666663</v>
      </c>
      <c r="U109" s="26" t="e">
        <v>#DIV/0!</v>
      </c>
      <c r="V109" s="27">
        <f t="shared" si="57"/>
        <v>378</v>
      </c>
      <c r="W109" s="28">
        <f t="shared" si="58"/>
        <v>1470</v>
      </c>
      <c r="X109" s="29">
        <f t="shared" si="58"/>
        <v>7</v>
      </c>
      <c r="Y109" s="30">
        <f t="shared" si="54"/>
        <v>160.78400735294116</v>
      </c>
      <c r="Z109" s="31">
        <f t="shared" si="59"/>
        <v>28500000</v>
      </c>
      <c r="AA109" s="32">
        <f t="shared" si="55"/>
        <v>0.70136205632804882</v>
      </c>
    </row>
    <row r="110" spans="1:27" ht="50.25" customHeight="1">
      <c r="A110" s="46"/>
      <c r="B110" s="47"/>
      <c r="C110" s="48"/>
      <c r="D110" s="47">
        <v>3314</v>
      </c>
      <c r="E110" s="47" t="s">
        <v>167</v>
      </c>
      <c r="F110" s="49" t="s">
        <v>168</v>
      </c>
      <c r="G110" s="49">
        <v>1</v>
      </c>
      <c r="H110" s="49">
        <v>400</v>
      </c>
      <c r="I110" s="49">
        <v>2.7</v>
      </c>
      <c r="J110" s="49">
        <f t="shared" si="48"/>
        <v>1080</v>
      </c>
      <c r="K110" s="49"/>
      <c r="L110" s="49">
        <f t="shared" si="49"/>
        <v>0.16181999999999999</v>
      </c>
      <c r="M110" s="49">
        <f t="shared" si="50"/>
        <v>0.16181999999999999</v>
      </c>
      <c r="N110" s="35">
        <v>58</v>
      </c>
      <c r="O110" s="35">
        <v>62</v>
      </c>
      <c r="P110" s="35">
        <v>45</v>
      </c>
      <c r="Q110" s="24">
        <f t="shared" si="51"/>
        <v>400</v>
      </c>
      <c r="R110" s="11">
        <f>15000/12</f>
        <v>1250</v>
      </c>
      <c r="S110" s="12">
        <f t="shared" si="56"/>
        <v>736.55404411764721</v>
      </c>
      <c r="T110" s="25">
        <f t="shared" si="52"/>
        <v>500000</v>
      </c>
      <c r="U110" s="26" t="e">
        <v>#DIV/0!</v>
      </c>
      <c r="V110" s="27">
        <f t="shared" si="57"/>
        <v>567.00000000000011</v>
      </c>
      <c r="W110" s="28">
        <f t="shared" si="58"/>
        <v>1470</v>
      </c>
      <c r="X110" s="29">
        <f t="shared" si="58"/>
        <v>7</v>
      </c>
      <c r="Y110" s="30">
        <f t="shared" si="54"/>
        <v>169.55404411764707</v>
      </c>
      <c r="Z110" s="31">
        <f t="shared" si="59"/>
        <v>28500000</v>
      </c>
      <c r="AA110" s="32">
        <f t="shared" si="55"/>
        <v>0.69709203280179377</v>
      </c>
    </row>
    <row r="111" spans="1:27" ht="48.75" customHeight="1">
      <c r="A111" s="46"/>
      <c r="B111" s="47"/>
      <c r="C111" s="48"/>
      <c r="D111" s="47">
        <v>2606</v>
      </c>
      <c r="E111" s="47" t="s">
        <v>165</v>
      </c>
      <c r="F111" s="49" t="s">
        <v>31</v>
      </c>
      <c r="G111" s="49">
        <v>1</v>
      </c>
      <c r="H111" s="49">
        <v>72</v>
      </c>
      <c r="I111" s="49">
        <v>5.9</v>
      </c>
      <c r="J111" s="49">
        <f t="shared" si="48"/>
        <v>424.8</v>
      </c>
      <c r="K111" s="49"/>
      <c r="L111" s="49">
        <f t="shared" si="49"/>
        <v>0.106641</v>
      </c>
      <c r="M111" s="49">
        <f t="shared" si="50"/>
        <v>0.106641</v>
      </c>
      <c r="N111" s="35">
        <v>51</v>
      </c>
      <c r="O111" s="35">
        <v>51</v>
      </c>
      <c r="P111" s="35">
        <v>41</v>
      </c>
      <c r="Q111" s="24">
        <f t="shared" si="51"/>
        <v>72</v>
      </c>
      <c r="R111" s="11">
        <f>2800</f>
        <v>2800</v>
      </c>
      <c r="S111" s="12">
        <f t="shared" si="56"/>
        <v>1859.765625</v>
      </c>
      <c r="T111" s="25">
        <f t="shared" si="52"/>
        <v>201600</v>
      </c>
      <c r="U111" s="26" t="e">
        <v>#DIV/0!</v>
      </c>
      <c r="V111" s="27">
        <f t="shared" si="57"/>
        <v>1239</v>
      </c>
      <c r="W111" s="28">
        <f t="shared" si="58"/>
        <v>1470</v>
      </c>
      <c r="X111" s="29">
        <f t="shared" si="58"/>
        <v>7</v>
      </c>
      <c r="Y111" s="30">
        <f t="shared" si="54"/>
        <v>620.765625</v>
      </c>
      <c r="Z111" s="31">
        <f t="shared" si="59"/>
        <v>28500000</v>
      </c>
      <c r="AA111" s="32">
        <f t="shared" si="55"/>
        <v>0.50556605755093464</v>
      </c>
    </row>
    <row r="112" spans="1:27" ht="48.75" customHeight="1">
      <c r="A112" s="46"/>
      <c r="B112" s="47"/>
      <c r="C112" s="48"/>
      <c r="D112" s="47">
        <v>706</v>
      </c>
      <c r="E112" s="47" t="s">
        <v>169</v>
      </c>
      <c r="F112" s="49" t="s">
        <v>31</v>
      </c>
      <c r="G112" s="49">
        <v>1</v>
      </c>
      <c r="H112" s="49">
        <v>48</v>
      </c>
      <c r="I112" s="49">
        <v>8.4</v>
      </c>
      <c r="J112" s="49">
        <f t="shared" si="48"/>
        <v>403.20000000000005</v>
      </c>
      <c r="K112" s="49"/>
      <c r="L112" s="49">
        <f t="shared" si="49"/>
        <v>0.13572000000000001</v>
      </c>
      <c r="M112" s="49">
        <f t="shared" si="50"/>
        <v>0.13572000000000001</v>
      </c>
      <c r="N112" s="35">
        <v>60</v>
      </c>
      <c r="O112" s="35">
        <v>39</v>
      </c>
      <c r="P112" s="35">
        <v>58</v>
      </c>
      <c r="Q112" s="24">
        <f t="shared" si="51"/>
        <v>48</v>
      </c>
      <c r="R112" s="11">
        <v>4400</v>
      </c>
      <c r="S112" s="12">
        <f t="shared" si="56"/>
        <v>2949.0551470588234</v>
      </c>
      <c r="T112" s="25">
        <f t="shared" si="52"/>
        <v>211200</v>
      </c>
      <c r="U112" s="26" t="e">
        <v>#DIV/0!</v>
      </c>
      <c r="V112" s="27">
        <f t="shared" si="57"/>
        <v>1764</v>
      </c>
      <c r="W112" s="28">
        <f t="shared" si="58"/>
        <v>1470</v>
      </c>
      <c r="X112" s="29">
        <f t="shared" si="58"/>
        <v>7</v>
      </c>
      <c r="Y112" s="30">
        <f t="shared" si="54"/>
        <v>1185.0551470588236</v>
      </c>
      <c r="Z112" s="31">
        <f t="shared" si="59"/>
        <v>28500000</v>
      </c>
      <c r="AA112" s="32">
        <f t="shared" si="55"/>
        <v>0.49200329617038363</v>
      </c>
    </row>
    <row r="113" spans="1:27" ht="47.25" customHeight="1">
      <c r="A113" s="46"/>
      <c r="B113" s="47"/>
      <c r="C113" s="48"/>
      <c r="D113" s="47" t="s">
        <v>170</v>
      </c>
      <c r="E113" s="47" t="s">
        <v>165</v>
      </c>
      <c r="F113" s="49" t="s">
        <v>31</v>
      </c>
      <c r="G113" s="49">
        <v>1</v>
      </c>
      <c r="H113" s="49">
        <v>100</v>
      </c>
      <c r="I113" s="49">
        <v>9</v>
      </c>
      <c r="J113" s="49">
        <f t="shared" si="48"/>
        <v>900</v>
      </c>
      <c r="K113" s="49"/>
      <c r="L113" s="49">
        <f t="shared" si="49"/>
        <v>0.15679999999999999</v>
      </c>
      <c r="M113" s="49">
        <f t="shared" si="50"/>
        <v>0.15679999999999999</v>
      </c>
      <c r="N113" s="35">
        <v>80</v>
      </c>
      <c r="O113" s="35">
        <v>40</v>
      </c>
      <c r="P113" s="35">
        <v>49</v>
      </c>
      <c r="Q113" s="24">
        <f t="shared" si="51"/>
        <v>100</v>
      </c>
      <c r="R113" s="11">
        <v>4000</v>
      </c>
      <c r="S113" s="12">
        <f t="shared" si="56"/>
        <v>2547.1764705882351</v>
      </c>
      <c r="T113" s="25">
        <f t="shared" si="52"/>
        <v>400000</v>
      </c>
      <c r="U113" s="26" t="e">
        <v>#DIV/0!</v>
      </c>
      <c r="V113" s="27">
        <f t="shared" si="57"/>
        <v>1890</v>
      </c>
      <c r="W113" s="28">
        <f t="shared" si="58"/>
        <v>1470</v>
      </c>
      <c r="X113" s="29">
        <f t="shared" si="58"/>
        <v>7</v>
      </c>
      <c r="Y113" s="30">
        <f t="shared" si="54"/>
        <v>657.17647058823525</v>
      </c>
      <c r="Z113" s="31">
        <f t="shared" si="59"/>
        <v>28500000</v>
      </c>
      <c r="AA113" s="32">
        <f t="shared" si="55"/>
        <v>0.57036626483765196</v>
      </c>
    </row>
    <row r="114" spans="1:27" ht="45" customHeight="1">
      <c r="A114" s="46"/>
      <c r="B114" s="47"/>
      <c r="C114" s="48"/>
      <c r="D114" s="47" t="s">
        <v>171</v>
      </c>
      <c r="E114" s="47" t="s">
        <v>165</v>
      </c>
      <c r="F114" s="49" t="s">
        <v>31</v>
      </c>
      <c r="G114" s="49">
        <v>2</v>
      </c>
      <c r="H114" s="49">
        <v>80</v>
      </c>
      <c r="I114" s="49">
        <v>5.8</v>
      </c>
      <c r="J114" s="49">
        <f t="shared" si="48"/>
        <v>928</v>
      </c>
      <c r="K114" s="49"/>
      <c r="L114" s="49">
        <f t="shared" si="49"/>
        <v>0.30381000000000002</v>
      </c>
      <c r="M114" s="49">
        <f t="shared" si="50"/>
        <v>0.15190500000000001</v>
      </c>
      <c r="N114" s="35">
        <v>65</v>
      </c>
      <c r="O114" s="35">
        <v>41</v>
      </c>
      <c r="P114" s="35">
        <v>57</v>
      </c>
      <c r="Q114" s="24">
        <f t="shared" si="51"/>
        <v>160</v>
      </c>
      <c r="R114" s="11">
        <v>3500</v>
      </c>
      <c r="S114" s="12">
        <f t="shared" si="56"/>
        <v>2013.8258272058824</v>
      </c>
      <c r="T114" s="25">
        <f t="shared" si="52"/>
        <v>560000</v>
      </c>
      <c r="U114" s="26" t="e">
        <v>#DIV/0!</v>
      </c>
      <c r="V114" s="27">
        <f t="shared" si="57"/>
        <v>1218</v>
      </c>
      <c r="W114" s="28">
        <f t="shared" si="58"/>
        <v>1470</v>
      </c>
      <c r="X114" s="29">
        <f t="shared" si="58"/>
        <v>7</v>
      </c>
      <c r="Y114" s="30">
        <f t="shared" si="54"/>
        <v>795.82582720588232</v>
      </c>
      <c r="Z114" s="31">
        <f t="shared" si="59"/>
        <v>28500000</v>
      </c>
      <c r="AA114" s="32">
        <f t="shared" si="55"/>
        <v>0.73798545669470117</v>
      </c>
    </row>
    <row r="115" spans="1:27" ht="15.6">
      <c r="A115" s="122"/>
      <c r="B115" s="123"/>
      <c r="C115" s="122"/>
      <c r="D115" s="123"/>
      <c r="E115" s="123"/>
      <c r="F115" s="122"/>
      <c r="G115" s="122"/>
      <c r="H115" s="122"/>
      <c r="I115" s="122"/>
      <c r="J115" s="122"/>
      <c r="K115" s="122"/>
      <c r="L115" s="122"/>
      <c r="M115" s="49" t="e">
        <f t="shared" si="50"/>
        <v>#DIV/0!</v>
      </c>
      <c r="N115" s="122"/>
      <c r="O115" s="122"/>
      <c r="P115" s="122"/>
      <c r="Q115" s="24">
        <f t="shared" si="51"/>
        <v>0</v>
      </c>
      <c r="R115" s="11">
        <f t="shared" ref="R115:R119" si="60">21000/12</f>
        <v>1750</v>
      </c>
      <c r="S115" s="12" t="e">
        <f t="shared" si="56"/>
        <v>#DIV/0!</v>
      </c>
      <c r="T115" s="25">
        <f t="shared" si="52"/>
        <v>0</v>
      </c>
      <c r="U115" s="26" t="e">
        <v>#DIV/0!</v>
      </c>
      <c r="V115" s="27">
        <f t="shared" si="57"/>
        <v>0</v>
      </c>
      <c r="W115" s="28">
        <f t="shared" si="58"/>
        <v>1470</v>
      </c>
      <c r="X115" s="29">
        <f t="shared" si="58"/>
        <v>7</v>
      </c>
      <c r="Y115" s="30" t="e">
        <f t="shared" si="54"/>
        <v>#DIV/0!</v>
      </c>
      <c r="Z115" s="31">
        <f t="shared" si="59"/>
        <v>28500000</v>
      </c>
      <c r="AA115" s="32" t="e">
        <f t="shared" si="55"/>
        <v>#DIV/0!</v>
      </c>
    </row>
    <row r="116" spans="1:27" ht="31.2">
      <c r="A116" s="124" t="s">
        <v>26</v>
      </c>
      <c r="B116" s="125" t="s">
        <v>172</v>
      </c>
      <c r="C116" s="124">
        <v>7</v>
      </c>
      <c r="D116" s="125" t="s">
        <v>173</v>
      </c>
      <c r="E116" s="125" t="s">
        <v>174</v>
      </c>
      <c r="F116" s="124" t="s">
        <v>150</v>
      </c>
      <c r="G116" s="124">
        <v>1</v>
      </c>
      <c r="H116" s="124">
        <v>1200</v>
      </c>
      <c r="I116" s="124">
        <v>0.65</v>
      </c>
      <c r="J116" s="124">
        <f t="shared" ref="J116:J118" si="61">I116*H116*G116</f>
        <v>780</v>
      </c>
      <c r="K116" s="126" t="s">
        <v>48</v>
      </c>
      <c r="L116" s="127">
        <f t="shared" si="49"/>
        <v>0.15</v>
      </c>
      <c r="M116" s="127">
        <f t="shared" si="50"/>
        <v>0.15</v>
      </c>
      <c r="N116" s="128">
        <v>60</v>
      </c>
      <c r="O116" s="128">
        <v>50</v>
      </c>
      <c r="P116" s="128">
        <v>50</v>
      </c>
      <c r="Q116" s="24">
        <f t="shared" si="51"/>
        <v>1200</v>
      </c>
      <c r="R116" s="11">
        <f>4000/12</f>
        <v>333.33333333333331</v>
      </c>
      <c r="S116" s="12">
        <f t="shared" si="56"/>
        <v>188.88970588235293</v>
      </c>
      <c r="T116" s="25">
        <f t="shared" si="52"/>
        <v>400000</v>
      </c>
      <c r="U116" s="26" t="e">
        <v>#DIV/0!</v>
      </c>
      <c r="V116" s="27">
        <f t="shared" si="57"/>
        <v>136.5</v>
      </c>
      <c r="W116" s="28">
        <f t="shared" si="58"/>
        <v>1470</v>
      </c>
      <c r="X116" s="29">
        <f t="shared" si="58"/>
        <v>7</v>
      </c>
      <c r="Y116" s="30">
        <f t="shared" si="54"/>
        <v>52.389705882352942</v>
      </c>
      <c r="Z116" s="31">
        <f t="shared" si="59"/>
        <v>28500000</v>
      </c>
      <c r="AA116" s="32">
        <f t="shared" si="55"/>
        <v>0.76469824957504506</v>
      </c>
    </row>
    <row r="117" spans="1:27" ht="31.2">
      <c r="A117" s="124"/>
      <c r="B117" s="125"/>
      <c r="C117" s="124"/>
      <c r="D117" s="125" t="s">
        <v>175</v>
      </c>
      <c r="E117" s="125" t="s">
        <v>176</v>
      </c>
      <c r="F117" s="124" t="s">
        <v>150</v>
      </c>
      <c r="G117" s="124">
        <v>1</v>
      </c>
      <c r="H117" s="124">
        <v>1200</v>
      </c>
      <c r="I117" s="124">
        <v>0.8</v>
      </c>
      <c r="J117" s="124">
        <f t="shared" si="61"/>
        <v>960</v>
      </c>
      <c r="K117" s="126" t="s">
        <v>48</v>
      </c>
      <c r="L117" s="127">
        <f t="shared" si="49"/>
        <v>0.1925</v>
      </c>
      <c r="M117" s="127">
        <f t="shared" si="50"/>
        <v>0.1925</v>
      </c>
      <c r="N117" s="128">
        <v>70</v>
      </c>
      <c r="O117" s="128">
        <v>55</v>
      </c>
      <c r="P117" s="128">
        <v>50</v>
      </c>
      <c r="Q117" s="24">
        <f t="shared" si="51"/>
        <v>1200</v>
      </c>
      <c r="R117" s="11">
        <f>5500/12</f>
        <v>458.33333333333331</v>
      </c>
      <c r="S117" s="12">
        <f t="shared" si="56"/>
        <v>235.23345588235293</v>
      </c>
      <c r="T117" s="25">
        <f t="shared" si="52"/>
        <v>550000</v>
      </c>
      <c r="U117" s="26" t="e">
        <v>#DIV/0!</v>
      </c>
      <c r="V117" s="27">
        <f t="shared" si="57"/>
        <v>168</v>
      </c>
      <c r="W117" s="28">
        <f t="shared" si="58"/>
        <v>1470</v>
      </c>
      <c r="X117" s="29">
        <f t="shared" si="58"/>
        <v>7</v>
      </c>
      <c r="Y117" s="30">
        <f t="shared" si="54"/>
        <v>67.233455882352942</v>
      </c>
      <c r="Z117" s="31">
        <f t="shared" si="59"/>
        <v>28500000</v>
      </c>
      <c r="AA117" s="32">
        <f t="shared" si="55"/>
        <v>0.94841899343841252</v>
      </c>
    </row>
    <row r="118" spans="1:27" ht="15.6">
      <c r="A118" s="124"/>
      <c r="B118" s="125"/>
      <c r="C118" s="124"/>
      <c r="D118" s="125" t="s">
        <v>177</v>
      </c>
      <c r="E118" s="125" t="s">
        <v>178</v>
      </c>
      <c r="F118" s="124" t="s">
        <v>150</v>
      </c>
      <c r="G118" s="124">
        <v>1</v>
      </c>
      <c r="H118" s="124">
        <v>1800</v>
      </c>
      <c r="I118" s="124">
        <v>0.85</v>
      </c>
      <c r="J118" s="124">
        <f t="shared" si="61"/>
        <v>1530</v>
      </c>
      <c r="K118" s="124"/>
      <c r="L118" s="127">
        <f t="shared" si="49"/>
        <v>0.14000000000000001</v>
      </c>
      <c r="M118" s="127">
        <f t="shared" si="50"/>
        <v>0.14000000000000001</v>
      </c>
      <c r="N118" s="128">
        <v>70</v>
      </c>
      <c r="O118" s="128">
        <v>40</v>
      </c>
      <c r="P118" s="128">
        <v>50</v>
      </c>
      <c r="Q118" s="24">
        <f t="shared" si="51"/>
        <v>1800</v>
      </c>
      <c r="R118" s="11">
        <f>4000/12</f>
        <v>333.33333333333331</v>
      </c>
      <c r="S118" s="12">
        <f t="shared" si="56"/>
        <v>211.09803921568627</v>
      </c>
      <c r="T118" s="25">
        <f t="shared" si="52"/>
        <v>600000</v>
      </c>
      <c r="U118" s="26" t="e">
        <v>#DIV/0!</v>
      </c>
      <c r="V118" s="27">
        <f t="shared" si="57"/>
        <v>178.5</v>
      </c>
      <c r="W118" s="28">
        <f t="shared" si="58"/>
        <v>1470</v>
      </c>
      <c r="X118" s="29">
        <f t="shared" si="58"/>
        <v>7</v>
      </c>
      <c r="Y118" s="30">
        <f t="shared" si="54"/>
        <v>32.598039215686278</v>
      </c>
      <c r="Z118" s="31">
        <f t="shared" si="59"/>
        <v>28500000</v>
      </c>
      <c r="AA118" s="32">
        <f t="shared" si="55"/>
        <v>0.57904514211406277</v>
      </c>
    </row>
    <row r="119" spans="1:27" ht="15.6">
      <c r="A119" s="122"/>
      <c r="B119" s="123"/>
      <c r="C119" s="122"/>
      <c r="D119" s="123"/>
      <c r="E119" s="123"/>
      <c r="F119" s="122"/>
      <c r="G119" s="122"/>
      <c r="H119" s="122"/>
      <c r="I119" s="122"/>
      <c r="J119" s="122"/>
      <c r="K119" s="122"/>
      <c r="L119" s="49">
        <f t="shared" si="49"/>
        <v>0</v>
      </c>
      <c r="M119" s="49" t="e">
        <f t="shared" si="50"/>
        <v>#DIV/0!</v>
      </c>
      <c r="N119" s="122"/>
      <c r="O119" s="122"/>
      <c r="P119" s="122"/>
      <c r="Q119" s="24">
        <f t="shared" si="51"/>
        <v>0</v>
      </c>
      <c r="R119" s="11">
        <f t="shared" si="60"/>
        <v>1750</v>
      </c>
      <c r="S119" s="12" t="e">
        <f t="shared" si="56"/>
        <v>#DIV/0!</v>
      </c>
      <c r="T119" s="25">
        <f t="shared" si="52"/>
        <v>0</v>
      </c>
      <c r="U119" s="26" t="e">
        <v>#DIV/0!</v>
      </c>
      <c r="V119" s="27">
        <f t="shared" si="57"/>
        <v>0</v>
      </c>
      <c r="W119" s="28">
        <f t="shared" si="58"/>
        <v>1470</v>
      </c>
      <c r="X119" s="29">
        <f t="shared" si="58"/>
        <v>7</v>
      </c>
      <c r="Y119" s="30" t="e">
        <f t="shared" si="54"/>
        <v>#DIV/0!</v>
      </c>
      <c r="Z119" s="31">
        <f t="shared" si="59"/>
        <v>28500000</v>
      </c>
      <c r="AA119" s="32" t="e">
        <f t="shared" si="55"/>
        <v>#DIV/0!</v>
      </c>
    </row>
    <row r="120" spans="1:27" ht="31.2">
      <c r="A120" s="129" t="s">
        <v>26</v>
      </c>
      <c r="B120" s="130" t="s">
        <v>179</v>
      </c>
      <c r="C120" s="129" t="s">
        <v>147</v>
      </c>
      <c r="D120" s="130" t="s">
        <v>180</v>
      </c>
      <c r="E120" s="130" t="s">
        <v>181</v>
      </c>
      <c r="F120" s="129" t="s">
        <v>182</v>
      </c>
      <c r="G120" s="129">
        <v>2</v>
      </c>
      <c r="H120" s="129">
        <v>120</v>
      </c>
      <c r="I120" s="129">
        <v>9</v>
      </c>
      <c r="J120" s="129">
        <f>I120*H120*G120</f>
        <v>2160</v>
      </c>
      <c r="K120" s="131" t="s">
        <v>48</v>
      </c>
      <c r="L120" s="22">
        <f t="shared" si="49"/>
        <v>0.26144000000000001</v>
      </c>
      <c r="M120" s="22">
        <f t="shared" si="50"/>
        <v>0.13072</v>
      </c>
      <c r="N120" s="128">
        <v>43</v>
      </c>
      <c r="O120" s="128">
        <v>80</v>
      </c>
      <c r="P120" s="128">
        <v>38</v>
      </c>
      <c r="Q120" s="24">
        <f t="shared" si="51"/>
        <v>240</v>
      </c>
      <c r="R120" s="11">
        <f>44000/12</f>
        <v>3666.6666666666665</v>
      </c>
      <c r="S120" s="12">
        <f t="shared" si="56"/>
        <v>2346.5588235294117</v>
      </c>
      <c r="T120" s="25">
        <f t="shared" si="52"/>
        <v>880000</v>
      </c>
      <c r="U120" s="26" t="e">
        <v>#DIV/0!</v>
      </c>
      <c r="V120" s="27">
        <f t="shared" si="57"/>
        <v>1890</v>
      </c>
      <c r="W120" s="28">
        <f t="shared" si="58"/>
        <v>1470</v>
      </c>
      <c r="X120" s="29">
        <f t="shared" si="58"/>
        <v>7</v>
      </c>
      <c r="Y120" s="30">
        <f t="shared" si="54"/>
        <v>456.55882352941177</v>
      </c>
      <c r="Z120" s="31">
        <f t="shared" si="59"/>
        <v>28500000</v>
      </c>
      <c r="AA120" s="32">
        <f t="shared" si="55"/>
        <v>0.56257180936623918</v>
      </c>
    </row>
    <row r="121" spans="1:27" ht="15.6">
      <c r="A121" s="129" t="s">
        <v>183</v>
      </c>
      <c r="B121" s="130"/>
      <c r="C121" s="129"/>
      <c r="D121" s="130" t="s">
        <v>180</v>
      </c>
      <c r="E121" s="130" t="s">
        <v>184</v>
      </c>
      <c r="F121" s="129" t="s">
        <v>182</v>
      </c>
      <c r="G121" s="129">
        <v>8</v>
      </c>
      <c r="H121" s="129">
        <v>120</v>
      </c>
      <c r="I121" s="129">
        <v>6.5</v>
      </c>
      <c r="J121" s="129">
        <f>I121*H121*G121</f>
        <v>6240</v>
      </c>
      <c r="K121" s="131" t="s">
        <v>48</v>
      </c>
      <c r="L121" s="22">
        <f t="shared" si="49"/>
        <v>1.024</v>
      </c>
      <c r="M121" s="132">
        <f t="shared" si="50"/>
        <v>0.128</v>
      </c>
      <c r="N121" s="128">
        <v>80</v>
      </c>
      <c r="O121" s="128">
        <v>40</v>
      </c>
      <c r="P121" s="128">
        <v>40</v>
      </c>
      <c r="Q121" s="24">
        <f t="shared" si="51"/>
        <v>960</v>
      </c>
      <c r="R121" s="11">
        <f>35000/12</f>
        <v>2916.6666666666665</v>
      </c>
      <c r="S121" s="12">
        <f t="shared" si="56"/>
        <v>1812.0588235294117</v>
      </c>
      <c r="T121" s="25">
        <f t="shared" si="52"/>
        <v>2800000</v>
      </c>
      <c r="U121" s="26" t="e">
        <v>#DIV/0!</v>
      </c>
      <c r="V121" s="27">
        <f t="shared" si="57"/>
        <v>1365</v>
      </c>
      <c r="W121" s="28">
        <f t="shared" si="58"/>
        <v>1470</v>
      </c>
      <c r="X121" s="29">
        <f t="shared" si="58"/>
        <v>7</v>
      </c>
      <c r="Y121" s="30">
        <f t="shared" si="54"/>
        <v>447.05882352941177</v>
      </c>
      <c r="Z121" s="31">
        <f t="shared" si="59"/>
        <v>28500000</v>
      </c>
      <c r="AA121" s="32">
        <f t="shared" si="55"/>
        <v>0.60958718822701941</v>
      </c>
    </row>
    <row r="122" spans="1:27" ht="15.6">
      <c r="A122" s="128"/>
      <c r="B122" s="133"/>
      <c r="C122" s="128"/>
      <c r="D122" s="133"/>
      <c r="E122" s="133"/>
      <c r="F122" s="128"/>
      <c r="G122" s="128"/>
      <c r="H122" s="128"/>
      <c r="I122" s="128"/>
      <c r="J122" s="128"/>
      <c r="K122" s="128"/>
      <c r="L122" s="134"/>
      <c r="M122" s="135"/>
      <c r="N122" s="136"/>
      <c r="O122" s="128"/>
      <c r="P122" s="128"/>
      <c r="T122" s="25"/>
      <c r="Z122" s="31">
        <f t="shared" si="59"/>
        <v>28500000</v>
      </c>
    </row>
    <row r="123" spans="1:27" ht="15.6">
      <c r="A123" s="122"/>
      <c r="B123" s="123"/>
      <c r="C123" s="137"/>
      <c r="D123" s="138"/>
      <c r="E123" s="138"/>
      <c r="F123" s="137"/>
      <c r="G123" s="137"/>
      <c r="H123" s="137"/>
      <c r="I123" s="137" t="s">
        <v>54</v>
      </c>
      <c r="J123" s="139">
        <f>SUM(J106:J122)</f>
        <v>17698</v>
      </c>
      <c r="K123" s="137"/>
      <c r="L123" s="137"/>
      <c r="M123" s="135"/>
      <c r="N123" s="122"/>
      <c r="O123" s="122"/>
      <c r="P123" s="122"/>
      <c r="T123" s="60"/>
      <c r="Z123" s="31">
        <f t="shared" si="59"/>
        <v>28500000</v>
      </c>
    </row>
    <row r="124" spans="1:27" ht="27.6">
      <c r="A124" s="122"/>
      <c r="B124" s="123"/>
      <c r="C124" s="137"/>
      <c r="D124" s="138" t="s">
        <v>185</v>
      </c>
      <c r="E124" s="138" t="s">
        <v>186</v>
      </c>
      <c r="F124" s="137">
        <v>8094229018</v>
      </c>
      <c r="G124" s="137" t="s">
        <v>187</v>
      </c>
      <c r="H124" s="140">
        <v>46199</v>
      </c>
      <c r="I124" s="137" t="s">
        <v>188</v>
      </c>
      <c r="J124" s="139">
        <v>2718</v>
      </c>
      <c r="K124" s="141">
        <v>388</v>
      </c>
      <c r="L124" s="137"/>
      <c r="M124" s="135"/>
      <c r="N124" s="122"/>
      <c r="O124" s="122"/>
      <c r="P124" s="122"/>
      <c r="Z124" s="31">
        <f t="shared" si="59"/>
        <v>28500000</v>
      </c>
    </row>
    <row r="125" spans="1:27" ht="15.6">
      <c r="A125" s="122"/>
      <c r="B125" s="123"/>
      <c r="C125" s="137"/>
      <c r="D125" s="138"/>
      <c r="E125" s="138"/>
      <c r="F125" s="137"/>
      <c r="G125" s="137"/>
      <c r="H125" s="137"/>
      <c r="I125" s="137" t="s">
        <v>189</v>
      </c>
      <c r="J125" s="139">
        <v>34868</v>
      </c>
      <c r="K125" s="137"/>
      <c r="L125" s="137"/>
      <c r="M125" s="135"/>
      <c r="N125" s="122"/>
      <c r="O125" s="122"/>
      <c r="P125" s="122"/>
      <c r="T125" s="25">
        <f>SUM(T106:T122)</f>
        <v>8313066.666666666</v>
      </c>
    </row>
    <row r="126" spans="1:27" ht="15.6">
      <c r="A126" s="122"/>
      <c r="B126" s="123"/>
      <c r="C126" s="137"/>
      <c r="D126" s="138"/>
      <c r="E126" s="138"/>
      <c r="F126" s="137"/>
      <c r="G126" s="137"/>
      <c r="H126" s="137"/>
      <c r="I126" s="137"/>
      <c r="J126" s="139"/>
      <c r="K126" s="137"/>
      <c r="L126" s="137"/>
      <c r="M126" s="135"/>
      <c r="N126" s="122"/>
      <c r="O126" s="122"/>
      <c r="P126" s="122"/>
      <c r="T126" s="25">
        <f>R128*Z123/68</f>
        <v>1383088.2352941176</v>
      </c>
    </row>
    <row r="127" spans="1:27" ht="15.6">
      <c r="A127" s="122"/>
      <c r="B127" s="123"/>
      <c r="C127" s="137"/>
      <c r="D127" s="138"/>
      <c r="E127" s="138"/>
      <c r="F127" s="137"/>
      <c r="G127" s="137"/>
      <c r="H127" s="142">
        <v>46196</v>
      </c>
      <c r="I127" s="143" t="s">
        <v>152</v>
      </c>
      <c r="J127" s="144">
        <f>2000000/206.6</f>
        <v>9680.5421103581812</v>
      </c>
      <c r="K127" s="143" t="s">
        <v>190</v>
      </c>
      <c r="L127" s="143"/>
      <c r="M127" s="135"/>
      <c r="N127" s="122"/>
      <c r="O127" s="122"/>
      <c r="P127" s="122"/>
      <c r="T127" s="25"/>
    </row>
    <row r="128" spans="1:27" ht="15.6">
      <c r="A128" s="122"/>
      <c r="B128" s="123"/>
      <c r="C128" s="137"/>
      <c r="D128" s="138"/>
      <c r="E128" s="138"/>
      <c r="F128" s="137"/>
      <c r="G128" s="137"/>
      <c r="H128" s="142">
        <v>46197</v>
      </c>
      <c r="I128" s="143" t="s">
        <v>152</v>
      </c>
      <c r="J128" s="144">
        <f>1305600/206.6</f>
        <v>6319.4578896418197</v>
      </c>
      <c r="K128" s="143" t="s">
        <v>191</v>
      </c>
      <c r="L128" s="143"/>
      <c r="M128" s="135"/>
      <c r="N128" s="122"/>
      <c r="O128" s="122"/>
      <c r="P128" s="122"/>
      <c r="R128" s="4">
        <v>3.3</v>
      </c>
      <c r="T128" s="25">
        <f>J123*W121/X121</f>
        <v>3716580</v>
      </c>
    </row>
    <row r="129" spans="1:27" ht="15.6">
      <c r="A129" s="122"/>
      <c r="B129" s="123"/>
      <c r="C129" s="137"/>
      <c r="D129" s="138"/>
      <c r="E129" s="138"/>
      <c r="F129" s="137"/>
      <c r="G129" s="137"/>
      <c r="H129" s="137"/>
      <c r="I129" s="137"/>
      <c r="J129" s="139"/>
      <c r="K129" s="137"/>
      <c r="L129" s="137"/>
      <c r="M129" s="135"/>
      <c r="N129" s="122"/>
      <c r="O129" s="122"/>
      <c r="P129" s="122"/>
      <c r="T129" s="25"/>
    </row>
    <row r="130" spans="1:27" ht="15.6">
      <c r="A130" s="122"/>
      <c r="B130" s="123"/>
      <c r="C130" s="137"/>
      <c r="D130" s="138"/>
      <c r="E130" s="138"/>
      <c r="F130" s="137"/>
      <c r="G130" s="137"/>
      <c r="H130" s="137"/>
      <c r="I130" s="137" t="s">
        <v>192</v>
      </c>
      <c r="J130" s="139">
        <f>J123+J124+J125-J127-J128</f>
        <v>39284</v>
      </c>
      <c r="K130" s="137"/>
      <c r="L130" s="137"/>
      <c r="M130" s="135"/>
      <c r="N130" s="122"/>
      <c r="O130" s="122"/>
      <c r="P130" s="122"/>
      <c r="T130" s="25"/>
    </row>
    <row r="131" spans="1:27" ht="15.6">
      <c r="A131" s="122"/>
      <c r="B131" s="123"/>
      <c r="C131" s="122"/>
      <c r="D131" s="123"/>
      <c r="E131" s="123"/>
      <c r="F131" s="122"/>
      <c r="G131" s="122"/>
      <c r="H131" s="122"/>
      <c r="I131" s="122"/>
      <c r="J131" s="118"/>
      <c r="K131" s="122"/>
      <c r="L131" s="122"/>
      <c r="M131" s="135"/>
      <c r="N131" s="122"/>
      <c r="O131" s="122"/>
      <c r="P131" s="122"/>
      <c r="T131" s="60">
        <f>T125-T126-T128</f>
        <v>3213398.4313725485</v>
      </c>
    </row>
    <row r="132" spans="1:27" ht="15.6">
      <c r="A132" s="122"/>
      <c r="B132" s="123"/>
      <c r="C132" s="122"/>
      <c r="D132" s="123"/>
      <c r="E132" s="123"/>
      <c r="F132" s="122"/>
      <c r="G132" s="122"/>
      <c r="H132" s="122"/>
      <c r="I132" s="122"/>
      <c r="J132" s="118"/>
      <c r="K132" s="122"/>
      <c r="L132" s="122"/>
      <c r="M132" s="135"/>
      <c r="N132" s="122"/>
      <c r="O132" s="122"/>
      <c r="P132" s="122"/>
    </row>
    <row r="133" spans="1:27" ht="15.6">
      <c r="A133" s="122"/>
      <c r="B133" s="123"/>
      <c r="C133" s="122"/>
      <c r="D133" s="123"/>
      <c r="E133" s="123"/>
      <c r="F133" s="122"/>
      <c r="G133" s="122"/>
      <c r="H133" s="122"/>
      <c r="I133" s="122"/>
      <c r="J133" s="118"/>
      <c r="K133" s="122"/>
      <c r="L133" s="122"/>
      <c r="M133" s="135"/>
      <c r="N133" s="122"/>
      <c r="O133" s="122"/>
      <c r="P133" s="122"/>
    </row>
    <row r="134" spans="1:27" ht="15.6">
      <c r="A134" s="122"/>
      <c r="B134" s="123"/>
      <c r="C134" s="122"/>
      <c r="D134" s="123"/>
      <c r="E134" s="123"/>
      <c r="F134" s="122"/>
      <c r="G134" s="122"/>
      <c r="H134" s="122"/>
      <c r="I134" s="122"/>
      <c r="J134" s="122"/>
      <c r="K134" s="122"/>
      <c r="L134" s="122"/>
      <c r="M134" s="135"/>
      <c r="N134" s="122"/>
      <c r="O134" s="122"/>
      <c r="P134" s="122"/>
    </row>
    <row r="135" spans="1:27" ht="31.2">
      <c r="A135" s="145">
        <v>8033004350</v>
      </c>
      <c r="B135" s="181" t="s">
        <v>63</v>
      </c>
      <c r="C135" s="182"/>
      <c r="D135" s="182"/>
      <c r="E135" s="182"/>
      <c r="F135" s="182"/>
      <c r="G135" s="182"/>
      <c r="H135" s="182"/>
      <c r="I135" s="182"/>
      <c r="J135" s="182"/>
      <c r="K135" s="183"/>
      <c r="L135" s="146" t="s">
        <v>15</v>
      </c>
      <c r="M135" s="135"/>
      <c r="N135" s="147" t="s">
        <v>3</v>
      </c>
      <c r="O135" s="148" t="s">
        <v>3</v>
      </c>
      <c r="P135" s="149" t="s">
        <v>3</v>
      </c>
    </row>
    <row r="136" spans="1:27" ht="38.4">
      <c r="A136" s="150" t="s">
        <v>193</v>
      </c>
      <c r="B136" s="151" t="s">
        <v>64</v>
      </c>
      <c r="C136" s="148" t="s">
        <v>6</v>
      </c>
      <c r="D136" s="151" t="s">
        <v>65</v>
      </c>
      <c r="E136" s="151" t="s">
        <v>8</v>
      </c>
      <c r="F136" s="148" t="s">
        <v>9</v>
      </c>
      <c r="G136" s="148" t="s">
        <v>10</v>
      </c>
      <c r="H136" s="148" t="s">
        <v>11</v>
      </c>
      <c r="I136" s="148" t="s">
        <v>12</v>
      </c>
      <c r="J136" s="148" t="s">
        <v>66</v>
      </c>
      <c r="K136" s="148" t="s">
        <v>14</v>
      </c>
      <c r="L136" s="128" t="s">
        <v>3</v>
      </c>
      <c r="M136" s="152" t="e">
        <f t="shared" si="50"/>
        <v>#VALUE!</v>
      </c>
      <c r="N136" s="136" t="s">
        <v>3</v>
      </c>
      <c r="O136" s="153"/>
      <c r="P136" s="154" t="s">
        <v>3</v>
      </c>
      <c r="Q136" s="10" t="s">
        <v>16</v>
      </c>
      <c r="R136" s="11" t="s">
        <v>17</v>
      </c>
      <c r="S136" s="12" t="s">
        <v>18</v>
      </c>
      <c r="T136" s="13" t="s">
        <v>19</v>
      </c>
      <c r="U136" s="14"/>
      <c r="V136" s="15" t="s">
        <v>20</v>
      </c>
      <c r="W136" s="15" t="s">
        <v>21</v>
      </c>
      <c r="X136" s="15" t="s">
        <v>22</v>
      </c>
      <c r="Y136" s="15" t="s">
        <v>23</v>
      </c>
      <c r="Z136" s="15" t="s">
        <v>24</v>
      </c>
      <c r="AA136" s="15" t="s">
        <v>25</v>
      </c>
    </row>
    <row r="137" spans="1:27" ht="20.399999999999999">
      <c r="A137" s="155" t="s">
        <v>26</v>
      </c>
      <c r="B137" s="156" t="s">
        <v>194</v>
      </c>
      <c r="C137" s="155">
        <v>8</v>
      </c>
      <c r="D137" s="157" t="s">
        <v>195</v>
      </c>
      <c r="E137" s="157" t="s">
        <v>196</v>
      </c>
      <c r="F137" s="155" t="s">
        <v>104</v>
      </c>
      <c r="G137" s="155">
        <v>1</v>
      </c>
      <c r="H137" s="155">
        <v>240</v>
      </c>
      <c r="I137" s="155">
        <v>6.8</v>
      </c>
      <c r="J137" s="155">
        <f>I137*H137*G137</f>
        <v>1632</v>
      </c>
      <c r="K137" s="158" t="s">
        <v>48</v>
      </c>
      <c r="L137" s="159">
        <f t="shared" ref="L137:L165" si="62">N137*O137*P137*G137/1000000</f>
        <v>6.3388E-2</v>
      </c>
      <c r="M137" s="49">
        <f t="shared" si="50"/>
        <v>6.3388E-2</v>
      </c>
      <c r="N137" s="128">
        <v>53</v>
      </c>
      <c r="O137" s="128">
        <v>46</v>
      </c>
      <c r="P137" s="128">
        <v>26</v>
      </c>
      <c r="Q137" s="24">
        <f t="shared" ref="Q137:Q165" si="63">G137*H137</f>
        <v>240</v>
      </c>
      <c r="R137" s="11">
        <f>30000/12</f>
        <v>2500</v>
      </c>
      <c r="S137" s="12">
        <f>V137+Y137</f>
        <v>1538.695955882353</v>
      </c>
      <c r="T137" s="25">
        <f t="shared" ref="T137:T165" si="64">R137*Q137</f>
        <v>600000</v>
      </c>
      <c r="U137" s="26" t="e">
        <v>#DIV/0!</v>
      </c>
      <c r="V137" s="27">
        <f>I137*W137/X137</f>
        <v>1428</v>
      </c>
      <c r="W137" s="28">
        <f>W121</f>
        <v>1470</v>
      </c>
      <c r="X137" s="28">
        <f t="shared" ref="X137:Z137" si="65">X121</f>
        <v>7</v>
      </c>
      <c r="Y137" s="30">
        <f t="shared" ref="Y137:Y165" si="66">M137*Z137/68/H137</f>
        <v>110.69595588235295</v>
      </c>
      <c r="Z137" s="28">
        <f t="shared" si="65"/>
        <v>28500000</v>
      </c>
      <c r="AA137" s="32">
        <f t="shared" ref="AA137:AA165" si="67">((R137-S137)/S137)</f>
        <v>0.62475243432117478</v>
      </c>
    </row>
    <row r="138" spans="1:27" ht="30.6">
      <c r="A138" s="155" t="s">
        <v>193</v>
      </c>
      <c r="B138" s="156" t="s">
        <v>197</v>
      </c>
      <c r="C138" s="155"/>
      <c r="D138" s="157" t="s">
        <v>198</v>
      </c>
      <c r="E138" s="157" t="s">
        <v>196</v>
      </c>
      <c r="F138" s="155" t="s">
        <v>104</v>
      </c>
      <c r="G138" s="155">
        <v>1</v>
      </c>
      <c r="H138" s="155">
        <v>240</v>
      </c>
      <c r="I138" s="155">
        <v>5.4</v>
      </c>
      <c r="J138" s="155">
        <f t="shared" ref="J138:J159" si="68">I138*H138*G138</f>
        <v>1296</v>
      </c>
      <c r="K138" s="158" t="s">
        <v>48</v>
      </c>
      <c r="L138" s="159">
        <f t="shared" si="62"/>
        <v>6.3250000000000001E-2</v>
      </c>
      <c r="M138" s="49">
        <f t="shared" si="50"/>
        <v>6.3250000000000001E-2</v>
      </c>
      <c r="N138" s="128">
        <v>55</v>
      </c>
      <c r="O138" s="128">
        <v>46</v>
      </c>
      <c r="P138" s="128">
        <v>25</v>
      </c>
      <c r="Q138" s="24">
        <f t="shared" si="63"/>
        <v>240</v>
      </c>
      <c r="R138" s="11">
        <f>24000/12</f>
        <v>2000</v>
      </c>
      <c r="S138" s="12">
        <f t="shared" ref="S138:S165" si="69">V138+Y138</f>
        <v>1244.4549632352944</v>
      </c>
      <c r="T138" s="25">
        <f t="shared" si="64"/>
        <v>480000</v>
      </c>
      <c r="U138" s="26" t="e">
        <v>#DIV/0!</v>
      </c>
      <c r="V138" s="27">
        <f t="shared" ref="V138:V165" si="70">I138*W138/X138</f>
        <v>1134.0000000000002</v>
      </c>
      <c r="W138" s="28">
        <f t="shared" ref="W138:X153" si="71">W137</f>
        <v>1470</v>
      </c>
      <c r="X138" s="29">
        <f t="shared" si="71"/>
        <v>7</v>
      </c>
      <c r="Y138" s="30">
        <f t="shared" si="66"/>
        <v>110.45496323529412</v>
      </c>
      <c r="Z138" s="31">
        <f t="shared" ref="Z138:Z165" si="72">Z137</f>
        <v>28500000</v>
      </c>
      <c r="AA138" s="32">
        <f>((R138-S138)/S138)</f>
        <v>0.60712927272230388</v>
      </c>
    </row>
    <row r="139" spans="1:27" ht="30.6">
      <c r="A139" s="155"/>
      <c r="B139" s="156" t="s">
        <v>199</v>
      </c>
      <c r="C139" s="155"/>
      <c r="D139" s="157" t="s">
        <v>200</v>
      </c>
      <c r="E139" s="157" t="s">
        <v>196</v>
      </c>
      <c r="F139" s="155" t="s">
        <v>104</v>
      </c>
      <c r="G139" s="155">
        <v>1</v>
      </c>
      <c r="H139" s="155">
        <v>240</v>
      </c>
      <c r="I139" s="155">
        <v>4.5</v>
      </c>
      <c r="J139" s="155">
        <f t="shared" si="68"/>
        <v>1080</v>
      </c>
      <c r="K139" s="155"/>
      <c r="L139" s="159">
        <f t="shared" si="62"/>
        <v>0.13975000000000001</v>
      </c>
      <c r="M139" s="49">
        <f t="shared" si="50"/>
        <v>0.13975000000000001</v>
      </c>
      <c r="N139" s="128">
        <v>65</v>
      </c>
      <c r="O139" s="128">
        <v>50</v>
      </c>
      <c r="P139" s="128">
        <v>43</v>
      </c>
      <c r="Q139" s="24">
        <f t="shared" si="63"/>
        <v>240</v>
      </c>
      <c r="R139" s="11">
        <f>23000/12</f>
        <v>1916.6666666666667</v>
      </c>
      <c r="S139" s="12">
        <f t="shared" si="69"/>
        <v>1189.0487132352941</v>
      </c>
      <c r="T139" s="25">
        <f t="shared" si="64"/>
        <v>460000</v>
      </c>
      <c r="U139" s="26" t="e">
        <v>#DIV/0!</v>
      </c>
      <c r="V139" s="27">
        <f t="shared" si="70"/>
        <v>945</v>
      </c>
      <c r="W139" s="28">
        <f t="shared" si="71"/>
        <v>1470</v>
      </c>
      <c r="X139" s="29">
        <f t="shared" si="71"/>
        <v>7</v>
      </c>
      <c r="Y139" s="30">
        <f t="shared" si="66"/>
        <v>244.04871323529414</v>
      </c>
      <c r="Z139" s="31">
        <f t="shared" si="72"/>
        <v>28500000</v>
      </c>
      <c r="AA139" s="32">
        <f t="shared" si="67"/>
        <v>0.61193283784950225</v>
      </c>
    </row>
    <row r="140" spans="1:27" ht="30.6">
      <c r="A140" s="155"/>
      <c r="B140" s="156" t="s">
        <v>201</v>
      </c>
      <c r="C140" s="155"/>
      <c r="D140" s="157" t="s">
        <v>202</v>
      </c>
      <c r="E140" s="157" t="s">
        <v>196</v>
      </c>
      <c r="F140" s="155" t="s">
        <v>104</v>
      </c>
      <c r="G140" s="155">
        <v>1</v>
      </c>
      <c r="H140" s="155">
        <v>200</v>
      </c>
      <c r="I140" s="155">
        <v>5.0999999999999996</v>
      </c>
      <c r="J140" s="155">
        <f t="shared" si="68"/>
        <v>1019.9999999999999</v>
      </c>
      <c r="K140" s="155"/>
      <c r="L140" s="159">
        <f t="shared" si="62"/>
        <v>7.7219999999999997E-2</v>
      </c>
      <c r="M140" s="49">
        <f t="shared" si="50"/>
        <v>7.7219999999999997E-2</v>
      </c>
      <c r="N140" s="128">
        <v>65</v>
      </c>
      <c r="O140" s="128">
        <v>44</v>
      </c>
      <c r="P140" s="128">
        <v>27</v>
      </c>
      <c r="Q140" s="24">
        <f t="shared" si="63"/>
        <v>200</v>
      </c>
      <c r="R140" s="11">
        <f>23000/12</f>
        <v>1916.6666666666667</v>
      </c>
      <c r="S140" s="12">
        <f t="shared" si="69"/>
        <v>1232.8213235294115</v>
      </c>
      <c r="T140" s="25">
        <f t="shared" si="64"/>
        <v>383333.33333333337</v>
      </c>
      <c r="U140" s="26" t="e">
        <v>#DIV/0!</v>
      </c>
      <c r="V140" s="27">
        <f t="shared" si="70"/>
        <v>1070.9999999999998</v>
      </c>
      <c r="W140" s="28">
        <f t="shared" si="71"/>
        <v>1470</v>
      </c>
      <c r="X140" s="29">
        <f t="shared" si="71"/>
        <v>7</v>
      </c>
      <c r="Y140" s="30">
        <f t="shared" si="66"/>
        <v>161.82132352941176</v>
      </c>
      <c r="Z140" s="31">
        <f t="shared" si="72"/>
        <v>28500000</v>
      </c>
      <c r="AA140" s="32">
        <f t="shared" si="67"/>
        <v>0.55469947678994758</v>
      </c>
    </row>
    <row r="141" spans="1:27" ht="30.6">
      <c r="A141" s="155"/>
      <c r="B141" s="156" t="s">
        <v>203</v>
      </c>
      <c r="C141" s="155"/>
      <c r="D141" s="157" t="s">
        <v>204</v>
      </c>
      <c r="E141" s="157" t="s">
        <v>196</v>
      </c>
      <c r="F141" s="155" t="s">
        <v>104</v>
      </c>
      <c r="G141" s="155">
        <v>1</v>
      </c>
      <c r="H141" s="155">
        <v>240</v>
      </c>
      <c r="I141" s="155">
        <v>4.0999999999999996</v>
      </c>
      <c r="J141" s="155">
        <f t="shared" si="68"/>
        <v>983.99999999999989</v>
      </c>
      <c r="K141" s="158" t="s">
        <v>48</v>
      </c>
      <c r="L141" s="159">
        <f t="shared" si="62"/>
        <v>8.8830000000000006E-2</v>
      </c>
      <c r="M141" s="49">
        <f t="shared" si="50"/>
        <v>8.8830000000000006E-2</v>
      </c>
      <c r="N141" s="128">
        <v>47</v>
      </c>
      <c r="O141" s="128">
        <v>45</v>
      </c>
      <c r="P141" s="128">
        <v>42</v>
      </c>
      <c r="Q141" s="24">
        <f t="shared" si="63"/>
        <v>240</v>
      </c>
      <c r="R141" s="11">
        <f>20000/12</f>
        <v>1666.6666666666667</v>
      </c>
      <c r="S141" s="12">
        <f t="shared" si="69"/>
        <v>1016.125919117647</v>
      </c>
      <c r="T141" s="25">
        <f t="shared" si="64"/>
        <v>400000</v>
      </c>
      <c r="U141" s="26" t="e">
        <v>#DIV/0!</v>
      </c>
      <c r="V141" s="27">
        <f t="shared" si="70"/>
        <v>860.99999999999989</v>
      </c>
      <c r="W141" s="28">
        <f t="shared" si="71"/>
        <v>1470</v>
      </c>
      <c r="X141" s="29">
        <f t="shared" si="71"/>
        <v>7</v>
      </c>
      <c r="Y141" s="30">
        <f t="shared" si="66"/>
        <v>155.12591911764704</v>
      </c>
      <c r="Z141" s="31">
        <f t="shared" si="72"/>
        <v>28500000</v>
      </c>
      <c r="AA141" s="32">
        <f t="shared" si="67"/>
        <v>0.64021666538524769</v>
      </c>
    </row>
    <row r="142" spans="1:27" ht="15.6">
      <c r="A142" s="122"/>
      <c r="B142" s="123"/>
      <c r="C142" s="122"/>
      <c r="D142" s="123"/>
      <c r="E142" s="123"/>
      <c r="F142" s="122"/>
      <c r="G142" s="122"/>
      <c r="H142" s="122"/>
      <c r="I142" s="122"/>
      <c r="J142" s="122"/>
      <c r="K142" s="122"/>
      <c r="L142" s="160">
        <f t="shared" si="62"/>
        <v>0</v>
      </c>
      <c r="M142" s="161" t="e">
        <f t="shared" si="50"/>
        <v>#DIV/0!</v>
      </c>
      <c r="N142" s="122"/>
      <c r="O142" s="122"/>
      <c r="P142" s="122"/>
      <c r="Q142" s="24">
        <f t="shared" si="63"/>
        <v>0</v>
      </c>
      <c r="R142" s="11">
        <f t="shared" ref="R142" si="73">6000/12</f>
        <v>500</v>
      </c>
      <c r="S142" s="12" t="e">
        <f t="shared" si="69"/>
        <v>#DIV/0!</v>
      </c>
      <c r="T142" s="25">
        <f t="shared" si="64"/>
        <v>0</v>
      </c>
      <c r="U142" s="26" t="e">
        <v>#DIV/0!</v>
      </c>
      <c r="V142" s="27">
        <f t="shared" si="70"/>
        <v>0</v>
      </c>
      <c r="W142" s="28">
        <f t="shared" si="71"/>
        <v>1470</v>
      </c>
      <c r="X142" s="29">
        <f t="shared" si="71"/>
        <v>7</v>
      </c>
      <c r="Y142" s="30" t="e">
        <f t="shared" si="66"/>
        <v>#DIV/0!</v>
      </c>
      <c r="Z142" s="31">
        <f t="shared" si="72"/>
        <v>28500000</v>
      </c>
      <c r="AA142" s="32" t="e">
        <f t="shared" si="67"/>
        <v>#DIV/0!</v>
      </c>
    </row>
    <row r="143" spans="1:27" ht="39.75" customHeight="1">
      <c r="A143" s="162" t="s">
        <v>26</v>
      </c>
      <c r="B143" s="163" t="s">
        <v>205</v>
      </c>
      <c r="C143" s="162">
        <v>12</v>
      </c>
      <c r="D143" s="163" t="s">
        <v>29</v>
      </c>
      <c r="E143" s="163" t="s">
        <v>206</v>
      </c>
      <c r="F143" s="162"/>
      <c r="G143" s="162">
        <v>3</v>
      </c>
      <c r="H143" s="162">
        <v>120</v>
      </c>
      <c r="I143" s="162">
        <v>1.5</v>
      </c>
      <c r="J143" s="162">
        <f t="shared" si="68"/>
        <v>540</v>
      </c>
      <c r="K143" s="162"/>
      <c r="L143" s="164">
        <f t="shared" si="62"/>
        <v>0.44232300000000002</v>
      </c>
      <c r="M143" s="39">
        <f t="shared" si="50"/>
        <v>0.14744100000000002</v>
      </c>
      <c r="N143" s="128">
        <v>59</v>
      </c>
      <c r="O143" s="128">
        <v>49</v>
      </c>
      <c r="P143" s="128">
        <v>51</v>
      </c>
      <c r="Q143" s="24">
        <f t="shared" si="63"/>
        <v>360</v>
      </c>
      <c r="R143" s="11">
        <f t="shared" ref="R143:R165" si="74">S143*1.6</f>
        <v>1327.9350000000004</v>
      </c>
      <c r="S143" s="12">
        <f t="shared" si="69"/>
        <v>829.95937500000014</v>
      </c>
      <c r="T143" s="25">
        <f t="shared" si="64"/>
        <v>478056.60000000015</v>
      </c>
      <c r="U143" s="26" t="e">
        <v>#DIV/0!</v>
      </c>
      <c r="V143" s="27">
        <f t="shared" si="70"/>
        <v>315</v>
      </c>
      <c r="W143" s="28">
        <f t="shared" si="71"/>
        <v>1470</v>
      </c>
      <c r="X143" s="29">
        <f t="shared" si="71"/>
        <v>7</v>
      </c>
      <c r="Y143" s="30">
        <f t="shared" si="66"/>
        <v>514.95937500000014</v>
      </c>
      <c r="Z143" s="31">
        <f t="shared" si="72"/>
        <v>28500000</v>
      </c>
      <c r="AA143" s="32">
        <f t="shared" si="67"/>
        <v>0.6000000000000002</v>
      </c>
    </row>
    <row r="144" spans="1:27" ht="51" customHeight="1">
      <c r="A144" s="162"/>
      <c r="B144" s="163"/>
      <c r="C144" s="162"/>
      <c r="D144" s="163" t="s">
        <v>33</v>
      </c>
      <c r="E144" s="163" t="s">
        <v>206</v>
      </c>
      <c r="F144" s="162"/>
      <c r="G144" s="162">
        <v>1</v>
      </c>
      <c r="H144" s="162">
        <v>40</v>
      </c>
      <c r="I144" s="162">
        <v>1.5</v>
      </c>
      <c r="J144" s="162">
        <f t="shared" si="68"/>
        <v>60</v>
      </c>
      <c r="K144" s="162"/>
      <c r="L144" s="164">
        <f t="shared" si="62"/>
        <v>5.1150000000000001E-2</v>
      </c>
      <c r="M144" s="39">
        <f t="shared" si="50"/>
        <v>5.1150000000000001E-2</v>
      </c>
      <c r="N144" s="128">
        <v>33</v>
      </c>
      <c r="O144" s="128">
        <v>50</v>
      </c>
      <c r="P144" s="128">
        <v>31</v>
      </c>
      <c r="Q144" s="24">
        <f t="shared" si="63"/>
        <v>40</v>
      </c>
      <c r="R144" s="11">
        <f t="shared" si="74"/>
        <v>1361.5147058823532</v>
      </c>
      <c r="S144" s="12">
        <f t="shared" si="69"/>
        <v>850.94669117647061</v>
      </c>
      <c r="T144" s="25">
        <f t="shared" si="64"/>
        <v>54460.588235294126</v>
      </c>
      <c r="U144" s="26" t="e">
        <v>#DIV/0!</v>
      </c>
      <c r="V144" s="27">
        <f t="shared" si="70"/>
        <v>315</v>
      </c>
      <c r="W144" s="28">
        <f t="shared" si="71"/>
        <v>1470</v>
      </c>
      <c r="X144" s="29">
        <f t="shared" si="71"/>
        <v>7</v>
      </c>
      <c r="Y144" s="30">
        <f t="shared" si="66"/>
        <v>535.94669117647061</v>
      </c>
      <c r="Z144" s="31">
        <f t="shared" si="72"/>
        <v>28500000</v>
      </c>
      <c r="AA144" s="32">
        <f t="shared" si="67"/>
        <v>0.6000000000000002</v>
      </c>
    </row>
    <row r="145" spans="1:27" ht="54.75" customHeight="1">
      <c r="A145" s="162"/>
      <c r="B145" s="163"/>
      <c r="C145" s="162"/>
      <c r="D145" s="163" t="s">
        <v>37</v>
      </c>
      <c r="E145" s="163" t="s">
        <v>207</v>
      </c>
      <c r="F145" s="162" t="s">
        <v>35</v>
      </c>
      <c r="G145" s="162">
        <v>2</v>
      </c>
      <c r="H145" s="162">
        <v>60</v>
      </c>
      <c r="I145" s="162">
        <v>12</v>
      </c>
      <c r="J145" s="162">
        <f t="shared" si="68"/>
        <v>1440</v>
      </c>
      <c r="K145" s="162"/>
      <c r="L145" s="164">
        <f t="shared" si="62"/>
        <v>8.8059999999999999E-2</v>
      </c>
      <c r="M145" s="39">
        <f t="shared" si="50"/>
        <v>4.403E-2</v>
      </c>
      <c r="N145" s="128">
        <v>34</v>
      </c>
      <c r="O145" s="128">
        <v>37</v>
      </c>
      <c r="P145" s="128">
        <v>35</v>
      </c>
      <c r="Q145" s="24">
        <f t="shared" si="63"/>
        <v>120</v>
      </c>
      <c r="R145" s="11">
        <f t="shared" si="74"/>
        <v>4524.1000000000004</v>
      </c>
      <c r="S145" s="12">
        <f t="shared" si="69"/>
        <v>2827.5625</v>
      </c>
      <c r="T145" s="25">
        <f t="shared" si="64"/>
        <v>542892</v>
      </c>
      <c r="U145" s="26" t="e">
        <v>#DIV/0!</v>
      </c>
      <c r="V145" s="27">
        <f t="shared" si="70"/>
        <v>2520</v>
      </c>
      <c r="W145" s="28">
        <f t="shared" si="71"/>
        <v>1470</v>
      </c>
      <c r="X145" s="29">
        <f t="shared" si="71"/>
        <v>7</v>
      </c>
      <c r="Y145" s="30">
        <f t="shared" si="66"/>
        <v>307.5625</v>
      </c>
      <c r="Z145" s="31">
        <f t="shared" si="72"/>
        <v>28500000</v>
      </c>
      <c r="AA145" s="32">
        <f t="shared" si="67"/>
        <v>0.60000000000000009</v>
      </c>
    </row>
    <row r="146" spans="1:27" ht="51.75" customHeight="1">
      <c r="A146" s="162"/>
      <c r="B146" s="163"/>
      <c r="C146" s="162"/>
      <c r="D146" s="163" t="s">
        <v>208</v>
      </c>
      <c r="E146" s="163" t="s">
        <v>209</v>
      </c>
      <c r="F146" s="162" t="s">
        <v>35</v>
      </c>
      <c r="G146" s="162">
        <v>1</v>
      </c>
      <c r="H146" s="162">
        <v>96</v>
      </c>
      <c r="I146" s="162">
        <v>3.2</v>
      </c>
      <c r="J146" s="162">
        <f t="shared" si="68"/>
        <v>307.20000000000005</v>
      </c>
      <c r="K146" s="162"/>
      <c r="L146" s="164">
        <f t="shared" si="62"/>
        <v>2.7231999999999999E-2</v>
      </c>
      <c r="M146" s="39">
        <f t="shared" si="50"/>
        <v>2.7231999999999999E-2</v>
      </c>
      <c r="N146" s="128">
        <v>32</v>
      </c>
      <c r="O146" s="128">
        <v>23</v>
      </c>
      <c r="P146" s="128">
        <v>37</v>
      </c>
      <c r="Q146" s="24">
        <f t="shared" si="63"/>
        <v>96</v>
      </c>
      <c r="R146" s="11">
        <f t="shared" si="74"/>
        <v>1265.4235294117648</v>
      </c>
      <c r="S146" s="12">
        <f t="shared" si="69"/>
        <v>790.88970588235293</v>
      </c>
      <c r="T146" s="25">
        <f t="shared" si="64"/>
        <v>121480.65882352942</v>
      </c>
      <c r="U146" s="26" t="e">
        <v>#DIV/0!</v>
      </c>
      <c r="V146" s="27">
        <f t="shared" si="70"/>
        <v>672</v>
      </c>
      <c r="W146" s="28">
        <f t="shared" si="71"/>
        <v>1470</v>
      </c>
      <c r="X146" s="29">
        <f t="shared" si="71"/>
        <v>7</v>
      </c>
      <c r="Y146" s="30">
        <f t="shared" si="66"/>
        <v>118.88970588235294</v>
      </c>
      <c r="Z146" s="31">
        <f t="shared" si="72"/>
        <v>28500000</v>
      </c>
      <c r="AA146" s="32">
        <f t="shared" si="67"/>
        <v>0.60000000000000009</v>
      </c>
    </row>
    <row r="147" spans="1:27" ht="52.5" customHeight="1">
      <c r="A147" s="162"/>
      <c r="B147" s="163"/>
      <c r="C147" s="162"/>
      <c r="D147" s="163" t="s">
        <v>210</v>
      </c>
      <c r="E147" s="163" t="s">
        <v>211</v>
      </c>
      <c r="F147" s="162" t="s">
        <v>35</v>
      </c>
      <c r="G147" s="162">
        <v>1</v>
      </c>
      <c r="H147" s="162">
        <v>100</v>
      </c>
      <c r="I147" s="162">
        <v>3</v>
      </c>
      <c r="J147" s="162">
        <f t="shared" si="68"/>
        <v>300</v>
      </c>
      <c r="K147" s="162"/>
      <c r="L147" s="164">
        <f t="shared" si="62"/>
        <v>6.5339999999999995E-2</v>
      </c>
      <c r="M147" s="39">
        <f t="shared" si="50"/>
        <v>6.5339999999999995E-2</v>
      </c>
      <c r="N147" s="128">
        <v>44</v>
      </c>
      <c r="O147" s="128">
        <v>45</v>
      </c>
      <c r="P147" s="128">
        <v>33</v>
      </c>
      <c r="Q147" s="24">
        <f t="shared" si="63"/>
        <v>100</v>
      </c>
      <c r="R147" s="11">
        <f t="shared" si="74"/>
        <v>1446.1623529411766</v>
      </c>
      <c r="S147" s="12">
        <f t="shared" si="69"/>
        <v>903.85147058823532</v>
      </c>
      <c r="T147" s="25">
        <f t="shared" si="64"/>
        <v>144616.23529411765</v>
      </c>
      <c r="U147" s="26" t="e">
        <v>#DIV/0!</v>
      </c>
      <c r="V147" s="27">
        <f t="shared" si="70"/>
        <v>630</v>
      </c>
      <c r="W147" s="28">
        <f t="shared" si="71"/>
        <v>1470</v>
      </c>
      <c r="X147" s="29">
        <f t="shared" si="71"/>
        <v>7</v>
      </c>
      <c r="Y147" s="30">
        <f t="shared" si="66"/>
        <v>273.85147058823526</v>
      </c>
      <c r="Z147" s="31">
        <f t="shared" si="72"/>
        <v>28500000</v>
      </c>
      <c r="AA147" s="32">
        <f t="shared" si="67"/>
        <v>0.60000000000000009</v>
      </c>
    </row>
    <row r="148" spans="1:27" ht="52.5" customHeight="1">
      <c r="A148" s="162"/>
      <c r="B148" s="163"/>
      <c r="C148" s="162"/>
      <c r="D148" s="163" t="s">
        <v>212</v>
      </c>
      <c r="E148" s="163" t="s">
        <v>213</v>
      </c>
      <c r="F148" s="162" t="s">
        <v>35</v>
      </c>
      <c r="G148" s="162">
        <v>1</v>
      </c>
      <c r="H148" s="162">
        <v>30</v>
      </c>
      <c r="I148" s="162">
        <v>7.5</v>
      </c>
      <c r="J148" s="162">
        <f t="shared" si="68"/>
        <v>225</v>
      </c>
      <c r="K148" s="162"/>
      <c r="L148" s="164">
        <f t="shared" si="62"/>
        <v>2.47E-2</v>
      </c>
      <c r="M148" s="39">
        <f t="shared" si="50"/>
        <v>2.47E-2</v>
      </c>
      <c r="N148" s="128">
        <v>38</v>
      </c>
      <c r="O148" s="128">
        <v>25</v>
      </c>
      <c r="P148" s="128">
        <v>26</v>
      </c>
      <c r="Q148" s="24">
        <f t="shared" si="63"/>
        <v>30</v>
      </c>
      <c r="R148" s="11">
        <f t="shared" si="74"/>
        <v>3072.1176470588234</v>
      </c>
      <c r="S148" s="12">
        <f t="shared" si="69"/>
        <v>1920.0735294117646</v>
      </c>
      <c r="T148" s="25">
        <f t="shared" si="64"/>
        <v>92163.529411764699</v>
      </c>
      <c r="U148" s="26" t="e">
        <v>#DIV/0!</v>
      </c>
      <c r="V148" s="27">
        <f t="shared" si="70"/>
        <v>1575</v>
      </c>
      <c r="W148" s="28">
        <f t="shared" si="71"/>
        <v>1470</v>
      </c>
      <c r="X148" s="29">
        <f t="shared" si="71"/>
        <v>7</v>
      </c>
      <c r="Y148" s="30">
        <f t="shared" si="66"/>
        <v>345.0735294117647</v>
      </c>
      <c r="Z148" s="31">
        <f t="shared" si="72"/>
        <v>28500000</v>
      </c>
      <c r="AA148" s="32">
        <f t="shared" si="67"/>
        <v>0.6</v>
      </c>
    </row>
    <row r="149" spans="1:27" ht="54" customHeight="1">
      <c r="A149" s="162"/>
      <c r="B149" s="163"/>
      <c r="C149" s="162"/>
      <c r="D149" s="163" t="s">
        <v>214</v>
      </c>
      <c r="E149" s="163" t="s">
        <v>215</v>
      </c>
      <c r="F149" s="162" t="s">
        <v>216</v>
      </c>
      <c r="G149" s="162">
        <v>1</v>
      </c>
      <c r="H149" s="162">
        <v>144</v>
      </c>
      <c r="I149" s="162">
        <v>1.45</v>
      </c>
      <c r="J149" s="162">
        <f t="shared" si="68"/>
        <v>208.79999999999998</v>
      </c>
      <c r="K149" s="162"/>
      <c r="L149" s="164">
        <f t="shared" si="62"/>
        <v>0.10143000000000001</v>
      </c>
      <c r="M149" s="39">
        <f t="shared" si="50"/>
        <v>0.10143000000000001</v>
      </c>
      <c r="N149" s="128">
        <v>63</v>
      </c>
      <c r="O149" s="128">
        <v>46</v>
      </c>
      <c r="P149" s="128">
        <v>35</v>
      </c>
      <c r="Q149" s="24">
        <f t="shared" si="63"/>
        <v>144</v>
      </c>
      <c r="R149" s="11">
        <f t="shared" si="74"/>
        <v>959.54558823529408</v>
      </c>
      <c r="S149" s="12">
        <f t="shared" si="69"/>
        <v>599.71599264705878</v>
      </c>
      <c r="T149" s="25">
        <f t="shared" si="64"/>
        <v>138174.56470588234</v>
      </c>
      <c r="U149" s="26" t="e">
        <v>#DIV/0!</v>
      </c>
      <c r="V149" s="27">
        <f t="shared" si="70"/>
        <v>304.5</v>
      </c>
      <c r="W149" s="28">
        <f t="shared" si="71"/>
        <v>1470</v>
      </c>
      <c r="X149" s="29">
        <f t="shared" si="71"/>
        <v>7</v>
      </c>
      <c r="Y149" s="30">
        <f t="shared" si="66"/>
        <v>295.21599264705878</v>
      </c>
      <c r="Z149" s="31">
        <f t="shared" si="72"/>
        <v>28500000</v>
      </c>
      <c r="AA149" s="32">
        <f t="shared" si="67"/>
        <v>0.60000000000000009</v>
      </c>
    </row>
    <row r="150" spans="1:27" ht="49.5" customHeight="1">
      <c r="A150" s="162"/>
      <c r="B150" s="163"/>
      <c r="C150" s="162"/>
      <c r="D150" s="163" t="s">
        <v>217</v>
      </c>
      <c r="E150" s="163" t="s">
        <v>34</v>
      </c>
      <c r="F150" s="162" t="s">
        <v>35</v>
      </c>
      <c r="G150" s="162">
        <v>1</v>
      </c>
      <c r="H150" s="162">
        <v>240</v>
      </c>
      <c r="I150" s="162">
        <v>1.55</v>
      </c>
      <c r="J150" s="162">
        <f t="shared" si="68"/>
        <v>372</v>
      </c>
      <c r="K150" s="162"/>
      <c r="L150" s="164">
        <f t="shared" si="62"/>
        <v>6.2774999999999997E-2</v>
      </c>
      <c r="M150" s="39">
        <f t="shared" si="50"/>
        <v>6.2774999999999997E-2</v>
      </c>
      <c r="N150" s="128">
        <v>45</v>
      </c>
      <c r="O150" s="128">
        <v>45</v>
      </c>
      <c r="P150" s="128">
        <v>31</v>
      </c>
      <c r="Q150" s="24">
        <f t="shared" si="63"/>
        <v>240</v>
      </c>
      <c r="R150" s="11">
        <f t="shared" si="74"/>
        <v>696.20073529411775</v>
      </c>
      <c r="S150" s="12">
        <f t="shared" si="69"/>
        <v>435.12545955882354</v>
      </c>
      <c r="T150" s="25">
        <f t="shared" si="64"/>
        <v>167088.17647058825</v>
      </c>
      <c r="U150" s="26" t="e">
        <v>#DIV/0!</v>
      </c>
      <c r="V150" s="27">
        <f t="shared" si="70"/>
        <v>325.5</v>
      </c>
      <c r="W150" s="28">
        <f t="shared" si="71"/>
        <v>1470</v>
      </c>
      <c r="X150" s="29">
        <f t="shared" si="71"/>
        <v>7</v>
      </c>
      <c r="Y150" s="30">
        <f t="shared" si="66"/>
        <v>109.62545955882352</v>
      </c>
      <c r="Z150" s="31">
        <f t="shared" si="72"/>
        <v>28500000</v>
      </c>
      <c r="AA150" s="32">
        <f t="shared" si="67"/>
        <v>0.6000000000000002</v>
      </c>
    </row>
    <row r="151" spans="1:27" ht="45.75" customHeight="1">
      <c r="A151" s="162"/>
      <c r="B151" s="163"/>
      <c r="C151" s="162"/>
      <c r="D151" s="163" t="s">
        <v>218</v>
      </c>
      <c r="E151" s="163" t="s">
        <v>219</v>
      </c>
      <c r="F151" s="162" t="s">
        <v>35</v>
      </c>
      <c r="G151" s="162">
        <v>1</v>
      </c>
      <c r="H151" s="162">
        <v>100</v>
      </c>
      <c r="I151" s="162">
        <v>2.2000000000000002</v>
      </c>
      <c r="J151" s="162">
        <f t="shared" si="68"/>
        <v>220.00000000000003</v>
      </c>
      <c r="K151" s="162"/>
      <c r="L151" s="164">
        <f t="shared" si="62"/>
        <v>8.3753999999999995E-2</v>
      </c>
      <c r="M151" s="39">
        <f t="shared" si="50"/>
        <v>8.3753999999999995E-2</v>
      </c>
      <c r="N151" s="128">
        <v>54</v>
      </c>
      <c r="O151" s="128">
        <v>47</v>
      </c>
      <c r="P151" s="128">
        <v>33</v>
      </c>
      <c r="Q151" s="24">
        <f t="shared" si="63"/>
        <v>100</v>
      </c>
      <c r="R151" s="11">
        <f t="shared" si="74"/>
        <v>1300.8444705882355</v>
      </c>
      <c r="S151" s="12">
        <f t="shared" si="69"/>
        <v>813.02779411764709</v>
      </c>
      <c r="T151" s="25">
        <f t="shared" si="64"/>
        <v>130084.44705882354</v>
      </c>
      <c r="U151" s="26" t="e">
        <v>#DIV/0!</v>
      </c>
      <c r="V151" s="27">
        <f t="shared" si="70"/>
        <v>462.00000000000006</v>
      </c>
      <c r="W151" s="28">
        <f t="shared" si="71"/>
        <v>1470</v>
      </c>
      <c r="X151" s="29">
        <f t="shared" si="71"/>
        <v>7</v>
      </c>
      <c r="Y151" s="30">
        <f t="shared" si="66"/>
        <v>351.02779411764709</v>
      </c>
      <c r="Z151" s="31">
        <f t="shared" si="72"/>
        <v>28500000</v>
      </c>
      <c r="AA151" s="32">
        <f t="shared" si="67"/>
        <v>0.6000000000000002</v>
      </c>
    </row>
    <row r="152" spans="1:27" ht="49.5" customHeight="1">
      <c r="A152" s="162"/>
      <c r="B152" s="163"/>
      <c r="C152" s="162"/>
      <c r="D152" s="163" t="s">
        <v>220</v>
      </c>
      <c r="E152" s="163" t="s">
        <v>221</v>
      </c>
      <c r="F152" s="162" t="s">
        <v>35</v>
      </c>
      <c r="G152" s="162">
        <v>1</v>
      </c>
      <c r="H152" s="162">
        <v>60</v>
      </c>
      <c r="I152" s="162">
        <v>5</v>
      </c>
      <c r="J152" s="162">
        <f t="shared" si="68"/>
        <v>300</v>
      </c>
      <c r="K152" s="162"/>
      <c r="L152" s="164">
        <f t="shared" si="62"/>
        <v>5.8351E-2</v>
      </c>
      <c r="M152" s="39">
        <f t="shared" si="50"/>
        <v>5.8351E-2</v>
      </c>
      <c r="N152" s="128">
        <v>59</v>
      </c>
      <c r="O152" s="128">
        <v>43</v>
      </c>
      <c r="P152" s="128">
        <v>23</v>
      </c>
      <c r="Q152" s="24">
        <f t="shared" si="63"/>
        <v>60</v>
      </c>
      <c r="R152" s="11">
        <f t="shared" si="74"/>
        <v>2332.1582352941177</v>
      </c>
      <c r="S152" s="12">
        <f t="shared" si="69"/>
        <v>1457.5988970588235</v>
      </c>
      <c r="T152" s="25">
        <f t="shared" si="64"/>
        <v>139929.49411764706</v>
      </c>
      <c r="U152" s="26" t="e">
        <v>#DIV/0!</v>
      </c>
      <c r="V152" s="27">
        <f t="shared" si="70"/>
        <v>1050</v>
      </c>
      <c r="W152" s="28">
        <f t="shared" si="71"/>
        <v>1470</v>
      </c>
      <c r="X152" s="29">
        <f t="shared" si="71"/>
        <v>7</v>
      </c>
      <c r="Y152" s="30">
        <f t="shared" si="66"/>
        <v>407.59889705882352</v>
      </c>
      <c r="Z152" s="31">
        <f t="shared" si="72"/>
        <v>28500000</v>
      </c>
      <c r="AA152" s="32">
        <f t="shared" si="67"/>
        <v>0.60000000000000009</v>
      </c>
    </row>
    <row r="153" spans="1:27" ht="49.5" customHeight="1">
      <c r="A153" s="162"/>
      <c r="B153" s="163"/>
      <c r="C153" s="162"/>
      <c r="D153" s="163" t="s">
        <v>222</v>
      </c>
      <c r="E153" s="163" t="s">
        <v>223</v>
      </c>
      <c r="F153" s="162" t="s">
        <v>35</v>
      </c>
      <c r="G153" s="162">
        <v>1</v>
      </c>
      <c r="H153" s="162">
        <v>24</v>
      </c>
      <c r="I153" s="162">
        <v>8</v>
      </c>
      <c r="J153" s="162">
        <f t="shared" si="68"/>
        <v>192</v>
      </c>
      <c r="K153" s="162"/>
      <c r="L153" s="164">
        <f t="shared" si="62"/>
        <v>4.675E-2</v>
      </c>
      <c r="M153" s="39">
        <f t="shared" si="50"/>
        <v>4.675E-2</v>
      </c>
      <c r="N153" s="128">
        <v>34</v>
      </c>
      <c r="O153" s="128">
        <v>25</v>
      </c>
      <c r="P153" s="128">
        <v>55</v>
      </c>
      <c r="Q153" s="24">
        <f t="shared" si="63"/>
        <v>24</v>
      </c>
      <c r="R153" s="11">
        <f t="shared" si="74"/>
        <v>3994.25</v>
      </c>
      <c r="S153" s="12">
        <f t="shared" si="69"/>
        <v>2496.40625</v>
      </c>
      <c r="T153" s="25">
        <f t="shared" si="64"/>
        <v>95862</v>
      </c>
      <c r="U153" s="26" t="e">
        <v>#DIV/0!</v>
      </c>
      <c r="V153" s="27">
        <f t="shared" si="70"/>
        <v>1680</v>
      </c>
      <c r="W153" s="28">
        <f t="shared" si="71"/>
        <v>1470</v>
      </c>
      <c r="X153" s="29">
        <f t="shared" si="71"/>
        <v>7</v>
      </c>
      <c r="Y153" s="30">
        <f t="shared" si="66"/>
        <v>816.40625</v>
      </c>
      <c r="Z153" s="31">
        <f t="shared" si="72"/>
        <v>28500000</v>
      </c>
      <c r="AA153" s="32">
        <f t="shared" si="67"/>
        <v>0.6</v>
      </c>
    </row>
    <row r="154" spans="1:27" ht="48.75" customHeight="1">
      <c r="A154" s="162"/>
      <c r="B154" s="163"/>
      <c r="C154" s="162"/>
      <c r="D154" s="163" t="s">
        <v>224</v>
      </c>
      <c r="E154" s="163" t="s">
        <v>207</v>
      </c>
      <c r="F154" s="162" t="s">
        <v>35</v>
      </c>
      <c r="G154" s="162">
        <v>1</v>
      </c>
      <c r="H154" s="162">
        <v>240</v>
      </c>
      <c r="I154" s="162">
        <v>2.8</v>
      </c>
      <c r="J154" s="162">
        <f t="shared" si="68"/>
        <v>672</v>
      </c>
      <c r="K154" s="162"/>
      <c r="L154" s="164">
        <f t="shared" si="62"/>
        <v>4.5080000000000002E-2</v>
      </c>
      <c r="M154" s="39">
        <f t="shared" si="50"/>
        <v>4.5080000000000002E-2</v>
      </c>
      <c r="N154" s="128">
        <v>49</v>
      </c>
      <c r="O154" s="128">
        <v>40</v>
      </c>
      <c r="P154" s="128">
        <v>23</v>
      </c>
      <c r="Q154" s="24">
        <f t="shared" si="63"/>
        <v>240</v>
      </c>
      <c r="R154" s="11">
        <f t="shared" si="74"/>
        <v>1066.7588235294118</v>
      </c>
      <c r="S154" s="12">
        <f t="shared" si="69"/>
        <v>666.72426470588232</v>
      </c>
      <c r="T154" s="25">
        <f t="shared" si="64"/>
        <v>256022.11764705883</v>
      </c>
      <c r="U154" s="26" t="e">
        <v>#DIV/0!</v>
      </c>
      <c r="V154" s="27">
        <f t="shared" si="70"/>
        <v>588</v>
      </c>
      <c r="W154" s="28">
        <f t="shared" ref="W154:X165" si="75">W153</f>
        <v>1470</v>
      </c>
      <c r="X154" s="29">
        <f t="shared" si="75"/>
        <v>7</v>
      </c>
      <c r="Y154" s="30">
        <f t="shared" si="66"/>
        <v>78.724264705882362</v>
      </c>
      <c r="Z154" s="31">
        <f t="shared" si="72"/>
        <v>28500000</v>
      </c>
      <c r="AA154" s="32">
        <f t="shared" si="67"/>
        <v>0.60000000000000009</v>
      </c>
    </row>
    <row r="155" spans="1:27" ht="50.25" customHeight="1">
      <c r="A155" s="162"/>
      <c r="B155" s="163"/>
      <c r="C155" s="162"/>
      <c r="D155" s="163" t="s">
        <v>225</v>
      </c>
      <c r="E155" s="163" t="s">
        <v>207</v>
      </c>
      <c r="F155" s="162" t="s">
        <v>35</v>
      </c>
      <c r="G155" s="162">
        <v>1</v>
      </c>
      <c r="H155" s="162">
        <v>200</v>
      </c>
      <c r="I155" s="162">
        <v>1.5</v>
      </c>
      <c r="J155" s="162">
        <f t="shared" si="68"/>
        <v>300</v>
      </c>
      <c r="K155" s="162"/>
      <c r="L155" s="164">
        <f t="shared" si="62"/>
        <v>5.3247999999999997E-2</v>
      </c>
      <c r="M155" s="39">
        <f t="shared" si="50"/>
        <v>5.3247999999999997E-2</v>
      </c>
      <c r="N155" s="128">
        <v>64</v>
      </c>
      <c r="O155" s="128">
        <v>32</v>
      </c>
      <c r="P155" s="128">
        <v>26</v>
      </c>
      <c r="Q155" s="24">
        <f t="shared" si="63"/>
        <v>200</v>
      </c>
      <c r="R155" s="11">
        <f t="shared" si="74"/>
        <v>682.53741176470589</v>
      </c>
      <c r="S155" s="12">
        <f t="shared" si="69"/>
        <v>426.58588235294116</v>
      </c>
      <c r="T155" s="25">
        <f t="shared" si="64"/>
        <v>136507.48235294118</v>
      </c>
      <c r="U155" s="26" t="e">
        <v>#DIV/0!</v>
      </c>
      <c r="V155" s="27">
        <f t="shared" si="70"/>
        <v>315</v>
      </c>
      <c r="W155" s="28">
        <f t="shared" si="75"/>
        <v>1470</v>
      </c>
      <c r="X155" s="29">
        <f t="shared" si="75"/>
        <v>7</v>
      </c>
      <c r="Y155" s="30">
        <f t="shared" si="66"/>
        <v>111.58588235294117</v>
      </c>
      <c r="Z155" s="31">
        <f t="shared" si="72"/>
        <v>28500000</v>
      </c>
      <c r="AA155" s="32">
        <f t="shared" si="67"/>
        <v>0.60000000000000009</v>
      </c>
    </row>
    <row r="156" spans="1:27" ht="48" customHeight="1">
      <c r="A156" s="162"/>
      <c r="B156" s="163"/>
      <c r="C156" s="162"/>
      <c r="D156" s="163" t="s">
        <v>226</v>
      </c>
      <c r="E156" s="163" t="s">
        <v>207</v>
      </c>
      <c r="F156" s="162" t="s">
        <v>35</v>
      </c>
      <c r="G156" s="162">
        <v>1</v>
      </c>
      <c r="H156" s="162">
        <v>200</v>
      </c>
      <c r="I156" s="162">
        <v>1.5</v>
      </c>
      <c r="J156" s="162">
        <f t="shared" si="68"/>
        <v>300</v>
      </c>
      <c r="K156" s="162"/>
      <c r="L156" s="164">
        <f t="shared" si="62"/>
        <v>5.3247999999999997E-2</v>
      </c>
      <c r="M156" s="39">
        <f t="shared" si="50"/>
        <v>5.3247999999999997E-2</v>
      </c>
      <c r="N156" s="128">
        <v>64</v>
      </c>
      <c r="O156" s="128">
        <v>32</v>
      </c>
      <c r="P156" s="128">
        <v>26</v>
      </c>
      <c r="Q156" s="24">
        <f t="shared" si="63"/>
        <v>200</v>
      </c>
      <c r="R156" s="11">
        <f t="shared" si="74"/>
        <v>682.53741176470589</v>
      </c>
      <c r="S156" s="12">
        <f t="shared" si="69"/>
        <v>426.58588235294116</v>
      </c>
      <c r="T156" s="25">
        <f t="shared" si="64"/>
        <v>136507.48235294118</v>
      </c>
      <c r="U156" s="26" t="e">
        <v>#DIV/0!</v>
      </c>
      <c r="V156" s="27">
        <f t="shared" si="70"/>
        <v>315</v>
      </c>
      <c r="W156" s="28">
        <f t="shared" si="75"/>
        <v>1470</v>
      </c>
      <c r="X156" s="29">
        <f t="shared" si="75"/>
        <v>7</v>
      </c>
      <c r="Y156" s="30">
        <f t="shared" si="66"/>
        <v>111.58588235294117</v>
      </c>
      <c r="Z156" s="31">
        <f t="shared" si="72"/>
        <v>28500000</v>
      </c>
      <c r="AA156" s="32">
        <f t="shared" si="67"/>
        <v>0.60000000000000009</v>
      </c>
    </row>
    <row r="157" spans="1:27" ht="51" customHeight="1">
      <c r="A157" s="162"/>
      <c r="B157" s="163"/>
      <c r="C157" s="162"/>
      <c r="D157" s="163" t="s">
        <v>227</v>
      </c>
      <c r="E157" s="163" t="s">
        <v>228</v>
      </c>
      <c r="F157" s="162" t="s">
        <v>229</v>
      </c>
      <c r="G157" s="162">
        <v>1</v>
      </c>
      <c r="H157" s="162">
        <v>300</v>
      </c>
      <c r="I157" s="162">
        <v>4.1500000000000004</v>
      </c>
      <c r="J157" s="162">
        <f t="shared" si="68"/>
        <v>1245</v>
      </c>
      <c r="K157" s="162"/>
      <c r="L157" s="164">
        <f t="shared" si="62"/>
        <v>0.210728</v>
      </c>
      <c r="M157" s="39">
        <f t="shared" si="50"/>
        <v>0.210728</v>
      </c>
      <c r="N157" s="128">
        <v>71</v>
      </c>
      <c r="O157" s="128">
        <v>56</v>
      </c>
      <c r="P157" s="128">
        <v>53</v>
      </c>
      <c r="Q157" s="24">
        <f t="shared" si="63"/>
        <v>300</v>
      </c>
      <c r="R157" s="11">
        <f t="shared" si="74"/>
        <v>1865.4390588235296</v>
      </c>
      <c r="S157" s="12">
        <f t="shared" si="69"/>
        <v>1165.899411764706</v>
      </c>
      <c r="T157" s="25">
        <f t="shared" si="64"/>
        <v>559631.71764705889</v>
      </c>
      <c r="U157" s="26" t="e">
        <v>#DIV/0!</v>
      </c>
      <c r="V157" s="27">
        <f t="shared" si="70"/>
        <v>871.50000000000011</v>
      </c>
      <c r="W157" s="28">
        <f t="shared" si="75"/>
        <v>1470</v>
      </c>
      <c r="X157" s="29">
        <f t="shared" si="75"/>
        <v>7</v>
      </c>
      <c r="Y157" s="30">
        <f t="shared" si="66"/>
        <v>294.39941176470586</v>
      </c>
      <c r="Z157" s="31">
        <f t="shared" si="72"/>
        <v>28500000</v>
      </c>
      <c r="AA157" s="32">
        <f t="shared" si="67"/>
        <v>0.60000000000000009</v>
      </c>
    </row>
    <row r="158" spans="1:27" ht="48" customHeight="1">
      <c r="A158" s="162"/>
      <c r="B158" s="163"/>
      <c r="C158" s="162"/>
      <c r="D158" s="163" t="s">
        <v>230</v>
      </c>
      <c r="E158" s="163" t="s">
        <v>228</v>
      </c>
      <c r="F158" s="162" t="s">
        <v>229</v>
      </c>
      <c r="G158" s="162">
        <v>1</v>
      </c>
      <c r="H158" s="162">
        <v>250</v>
      </c>
      <c r="I158" s="162">
        <v>3.9</v>
      </c>
      <c r="J158" s="162">
        <f t="shared" si="68"/>
        <v>975</v>
      </c>
      <c r="K158" s="162"/>
      <c r="L158" s="164">
        <f t="shared" si="62"/>
        <v>0.210728</v>
      </c>
      <c r="M158" s="39">
        <f t="shared" si="50"/>
        <v>0.210728</v>
      </c>
      <c r="N158" s="128">
        <v>71</v>
      </c>
      <c r="O158" s="128">
        <v>56</v>
      </c>
      <c r="P158" s="128">
        <v>53</v>
      </c>
      <c r="Q158" s="24">
        <f t="shared" si="63"/>
        <v>250</v>
      </c>
      <c r="R158" s="11">
        <f t="shared" si="74"/>
        <v>1875.6468705882355</v>
      </c>
      <c r="S158" s="12">
        <f t="shared" si="69"/>
        <v>1172.2792941176472</v>
      </c>
      <c r="T158" s="25">
        <f t="shared" si="64"/>
        <v>468911.71764705889</v>
      </c>
      <c r="U158" s="26" t="e">
        <v>#DIV/0!</v>
      </c>
      <c r="V158" s="27">
        <f t="shared" si="70"/>
        <v>819</v>
      </c>
      <c r="W158" s="28">
        <f t="shared" si="75"/>
        <v>1470</v>
      </c>
      <c r="X158" s="29">
        <f t="shared" si="75"/>
        <v>7</v>
      </c>
      <c r="Y158" s="30">
        <f t="shared" si="66"/>
        <v>353.27929411764705</v>
      </c>
      <c r="Z158" s="31">
        <f t="shared" si="72"/>
        <v>28500000</v>
      </c>
      <c r="AA158" s="32">
        <f t="shared" si="67"/>
        <v>0.60000000000000009</v>
      </c>
    </row>
    <row r="159" spans="1:27" ht="51" customHeight="1">
      <c r="A159" s="162"/>
      <c r="B159" s="163"/>
      <c r="C159" s="162"/>
      <c r="D159" s="163" t="s">
        <v>231</v>
      </c>
      <c r="E159" s="163" t="s">
        <v>228</v>
      </c>
      <c r="F159" s="162" t="s">
        <v>229</v>
      </c>
      <c r="G159" s="162">
        <v>1</v>
      </c>
      <c r="H159" s="162">
        <v>100</v>
      </c>
      <c r="I159" s="162">
        <v>7.4</v>
      </c>
      <c r="J159" s="162">
        <f t="shared" si="68"/>
        <v>740</v>
      </c>
      <c r="K159" s="162"/>
      <c r="L159" s="164">
        <f t="shared" si="62"/>
        <v>8.6019999999999999E-2</v>
      </c>
      <c r="M159" s="39">
        <f t="shared" si="50"/>
        <v>8.6019999999999999E-2</v>
      </c>
      <c r="N159" s="128">
        <v>55</v>
      </c>
      <c r="O159" s="128">
        <v>46</v>
      </c>
      <c r="P159" s="128">
        <v>34</v>
      </c>
      <c r="Q159" s="24">
        <f t="shared" si="63"/>
        <v>100</v>
      </c>
      <c r="R159" s="11">
        <f t="shared" si="74"/>
        <v>3063.2400000000002</v>
      </c>
      <c r="S159" s="12">
        <f t="shared" si="69"/>
        <v>1914.5250000000001</v>
      </c>
      <c r="T159" s="25">
        <f t="shared" si="64"/>
        <v>306324</v>
      </c>
      <c r="U159" s="26" t="e">
        <v>#DIV/0!</v>
      </c>
      <c r="V159" s="27">
        <f t="shared" si="70"/>
        <v>1554</v>
      </c>
      <c r="W159" s="28">
        <f t="shared" si="75"/>
        <v>1470</v>
      </c>
      <c r="X159" s="29">
        <f t="shared" si="75"/>
        <v>7</v>
      </c>
      <c r="Y159" s="30">
        <f t="shared" si="66"/>
        <v>360.52499999999998</v>
      </c>
      <c r="Z159" s="31">
        <f t="shared" si="72"/>
        <v>28500000</v>
      </c>
      <c r="AA159" s="32">
        <f t="shared" si="67"/>
        <v>0.60000000000000009</v>
      </c>
    </row>
    <row r="160" spans="1:27" ht="15.6">
      <c r="A160" s="122"/>
      <c r="B160" s="123"/>
      <c r="C160" s="122"/>
      <c r="D160" s="123"/>
      <c r="E160" s="123"/>
      <c r="F160" s="122"/>
      <c r="G160" s="122"/>
      <c r="H160" s="122"/>
      <c r="I160" s="122"/>
      <c r="J160" s="122"/>
      <c r="K160" s="122"/>
      <c r="L160" s="160">
        <f t="shared" si="62"/>
        <v>0</v>
      </c>
      <c r="M160" s="161" t="e">
        <f t="shared" si="50"/>
        <v>#DIV/0!</v>
      </c>
      <c r="N160" s="122"/>
      <c r="O160" s="122"/>
      <c r="P160" s="122"/>
      <c r="Q160" s="24">
        <f t="shared" si="63"/>
        <v>0</v>
      </c>
      <c r="R160" s="11" t="e">
        <f t="shared" si="74"/>
        <v>#DIV/0!</v>
      </c>
      <c r="S160" s="12" t="e">
        <f t="shared" si="69"/>
        <v>#DIV/0!</v>
      </c>
      <c r="T160" s="25">
        <v>0</v>
      </c>
      <c r="U160" s="26" t="e">
        <v>#DIV/0!</v>
      </c>
      <c r="V160" s="27">
        <f t="shared" si="70"/>
        <v>0</v>
      </c>
      <c r="W160" s="28">
        <f t="shared" si="75"/>
        <v>1470</v>
      </c>
      <c r="X160" s="29">
        <f t="shared" si="75"/>
        <v>7</v>
      </c>
      <c r="Y160" s="30" t="e">
        <f t="shared" si="66"/>
        <v>#DIV/0!</v>
      </c>
      <c r="Z160" s="31">
        <f t="shared" si="72"/>
        <v>28500000</v>
      </c>
      <c r="AA160" s="32" t="e">
        <f t="shared" si="67"/>
        <v>#DIV/0!</v>
      </c>
    </row>
    <row r="161" spans="1:27" ht="31.2">
      <c r="A161" s="165" t="s">
        <v>26</v>
      </c>
      <c r="B161" s="166" t="s">
        <v>232</v>
      </c>
      <c r="C161" s="165">
        <v>12</v>
      </c>
      <c r="D161" s="166" t="s">
        <v>233</v>
      </c>
      <c r="E161" s="166" t="s">
        <v>234</v>
      </c>
      <c r="F161" s="165" t="s">
        <v>31</v>
      </c>
      <c r="G161" s="165">
        <v>2</v>
      </c>
      <c r="H161" s="165">
        <v>1440</v>
      </c>
      <c r="I161" s="165">
        <v>0.57999999999999996</v>
      </c>
      <c r="J161" s="165">
        <f>I161*H161*G161</f>
        <v>1670.3999999999999</v>
      </c>
      <c r="K161" s="167" t="s">
        <v>48</v>
      </c>
      <c r="L161" s="168">
        <f t="shared" si="62"/>
        <v>0.17299200000000001</v>
      </c>
      <c r="M161" s="107">
        <f t="shared" si="50"/>
        <v>8.6496000000000003E-2</v>
      </c>
      <c r="N161" s="128">
        <v>53</v>
      </c>
      <c r="O161" s="128">
        <v>32</v>
      </c>
      <c r="P161" s="128">
        <v>51</v>
      </c>
      <c r="Q161" s="24">
        <f t="shared" si="63"/>
        <v>2880</v>
      </c>
      <c r="R161" s="11">
        <f t="shared" si="74"/>
        <v>235.16</v>
      </c>
      <c r="S161" s="12">
        <f t="shared" si="69"/>
        <v>146.97499999999999</v>
      </c>
      <c r="T161" s="25">
        <f>R161*Q161</f>
        <v>677260.80000000005</v>
      </c>
      <c r="U161" s="26" t="e">
        <v>#DIV/0!</v>
      </c>
      <c r="V161" s="27">
        <f t="shared" si="70"/>
        <v>121.79999999999998</v>
      </c>
      <c r="W161" s="28">
        <f t="shared" si="75"/>
        <v>1470</v>
      </c>
      <c r="X161" s="29">
        <f t="shared" si="75"/>
        <v>7</v>
      </c>
      <c r="Y161" s="30">
        <f t="shared" si="66"/>
        <v>25.175000000000001</v>
      </c>
      <c r="Z161" s="31">
        <f t="shared" si="72"/>
        <v>28500000</v>
      </c>
      <c r="AA161" s="32">
        <f t="shared" si="67"/>
        <v>0.60000000000000009</v>
      </c>
    </row>
    <row r="162" spans="1:27" ht="15.6">
      <c r="A162" s="122" t="s">
        <v>92</v>
      </c>
      <c r="B162" s="123"/>
      <c r="C162" s="122"/>
      <c r="D162" s="123"/>
      <c r="E162" s="123"/>
      <c r="F162" s="122"/>
      <c r="G162" s="122"/>
      <c r="H162" s="122"/>
      <c r="I162" s="122"/>
      <c r="J162" s="122"/>
      <c r="K162" s="122"/>
      <c r="L162" s="160">
        <f t="shared" si="62"/>
        <v>0</v>
      </c>
      <c r="M162" s="161" t="e">
        <f t="shared" si="50"/>
        <v>#DIV/0!</v>
      </c>
      <c r="N162" s="122"/>
      <c r="O162" s="122"/>
      <c r="P162" s="122"/>
      <c r="Q162" s="24">
        <f t="shared" si="63"/>
        <v>0</v>
      </c>
      <c r="R162" s="11" t="e">
        <f t="shared" si="74"/>
        <v>#DIV/0!</v>
      </c>
      <c r="S162" s="12" t="e">
        <f t="shared" si="69"/>
        <v>#DIV/0!</v>
      </c>
      <c r="T162" s="25">
        <v>0</v>
      </c>
      <c r="U162" s="26" t="e">
        <v>#DIV/0!</v>
      </c>
      <c r="V162" s="27">
        <f t="shared" si="70"/>
        <v>0</v>
      </c>
      <c r="W162" s="28">
        <f t="shared" si="75"/>
        <v>1470</v>
      </c>
      <c r="X162" s="29">
        <f t="shared" si="75"/>
        <v>7</v>
      </c>
      <c r="Y162" s="30" t="e">
        <f t="shared" si="66"/>
        <v>#DIV/0!</v>
      </c>
      <c r="Z162" s="31">
        <f t="shared" si="72"/>
        <v>28500000</v>
      </c>
      <c r="AA162" s="32" t="e">
        <f t="shared" si="67"/>
        <v>#DIV/0!</v>
      </c>
    </row>
    <row r="163" spans="1:27" ht="153.75" customHeight="1">
      <c r="A163" s="169" t="s">
        <v>26</v>
      </c>
      <c r="B163" s="170" t="s">
        <v>235</v>
      </c>
      <c r="C163" s="169">
        <v>12</v>
      </c>
      <c r="D163" s="170">
        <v>316</v>
      </c>
      <c r="E163" s="170" t="s">
        <v>236</v>
      </c>
      <c r="F163" s="169"/>
      <c r="G163" s="169">
        <v>1</v>
      </c>
      <c r="H163" s="169">
        <v>60</v>
      </c>
      <c r="I163" s="169">
        <v>20</v>
      </c>
      <c r="J163" s="169">
        <f t="shared" ref="J163:J165" si="76">I163*H163*G163</f>
        <v>1200</v>
      </c>
      <c r="K163" s="171" t="s">
        <v>48</v>
      </c>
      <c r="L163" s="172">
        <f t="shared" si="62"/>
        <v>0.21960399999999999</v>
      </c>
      <c r="M163" s="173">
        <f t="shared" si="50"/>
        <v>0.21960399999999999</v>
      </c>
      <c r="N163" s="128">
        <v>92</v>
      </c>
      <c r="O163" s="128">
        <v>77</v>
      </c>
      <c r="P163" s="128">
        <v>31</v>
      </c>
      <c r="Q163" s="24">
        <f t="shared" si="63"/>
        <v>60</v>
      </c>
      <c r="R163" s="11">
        <f t="shared" si="74"/>
        <v>9174.3976470588241</v>
      </c>
      <c r="S163" s="12">
        <f t="shared" si="69"/>
        <v>5733.998529411765</v>
      </c>
      <c r="T163" s="25">
        <f t="shared" si="64"/>
        <v>550463.85882352944</v>
      </c>
      <c r="U163" s="26" t="e">
        <v>#DIV/0!</v>
      </c>
      <c r="V163" s="27">
        <f t="shared" si="70"/>
        <v>4200</v>
      </c>
      <c r="W163" s="28">
        <f t="shared" si="75"/>
        <v>1470</v>
      </c>
      <c r="X163" s="29">
        <f t="shared" si="75"/>
        <v>7</v>
      </c>
      <c r="Y163" s="30">
        <f t="shared" si="66"/>
        <v>1533.9985294117648</v>
      </c>
      <c r="Z163" s="31">
        <f t="shared" si="72"/>
        <v>28500000</v>
      </c>
      <c r="AA163" s="32">
        <f t="shared" si="67"/>
        <v>0.6</v>
      </c>
    </row>
    <row r="164" spans="1:27" ht="87.75" customHeight="1">
      <c r="A164" s="174" t="s">
        <v>237</v>
      </c>
      <c r="B164" s="170"/>
      <c r="C164" s="169"/>
      <c r="D164" s="170" t="s">
        <v>238</v>
      </c>
      <c r="E164" s="170" t="s">
        <v>236</v>
      </c>
      <c r="F164" s="169"/>
      <c r="G164" s="169">
        <v>1</v>
      </c>
      <c r="H164" s="169">
        <v>70</v>
      </c>
      <c r="I164" s="169">
        <v>21</v>
      </c>
      <c r="J164" s="169">
        <f t="shared" si="76"/>
        <v>1470</v>
      </c>
      <c r="K164" s="171" t="s">
        <v>48</v>
      </c>
      <c r="L164" s="172">
        <f t="shared" si="62"/>
        <v>0.12959999999999999</v>
      </c>
      <c r="M164" s="173">
        <f t="shared" si="50"/>
        <v>0.12959999999999999</v>
      </c>
      <c r="N164" s="128">
        <v>96</v>
      </c>
      <c r="O164" s="128">
        <v>30</v>
      </c>
      <c r="P164" s="128">
        <v>45</v>
      </c>
      <c r="Q164" s="24">
        <f t="shared" si="63"/>
        <v>70</v>
      </c>
      <c r="R164" s="11">
        <f t="shared" si="74"/>
        <v>8297.5462184873959</v>
      </c>
      <c r="S164" s="12">
        <f t="shared" si="69"/>
        <v>5185.9663865546217</v>
      </c>
      <c r="T164" s="25">
        <f t="shared" si="64"/>
        <v>580828.23529411771</v>
      </c>
      <c r="U164" s="26" t="e">
        <v>#DIV/0!</v>
      </c>
      <c r="V164" s="27">
        <f t="shared" si="70"/>
        <v>4410</v>
      </c>
      <c r="W164" s="28">
        <f t="shared" si="75"/>
        <v>1470</v>
      </c>
      <c r="X164" s="29">
        <f t="shared" si="75"/>
        <v>7</v>
      </c>
      <c r="Y164" s="30">
        <f t="shared" si="66"/>
        <v>775.96638655462186</v>
      </c>
      <c r="Z164" s="31">
        <f t="shared" si="72"/>
        <v>28500000</v>
      </c>
      <c r="AA164" s="32">
        <f t="shared" si="67"/>
        <v>0.6000000000000002</v>
      </c>
    </row>
    <row r="165" spans="1:27" ht="123.75" customHeight="1">
      <c r="A165" s="169"/>
      <c r="B165" s="170"/>
      <c r="C165" s="169"/>
      <c r="D165" s="170">
        <v>810</v>
      </c>
      <c r="E165" s="170" t="s">
        <v>239</v>
      </c>
      <c r="F165" s="169"/>
      <c r="G165" s="169">
        <v>1</v>
      </c>
      <c r="H165" s="169">
        <v>80</v>
      </c>
      <c r="I165" s="169">
        <v>35</v>
      </c>
      <c r="J165" s="169">
        <f t="shared" si="76"/>
        <v>2800</v>
      </c>
      <c r="K165" s="171" t="s">
        <v>48</v>
      </c>
      <c r="L165" s="172">
        <f t="shared" si="62"/>
        <v>0.33956999999999998</v>
      </c>
      <c r="M165" s="173">
        <f t="shared" si="50"/>
        <v>0.33956999999999998</v>
      </c>
      <c r="N165" s="128">
        <v>105</v>
      </c>
      <c r="O165" s="128">
        <v>77</v>
      </c>
      <c r="P165" s="128">
        <v>42</v>
      </c>
      <c r="Q165" s="24">
        <f t="shared" si="63"/>
        <v>80</v>
      </c>
      <c r="R165" s="11">
        <f t="shared" si="74"/>
        <v>14606.395588235297</v>
      </c>
      <c r="S165" s="12">
        <f t="shared" si="69"/>
        <v>9128.9972426470595</v>
      </c>
      <c r="T165" s="25">
        <f t="shared" si="64"/>
        <v>1168511.6470588236</v>
      </c>
      <c r="U165" s="26" t="e">
        <v>#DIV/0!</v>
      </c>
      <c r="V165" s="27">
        <f t="shared" si="70"/>
        <v>7350</v>
      </c>
      <c r="W165" s="28">
        <f t="shared" si="75"/>
        <v>1470</v>
      </c>
      <c r="X165" s="29">
        <f t="shared" si="75"/>
        <v>7</v>
      </c>
      <c r="Y165" s="30">
        <f t="shared" si="66"/>
        <v>1778.9972426470588</v>
      </c>
      <c r="Z165" s="31">
        <f t="shared" si="72"/>
        <v>28500000</v>
      </c>
      <c r="AA165" s="32">
        <f t="shared" si="67"/>
        <v>0.6000000000000002</v>
      </c>
    </row>
    <row r="166" spans="1:27" ht="15.6">
      <c r="A166" s="122"/>
      <c r="B166" s="123"/>
      <c r="C166" s="122"/>
      <c r="D166" s="123"/>
      <c r="E166" s="123"/>
      <c r="F166" s="122"/>
      <c r="G166" s="122"/>
      <c r="H166" s="122"/>
      <c r="I166" s="122"/>
      <c r="J166" s="122"/>
      <c r="K166" s="122"/>
      <c r="L166" s="122"/>
      <c r="Z166" s="31">
        <f>Z165</f>
        <v>28500000</v>
      </c>
    </row>
    <row r="167" spans="1:27" ht="15.6">
      <c r="A167" s="122"/>
      <c r="B167" s="123"/>
      <c r="C167" s="122"/>
      <c r="D167" s="138"/>
      <c r="E167" s="138"/>
      <c r="F167" s="137"/>
      <c r="G167" s="137"/>
      <c r="H167" s="137"/>
      <c r="I167" s="137" t="s">
        <v>54</v>
      </c>
      <c r="J167" s="118">
        <f>SUM(J137:J166)</f>
        <v>21549.4</v>
      </c>
      <c r="K167" s="122"/>
      <c r="L167" s="122"/>
      <c r="Z167" s="31">
        <f>Z166</f>
        <v>28500000</v>
      </c>
    </row>
    <row r="168" spans="1:27" ht="15.6">
      <c r="A168" s="122"/>
      <c r="B168" s="123"/>
      <c r="C168" s="122"/>
      <c r="D168" s="138"/>
      <c r="E168" s="138"/>
      <c r="F168" s="137"/>
      <c r="G168" s="137"/>
      <c r="H168" s="137"/>
      <c r="I168" s="137"/>
      <c r="J168" s="118"/>
      <c r="K168" s="122"/>
      <c r="L168" s="122"/>
      <c r="T168" s="25">
        <f>SUM(T149:T165)</f>
        <v>5512107.7411764711</v>
      </c>
    </row>
    <row r="169" spans="1:27" ht="27.6">
      <c r="A169" s="122"/>
      <c r="B169" s="123"/>
      <c r="C169" s="122"/>
      <c r="D169" s="138" t="s">
        <v>240</v>
      </c>
      <c r="E169" s="138" t="s">
        <v>241</v>
      </c>
      <c r="F169" s="137">
        <v>8060063474</v>
      </c>
      <c r="G169" s="137" t="s">
        <v>242</v>
      </c>
      <c r="H169" s="140">
        <v>46207</v>
      </c>
      <c r="I169" s="137" t="s">
        <v>243</v>
      </c>
      <c r="J169" s="118">
        <v>2471</v>
      </c>
      <c r="K169" s="175">
        <v>353</v>
      </c>
      <c r="L169" s="122"/>
      <c r="T169" s="25">
        <f>R171*Z166/68</f>
        <v>1257352.9411764706</v>
      </c>
    </row>
    <row r="170" spans="1:27" ht="15.6">
      <c r="A170" s="122"/>
      <c r="B170" s="123"/>
      <c r="C170" s="122"/>
      <c r="D170" s="138"/>
      <c r="E170" s="138"/>
      <c r="F170" s="137"/>
      <c r="G170" s="137"/>
      <c r="H170" s="137"/>
      <c r="I170" s="137"/>
      <c r="J170" s="118"/>
      <c r="K170" s="122"/>
      <c r="L170" s="122"/>
      <c r="T170" s="25"/>
    </row>
    <row r="171" spans="1:27" ht="15.6">
      <c r="A171" s="122"/>
      <c r="B171" s="123"/>
      <c r="C171" s="122"/>
      <c r="D171" s="138"/>
      <c r="E171" s="138"/>
      <c r="F171" s="137"/>
      <c r="G171" s="137"/>
      <c r="H171" s="137"/>
      <c r="I171" s="137" t="s">
        <v>244</v>
      </c>
      <c r="J171" s="118">
        <v>39284</v>
      </c>
      <c r="K171" s="122"/>
      <c r="L171" s="122"/>
      <c r="R171" s="4">
        <v>3</v>
      </c>
      <c r="T171" s="25"/>
    </row>
    <row r="172" spans="1:27" ht="15.6">
      <c r="A172" s="122"/>
      <c r="B172" s="123"/>
      <c r="C172" s="122"/>
      <c r="D172" s="138"/>
      <c r="E172" s="138"/>
      <c r="F172" s="137"/>
      <c r="G172" s="137"/>
      <c r="H172" s="137"/>
      <c r="I172" s="137"/>
      <c r="J172" s="118"/>
      <c r="K172" s="122"/>
      <c r="L172" s="122"/>
      <c r="T172" s="25"/>
    </row>
    <row r="173" spans="1:27" ht="15.6">
      <c r="A173" s="122"/>
      <c r="B173" s="123"/>
      <c r="C173" s="122"/>
      <c r="D173" s="138"/>
      <c r="E173" s="138"/>
      <c r="F173" s="137"/>
      <c r="G173" s="137"/>
      <c r="H173" s="137"/>
      <c r="I173" s="137" t="s">
        <v>160</v>
      </c>
      <c r="J173" s="118">
        <f>J171+J169+J167</f>
        <v>63304.4</v>
      </c>
      <c r="K173" s="122"/>
      <c r="L173" s="122"/>
      <c r="T173" s="25"/>
    </row>
    <row r="174" spans="1:27">
      <c r="T174" s="60">
        <f>T168-T169-T171</f>
        <v>4254754.8000000007</v>
      </c>
    </row>
  </sheetData>
  <mergeCells count="4">
    <mergeCell ref="B1:K1"/>
    <mergeCell ref="B34:K34"/>
    <mergeCell ref="B104:K104"/>
    <mergeCell ref="B135:K135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Femi Odukale</dc:creator>
  <cp:lastModifiedBy>Oluwamayomiposi Odukale</cp:lastModifiedBy>
  <dcterms:created xsi:type="dcterms:W3CDTF">2026-08-24T22:38:58Z</dcterms:created>
  <dcterms:modified xsi:type="dcterms:W3CDTF">2026-08-25T10:32:13Z</dcterms:modified>
</cp:coreProperties>
</file>